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uneelu/Desktop/neelu/DIAT/PhD/Pre-synopsis/Excel sheet all biochars/"/>
    </mc:Choice>
  </mc:AlternateContent>
  <xr:revisionPtr revIDLastSave="0" documentId="13_ncr:1_{048FE83A-8E70-DA42-8A3D-2D997520D27D}" xr6:coauthVersionLast="47" xr6:coauthVersionMax="47" xr10:uidLastSave="{00000000-0000-0000-0000-000000000000}"/>
  <bookViews>
    <workbookView xWindow="0" yWindow="500" windowWidth="28800" windowHeight="16420" activeTab="4" xr2:uid="{AF4BDA3E-11DC-DB43-AB94-C6F39CFC3517}"/>
  </bookViews>
  <sheets>
    <sheet name="Contact time" sheetId="1" r:id="rId1"/>
    <sheet name="Adsorption kinetics" sheetId="17" r:id="rId2"/>
    <sheet name="Dosage" sheetId="2" r:id="rId3"/>
    <sheet name="Low concentration 5.5.24" sheetId="12" r:id="rId4"/>
    <sheet name="Isotherm new" sheetId="19" r:id="rId5"/>
    <sheet name="Temperature 8.5.24" sheetId="22" r:id="rId6"/>
    <sheet name="pH " sheetId="6" r:id="rId7"/>
    <sheet name="Regeneration" sheetId="2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9" l="1"/>
  <c r="L5" i="19"/>
  <c r="L6" i="19"/>
  <c r="L7" i="19"/>
  <c r="L8" i="19"/>
  <c r="L9" i="19"/>
  <c r="L10" i="19"/>
  <c r="L3" i="19"/>
  <c r="K4" i="19"/>
  <c r="K5" i="19"/>
  <c r="K6" i="19"/>
  <c r="K7" i="19"/>
  <c r="K8" i="19"/>
  <c r="K9" i="19"/>
  <c r="K10" i="19"/>
  <c r="K3" i="19"/>
  <c r="D6" i="21"/>
  <c r="G6" i="21"/>
  <c r="H6" i="21" s="1"/>
  <c r="I6" i="21" s="1"/>
  <c r="J4" i="2"/>
  <c r="J5" i="2"/>
  <c r="J6" i="2"/>
  <c r="J7" i="2"/>
  <c r="J8" i="2"/>
  <c r="J3" i="2"/>
  <c r="V3" i="22"/>
  <c r="V2" i="22"/>
  <c r="V4" i="22" s="1"/>
  <c r="B11" i="22"/>
  <c r="B9" i="22"/>
  <c r="L5" i="22"/>
  <c r="F5" i="22"/>
  <c r="G5" i="22" s="1"/>
  <c r="D5" i="22"/>
  <c r="L4" i="22"/>
  <c r="F4" i="22"/>
  <c r="G4" i="22" s="1"/>
  <c r="D4" i="22"/>
  <c r="L3" i="22"/>
  <c r="F3" i="22"/>
  <c r="G3" i="22" s="1"/>
  <c r="D3" i="22"/>
  <c r="J6" i="21" l="1"/>
  <c r="K6" i="21"/>
  <c r="I4" i="22"/>
  <c r="H4" i="22"/>
  <c r="J4" i="22" s="1"/>
  <c r="I5" i="22"/>
  <c r="H5" i="22"/>
  <c r="J5" i="22" s="1"/>
  <c r="V5" i="22"/>
  <c r="V6" i="22"/>
  <c r="M5" i="22"/>
  <c r="K5" i="22"/>
  <c r="I3" i="22"/>
  <c r="H3" i="22"/>
  <c r="J3" i="22" s="1"/>
  <c r="M4" i="22"/>
  <c r="K4" i="22"/>
  <c r="K3" i="22" l="1"/>
  <c r="M3" i="22"/>
  <c r="B10" i="21" l="1"/>
  <c r="G5" i="21"/>
  <c r="H5" i="21" s="1"/>
  <c r="I5" i="21" s="1"/>
  <c r="D5" i="21"/>
  <c r="G4" i="21"/>
  <c r="H4" i="21" s="1"/>
  <c r="I4" i="21" s="1"/>
  <c r="D4" i="21"/>
  <c r="G3" i="21"/>
  <c r="H3" i="21" s="1"/>
  <c r="I3" i="21" s="1"/>
  <c r="D3" i="21"/>
  <c r="K4" i="21" l="1"/>
  <c r="J4" i="21"/>
  <c r="K3" i="21"/>
  <c r="J3" i="21"/>
  <c r="K5" i="21"/>
  <c r="J5" i="21"/>
  <c r="P54" i="19"/>
  <c r="P55" i="19" s="1"/>
  <c r="Q27" i="19"/>
  <c r="Q26" i="19"/>
  <c r="M36" i="19"/>
  <c r="AC14" i="19"/>
  <c r="AC13" i="19"/>
  <c r="N27" i="19"/>
  <c r="N26" i="19"/>
  <c r="B14" i="19"/>
  <c r="B15" i="19" s="1"/>
  <c r="M39" i="17"/>
  <c r="M40" i="17" s="1"/>
  <c r="O23" i="17"/>
  <c r="O25" i="17" s="1"/>
  <c r="I4" i="17"/>
  <c r="E49" i="19"/>
  <c r="E50" i="19"/>
  <c r="E51" i="19"/>
  <c r="E52" i="19"/>
  <c r="E53" i="19"/>
  <c r="E54" i="19"/>
  <c r="E55" i="19"/>
  <c r="E48" i="19"/>
  <c r="D49" i="19"/>
  <c r="F49" i="19" s="1"/>
  <c r="D50" i="19"/>
  <c r="F50" i="19" s="1"/>
  <c r="D51" i="19"/>
  <c r="F51" i="19" s="1"/>
  <c r="D52" i="19"/>
  <c r="F52" i="19" s="1"/>
  <c r="D53" i="19"/>
  <c r="F53" i="19" s="1"/>
  <c r="D54" i="19"/>
  <c r="F54" i="19" s="1"/>
  <c r="D55" i="19"/>
  <c r="F55" i="19" s="1"/>
  <c r="D48" i="19"/>
  <c r="F48" i="19" s="1"/>
  <c r="A31" i="19"/>
  <c r="A32" i="19"/>
  <c r="A33" i="19"/>
  <c r="A34" i="19"/>
  <c r="A35" i="19"/>
  <c r="A36" i="19"/>
  <c r="A37" i="19"/>
  <c r="A30" i="19"/>
  <c r="E4" i="19"/>
  <c r="E5" i="19"/>
  <c r="E6" i="19"/>
  <c r="E7" i="19"/>
  <c r="E8" i="19"/>
  <c r="E9" i="19"/>
  <c r="E10" i="19"/>
  <c r="E3" i="19"/>
  <c r="D4" i="19"/>
  <c r="D5" i="19"/>
  <c r="D6" i="19"/>
  <c r="D7" i="19"/>
  <c r="D8" i="19"/>
  <c r="D9" i="19"/>
  <c r="D10" i="19"/>
  <c r="D3" i="19"/>
  <c r="C4" i="19"/>
  <c r="C5" i="19"/>
  <c r="C6" i="19"/>
  <c r="C7" i="19"/>
  <c r="C8" i="19"/>
  <c r="C9" i="19"/>
  <c r="C10" i="19"/>
  <c r="C3" i="19"/>
  <c r="A55" i="17"/>
  <c r="A56" i="17"/>
  <c r="A57" i="17"/>
  <c r="A58" i="17"/>
  <c r="A59" i="17"/>
  <c r="A60" i="17"/>
  <c r="A61" i="17"/>
  <c r="A62" i="17"/>
  <c r="A63" i="17"/>
  <c r="A54" i="17"/>
  <c r="A40" i="17"/>
  <c r="A41" i="17"/>
  <c r="A42" i="17"/>
  <c r="A43" i="17"/>
  <c r="A44" i="17"/>
  <c r="A45" i="17"/>
  <c r="A46" i="17"/>
  <c r="A47" i="17"/>
  <c r="A48" i="17"/>
  <c r="A39" i="17"/>
  <c r="B25" i="17"/>
  <c r="B26" i="17"/>
  <c r="B27" i="17"/>
  <c r="B28" i="17"/>
  <c r="B29" i="17"/>
  <c r="B30" i="17"/>
  <c r="B31" i="17"/>
  <c r="B32" i="17"/>
  <c r="B33" i="17"/>
  <c r="B24" i="17"/>
  <c r="B4" i="17"/>
  <c r="B5" i="17"/>
  <c r="B6" i="17"/>
  <c r="B7" i="17"/>
  <c r="B8" i="17"/>
  <c r="B9" i="17"/>
  <c r="B10" i="17"/>
  <c r="B11" i="17"/>
  <c r="B12" i="17"/>
  <c r="B3" i="17"/>
  <c r="B15" i="12" l="1"/>
  <c r="B14" i="12"/>
  <c r="E10" i="12"/>
  <c r="F10" i="12" s="1"/>
  <c r="C10" i="12"/>
  <c r="E9" i="12"/>
  <c r="F9" i="12" s="1"/>
  <c r="C9" i="12"/>
  <c r="E8" i="12"/>
  <c r="F8" i="12" s="1"/>
  <c r="C8" i="12"/>
  <c r="E7" i="12"/>
  <c r="F7" i="12" s="1"/>
  <c r="C7" i="12"/>
  <c r="E6" i="12"/>
  <c r="F6" i="12" s="1"/>
  <c r="C6" i="12"/>
  <c r="E5" i="12"/>
  <c r="F5" i="12" s="1"/>
  <c r="C5" i="12"/>
  <c r="E4" i="12"/>
  <c r="F4" i="12" s="1"/>
  <c r="C4" i="12"/>
  <c r="E3" i="12"/>
  <c r="F3" i="12" s="1"/>
  <c r="C3" i="12"/>
  <c r="F9" i="6"/>
  <c r="G9" i="6" s="1"/>
  <c r="I9" i="6" s="1"/>
  <c r="F8" i="6"/>
  <c r="G8" i="6" s="1"/>
  <c r="I8" i="6" s="1"/>
  <c r="F6" i="6"/>
  <c r="G6" i="6" s="1"/>
  <c r="I6" i="6" s="1"/>
  <c r="F4" i="6"/>
  <c r="G4" i="6" s="1"/>
  <c r="I4" i="6" s="1"/>
  <c r="F5" i="6"/>
  <c r="G5" i="6" s="1"/>
  <c r="I5" i="6" s="1"/>
  <c r="F7" i="6"/>
  <c r="G7" i="6" s="1"/>
  <c r="I7" i="6" s="1"/>
  <c r="B15" i="6"/>
  <c r="B13" i="6"/>
  <c r="F3" i="6"/>
  <c r="G3" i="6" s="1"/>
  <c r="I3" i="6" s="1"/>
  <c r="J4" i="12" l="1"/>
  <c r="I4" i="12"/>
  <c r="I8" i="12"/>
  <c r="J8" i="12"/>
  <c r="J5" i="12"/>
  <c r="I5" i="12"/>
  <c r="J9" i="12"/>
  <c r="I9" i="12"/>
  <c r="I6" i="12"/>
  <c r="J6" i="12"/>
  <c r="I10" i="12"/>
  <c r="J10" i="12"/>
  <c r="I3" i="12"/>
  <c r="J3" i="12"/>
  <c r="I7" i="12"/>
  <c r="J7" i="12"/>
  <c r="K5" i="6"/>
  <c r="J5" i="6"/>
  <c r="K7" i="6"/>
  <c r="J7" i="6"/>
  <c r="K6" i="6"/>
  <c r="J6" i="6"/>
  <c r="J8" i="6"/>
  <c r="K8" i="6"/>
  <c r="K3" i="6"/>
  <c r="J3" i="6"/>
  <c r="K9" i="6"/>
  <c r="J9" i="6"/>
  <c r="K4" i="6"/>
  <c r="J4" i="6"/>
  <c r="B18" i="1" l="1"/>
  <c r="B17" i="1"/>
  <c r="E12" i="1"/>
  <c r="F12" i="1" s="1"/>
  <c r="I12" i="1" s="1"/>
  <c r="B12" i="1"/>
  <c r="E11" i="1"/>
  <c r="F11" i="1" s="1"/>
  <c r="I11" i="1" s="1"/>
  <c r="B11" i="1"/>
  <c r="G11" i="1" s="1"/>
  <c r="H11" i="1" s="1"/>
  <c r="E10" i="1"/>
  <c r="B10" i="1"/>
  <c r="E9" i="1"/>
  <c r="F9" i="1" s="1"/>
  <c r="I9" i="1" s="1"/>
  <c r="B9" i="1"/>
  <c r="E8" i="1"/>
  <c r="F8" i="1" s="1"/>
  <c r="I8" i="1" s="1"/>
  <c r="B8" i="1"/>
  <c r="E7" i="1"/>
  <c r="F7" i="1" s="1"/>
  <c r="I7" i="1" s="1"/>
  <c r="B7" i="1"/>
  <c r="E6" i="1"/>
  <c r="B6" i="1"/>
  <c r="E5" i="1"/>
  <c r="F5" i="1" s="1"/>
  <c r="I5" i="1" s="1"/>
  <c r="B5" i="1"/>
  <c r="E4" i="1"/>
  <c r="F4" i="1" s="1"/>
  <c r="I4" i="1" s="1"/>
  <c r="B4" i="1"/>
  <c r="E3" i="1"/>
  <c r="F3" i="1" s="1"/>
  <c r="I3" i="1" s="1"/>
  <c r="B3" i="1"/>
  <c r="G10" i="1" l="1"/>
  <c r="H10" i="1" s="1"/>
  <c r="G6" i="1"/>
  <c r="H6" i="1" s="1"/>
  <c r="G9" i="1"/>
  <c r="H9" i="1" s="1"/>
  <c r="G3" i="1"/>
  <c r="H3" i="1" s="1"/>
  <c r="G7" i="1"/>
  <c r="H7" i="1" s="1"/>
  <c r="G4" i="1"/>
  <c r="H4" i="1" s="1"/>
  <c r="G8" i="1"/>
  <c r="H8" i="1" s="1"/>
  <c r="G12" i="1"/>
  <c r="H12" i="1" s="1"/>
  <c r="F6" i="1"/>
  <c r="I6" i="1" s="1"/>
  <c r="F10" i="1"/>
  <c r="I10" i="1" s="1"/>
  <c r="G5" i="1"/>
  <c r="H5" i="1" s="1"/>
  <c r="B12" i="2" l="1"/>
  <c r="G8" i="2"/>
  <c r="H8" i="2" s="1"/>
  <c r="I8" i="2" s="1"/>
  <c r="D8" i="2"/>
  <c r="C8" i="2"/>
  <c r="G7" i="2"/>
  <c r="H7" i="2" s="1"/>
  <c r="I7" i="2" s="1"/>
  <c r="K7" i="2" s="1"/>
  <c r="D7" i="2"/>
  <c r="C7" i="2"/>
  <c r="G6" i="2"/>
  <c r="H6" i="2" s="1"/>
  <c r="I6" i="2" s="1"/>
  <c r="D6" i="2"/>
  <c r="C6" i="2"/>
  <c r="G5" i="2"/>
  <c r="H5" i="2" s="1"/>
  <c r="I5" i="2" s="1"/>
  <c r="D5" i="2"/>
  <c r="C5" i="2"/>
  <c r="G4" i="2"/>
  <c r="H4" i="2" s="1"/>
  <c r="I4" i="2" s="1"/>
  <c r="K4" i="2" s="1"/>
  <c r="D4" i="2"/>
  <c r="C4" i="2"/>
  <c r="G3" i="2"/>
  <c r="H3" i="2" s="1"/>
  <c r="I3" i="2" s="1"/>
  <c r="D3" i="2"/>
  <c r="C3" i="2"/>
  <c r="K3" i="2" l="1"/>
  <c r="K5" i="2"/>
  <c r="K6" i="2"/>
  <c r="K8" i="2"/>
</calcChain>
</file>

<file path=xl/sharedStrings.xml><?xml version="1.0" encoding="utf-8"?>
<sst xmlns="http://schemas.openxmlformats.org/spreadsheetml/2006/main" count="225" uniqueCount="91">
  <si>
    <t>Concentration (mg/L or ppm)</t>
  </si>
  <si>
    <r>
      <t>Initial concentration (C</t>
    </r>
    <r>
      <rPr>
        <b/>
        <vertAlign val="subscript"/>
        <sz val="12"/>
        <color theme="1"/>
        <rFont val="Times New Roman"/>
        <family val="1"/>
      </rPr>
      <t>o</t>
    </r>
    <r>
      <rPr>
        <b/>
        <sz val="12"/>
        <color theme="1"/>
        <rFont val="Times New Roman"/>
        <family val="1"/>
      </rPr>
      <t>) (mol/L)</t>
    </r>
  </si>
  <si>
    <t>Time (min)</t>
  </si>
  <si>
    <t>Absorbance at 554 nm</t>
  </si>
  <si>
    <r>
      <t>Final concentration (C</t>
    </r>
    <r>
      <rPr>
        <b/>
        <vertAlign val="subscript"/>
        <sz val="12"/>
        <color theme="1"/>
        <rFont val="Times New Roman"/>
        <family val="1"/>
      </rPr>
      <t>t</t>
    </r>
    <r>
      <rPr>
        <b/>
        <sz val="12"/>
        <color theme="1"/>
        <rFont val="Times New Roman"/>
        <family val="1"/>
      </rPr>
      <t>) (mol/L)</t>
    </r>
  </si>
  <si>
    <r>
      <t>Final concentration (C</t>
    </r>
    <r>
      <rPr>
        <b/>
        <vertAlign val="subscript"/>
        <sz val="12"/>
        <color theme="1"/>
        <rFont val="Times New Roman"/>
        <family val="1"/>
      </rPr>
      <t>t</t>
    </r>
    <r>
      <rPr>
        <b/>
        <sz val="12"/>
        <color theme="1"/>
        <rFont val="Times New Roman"/>
        <family val="1"/>
      </rPr>
      <t>) (mg/L or ppm)</t>
    </r>
  </si>
  <si>
    <r>
      <t>Adsorption capacity at time t (q</t>
    </r>
    <r>
      <rPr>
        <b/>
        <vertAlign val="subscript"/>
        <sz val="12"/>
        <color theme="1"/>
        <rFont val="Times New Roman"/>
        <family val="1"/>
      </rPr>
      <t>t</t>
    </r>
    <r>
      <rPr>
        <b/>
        <sz val="12"/>
        <color theme="1"/>
        <rFont val="Times New Roman"/>
        <family val="1"/>
      </rPr>
      <t>) (mol/g)</t>
    </r>
  </si>
  <si>
    <t>Removal efficiency (%)</t>
  </si>
  <si>
    <t>t</t>
  </si>
  <si>
    <t>t/qt</t>
  </si>
  <si>
    <t>ln(qe-qt)</t>
  </si>
  <si>
    <t>N/A</t>
  </si>
  <si>
    <t>qe</t>
  </si>
  <si>
    <t>M.W. of RhB (g/mol)</t>
  </si>
  <si>
    <t>Molar absorptivity  𝛆 (L/ mol cm)</t>
  </si>
  <si>
    <t>Volume (L)</t>
  </si>
  <si>
    <t>Adsorbent dosage (g)</t>
  </si>
  <si>
    <t>Absorbance</t>
  </si>
  <si>
    <t>Initial concentration (mol/L)</t>
  </si>
  <si>
    <t>Intial concentration (ppm or mg/L) (Co)</t>
  </si>
  <si>
    <t>DF</t>
  </si>
  <si>
    <t>Final concentration (mol/L)</t>
  </si>
  <si>
    <t xml:space="preserve">Final concentration (Ce) ppm or mg/L)  </t>
  </si>
  <si>
    <t>Final concentration (Ce) ppm or mg/L) * DF</t>
  </si>
  <si>
    <t>Removal Efficiency (%)</t>
  </si>
  <si>
    <t xml:space="preserve"> </t>
  </si>
  <si>
    <t>Optical path length l (cm)</t>
  </si>
  <si>
    <t>Temperature (K)</t>
  </si>
  <si>
    <t>kd</t>
  </si>
  <si>
    <t>lnkd</t>
  </si>
  <si>
    <t>1/T</t>
  </si>
  <si>
    <t>R</t>
  </si>
  <si>
    <t>pH</t>
  </si>
  <si>
    <t>Final concentration*DF</t>
  </si>
  <si>
    <t>NA</t>
  </si>
  <si>
    <t>Ce</t>
  </si>
  <si>
    <t>Ce/qe</t>
  </si>
  <si>
    <t>lnqe</t>
  </si>
  <si>
    <t>Langmuir</t>
  </si>
  <si>
    <t>Freundlich</t>
  </si>
  <si>
    <t>n</t>
  </si>
  <si>
    <t>T</t>
  </si>
  <si>
    <t>b</t>
  </si>
  <si>
    <t>KT</t>
  </si>
  <si>
    <t>Halsey</t>
  </si>
  <si>
    <t>qm</t>
  </si>
  <si>
    <t>ln(qe/qmax-qe)</t>
  </si>
  <si>
    <t>lnCe</t>
  </si>
  <si>
    <t>Adsorption capacity (mg/g)</t>
  </si>
  <si>
    <t>t (min)</t>
  </si>
  <si>
    <t>qt</t>
  </si>
  <si>
    <t>ln(t)</t>
  </si>
  <si>
    <t>t1/2</t>
  </si>
  <si>
    <t>Elovich</t>
  </si>
  <si>
    <t>PFO</t>
  </si>
  <si>
    <t>PSO</t>
  </si>
  <si>
    <r>
      <t>Equilibrium concentration (mg L</t>
    </r>
    <r>
      <rPr>
        <b/>
        <vertAlign val="superscript"/>
        <sz val="12"/>
        <color theme="1"/>
        <rFont val="Times New Roman"/>
        <family val="1"/>
      </rPr>
      <t>-1</t>
    </r>
    <r>
      <rPr>
        <b/>
        <sz val="12"/>
        <color theme="1"/>
        <rFont val="Times New Roman"/>
        <family val="1"/>
      </rPr>
      <t>)</t>
    </r>
  </si>
  <si>
    <t>[RTln((1/Ce)+1)]2</t>
  </si>
  <si>
    <t>m= -k1</t>
  </si>
  <si>
    <t>C = lnqe</t>
  </si>
  <si>
    <t>k1</t>
  </si>
  <si>
    <t>m = 1/qe</t>
  </si>
  <si>
    <t>k2 = 1/cqe2</t>
  </si>
  <si>
    <t>k2</t>
  </si>
  <si>
    <t>beta = 1/m</t>
  </si>
  <si>
    <t>beta</t>
  </si>
  <si>
    <t>alpha</t>
  </si>
  <si>
    <t>IPD</t>
  </si>
  <si>
    <t>m =kip</t>
  </si>
  <si>
    <t>kip</t>
  </si>
  <si>
    <t>C</t>
  </si>
  <si>
    <t>KL</t>
  </si>
  <si>
    <t>KF</t>
  </si>
  <si>
    <t>KH</t>
  </si>
  <si>
    <t>ks</t>
  </si>
  <si>
    <t>Cycle</t>
  </si>
  <si>
    <r>
      <rPr>
        <sz val="12"/>
        <color theme="1"/>
        <rFont val="Times New Roman"/>
        <family val="1"/>
      </rPr>
      <t>Δ</t>
    </r>
    <r>
      <rPr>
        <sz val="14.75"/>
        <color theme="1"/>
        <rFont val="Calibri"/>
        <family val="2"/>
      </rPr>
      <t>H</t>
    </r>
  </si>
  <si>
    <t>ΔS</t>
  </si>
  <si>
    <t>ΔG (298.15K)</t>
  </si>
  <si>
    <t>ΔG (308.15K)</t>
  </si>
  <si>
    <t>ΔG (318.15K)</t>
  </si>
  <si>
    <t>Acivation energy</t>
  </si>
  <si>
    <t>K2</t>
  </si>
  <si>
    <t>Ea</t>
  </si>
  <si>
    <t>Temkin</t>
  </si>
  <si>
    <t>D-R isotherm</t>
  </si>
  <si>
    <t>Sips</t>
  </si>
  <si>
    <t>Initial adsorption</t>
  </si>
  <si>
    <t>Equilibrium</t>
  </si>
  <si>
    <t>1/ce</t>
  </si>
  <si>
    <t>1/qe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</si>
</sst>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4.75"/>
      <color theme="1"/>
      <name val="Calibri"/>
      <family val="2"/>
    </font>
    <font>
      <sz val="12"/>
      <color theme="1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2" fillId="0" borderId="1" xfId="0" applyFont="1" applyBorder="1" applyAlignment="1">
      <alignment wrapText="1"/>
    </xf>
    <xf numFmtId="0" fontId="5" fillId="0" borderId="1" xfId="0" applyFont="1" applyBorder="1"/>
    <xf numFmtId="0" fontId="0" fillId="0" borderId="1" xfId="0" applyBorder="1"/>
    <xf numFmtId="0" fontId="2" fillId="0" borderId="1" xfId="0" applyFont="1" applyBorder="1"/>
    <xf numFmtId="0" fontId="7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4" fillId="2" borderId="1" xfId="0" applyFont="1" applyFill="1" applyBorder="1"/>
    <xf numFmtId="0" fontId="6" fillId="0" borderId="0" xfId="0" applyFont="1" applyAlignment="1">
      <alignment horizontal="centerContinuous"/>
    </xf>
    <xf numFmtId="0" fontId="4" fillId="0" borderId="2" xfId="0" applyFont="1" applyBorder="1"/>
    <xf numFmtId="0" fontId="5" fillId="0" borderId="3" xfId="0" applyFont="1" applyBorder="1"/>
    <xf numFmtId="0" fontId="1" fillId="0" borderId="0" xfId="0" applyFont="1"/>
    <xf numFmtId="0" fontId="10" fillId="0" borderId="0" xfId="0" applyFont="1"/>
    <xf numFmtId="0" fontId="2" fillId="0" borderId="0" xfId="0" applyFont="1"/>
    <xf numFmtId="2" fontId="4" fillId="0" borderId="1" xfId="0" applyNumberFormat="1" applyFont="1" applyBorder="1"/>
    <xf numFmtId="164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41FFF"/>
      <color rgb="FFFB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'Contact time'!$I$1</c:f>
              <c:strCache>
                <c:ptCount val="1"/>
                <c:pt idx="0">
                  <c:v>Removal efficiency (%)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'Contact time'!$C$2:$C$12</c:f>
              <c:numCache>
                <c:formatCode>General</c:formatCode>
                <c:ptCount val="11"/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180</c:v>
                </c:pt>
                <c:pt idx="8">
                  <c:v>240</c:v>
                </c:pt>
                <c:pt idx="9">
                  <c:v>300</c:v>
                </c:pt>
                <c:pt idx="10">
                  <c:v>360</c:v>
                </c:pt>
              </c:numCache>
            </c:numRef>
          </c:xVal>
          <c:yVal>
            <c:numRef>
              <c:f>'Contact time'!$I$2:$I$12</c:f>
              <c:numCache>
                <c:formatCode>0.00</c:formatCode>
                <c:ptCount val="11"/>
                <c:pt idx="1">
                  <c:v>17.604897699327903</c:v>
                </c:pt>
                <c:pt idx="2">
                  <c:v>21.966433609374992</c:v>
                </c:pt>
                <c:pt idx="3">
                  <c:v>28.793185468579118</c:v>
                </c:pt>
                <c:pt idx="4">
                  <c:v>33.249537376670709</c:v>
                </c:pt>
                <c:pt idx="5">
                  <c:v>41.877793198720376</c:v>
                </c:pt>
                <c:pt idx="6">
                  <c:v>48.988993052058007</c:v>
                </c:pt>
                <c:pt idx="7">
                  <c:v>65.012896721578826</c:v>
                </c:pt>
                <c:pt idx="8">
                  <c:v>70.227776614026425</c:v>
                </c:pt>
                <c:pt idx="9">
                  <c:v>73.167072553405987</c:v>
                </c:pt>
                <c:pt idx="10">
                  <c:v>73.356704549494978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63-4166-8B3C-6A56431EA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431567"/>
        <c:axId val="1475358767"/>
      </c:scatterChart>
      <c:scatterChart>
        <c:scatterStyle val="smoothMarker"/>
        <c:varyColors val="0"/>
        <c:ser>
          <c:idx val="0"/>
          <c:order val="0"/>
          <c:tx>
            <c:strRef>
              <c:f>'Contact time'!$H$1</c:f>
              <c:strCache>
                <c:ptCount val="1"/>
                <c:pt idx="0">
                  <c:v>Adsorption capacity (mg/g)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'Contact time'!$C$2:$C$12</c:f>
              <c:numCache>
                <c:formatCode>General</c:formatCode>
                <c:ptCount val="11"/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180</c:v>
                </c:pt>
                <c:pt idx="8">
                  <c:v>240</c:v>
                </c:pt>
                <c:pt idx="9">
                  <c:v>300</c:v>
                </c:pt>
                <c:pt idx="10">
                  <c:v>360</c:v>
                </c:pt>
              </c:numCache>
            </c:numRef>
          </c:xVal>
          <c:yVal>
            <c:numRef>
              <c:f>'Contact time'!$H$2:$H$12</c:f>
              <c:numCache>
                <c:formatCode>0.00</c:formatCode>
                <c:ptCount val="11"/>
                <c:pt idx="1">
                  <c:v>2.6407346548991844</c:v>
                </c:pt>
                <c:pt idx="2">
                  <c:v>3.2949650414062477</c:v>
                </c:pt>
                <c:pt idx="3">
                  <c:v>4.3189778202868663</c:v>
                </c:pt>
                <c:pt idx="4">
                  <c:v>4.9874306065006051</c:v>
                </c:pt>
                <c:pt idx="5">
                  <c:v>6.2816689798080541</c:v>
                </c:pt>
                <c:pt idx="6">
                  <c:v>7.3483489578086996</c:v>
                </c:pt>
                <c:pt idx="7">
                  <c:v>9.7519345082368218</c:v>
                </c:pt>
                <c:pt idx="8">
                  <c:v>10.534166492103962</c:v>
                </c:pt>
                <c:pt idx="9">
                  <c:v>10.975060883010897</c:v>
                </c:pt>
                <c:pt idx="10">
                  <c:v>11.003505682424244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63-4166-8B3C-6A56431EA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344207"/>
        <c:axId val="1475339215"/>
      </c:scatterChart>
      <c:valAx>
        <c:axId val="1477431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Contact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5358767"/>
        <c:crosses val="autoZero"/>
        <c:crossBetween val="midCat"/>
      </c:valAx>
      <c:valAx>
        <c:axId val="1475358767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Removal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7431567"/>
        <c:crosses val="autoZero"/>
        <c:crossBetween val="midCat"/>
      </c:valAx>
      <c:valAx>
        <c:axId val="1475339215"/>
        <c:scaling>
          <c:orientation val="minMax"/>
          <c:max val="1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Adsorption capacity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5344207"/>
        <c:crosses val="max"/>
        <c:crossBetween val="midCat"/>
      </c:valAx>
      <c:valAx>
        <c:axId val="1475344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53392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0330610954836993E-2"/>
          <c:y val="0.62425774632943454"/>
          <c:w val="0.81317078452728986"/>
          <c:h val="7.4427562688479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'Isotherm new'!$I$1</c:f>
              <c:strCache>
                <c:ptCount val="1"/>
                <c:pt idx="0">
                  <c:v>qe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197944006999124E-2"/>
                  <c:y val="-6.523148148148148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1.3742x + 5.8368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0.8585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'Isotherm new'!$H$2:$H$10</c:f>
              <c:numCache>
                <c:formatCode>General</c:formatCode>
                <c:ptCount val="9"/>
                <c:pt idx="1">
                  <c:v>-4.1809592627760743</c:v>
                </c:pt>
                <c:pt idx="2">
                  <c:v>-3.866810662606603</c:v>
                </c:pt>
                <c:pt idx="3">
                  <c:v>-3.3431752063522886</c:v>
                </c:pt>
                <c:pt idx="4">
                  <c:v>-3.0597330827536231</c:v>
                </c:pt>
                <c:pt idx="5">
                  <c:v>-2.9403998548883878</c:v>
                </c:pt>
                <c:pt idx="6">
                  <c:v>-2.8051101539641743</c:v>
                </c:pt>
                <c:pt idx="7">
                  <c:v>0.92855383742856712</c:v>
                </c:pt>
                <c:pt idx="8">
                  <c:v>1.9443838717901849</c:v>
                </c:pt>
              </c:numCache>
            </c:numRef>
          </c:xVal>
          <c:yVal>
            <c:numRef>
              <c:f>'Isotherm new'!$I$2:$I$10</c:f>
              <c:numCache>
                <c:formatCode>General</c:formatCode>
                <c:ptCount val="9"/>
                <c:pt idx="1">
                  <c:v>0.12471616068563372</c:v>
                </c:pt>
                <c:pt idx="2">
                  <c:v>0.22907500000000011</c:v>
                </c:pt>
                <c:pt idx="3">
                  <c:v>0.46467538348402526</c:v>
                </c:pt>
                <c:pt idx="4">
                  <c:v>0.70309978797511319</c:v>
                </c:pt>
                <c:pt idx="5">
                  <c:v>0.94715540565608691</c:v>
                </c:pt>
                <c:pt idx="6">
                  <c:v>4.9394998935210461</c:v>
                </c:pt>
                <c:pt idx="7">
                  <c:v>7.4691534856501676</c:v>
                </c:pt>
                <c:pt idx="8">
                  <c:v>8.0106757916743803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E-4656-A4CC-6467EF96D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984431"/>
        <c:axId val="1339014399"/>
      </c:scatterChart>
      <c:valAx>
        <c:axId val="1584984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ln(C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014399"/>
        <c:crosses val="autoZero"/>
        <c:crossBetween val="midCat"/>
      </c:valAx>
      <c:valAx>
        <c:axId val="1339014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498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'Isotherm new'!$B$28</c:f>
              <c:strCache>
                <c:ptCount val="1"/>
                <c:pt idx="0">
                  <c:v>lnqe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897637795275596"/>
                  <c:y val="-6.530074365704287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-4E-08x + 1.7562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0.9676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'Isotherm new'!$A$29:$A$37</c:f>
              <c:numCache>
                <c:formatCode>General</c:formatCode>
                <c:ptCount val="9"/>
                <c:pt idx="1">
                  <c:v>113295060.52564003</c:v>
                </c:pt>
                <c:pt idx="2">
                  <c:v>84737057.782797247</c:v>
                </c:pt>
                <c:pt idx="3">
                  <c:v>54738503.849676341</c:v>
                </c:pt>
                <c:pt idx="4">
                  <c:v>46142352.063500851</c:v>
                </c:pt>
                <c:pt idx="5">
                  <c:v>40035336.430534601</c:v>
                </c:pt>
                <c:pt idx="6">
                  <c:v>7811086.3603159338</c:v>
                </c:pt>
                <c:pt idx="7">
                  <c:v>681296.10408714809</c:v>
                </c:pt>
                <c:pt idx="8">
                  <c:v>109874.61693179437</c:v>
                </c:pt>
              </c:numCache>
            </c:numRef>
          </c:xVal>
          <c:yVal>
            <c:numRef>
              <c:f>'Isotherm new'!$B$29:$B$37</c:f>
              <c:numCache>
                <c:formatCode>General</c:formatCode>
                <c:ptCount val="9"/>
                <c:pt idx="1">
                  <c:v>-2.3314141050475716</c:v>
                </c:pt>
                <c:pt idx="2">
                  <c:v>-1.6195999483943175</c:v>
                </c:pt>
                <c:pt idx="3">
                  <c:v>-0.80574754111765801</c:v>
                </c:pt>
                <c:pt idx="4">
                  <c:v>-0.3841960862719338</c:v>
                </c:pt>
                <c:pt idx="5">
                  <c:v>-8.8240606063667196E-2</c:v>
                </c:pt>
                <c:pt idx="6">
                  <c:v>1.5812586504282782</c:v>
                </c:pt>
                <c:pt idx="7">
                  <c:v>1.8309351645291605</c:v>
                </c:pt>
                <c:pt idx="8">
                  <c:v>2.0807751260201206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D-47E6-9BCF-6F69B4C3F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527839"/>
        <c:axId val="1455380159"/>
      </c:scatterChart>
      <c:valAx>
        <c:axId val="169252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ε</a:t>
                </a:r>
                <a:r>
                  <a:rPr lang="en-US" b="1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endParaRPr lang="en-US" b="1" baseline="30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5380159"/>
        <c:crosses val="autoZero"/>
        <c:crossBetween val="midCat"/>
      </c:valAx>
      <c:valAx>
        <c:axId val="1455380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252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'Isotherm new'!$F$46</c:f>
              <c:strCache>
                <c:ptCount val="1"/>
                <c:pt idx="0">
                  <c:v>ln(qe/qmax-qe)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642388451443568E-2"/>
                  <c:y val="-6.13794109069699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1.2987x + 1.0777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0.9698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'Isotherm new'!$E$47:$E$55</c:f>
              <c:numCache>
                <c:formatCode>General</c:formatCode>
                <c:ptCount val="9"/>
                <c:pt idx="1">
                  <c:v>-4.2802418700226861</c:v>
                </c:pt>
                <c:pt idx="2">
                  <c:v>-3.6888794541139385</c:v>
                </c:pt>
                <c:pt idx="3">
                  <c:v>-2.9328294927652325</c:v>
                </c:pt>
                <c:pt idx="4">
                  <c:v>-2.6736180466125039</c:v>
                </c:pt>
                <c:pt idx="5">
                  <c:v>-2.4714839262626116</c:v>
                </c:pt>
                <c:pt idx="6">
                  <c:v>-0.73614996963744539</c:v>
                </c:pt>
                <c:pt idx="7">
                  <c:v>0.92855383742856712</c:v>
                </c:pt>
                <c:pt idx="8">
                  <c:v>1.9443838717901849</c:v>
                </c:pt>
              </c:numCache>
            </c:numRef>
          </c:xVal>
          <c:yVal>
            <c:numRef>
              <c:f>'Isotherm new'!$F$47:$F$55</c:f>
              <c:numCache>
                <c:formatCode>General</c:formatCode>
                <c:ptCount val="9"/>
                <c:pt idx="1">
                  <c:v>-4.4129859824603397</c:v>
                </c:pt>
                <c:pt idx="2">
                  <c:v>-3.6885164488115683</c:v>
                </c:pt>
                <c:pt idx="3">
                  <c:v>-2.8427336292789476</c:v>
                </c:pt>
                <c:pt idx="4">
                  <c:v>-2.3901553948237364</c:v>
                </c:pt>
                <c:pt idx="5">
                  <c:v>-2.0621380797397708</c:v>
                </c:pt>
                <c:pt idx="6">
                  <c:v>0.40163527409488975</c:v>
                </c:pt>
                <c:pt idx="7">
                  <c:v>1.2025931992933681</c:v>
                </c:pt>
                <c:pt idx="8">
                  <c:v>4.3485403453109308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3-46D8-9D72-0635DF617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416623"/>
        <c:axId val="1475353359"/>
      </c:scatterChart>
      <c:valAx>
        <c:axId val="166541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lnC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</a:p>
            </c:rich>
          </c:tx>
          <c:layout>
            <c:manualLayout>
              <c:xMode val="edge"/>
              <c:yMode val="edge"/>
              <c:x val="0.56891991814770781"/>
              <c:y val="0.91481355789632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5353359"/>
        <c:crosses val="autoZero"/>
        <c:crossBetween val="midCat"/>
      </c:valAx>
      <c:valAx>
        <c:axId val="1475353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87074566250944E-2"/>
              <c:y val="0.33478434904433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541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'Isotherm new'!$L$1</c:f>
              <c:strCache>
                <c:ptCount val="1"/>
                <c:pt idx="0">
                  <c:v>1/qe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6162729658792652E-2"/>
                  <c:y val="-2.20399533391659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'Isotherm new'!$K$2:$K$10</c:f>
              <c:numCache>
                <c:formatCode>General</c:formatCode>
                <c:ptCount val="9"/>
                <c:pt idx="1">
                  <c:v>65.428586327784359</c:v>
                </c:pt>
                <c:pt idx="2">
                  <c:v>47.789725209080281</c:v>
                </c:pt>
                <c:pt idx="3">
                  <c:v>28.308870658164722</c:v>
                </c:pt>
                <c:pt idx="4">
                  <c:v>21.321865228868624</c:v>
                </c:pt>
                <c:pt idx="5">
                  <c:v>18.923411418242498</c:v>
                </c:pt>
                <c:pt idx="6">
                  <c:v>16.528896529262511</c:v>
                </c:pt>
                <c:pt idx="7">
                  <c:v>0.39512471196100851</c:v>
                </c:pt>
                <c:pt idx="8">
                  <c:v>0.14307534894558321</c:v>
                </c:pt>
              </c:numCache>
            </c:numRef>
          </c:xVal>
          <c:yVal>
            <c:numRef>
              <c:f>'Isotherm new'!$L$2:$L$10</c:f>
              <c:numCache>
                <c:formatCode>General</c:formatCode>
                <c:ptCount val="9"/>
                <c:pt idx="1">
                  <c:v>8.0182070591529353</c:v>
                </c:pt>
                <c:pt idx="2">
                  <c:v>4.3653825166430185</c:v>
                </c:pt>
                <c:pt idx="3">
                  <c:v>2.1520399735880957</c:v>
                </c:pt>
                <c:pt idx="4">
                  <c:v>1.42227322081826</c:v>
                </c:pt>
                <c:pt idx="5">
                  <c:v>1.0557929501625005</c:v>
                </c:pt>
                <c:pt idx="6">
                  <c:v>0.20244964501601911</c:v>
                </c:pt>
                <c:pt idx="7">
                  <c:v>0.13388398055030101</c:v>
                </c:pt>
                <c:pt idx="8">
                  <c:v>0.12483341306101983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9-DA40-A9E1-A4C4F57BA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116160"/>
        <c:axId val="502878992"/>
      </c:scatterChart>
      <c:valAx>
        <c:axId val="105111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78992"/>
        <c:crosses val="autoZero"/>
        <c:crossBetween val="midCat"/>
      </c:valAx>
      <c:valAx>
        <c:axId val="5028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1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 8.5.24'!$M$1</c:f>
              <c:strCache>
                <c:ptCount val="1"/>
                <c:pt idx="0">
                  <c:v>lnkd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51640419947506"/>
                  <c:y val="-0.246149023038786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-13965x + 48.065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0.8701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'Temperature 8.5.24'!$L$2:$L$5</c:f>
              <c:numCache>
                <c:formatCode>General</c:formatCode>
                <c:ptCount val="4"/>
                <c:pt idx="1">
                  <c:v>3.3540164346805303E-3</c:v>
                </c:pt>
                <c:pt idx="2">
                  <c:v>3.2451728054518907E-3</c:v>
                </c:pt>
                <c:pt idx="3">
                  <c:v>3.1431714600031434E-3</c:v>
                </c:pt>
              </c:numCache>
            </c:numRef>
          </c:xVal>
          <c:yVal>
            <c:numRef>
              <c:f>'Temperature 8.5.24'!$M$2:$M$5</c:f>
              <c:numCache>
                <c:formatCode>General</c:formatCode>
                <c:ptCount val="4"/>
                <c:pt idx="1">
                  <c:v>1.5427162250815674</c:v>
                </c:pt>
                <c:pt idx="2">
                  <c:v>2.0882299418010364</c:v>
                </c:pt>
                <c:pt idx="3">
                  <c:v>4.5085853365226516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A-4C55-96C5-D22DE0FC4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730175"/>
        <c:axId val="1475350447"/>
      </c:scatterChart>
      <c:valAx>
        <c:axId val="169573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1/T (K</a:t>
                </a:r>
                <a:r>
                  <a:rPr lang="en-US" b="1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5350447"/>
        <c:crosses val="autoZero"/>
        <c:crossBetween val="midCat"/>
      </c:valAx>
      <c:valAx>
        <c:axId val="1475350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ln(K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573017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'Temperature 8.5.24'!$I$1</c:f>
              <c:strCache>
                <c:ptCount val="1"/>
                <c:pt idx="0">
                  <c:v>Removal Efficiency (%)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'Temperature 8.5.24'!$C$2:$C$5</c:f>
              <c:numCache>
                <c:formatCode>General</c:formatCode>
                <c:ptCount val="4"/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xVal>
          <c:yVal>
            <c:numRef>
              <c:f>'Temperature 8.5.24'!$I$2:$I$5</c:f>
              <c:numCache>
                <c:formatCode>0.00</c:formatCode>
                <c:ptCount val="4"/>
                <c:pt idx="1">
                  <c:v>82.385923755114391</c:v>
                </c:pt>
                <c:pt idx="2">
                  <c:v>88.975391704035005</c:v>
                </c:pt>
                <c:pt idx="3">
                  <c:v>98.910595701323956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F-4A3F-B572-741C080CC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098304"/>
        <c:axId val="1487222736"/>
      </c:scatterChart>
      <c:scatterChart>
        <c:scatterStyle val="lineMarker"/>
        <c:varyColors val="0"/>
        <c:ser>
          <c:idx val="0"/>
          <c:order val="0"/>
          <c:tx>
            <c:strRef>
              <c:f>'Temperature 8.5.24'!$H$1</c:f>
              <c:strCache>
                <c:ptCount val="1"/>
                <c:pt idx="0">
                  <c:v>Adsorption capacity (mg/g)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'Temperature 8.5.24'!$C$2:$C$5</c:f>
              <c:numCache>
                <c:formatCode>General</c:formatCode>
                <c:ptCount val="4"/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xVal>
          <c:yVal>
            <c:numRef>
              <c:f>'Temperature 8.5.24'!$H$2:$H$5</c:f>
              <c:numCache>
                <c:formatCode>0.00</c:formatCode>
                <c:ptCount val="4"/>
                <c:pt idx="1">
                  <c:v>12.357888563267158</c:v>
                </c:pt>
                <c:pt idx="2">
                  <c:v>13.346308755605248</c:v>
                </c:pt>
                <c:pt idx="3">
                  <c:v>14.836589355198596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F-4A3F-B572-741C080CC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265104"/>
        <c:axId val="1614259696"/>
      </c:scatterChart>
      <c:valAx>
        <c:axId val="157309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7222736"/>
        <c:crosses val="autoZero"/>
        <c:crossBetween val="midCat"/>
      </c:valAx>
      <c:valAx>
        <c:axId val="1487222736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Removal efficiency</a:t>
                </a: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(%)</a:t>
                </a:r>
                <a:endParaRPr 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3098304"/>
        <c:crosses val="autoZero"/>
        <c:crossBetween val="midCat"/>
      </c:valAx>
      <c:valAx>
        <c:axId val="1614259696"/>
        <c:scaling>
          <c:orientation val="minMax"/>
          <c:max val="1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Adsorption capacity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4265104"/>
        <c:crosses val="max"/>
        <c:crossBetween val="midCat"/>
      </c:valAx>
      <c:valAx>
        <c:axId val="161426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4259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1756780402449709E-2"/>
          <c:y val="0.62562335958005244"/>
          <c:w val="0.8164862204724409"/>
          <c:h val="7.3450714494021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'pH '!$K$1</c:f>
              <c:strCache>
                <c:ptCount val="1"/>
                <c:pt idx="0">
                  <c:v>Removal Efficiency (%)</c:v>
                </c:pt>
              </c:strCache>
            </c:strRef>
          </c:tx>
          <c:spPr>
            <a:ln w="19050" cap="rnd">
              <a:solidFill>
                <a:srgbClr val="FB757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B7575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B7575"/>
                </a:solidFill>
                <a:ln w="9525">
                  <a:solidFill>
                    <a:srgbClr val="FB757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4B5-4930-80C5-6E64F1FB1A37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B7575"/>
                </a:solidFill>
                <a:ln w="9525">
                  <a:solidFill>
                    <a:srgbClr val="FB757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4B5-4930-80C5-6E64F1FB1A37}"/>
              </c:ext>
            </c:extLst>
          </c:dPt>
          <c:xVal>
            <c:numRef>
              <c:f>'pH '!$C$2:$C$9</c:f>
              <c:numCache>
                <c:formatCode>General</c:formatCode>
                <c:ptCount val="8"/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</c:numCache>
            </c:numRef>
          </c:xVal>
          <c:yVal>
            <c:numRef>
              <c:f>'pH '!$K$2:$K$9</c:f>
              <c:numCache>
                <c:formatCode>0.00</c:formatCode>
                <c:ptCount val="8"/>
                <c:pt idx="1">
                  <c:v>71.585724584344817</c:v>
                </c:pt>
                <c:pt idx="2">
                  <c:v>26.850785518112303</c:v>
                </c:pt>
                <c:pt idx="3">
                  <c:v>24.933107539169452</c:v>
                </c:pt>
                <c:pt idx="4">
                  <c:v>23.352859281202321</c:v>
                </c:pt>
                <c:pt idx="5">
                  <c:v>22.615573300787482</c:v>
                </c:pt>
                <c:pt idx="6">
                  <c:v>22.296096309827419</c:v>
                </c:pt>
                <c:pt idx="7">
                  <c:v>21.318080540566577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B5-4930-80C5-6E64F1FB1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386223"/>
        <c:axId val="1697976271"/>
      </c:scatterChart>
      <c:scatterChart>
        <c:scatterStyle val="smoothMarker"/>
        <c:varyColors val="0"/>
        <c:ser>
          <c:idx val="0"/>
          <c:order val="0"/>
          <c:tx>
            <c:strRef>
              <c:f>'pH '!$J$1</c:f>
              <c:strCache>
                <c:ptCount val="1"/>
                <c:pt idx="0">
                  <c:v>Adsorption capacity (mg/g)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Pt>
            <c:idx val="1"/>
            <c:marker>
              <c:symbol val="triang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4B5-4930-80C5-6E64F1FB1A37}"/>
              </c:ext>
            </c:extLst>
          </c:dPt>
          <c:dPt>
            <c:idx val="2"/>
            <c:marker>
              <c:symbol val="triang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4B5-4930-80C5-6E64F1FB1A37}"/>
              </c:ext>
            </c:extLst>
          </c:dPt>
          <c:dPt>
            <c:idx val="3"/>
            <c:marker>
              <c:symbol val="triang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4B5-4930-80C5-6E64F1FB1A37}"/>
              </c:ext>
            </c:extLst>
          </c:dPt>
          <c:dPt>
            <c:idx val="4"/>
            <c:marker>
              <c:symbol val="triang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4B5-4930-80C5-6E64F1FB1A37}"/>
              </c:ext>
            </c:extLst>
          </c:dPt>
          <c:dPt>
            <c:idx val="5"/>
            <c:marker>
              <c:symbol val="triang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4B5-4930-80C5-6E64F1FB1A37}"/>
              </c:ext>
            </c:extLst>
          </c:dPt>
          <c:dPt>
            <c:idx val="6"/>
            <c:marker>
              <c:symbol val="triang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4B5-4930-80C5-6E64F1FB1A37}"/>
              </c:ext>
            </c:extLst>
          </c:dPt>
          <c:dPt>
            <c:idx val="7"/>
            <c:marker>
              <c:symbol val="triang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4B5-4930-80C5-6E64F1FB1A37}"/>
              </c:ext>
            </c:extLst>
          </c:dPt>
          <c:xVal>
            <c:numRef>
              <c:f>'pH '!$C$2:$C$9</c:f>
              <c:numCache>
                <c:formatCode>General</c:formatCode>
                <c:ptCount val="8"/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</c:numCache>
            </c:numRef>
          </c:xVal>
          <c:yVal>
            <c:numRef>
              <c:f>'pH '!$J$2:$J$9</c:f>
              <c:numCache>
                <c:formatCode>0.00</c:formatCode>
                <c:ptCount val="8"/>
                <c:pt idx="1">
                  <c:v>10.737858687651723</c:v>
                </c:pt>
                <c:pt idx="2">
                  <c:v>4.0276178277168455</c:v>
                </c:pt>
                <c:pt idx="3">
                  <c:v>3.7399661308754184</c:v>
                </c:pt>
                <c:pt idx="4">
                  <c:v>3.5029288921803481</c:v>
                </c:pt>
                <c:pt idx="5">
                  <c:v>3.3923359951181222</c:v>
                </c:pt>
                <c:pt idx="6">
                  <c:v>3.3444144464741137</c:v>
                </c:pt>
                <c:pt idx="7">
                  <c:v>3.1977120810849868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B5-4930-80C5-6E64F1FB1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936751"/>
        <c:axId val="1697997903"/>
      </c:scatterChart>
      <c:valAx>
        <c:axId val="151738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7976271"/>
        <c:crosses val="autoZero"/>
        <c:crossBetween val="midCat"/>
      </c:valAx>
      <c:valAx>
        <c:axId val="1697976271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Removal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86223"/>
        <c:crosses val="autoZero"/>
        <c:crossBetween val="midCat"/>
      </c:valAx>
      <c:valAx>
        <c:axId val="16979979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Adsorption capacity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7936751"/>
        <c:crosses val="max"/>
        <c:crossBetween val="midCat"/>
      </c:valAx>
      <c:valAx>
        <c:axId val="16979367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7997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'Adsorption kinetics'!$B$1</c:f>
              <c:strCache>
                <c:ptCount val="1"/>
                <c:pt idx="0">
                  <c:v>ln(qe-qt)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208442694663167E-2"/>
                  <c:y val="4.242927967337416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-0.0179x + 2.9019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0.9535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'Adsorption kinetics'!$A$2:$A$12</c:f>
              <c:numCache>
                <c:formatCode>General</c:formatCode>
                <c:ptCount val="11"/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180</c:v>
                </c:pt>
                <c:pt idx="8">
                  <c:v>240</c:v>
                </c:pt>
                <c:pt idx="9">
                  <c:v>300</c:v>
                </c:pt>
                <c:pt idx="10">
                  <c:v>360</c:v>
                </c:pt>
              </c:numCache>
            </c:numRef>
          </c:xVal>
          <c:yVal>
            <c:numRef>
              <c:f>'Adsorption kinetics'!$B$2:$B$12</c:f>
              <c:numCache>
                <c:formatCode>General</c:formatCode>
                <c:ptCount val="11"/>
                <c:pt idx="1">
                  <c:v>2.1260557741666202</c:v>
                </c:pt>
                <c:pt idx="2">
                  <c:v>2.0447869037378137</c:v>
                </c:pt>
                <c:pt idx="3">
                  <c:v>1.9026296109397713</c:v>
                </c:pt>
                <c:pt idx="4">
                  <c:v>1.7975834922169964</c:v>
                </c:pt>
                <c:pt idx="5">
                  <c:v>1.5562075262934707</c:v>
                </c:pt>
                <c:pt idx="6">
                  <c:v>1.3013157554294617</c:v>
                </c:pt>
                <c:pt idx="7">
                  <c:v>0.2394437320131273</c:v>
                </c:pt>
                <c:pt idx="8">
                  <c:v>-0.71680440316469241</c:v>
                </c:pt>
                <c:pt idx="9">
                  <c:v>-3.0487994141905888</c:v>
                </c:pt>
                <c:pt idx="10">
                  <c:v>-3.9648428551582819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0-44B9-ACE1-16877CBDF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678543"/>
        <c:axId val="1339006495"/>
      </c:scatterChart>
      <c:valAx>
        <c:axId val="145167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9006495"/>
        <c:crosses val="autoZero"/>
        <c:crossBetween val="midCat"/>
      </c:valAx>
      <c:valAx>
        <c:axId val="13390064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1678543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'Adsorption kinetics'!$B$22</c:f>
              <c:strCache>
                <c:ptCount val="1"/>
                <c:pt idx="0">
                  <c:v>t/qt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238845144356953E-2"/>
                  <c:y val="-2.35648148148148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0.07x + 6.8384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0.9831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'Adsorption kinetics'!$A$23:$A$33</c:f>
              <c:numCache>
                <c:formatCode>General</c:formatCode>
                <c:ptCount val="11"/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180</c:v>
                </c:pt>
                <c:pt idx="8">
                  <c:v>240</c:v>
                </c:pt>
                <c:pt idx="9">
                  <c:v>300</c:v>
                </c:pt>
                <c:pt idx="10">
                  <c:v>360</c:v>
                </c:pt>
              </c:numCache>
            </c:numRef>
          </c:xVal>
          <c:yVal>
            <c:numRef>
              <c:f>'Adsorption kinetics'!$B$23:$B$33</c:f>
              <c:numCache>
                <c:formatCode>General</c:formatCode>
                <c:ptCount val="11"/>
                <c:pt idx="1">
                  <c:v>5.6802374945818466</c:v>
                </c:pt>
                <c:pt idx="2">
                  <c:v>9.1048006953046148</c:v>
                </c:pt>
                <c:pt idx="3">
                  <c:v>10.419131996610046</c:v>
                </c:pt>
                <c:pt idx="4">
                  <c:v>12.03024257055249</c:v>
                </c:pt>
                <c:pt idx="5">
                  <c:v>14.327402524599455</c:v>
                </c:pt>
                <c:pt idx="6">
                  <c:v>16.330198890797419</c:v>
                </c:pt>
                <c:pt idx="7">
                  <c:v>18.457876213992801</c:v>
                </c:pt>
                <c:pt idx="8">
                  <c:v>22.783008050983007</c:v>
                </c:pt>
                <c:pt idx="9">
                  <c:v>27.33470029896527</c:v>
                </c:pt>
                <c:pt idx="10">
                  <c:v>32.716845920752633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5-4212-85B0-1767EB930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32799"/>
        <c:axId val="1475345871"/>
      </c:scatterChart>
      <c:valAx>
        <c:axId val="1591832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5345871"/>
        <c:crosses val="autoZero"/>
        <c:crossBetween val="midCat"/>
      </c:valAx>
      <c:valAx>
        <c:axId val="1475345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t/q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(min/g 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183279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'Adsorption kinetics'!$B$37</c:f>
              <c:strCache>
                <c:ptCount val="1"/>
                <c:pt idx="0">
                  <c:v>qt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975940507436567E-2"/>
                  <c:y val="-9.675925925925926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3.0524x - 6.7934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0.9598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'Adsorption kinetics'!$A$38:$A$48</c:f>
              <c:numCache>
                <c:formatCode>General</c:formatCode>
                <c:ptCount val="11"/>
                <c:pt idx="1">
                  <c:v>2.7080502011022101</c:v>
                </c:pt>
                <c:pt idx="2">
                  <c:v>3.4011973816621555</c:v>
                </c:pt>
                <c:pt idx="3">
                  <c:v>3.8066624897703196</c:v>
                </c:pt>
                <c:pt idx="4">
                  <c:v>4.0943445622221004</c:v>
                </c:pt>
                <c:pt idx="5">
                  <c:v>4.499809670330265</c:v>
                </c:pt>
                <c:pt idx="6">
                  <c:v>4.7874917427820458</c:v>
                </c:pt>
                <c:pt idx="7">
                  <c:v>5.1929568508902104</c:v>
                </c:pt>
                <c:pt idx="8">
                  <c:v>5.4806389233419912</c:v>
                </c:pt>
                <c:pt idx="9">
                  <c:v>5.7037824746562009</c:v>
                </c:pt>
                <c:pt idx="10">
                  <c:v>5.8861040314501558</c:v>
                </c:pt>
              </c:numCache>
            </c:numRef>
          </c:xVal>
          <c:yVal>
            <c:numRef>
              <c:f>'Adsorption kinetics'!$B$38:$B$48</c:f>
              <c:numCache>
                <c:formatCode>General</c:formatCode>
                <c:ptCount val="11"/>
                <c:pt idx="1">
                  <c:v>2.6407346548991844</c:v>
                </c:pt>
                <c:pt idx="2">
                  <c:v>3.2949650414062477</c:v>
                </c:pt>
                <c:pt idx="3">
                  <c:v>4.3189778202868663</c:v>
                </c:pt>
                <c:pt idx="4">
                  <c:v>4.9874306065006051</c:v>
                </c:pt>
                <c:pt idx="5">
                  <c:v>6.2816689798080541</c:v>
                </c:pt>
                <c:pt idx="6">
                  <c:v>7.3483489578086996</c:v>
                </c:pt>
                <c:pt idx="7">
                  <c:v>9.7519345082368218</c:v>
                </c:pt>
                <c:pt idx="8">
                  <c:v>10.534166492103962</c:v>
                </c:pt>
                <c:pt idx="9">
                  <c:v>10.975060883010897</c:v>
                </c:pt>
                <c:pt idx="10">
                  <c:v>11.003505682424244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5-46D7-8536-BB292699B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228079"/>
        <c:axId val="1697984175"/>
      </c:scatterChart>
      <c:valAx>
        <c:axId val="146222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7984175"/>
        <c:crosses val="autoZero"/>
        <c:crossBetween val="midCat"/>
      </c:valAx>
      <c:valAx>
        <c:axId val="16979841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222807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'Adsorption kinetics'!$B$52</c:f>
              <c:strCache>
                <c:ptCount val="1"/>
                <c:pt idx="0">
                  <c:v>qt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609798775153104E-2"/>
                  <c:y val="-2.205234762321376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0.6208x + 0.3196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0.9681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'Adsorption kinetics'!$A$53:$A$63</c:f>
              <c:numCache>
                <c:formatCode>General</c:formatCode>
                <c:ptCount val="11"/>
                <c:pt idx="1">
                  <c:v>3.872983346207417</c:v>
                </c:pt>
                <c:pt idx="2">
                  <c:v>5.4772255750516612</c:v>
                </c:pt>
                <c:pt idx="3">
                  <c:v>6.7082039324993694</c:v>
                </c:pt>
                <c:pt idx="4">
                  <c:v>7.745966692414834</c:v>
                </c:pt>
                <c:pt idx="5">
                  <c:v>9.4868329805051381</c:v>
                </c:pt>
                <c:pt idx="6">
                  <c:v>10.954451150103322</c:v>
                </c:pt>
                <c:pt idx="7">
                  <c:v>13.416407864998739</c:v>
                </c:pt>
                <c:pt idx="8">
                  <c:v>15.491933384829668</c:v>
                </c:pt>
                <c:pt idx="9">
                  <c:v>17.320508075688775</c:v>
                </c:pt>
                <c:pt idx="10">
                  <c:v>18.973665961010276</c:v>
                </c:pt>
              </c:numCache>
            </c:numRef>
          </c:xVal>
          <c:yVal>
            <c:numRef>
              <c:f>'Adsorption kinetics'!$B$53:$B$63</c:f>
              <c:numCache>
                <c:formatCode>General</c:formatCode>
                <c:ptCount val="11"/>
                <c:pt idx="1">
                  <c:v>2.6407346548991844</c:v>
                </c:pt>
                <c:pt idx="2">
                  <c:v>3.2949650414062477</c:v>
                </c:pt>
                <c:pt idx="3">
                  <c:v>4.3189778202868663</c:v>
                </c:pt>
                <c:pt idx="4">
                  <c:v>4.9874306065006051</c:v>
                </c:pt>
                <c:pt idx="5">
                  <c:v>6.2816689798080541</c:v>
                </c:pt>
                <c:pt idx="6">
                  <c:v>7.3483489578086996</c:v>
                </c:pt>
                <c:pt idx="7">
                  <c:v>9.7519345082368218</c:v>
                </c:pt>
                <c:pt idx="8">
                  <c:v>10.534166492103962</c:v>
                </c:pt>
                <c:pt idx="9">
                  <c:v>10.975060883010897</c:v>
                </c:pt>
                <c:pt idx="10">
                  <c:v>11.003505682424244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1-404A-9C20-B00C63227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246719"/>
        <c:axId val="1697996655"/>
      </c:scatterChart>
      <c:valAx>
        <c:axId val="16952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b="1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1/2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(min</a:t>
                </a:r>
                <a:r>
                  <a:rPr lang="en-US" b="1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1/2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7996655"/>
        <c:crosses val="autoZero"/>
        <c:crossBetween val="midCat"/>
      </c:valAx>
      <c:valAx>
        <c:axId val="16979966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524671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Dosage!$K$1</c:f>
              <c:strCache>
                <c:ptCount val="1"/>
                <c:pt idx="0">
                  <c:v>Removal Efficiency (%)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Dosage!$C$2:$C$8</c:f>
              <c:numCache>
                <c:formatCode>General</c:formatCode>
                <c:ptCount val="7"/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</c:numCache>
            </c:numRef>
          </c:xVal>
          <c:yVal>
            <c:numRef>
              <c:f>Dosage!$K$2:$K$8</c:f>
              <c:numCache>
                <c:formatCode>0.00</c:formatCode>
                <c:ptCount val="7"/>
                <c:pt idx="1">
                  <c:v>31.534815985828001</c:v>
                </c:pt>
                <c:pt idx="2">
                  <c:v>60.671280768021226</c:v>
                </c:pt>
                <c:pt idx="3">
                  <c:v>98.604583257875646</c:v>
                </c:pt>
                <c:pt idx="4">
                  <c:v>98.755549396643474</c:v>
                </c:pt>
                <c:pt idx="5">
                  <c:v>98.963637858188335</c:v>
                </c:pt>
                <c:pt idx="6">
                  <c:v>99.751109879328709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B2-4938-A23F-BDB9A8B69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650639"/>
        <c:axId val="1697989583"/>
      </c:scatterChart>
      <c:scatterChart>
        <c:scatterStyle val="smoothMarker"/>
        <c:varyColors val="0"/>
        <c:ser>
          <c:idx val="0"/>
          <c:order val="0"/>
          <c:tx>
            <c:strRef>
              <c:f>Dosage!$J$1</c:f>
              <c:strCache>
                <c:ptCount val="1"/>
                <c:pt idx="0">
                  <c:v>Adsorption capacity (mg/g)</c:v>
                </c:pt>
              </c:strCache>
            </c:strRef>
          </c:tx>
          <c:spPr>
            <a:ln w="19050" cap="rnd">
              <a:solidFill>
                <a:srgbClr val="FB757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B7575"/>
              </a:solidFill>
              <a:ln w="9525">
                <a:solidFill>
                  <a:srgbClr val="FB7575"/>
                </a:solidFill>
              </a:ln>
              <a:effectLst/>
            </c:spPr>
          </c:marker>
          <c:xVal>
            <c:numRef>
              <c:f>Dosage!$C$2:$C$8</c:f>
              <c:numCache>
                <c:formatCode>General</c:formatCode>
                <c:ptCount val="7"/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</c:numCache>
            </c:numRef>
          </c:xVal>
          <c:yVal>
            <c:numRef>
              <c:f>Dosage!$J$2:$J$8</c:f>
              <c:numCache>
                <c:formatCode>0.00</c:formatCode>
                <c:ptCount val="7"/>
                <c:pt idx="1">
                  <c:v>9.4604447957484012</c:v>
                </c:pt>
                <c:pt idx="2">
                  <c:v>9.1006921152031843</c:v>
                </c:pt>
                <c:pt idx="3">
                  <c:v>7.395343744340674</c:v>
                </c:pt>
                <c:pt idx="4">
                  <c:v>4.9377774698321737</c:v>
                </c:pt>
                <c:pt idx="5">
                  <c:v>3.7111364196820631</c:v>
                </c:pt>
                <c:pt idx="6">
                  <c:v>2.992533296379861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2-4938-A23F-BDB9A8B69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955887"/>
        <c:axId val="1697946735"/>
      </c:scatterChart>
      <c:valAx>
        <c:axId val="169465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Adsorbent dosage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7989583"/>
        <c:crosses val="autoZero"/>
        <c:crossBetween val="midCat"/>
      </c:valAx>
      <c:valAx>
        <c:axId val="1697989583"/>
        <c:scaling>
          <c:orientation val="minMax"/>
          <c:max val="1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Removal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4650639"/>
        <c:crosses val="autoZero"/>
        <c:crossBetween val="midCat"/>
      </c:valAx>
      <c:valAx>
        <c:axId val="1697946735"/>
        <c:scaling>
          <c:orientation val="minMax"/>
          <c:max val="1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Adsorption capacity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7955887"/>
        <c:crosses val="max"/>
        <c:crossBetween val="midCat"/>
      </c:valAx>
      <c:valAx>
        <c:axId val="1697955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794673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3738049346542368E-2"/>
          <c:y val="0.62178828889293891"/>
          <c:w val="0.81809037186872335"/>
          <c:h val="7.3296730439805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'Low concentration 5.5.24'!$J$1</c:f>
              <c:strCache>
                <c:ptCount val="1"/>
                <c:pt idx="0">
                  <c:v>Removal Efficiency (%)</c:v>
                </c:pt>
              </c:strCache>
            </c:strRef>
          </c:tx>
          <c:spPr>
            <a:ln w="19050" cap="rnd">
              <a:solidFill>
                <a:srgbClr val="341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41FFF"/>
              </a:solidFill>
              <a:ln w="9525">
                <a:solidFill>
                  <a:srgbClr val="341FFF"/>
                </a:solidFill>
              </a:ln>
              <a:effectLst/>
            </c:spPr>
          </c:marker>
          <c:xVal>
            <c:numRef>
              <c:f>'Low concentration 5.5.24'!$D$2:$D$10</c:f>
              <c:numCache>
                <c:formatCode>General</c:formatCode>
                <c:ptCount val="9"/>
                <c:pt idx="1">
                  <c:v>0.14000000000000001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</c:numCache>
            </c:numRef>
          </c:xVal>
          <c:yVal>
            <c:numRef>
              <c:f>'Low concentration 5.5.24'!$J$2:$J$10</c:f>
              <c:numCache>
                <c:formatCode>0.00</c:formatCode>
                <c:ptCount val="9"/>
                <c:pt idx="1">
                  <c:v>89.082971918309781</c:v>
                </c:pt>
                <c:pt idx="2">
                  <c:v>91.630000000000038</c:v>
                </c:pt>
                <c:pt idx="3">
                  <c:v>92.935076696805041</c:v>
                </c:pt>
                <c:pt idx="4">
                  <c:v>93.74663839668176</c:v>
                </c:pt>
                <c:pt idx="5">
                  <c:v>94.715540565608677</c:v>
                </c:pt>
                <c:pt idx="6">
                  <c:v>98.789997870420919</c:v>
                </c:pt>
                <c:pt idx="7">
                  <c:v>74.691534856501676</c:v>
                </c:pt>
                <c:pt idx="8">
                  <c:v>53.404505277829209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DA-4B94-8648-263FA0597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768112"/>
        <c:axId val="1351673248"/>
      </c:scatterChart>
      <c:scatterChart>
        <c:scatterStyle val="lineMarker"/>
        <c:varyColors val="0"/>
        <c:ser>
          <c:idx val="0"/>
          <c:order val="0"/>
          <c:tx>
            <c:strRef>
              <c:f>'Low concentration 5.5.24'!$I$1</c:f>
              <c:strCache>
                <c:ptCount val="1"/>
                <c:pt idx="0">
                  <c:v>Adsorption capacity (mg/g)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'Low concentration 5.5.24'!$D$2:$D$10</c:f>
              <c:numCache>
                <c:formatCode>General</c:formatCode>
                <c:ptCount val="9"/>
                <c:pt idx="1">
                  <c:v>0.14000000000000001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</c:numCache>
            </c:numRef>
          </c:xVal>
          <c:yVal>
            <c:numRef>
              <c:f>'Low concentration 5.5.24'!$I$2:$I$10</c:f>
              <c:numCache>
                <c:formatCode>0.00</c:formatCode>
                <c:ptCount val="9"/>
                <c:pt idx="1">
                  <c:v>0.12471616068563372</c:v>
                </c:pt>
                <c:pt idx="2">
                  <c:v>0.22907500000000011</c:v>
                </c:pt>
                <c:pt idx="3">
                  <c:v>0.46467538348402526</c:v>
                </c:pt>
                <c:pt idx="4">
                  <c:v>0.70309978797511319</c:v>
                </c:pt>
                <c:pt idx="5">
                  <c:v>0.94715540565608691</c:v>
                </c:pt>
                <c:pt idx="6">
                  <c:v>4.9394998935210461</c:v>
                </c:pt>
                <c:pt idx="7">
                  <c:v>7.4691534856501676</c:v>
                </c:pt>
                <c:pt idx="8">
                  <c:v>8.0106757916743803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A-4B94-8648-263FA0597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668256"/>
        <c:axId val="1351653280"/>
      </c:scatterChart>
      <c:valAx>
        <c:axId val="144276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Initial dye concentration (mg L</a:t>
                </a:r>
                <a:r>
                  <a:rPr lang="en-US" b="1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51673248"/>
        <c:crosses val="autoZero"/>
        <c:crossBetween val="midCat"/>
      </c:valAx>
      <c:valAx>
        <c:axId val="1351673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Removal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42768112"/>
        <c:crosses val="autoZero"/>
        <c:crossBetween val="midCat"/>
      </c:valAx>
      <c:valAx>
        <c:axId val="1351653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Adsorption capacity (mg/g)</a:t>
                </a:r>
                <a:endParaRPr lang="en-US" sz="10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51668256"/>
        <c:crosses val="max"/>
        <c:crossBetween val="midCat"/>
      </c:valAx>
      <c:valAx>
        <c:axId val="135166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16532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480348955973814"/>
          <c:y val="0.67137429001073845"/>
          <c:w val="0.78948303424915811"/>
          <c:h val="7.34758385595541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'Isotherm new'!$C$1</c:f>
              <c:strCache>
                <c:ptCount val="1"/>
                <c:pt idx="0">
                  <c:v>Ce/qe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0.1147x + 0.0647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0.9864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'Isotherm new'!$A$2:$A$10</c:f>
              <c:numCache>
                <c:formatCode>General</c:formatCode>
                <c:ptCount val="9"/>
                <c:pt idx="1">
                  <c:v>1.5283839314366301E-2</c:v>
                </c:pt>
                <c:pt idx="2">
                  <c:v>2.0924999999999899E-2</c:v>
                </c:pt>
                <c:pt idx="3">
                  <c:v>3.5324616515974801E-2</c:v>
                </c:pt>
                <c:pt idx="4">
                  <c:v>4.6900212024886798E-2</c:v>
                </c:pt>
                <c:pt idx="5">
                  <c:v>5.2844594343913198E-2</c:v>
                </c:pt>
                <c:pt idx="6">
                  <c:v>6.0500106478954298E-2</c:v>
                </c:pt>
                <c:pt idx="7">
                  <c:v>2.5308465143498324</c:v>
                </c:pt>
                <c:pt idx="8">
                  <c:v>6.9893242083256188</c:v>
                </c:pt>
              </c:numCache>
            </c:numRef>
          </c:xVal>
          <c:yVal>
            <c:numRef>
              <c:f>'Isotherm new'!$C$2:$C$10</c:f>
              <c:numCache>
                <c:formatCode>General</c:formatCode>
                <c:ptCount val="9"/>
                <c:pt idx="1">
                  <c:v>0.12254898828141102</c:v>
                </c:pt>
                <c:pt idx="2">
                  <c:v>9.1345629160754727E-2</c:v>
                </c:pt>
                <c:pt idx="3">
                  <c:v>7.601998679404802E-2</c:v>
                </c:pt>
                <c:pt idx="4">
                  <c:v>6.6704915613695043E-2</c:v>
                </c:pt>
                <c:pt idx="5">
                  <c:v>5.5792950162500708E-2</c:v>
                </c:pt>
                <c:pt idx="6">
                  <c:v>1.2248225080095656E-2</c:v>
                </c:pt>
                <c:pt idx="7">
                  <c:v>0.33883980550301007</c:v>
                </c:pt>
                <c:pt idx="8">
                  <c:v>0.8725011959152974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2-4175-B874-8F94691F4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380447"/>
        <c:axId val="1697943407"/>
      </c:scatterChart>
      <c:valAx>
        <c:axId val="1592380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7943407"/>
        <c:crosses val="autoZero"/>
        <c:crossBetween val="midCat"/>
      </c:valAx>
      <c:valAx>
        <c:axId val="1697943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(L/g)</a:t>
                </a:r>
                <a:endParaRPr 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23804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'Isotherm new'!$E$1</c:f>
              <c:strCache>
                <c:ptCount val="1"/>
                <c:pt idx="0">
                  <c:v>lnqe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094488188976377E-4"/>
                  <c:y val="-2.819444444444446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0.593x + 1.4041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0.7142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'Isotherm new'!$D$2:$D$10</c:f>
              <c:numCache>
                <c:formatCode>General</c:formatCode>
                <c:ptCount val="9"/>
                <c:pt idx="1">
                  <c:v>-4.1809592627760743</c:v>
                </c:pt>
                <c:pt idx="2">
                  <c:v>-3.866810662606603</c:v>
                </c:pt>
                <c:pt idx="3">
                  <c:v>-3.3431752063522886</c:v>
                </c:pt>
                <c:pt idx="4">
                  <c:v>-3.0597330827536231</c:v>
                </c:pt>
                <c:pt idx="5">
                  <c:v>-2.9403998548883878</c:v>
                </c:pt>
                <c:pt idx="6">
                  <c:v>-2.8051101539641743</c:v>
                </c:pt>
                <c:pt idx="7">
                  <c:v>0.92855383742856712</c:v>
                </c:pt>
                <c:pt idx="8">
                  <c:v>1.9443838717901849</c:v>
                </c:pt>
              </c:numCache>
            </c:numRef>
          </c:xVal>
          <c:yVal>
            <c:numRef>
              <c:f>'Isotherm new'!$E$2:$E$10</c:f>
              <c:numCache>
                <c:formatCode>General</c:formatCode>
                <c:ptCount val="9"/>
                <c:pt idx="1">
                  <c:v>-2.0817148381763393</c:v>
                </c:pt>
                <c:pt idx="2">
                  <c:v>-1.4737058181308595</c:v>
                </c:pt>
                <c:pt idx="3">
                  <c:v>-0.76641621721442832</c:v>
                </c:pt>
                <c:pt idx="4">
                  <c:v>-0.35225645133429462</c:v>
                </c:pt>
                <c:pt idx="5">
                  <c:v>-5.4292096137975254E-2</c:v>
                </c:pt>
                <c:pt idx="6">
                  <c:v>1.5972640899457655</c:v>
                </c:pt>
                <c:pt idx="7">
                  <c:v>2.0107816708558706</c:v>
                </c:pt>
                <c:pt idx="8">
                  <c:v>2.0807751260201206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E-408D-97A5-F17AE776E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441391"/>
        <c:axId val="1475371247"/>
      </c:scatterChart>
      <c:valAx>
        <c:axId val="1586441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</a:t>
                </a: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083242650644218"/>
              <c:y val="0.90591053059620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5371247"/>
        <c:crosses val="autoZero"/>
        <c:crossBetween val="midCat"/>
      </c:valAx>
      <c:valAx>
        <c:axId val="1475371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 (q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392868556858759E-2"/>
              <c:y val="0.39004280527450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644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812421</xdr:colOff>
      <xdr:row>13</xdr:row>
      <xdr:rowOff>37833</xdr:rowOff>
    </xdr:from>
    <xdr:to>
      <xdr:col>9</xdr:col>
      <xdr:colOff>253374</xdr:colOff>
      <xdr:row>18</xdr:row>
      <xdr:rowOff>81230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243EC-8BA4-44E3-A183-C3EE7E7E5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5</xdr:row>
      <xdr:rowOff>148590</xdr:rowOff>
    </xdr:from>
    <xdr:to>
      <xdr:col>11</xdr:col>
      <xdr:colOff>327660</xdr:colOff>
      <xdr:row>19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9AFDE-85BD-421E-9676-C1F58C751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279605</xdr:colOff>
      <xdr:row>20</xdr:row>
      <xdr:rowOff>41787</xdr:rowOff>
    </xdr:from>
    <xdr:to>
      <xdr:col>9</xdr:col>
      <xdr:colOff>537702</xdr:colOff>
      <xdr:row>34</xdr:row>
      <xdr:rowOff>31955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A53986-5A0D-4074-B56E-B5E5E6B2F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322621</xdr:colOff>
      <xdr:row>35</xdr:row>
      <xdr:rowOff>127819</xdr:rowOff>
    </xdr:from>
    <xdr:to>
      <xdr:col>9</xdr:col>
      <xdr:colOff>580718</xdr:colOff>
      <xdr:row>49</xdr:row>
      <xdr:rowOff>117987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0C0593-736C-4E0D-8380-8D4CC9EDC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279605</xdr:colOff>
      <xdr:row>53</xdr:row>
      <xdr:rowOff>41787</xdr:rowOff>
    </xdr:from>
    <xdr:to>
      <xdr:col>9</xdr:col>
      <xdr:colOff>537702</xdr:colOff>
      <xdr:row>67</xdr:row>
      <xdr:rowOff>31955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2A9558-FE87-40BB-B924-AFBA47585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124801</xdr:colOff>
      <xdr:row>9</xdr:row>
      <xdr:rowOff>53991</xdr:rowOff>
    </xdr:from>
    <xdr:to>
      <xdr:col>9</xdr:col>
      <xdr:colOff>429601</xdr:colOff>
      <xdr:row>15</xdr:row>
      <xdr:rowOff>177575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F83FA0-B1B8-41F4-966A-6341CC0BC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552173</xdr:colOff>
      <xdr:row>0</xdr:row>
      <xdr:rowOff>871268</xdr:rowOff>
    </xdr:from>
    <xdr:to>
      <xdr:col>16</xdr:col>
      <xdr:colOff>174194</xdr:colOff>
      <xdr:row>12</xdr:row>
      <xdr:rowOff>496040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D7F7B8-9AB9-4B5E-ACF8-935459F8F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11</xdr:row>
      <xdr:rowOff>22478</xdr:rowOff>
    </xdr:from>
    <xdr:to>
      <xdr:col>6</xdr:col>
      <xdr:colOff>427080</xdr:colOff>
      <xdr:row>24</xdr:row>
      <xdr:rowOff>194310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F3101-778F-40BE-80E4-D2BCE1490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71534</xdr:colOff>
      <xdr:row>10</xdr:row>
      <xdr:rowOff>183995</xdr:rowOff>
    </xdr:from>
    <xdr:to>
      <xdr:col>15</xdr:col>
      <xdr:colOff>618308</xdr:colOff>
      <xdr:row>24</xdr:row>
      <xdr:rowOff>153515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BED92A-2BD3-4B44-97FA-E2CCE761E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427897</xdr:colOff>
      <xdr:row>14</xdr:row>
      <xdr:rowOff>31448</xdr:rowOff>
    </xdr:from>
    <xdr:to>
      <xdr:col>25</xdr:col>
      <xdr:colOff>296279</xdr:colOff>
      <xdr:row>27</xdr:row>
      <xdr:rowOff>158723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4C20A8-8C27-4C5B-9C7D-5884F3122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504345</xdr:colOff>
      <xdr:row>28</xdr:row>
      <xdr:rowOff>70169</xdr:rowOff>
    </xdr:from>
    <xdr:to>
      <xdr:col>11</xdr:col>
      <xdr:colOff>394705</xdr:colOff>
      <xdr:row>42</xdr:row>
      <xdr:rowOff>50434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EFFEFF-4132-495D-8A98-4F129CCCC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605972</xdr:colOff>
      <xdr:row>45</xdr:row>
      <xdr:rowOff>39913</xdr:rowOff>
    </xdr:from>
    <xdr:to>
      <xdr:col>13</xdr:col>
      <xdr:colOff>504372</xdr:colOff>
      <xdr:row>59</xdr:row>
      <xdr:rowOff>39913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0AA7C5-A16A-4B3A-8A4E-2B33BE0E0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277302</xdr:colOff>
      <xdr:row>1</xdr:row>
      <xdr:rowOff>178033</xdr:rowOff>
    </xdr:from>
    <xdr:to>
      <xdr:col>23</xdr:col>
      <xdr:colOff>118843</xdr:colOff>
      <xdr:row>15</xdr:row>
      <xdr:rowOff>148205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77D597-3743-DF88-9FD7-A3D250F65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51954</xdr:colOff>
      <xdr:row>0</xdr:row>
      <xdr:rowOff>935181</xdr:rowOff>
    </xdr:from>
    <xdr:to>
      <xdr:col>19</xdr:col>
      <xdr:colOff>363682</xdr:colOff>
      <xdr:row>9</xdr:row>
      <xdr:rowOff>297872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0A5BAD-2D3F-4DA5-803A-88BD53057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823951</xdr:colOff>
      <xdr:row>0</xdr:row>
      <xdr:rowOff>350644</xdr:rowOff>
    </xdr:from>
    <xdr:to>
      <xdr:col>32</xdr:col>
      <xdr:colOff>266390</xdr:colOff>
      <xdr:row>7</xdr:row>
      <xdr:rowOff>659161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B5E843-E190-4B1F-A138-9C420EEF2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577922</xdr:colOff>
      <xdr:row>0</xdr:row>
      <xdr:rowOff>704636</xdr:rowOff>
    </xdr:from>
    <xdr:to>
      <xdr:col>17</xdr:col>
      <xdr:colOff>12843</xdr:colOff>
      <xdr:row>11</xdr:row>
      <xdr:rowOff>91611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906284-2527-430E-9FFB-388DC07E2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5283A-0353-2D41-9D56-6F7D1BB63548}">
  <dimension ref="A1:I27"/>
  <sheetViews>
    <sheetView zoomScale="119" workbookViewId="0">
      <selection activeCell="P12" sqref="P12"/>
    </sheetView>
  </sheetViews>
  <sheetFormatPr baseColWidth="10" defaultColWidth="11.1640625" defaultRowHeight="16" x14ac:dyDescent="0.2"/>
  <sheetData>
    <row r="1" spans="1:9" ht="8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48</v>
      </c>
      <c r="I1" s="1" t="s">
        <v>7</v>
      </c>
    </row>
    <row r="2" spans="1:9" x14ac:dyDescent="0.2">
      <c r="A2" s="3"/>
      <c r="B2" s="3"/>
      <c r="C2" s="3"/>
      <c r="D2" s="3"/>
      <c r="E2" s="3"/>
      <c r="F2" s="3"/>
      <c r="G2" s="3"/>
      <c r="H2" s="3"/>
      <c r="I2" s="3"/>
    </row>
    <row r="3" spans="1:9" x14ac:dyDescent="0.2">
      <c r="A3" s="3">
        <v>15</v>
      </c>
      <c r="B3" s="3">
        <f t="shared" ref="B3:B12" si="0" xml:space="preserve"> $B$14/(1000*$B$15)</f>
        <v>3.1314586334314521E-5</v>
      </c>
      <c r="C3" s="3">
        <v>15</v>
      </c>
      <c r="D3" s="3">
        <v>0.86899999999999999</v>
      </c>
      <c r="E3" s="3">
        <f t="shared" ref="E3:E12" si="1">D3/ $B$16/1</f>
        <v>2.5801685445190735E-5</v>
      </c>
      <c r="F3" s="3">
        <f t="shared" ref="F3:F12" si="2" xml:space="preserve"> (E3*1000*$B$15)</f>
        <v>12.359265345100814</v>
      </c>
      <c r="G3" s="3">
        <f>((B3-E3)*$B$17)/$B$18</f>
        <v>5.5129008891237857E-6</v>
      </c>
      <c r="H3" s="19">
        <f t="shared" ref="H3:H12" si="3" xml:space="preserve"> G3*$B$15*1000</f>
        <v>2.6407346548991844</v>
      </c>
      <c r="I3" s="19">
        <f xml:space="preserve"> ((A3-F3)/A3)*100</f>
        <v>17.604897699327903</v>
      </c>
    </row>
    <row r="4" spans="1:9" x14ac:dyDescent="0.2">
      <c r="A4" s="3">
        <v>15</v>
      </c>
      <c r="B4" s="3">
        <f t="shared" si="0"/>
        <v>3.1314586334314521E-5</v>
      </c>
      <c r="C4" s="3">
        <v>30</v>
      </c>
      <c r="D4" s="3">
        <v>0.82299999999999995</v>
      </c>
      <c r="E4" s="3">
        <f t="shared" si="1"/>
        <v>2.4435888517136909E-5</v>
      </c>
      <c r="F4" s="3">
        <f t="shared" si="2"/>
        <v>11.705034958593751</v>
      </c>
      <c r="G4" s="3">
        <f t="shared" ref="G4:G12" si="4">((B4-E4)*$B$17)/$B$18</f>
        <v>6.8786978171776117E-6</v>
      </c>
      <c r="H4" s="19">
        <f t="shared" si="3"/>
        <v>3.2949650414062477</v>
      </c>
      <c r="I4" s="19">
        <f t="shared" ref="I4:I12" si="5" xml:space="preserve"> ((A4-F4)/A4)*100</f>
        <v>21.966433609374992</v>
      </c>
    </row>
    <row r="5" spans="1:9" x14ac:dyDescent="0.2">
      <c r="A5" s="3">
        <v>15</v>
      </c>
      <c r="B5" s="3">
        <f t="shared" si="0"/>
        <v>3.1314586334314521E-5</v>
      </c>
      <c r="C5" s="3">
        <v>45</v>
      </c>
      <c r="D5" s="3">
        <v>0.751</v>
      </c>
      <c r="E5" s="3">
        <f t="shared" si="1"/>
        <v>2.2298119412357012E-5</v>
      </c>
      <c r="F5" s="3">
        <f t="shared" si="2"/>
        <v>10.681022179713132</v>
      </c>
      <c r="G5" s="3">
        <f t="shared" si="4"/>
        <v>9.0164669219575087E-6</v>
      </c>
      <c r="H5" s="19">
        <f t="shared" si="3"/>
        <v>4.3189778202868663</v>
      </c>
      <c r="I5" s="19">
        <f t="shared" si="5"/>
        <v>28.793185468579118</v>
      </c>
    </row>
    <row r="6" spans="1:9" x14ac:dyDescent="0.2">
      <c r="A6" s="3">
        <v>15</v>
      </c>
      <c r="B6" s="3">
        <f t="shared" si="0"/>
        <v>3.1314586334314521E-5</v>
      </c>
      <c r="C6" s="3">
        <v>60</v>
      </c>
      <c r="D6" s="3">
        <v>0.70399999999999996</v>
      </c>
      <c r="E6" s="3">
        <f t="shared" si="1"/>
        <v>2.0902631246736798E-5</v>
      </c>
      <c r="F6" s="3">
        <f t="shared" si="2"/>
        <v>10.012569393499394</v>
      </c>
      <c r="G6" s="3">
        <f t="shared" si="4"/>
        <v>1.0411955087577723E-5</v>
      </c>
      <c r="H6" s="19">
        <f t="shared" si="3"/>
        <v>4.9874306065006051</v>
      </c>
      <c r="I6" s="19">
        <f t="shared" si="5"/>
        <v>33.249537376670709</v>
      </c>
    </row>
    <row r="7" spans="1:9" x14ac:dyDescent="0.2">
      <c r="A7" s="3">
        <v>15</v>
      </c>
      <c r="B7" s="3">
        <f t="shared" si="0"/>
        <v>3.1314586334314521E-5</v>
      </c>
      <c r="C7" s="3">
        <v>90</v>
      </c>
      <c r="D7" s="3">
        <v>0.61299999999999999</v>
      </c>
      <c r="E7" s="3">
        <f t="shared" si="1"/>
        <v>1.8200728628195538E-5</v>
      </c>
      <c r="F7" s="3">
        <f t="shared" si="2"/>
        <v>8.7183310201919433</v>
      </c>
      <c r="G7" s="3">
        <f t="shared" si="4"/>
        <v>1.3113857706118983E-5</v>
      </c>
      <c r="H7" s="19">
        <f t="shared" si="3"/>
        <v>6.2816689798080541</v>
      </c>
      <c r="I7" s="19">
        <f t="shared" si="5"/>
        <v>41.877793198720376</v>
      </c>
    </row>
    <row r="8" spans="1:9" x14ac:dyDescent="0.2">
      <c r="A8" s="3">
        <v>15</v>
      </c>
      <c r="B8" s="3">
        <f t="shared" si="0"/>
        <v>3.1314586334314521E-5</v>
      </c>
      <c r="C8" s="3">
        <v>120</v>
      </c>
      <c r="D8" s="3">
        <v>0.53800000000000003</v>
      </c>
      <c r="E8" s="3">
        <f t="shared" si="1"/>
        <v>1.5973885810716476E-5</v>
      </c>
      <c r="F8" s="3">
        <f t="shared" si="2"/>
        <v>7.6516510421912995</v>
      </c>
      <c r="G8" s="3">
        <f t="shared" si="4"/>
        <v>1.5340700523598045E-5</v>
      </c>
      <c r="H8" s="19">
        <f t="shared" si="3"/>
        <v>7.3483489578086996</v>
      </c>
      <c r="I8" s="19">
        <f t="shared" si="5"/>
        <v>48.988993052058007</v>
      </c>
    </row>
    <row r="9" spans="1:9" x14ac:dyDescent="0.2">
      <c r="A9" s="3">
        <v>15</v>
      </c>
      <c r="B9" s="3">
        <f t="shared" si="0"/>
        <v>3.1314586334314521E-5</v>
      </c>
      <c r="C9" s="3">
        <v>180</v>
      </c>
      <c r="D9" s="3">
        <v>0.36899999999999999</v>
      </c>
      <c r="E9" s="3">
        <f t="shared" si="1"/>
        <v>1.0956066661996988E-5</v>
      </c>
      <c r="F9" s="3">
        <f t="shared" si="2"/>
        <v>5.2480654917631764</v>
      </c>
      <c r="G9" s="3">
        <f t="shared" si="4"/>
        <v>2.0358519672317532E-5</v>
      </c>
      <c r="H9" s="19">
        <f t="shared" si="3"/>
        <v>9.7519345082368218</v>
      </c>
      <c r="I9" s="19">
        <f t="shared" si="5"/>
        <v>65.012896721578826</v>
      </c>
    </row>
    <row r="10" spans="1:9" x14ac:dyDescent="0.2">
      <c r="A10" s="3">
        <v>15</v>
      </c>
      <c r="B10" s="3">
        <f t="shared" si="0"/>
        <v>3.1314586334314521E-5</v>
      </c>
      <c r="C10" s="3">
        <v>240</v>
      </c>
      <c r="D10" s="14">
        <v>0.314</v>
      </c>
      <c r="E10" s="3">
        <f t="shared" si="1"/>
        <v>9.323048595845674E-6</v>
      </c>
      <c r="F10" s="3">
        <f t="shared" si="2"/>
        <v>4.4658335078960363</v>
      </c>
      <c r="G10" s="3">
        <f t="shared" si="4"/>
        <v>2.1991537738468845E-5</v>
      </c>
      <c r="H10" s="19">
        <f t="shared" si="3"/>
        <v>10.534166492103962</v>
      </c>
      <c r="I10" s="19">
        <f t="shared" si="5"/>
        <v>70.227776614026425</v>
      </c>
    </row>
    <row r="11" spans="1:9" x14ac:dyDescent="0.2">
      <c r="A11" s="3">
        <v>15</v>
      </c>
      <c r="B11" s="3">
        <f t="shared" si="0"/>
        <v>3.1314586334314521E-5</v>
      </c>
      <c r="C11" s="3">
        <v>300</v>
      </c>
      <c r="D11" s="3">
        <v>0.28299999999999997</v>
      </c>
      <c r="E11" s="3">
        <f t="shared" si="1"/>
        <v>8.4026202312876617E-6</v>
      </c>
      <c r="F11" s="3">
        <f t="shared" si="2"/>
        <v>4.0249391169891027</v>
      </c>
      <c r="G11" s="3">
        <f t="shared" si="4"/>
        <v>2.2911966103026861E-5</v>
      </c>
      <c r="H11" s="19">
        <f t="shared" si="3"/>
        <v>10.975060883010897</v>
      </c>
      <c r="I11" s="19">
        <f t="shared" si="5"/>
        <v>73.167072553405987</v>
      </c>
    </row>
    <row r="12" spans="1:9" x14ac:dyDescent="0.2">
      <c r="A12" s="3">
        <v>15</v>
      </c>
      <c r="B12" s="3">
        <f t="shared" si="0"/>
        <v>3.1314586334314521E-5</v>
      </c>
      <c r="C12" s="3">
        <v>360</v>
      </c>
      <c r="D12" s="3">
        <v>0.28100000000000003</v>
      </c>
      <c r="E12" s="3">
        <f t="shared" si="1"/>
        <v>8.3432377561548886E-6</v>
      </c>
      <c r="F12" s="3">
        <f t="shared" si="2"/>
        <v>3.996494317575753</v>
      </c>
      <c r="G12" s="3">
        <f t="shared" si="4"/>
        <v>2.2971348578159631E-5</v>
      </c>
      <c r="H12" s="19">
        <f t="shared" si="3"/>
        <v>11.003505682424244</v>
      </c>
      <c r="I12" s="19">
        <f t="shared" si="5"/>
        <v>73.356704549494978</v>
      </c>
    </row>
    <row r="13" spans="1:9" x14ac:dyDescent="0.2">
      <c r="I13" s="4"/>
    </row>
    <row r="14" spans="1:9" ht="51" x14ac:dyDescent="0.2">
      <c r="A14" s="1" t="s">
        <v>0</v>
      </c>
      <c r="B14" s="3">
        <v>15</v>
      </c>
      <c r="I14" s="4"/>
    </row>
    <row r="15" spans="1:9" ht="51" x14ac:dyDescent="0.2">
      <c r="A15" s="5" t="s">
        <v>13</v>
      </c>
      <c r="B15" s="3">
        <v>479.01</v>
      </c>
      <c r="I15" s="4"/>
    </row>
    <row r="16" spans="1:9" ht="68" x14ac:dyDescent="0.2">
      <c r="A16" s="2" t="s">
        <v>14</v>
      </c>
      <c r="B16" s="15">
        <v>33679.97032</v>
      </c>
      <c r="I16" s="4"/>
    </row>
    <row r="17" spans="1:9" ht="17" x14ac:dyDescent="0.2">
      <c r="A17" s="2" t="s">
        <v>15</v>
      </c>
      <c r="B17" s="3">
        <f xml:space="preserve"> 20/1000</f>
        <v>0.02</v>
      </c>
      <c r="I17" s="4"/>
    </row>
    <row r="18" spans="1:9" ht="34" x14ac:dyDescent="0.2">
      <c r="A18" s="2" t="s">
        <v>16</v>
      </c>
      <c r="B18" s="3">
        <f xml:space="preserve"> 20/1000</f>
        <v>0.02</v>
      </c>
      <c r="I18" s="4"/>
    </row>
    <row r="21" spans="1:9" ht="17" x14ac:dyDescent="0.2">
      <c r="A21" s="2" t="s">
        <v>12</v>
      </c>
      <c r="B21" s="6">
        <v>6.5979740421664879</v>
      </c>
    </row>
    <row r="27" spans="1:9" x14ac:dyDescent="0.2">
      <c r="A27" s="13"/>
      <c r="B27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D627-FE26-43B3-9FBB-BC56BCC4617D}">
  <dimension ref="A1:O65"/>
  <sheetViews>
    <sheetView zoomScale="132" workbookViewId="0">
      <selection activeCell="A75" sqref="A75"/>
    </sheetView>
  </sheetViews>
  <sheetFormatPr baseColWidth="10" defaultColWidth="8.83203125" defaultRowHeight="16" x14ac:dyDescent="0.2"/>
  <cols>
    <col min="1" max="3" width="8.83203125" style="4"/>
    <col min="4" max="4" width="12.6640625" style="4" customWidth="1"/>
    <col min="5" max="16384" width="8.83203125" style="4"/>
  </cols>
  <sheetData>
    <row r="1" spans="1:9" x14ac:dyDescent="0.2">
      <c r="A1" s="3" t="s">
        <v>49</v>
      </c>
      <c r="B1" s="3" t="s">
        <v>10</v>
      </c>
      <c r="C1" s="3" t="s">
        <v>50</v>
      </c>
      <c r="D1" s="3" t="s">
        <v>12</v>
      </c>
    </row>
    <row r="2" spans="1:9" x14ac:dyDescent="0.2">
      <c r="A2" s="3"/>
      <c r="B2" s="3"/>
      <c r="C2" s="3"/>
      <c r="D2" s="3"/>
    </row>
    <row r="3" spans="1:9" x14ac:dyDescent="0.2">
      <c r="A3" s="3">
        <v>15</v>
      </c>
      <c r="B3" s="3">
        <f xml:space="preserve"> LN($D$3-C3)</f>
        <v>2.1260557741666202</v>
      </c>
      <c r="C3" s="3">
        <v>2.6407346548991844</v>
      </c>
      <c r="D3" s="3">
        <v>11.0224767</v>
      </c>
      <c r="F3" s="4" t="s">
        <v>58</v>
      </c>
      <c r="H3" s="4" t="s">
        <v>60</v>
      </c>
      <c r="I3" s="4">
        <v>1.7899999999999999E-2</v>
      </c>
    </row>
    <row r="4" spans="1:9" x14ac:dyDescent="0.2">
      <c r="A4" s="3">
        <v>30</v>
      </c>
      <c r="B4" s="3">
        <f t="shared" ref="B4:B12" si="0" xml:space="preserve"> LN($D$3-C4)</f>
        <v>2.0447869037378137</v>
      </c>
      <c r="C4" s="3">
        <v>3.2949650414062477</v>
      </c>
      <c r="D4" s="3"/>
      <c r="F4" s="4" t="s">
        <v>59</v>
      </c>
      <c r="H4" s="4" t="s">
        <v>12</v>
      </c>
      <c r="I4" s="4">
        <f xml:space="preserve"> EXP(2.9019)</f>
        <v>18.208709070763344</v>
      </c>
    </row>
    <row r="5" spans="1:9" x14ac:dyDescent="0.2">
      <c r="A5" s="3">
        <v>45</v>
      </c>
      <c r="B5" s="3">
        <f t="shared" si="0"/>
        <v>1.9026296109397713</v>
      </c>
      <c r="C5" s="3">
        <v>4.3189778202868663</v>
      </c>
      <c r="D5" s="3"/>
    </row>
    <row r="6" spans="1:9" x14ac:dyDescent="0.2">
      <c r="A6" s="3">
        <v>60</v>
      </c>
      <c r="B6" s="3">
        <f t="shared" si="0"/>
        <v>1.7975834922169964</v>
      </c>
      <c r="C6" s="3">
        <v>4.9874306065006051</v>
      </c>
      <c r="D6" s="3"/>
    </row>
    <row r="7" spans="1:9" x14ac:dyDescent="0.2">
      <c r="A7" s="3">
        <v>90</v>
      </c>
      <c r="B7" s="3">
        <f t="shared" si="0"/>
        <v>1.5562075262934707</v>
      </c>
      <c r="C7" s="3">
        <v>6.2816689798080541</v>
      </c>
      <c r="D7" s="3"/>
    </row>
    <row r="8" spans="1:9" x14ac:dyDescent="0.2">
      <c r="A8" s="3">
        <v>120</v>
      </c>
      <c r="B8" s="3">
        <f t="shared" si="0"/>
        <v>1.3013157554294617</v>
      </c>
      <c r="C8" s="3">
        <v>7.3483489578086996</v>
      </c>
      <c r="D8" s="3"/>
    </row>
    <row r="9" spans="1:9" x14ac:dyDescent="0.2">
      <c r="A9" s="3">
        <v>180</v>
      </c>
      <c r="B9" s="3">
        <f t="shared" si="0"/>
        <v>0.2394437320131273</v>
      </c>
      <c r="C9" s="3">
        <v>9.7519345082368218</v>
      </c>
      <c r="D9" s="3"/>
    </row>
    <row r="10" spans="1:9" x14ac:dyDescent="0.2">
      <c r="A10" s="3">
        <v>240</v>
      </c>
      <c r="B10" s="3">
        <f t="shared" si="0"/>
        <v>-0.71680440316469241</v>
      </c>
      <c r="C10" s="3">
        <v>10.534166492103962</v>
      </c>
      <c r="D10" s="3"/>
    </row>
    <row r="11" spans="1:9" x14ac:dyDescent="0.2">
      <c r="A11" s="3">
        <v>300</v>
      </c>
      <c r="B11" s="3">
        <f t="shared" si="0"/>
        <v>-3.0487994141905888</v>
      </c>
      <c r="C11" s="3">
        <v>10.975060883010897</v>
      </c>
      <c r="D11" s="3"/>
    </row>
    <row r="12" spans="1:9" x14ac:dyDescent="0.2">
      <c r="A12" s="3">
        <v>360</v>
      </c>
      <c r="B12" s="3">
        <f t="shared" si="0"/>
        <v>-3.9648428551582819</v>
      </c>
      <c r="C12" s="3">
        <v>11.003505682424244</v>
      </c>
      <c r="D12" s="3"/>
    </row>
    <row r="15" spans="1:9" x14ac:dyDescent="0.2">
      <c r="A15" s="18" t="s">
        <v>54</v>
      </c>
    </row>
    <row r="22" spans="1:15" x14ac:dyDescent="0.2">
      <c r="A22" s="3" t="s">
        <v>49</v>
      </c>
      <c r="B22" s="3" t="s">
        <v>9</v>
      </c>
      <c r="C22" s="3" t="s">
        <v>50</v>
      </c>
    </row>
    <row r="23" spans="1:15" x14ac:dyDescent="0.2">
      <c r="A23" s="3"/>
      <c r="B23" s="3"/>
      <c r="C23" s="3"/>
      <c r="L23" s="4" t="s">
        <v>61</v>
      </c>
      <c r="N23" s="4" t="s">
        <v>12</v>
      </c>
      <c r="O23" s="4">
        <f xml:space="preserve"> 1/0.07</f>
        <v>14.285714285714285</v>
      </c>
    </row>
    <row r="24" spans="1:15" x14ac:dyDescent="0.2">
      <c r="A24" s="3">
        <v>15</v>
      </c>
      <c r="B24" s="3">
        <f xml:space="preserve"> A24/C24</f>
        <v>5.6802374945818466</v>
      </c>
      <c r="C24" s="3">
        <v>2.6407346548991844</v>
      </c>
      <c r="L24" s="4" t="s">
        <v>12</v>
      </c>
    </row>
    <row r="25" spans="1:15" x14ac:dyDescent="0.2">
      <c r="A25" s="3">
        <v>30</v>
      </c>
      <c r="B25" s="3">
        <f t="shared" ref="B25:B33" si="1" xml:space="preserve"> A25/C25</f>
        <v>9.1048006953046148</v>
      </c>
      <c r="C25" s="3">
        <v>3.2949650414062477</v>
      </c>
      <c r="L25" s="4" t="s">
        <v>62</v>
      </c>
      <c r="N25" s="4" t="s">
        <v>63</v>
      </c>
      <c r="O25" s="4">
        <f xml:space="preserve"> 1/((O23)^2*6.8384)</f>
        <v>7.1654188114178758E-4</v>
      </c>
    </row>
    <row r="26" spans="1:15" x14ac:dyDescent="0.2">
      <c r="A26" s="3">
        <v>45</v>
      </c>
      <c r="B26" s="3">
        <f t="shared" si="1"/>
        <v>10.419131996610046</v>
      </c>
      <c r="C26" s="3">
        <v>4.3189778202868663</v>
      </c>
    </row>
    <row r="27" spans="1:15" x14ac:dyDescent="0.2">
      <c r="A27" s="3">
        <v>60</v>
      </c>
      <c r="B27" s="3">
        <f t="shared" si="1"/>
        <v>12.03024257055249</v>
      </c>
      <c r="C27" s="3">
        <v>4.9874306065006051</v>
      </c>
    </row>
    <row r="28" spans="1:15" x14ac:dyDescent="0.2">
      <c r="A28" s="3">
        <v>90</v>
      </c>
      <c r="B28" s="3">
        <f t="shared" si="1"/>
        <v>14.327402524599455</v>
      </c>
      <c r="C28" s="3">
        <v>6.2816689798080541</v>
      </c>
    </row>
    <row r="29" spans="1:15" x14ac:dyDescent="0.2">
      <c r="A29" s="3">
        <v>120</v>
      </c>
      <c r="B29" s="3">
        <f t="shared" si="1"/>
        <v>16.330198890797419</v>
      </c>
      <c r="C29" s="3">
        <v>7.3483489578086996</v>
      </c>
    </row>
    <row r="30" spans="1:15" x14ac:dyDescent="0.2">
      <c r="A30" s="3">
        <v>180</v>
      </c>
      <c r="B30" s="3">
        <f t="shared" si="1"/>
        <v>18.457876213992801</v>
      </c>
      <c r="C30" s="3">
        <v>9.7519345082368218</v>
      </c>
    </row>
    <row r="31" spans="1:15" x14ac:dyDescent="0.2">
      <c r="A31" s="3">
        <v>240</v>
      </c>
      <c r="B31" s="3">
        <f t="shared" si="1"/>
        <v>22.783008050983007</v>
      </c>
      <c r="C31" s="3">
        <v>10.534166492103962</v>
      </c>
    </row>
    <row r="32" spans="1:15" x14ac:dyDescent="0.2">
      <c r="A32" s="3">
        <v>300</v>
      </c>
      <c r="B32" s="3">
        <f t="shared" si="1"/>
        <v>27.33470029896527</v>
      </c>
      <c r="C32" s="3">
        <v>10.975060883010897</v>
      </c>
    </row>
    <row r="33" spans="1:13" x14ac:dyDescent="0.2">
      <c r="A33" s="3">
        <v>360</v>
      </c>
      <c r="B33" s="3">
        <f t="shared" si="1"/>
        <v>32.716845920752633</v>
      </c>
      <c r="C33" s="3">
        <v>11.003505682424244</v>
      </c>
    </row>
    <row r="35" spans="1:13" x14ac:dyDescent="0.2">
      <c r="A35" s="18" t="s">
        <v>55</v>
      </c>
    </row>
    <row r="37" spans="1:13" x14ac:dyDescent="0.2">
      <c r="A37" s="3" t="s">
        <v>51</v>
      </c>
      <c r="B37" s="3" t="s">
        <v>50</v>
      </c>
      <c r="C37" s="3" t="s">
        <v>8</v>
      </c>
      <c r="L37" s="4" t="s">
        <v>64</v>
      </c>
    </row>
    <row r="38" spans="1:13" x14ac:dyDescent="0.2">
      <c r="A38" s="3"/>
      <c r="B38" s="3"/>
      <c r="C38" s="3"/>
    </row>
    <row r="39" spans="1:13" x14ac:dyDescent="0.2">
      <c r="A39" s="3">
        <f xml:space="preserve"> LN(C39)</f>
        <v>2.7080502011022101</v>
      </c>
      <c r="B39" s="3">
        <v>2.6407346548991844</v>
      </c>
      <c r="C39" s="3">
        <v>15</v>
      </c>
      <c r="L39" s="4" t="s">
        <v>65</v>
      </c>
      <c r="M39" s="4">
        <f xml:space="preserve"> 1/3.0524</f>
        <v>0.32761106014939062</v>
      </c>
    </row>
    <row r="40" spans="1:13" x14ac:dyDescent="0.2">
      <c r="A40" s="3">
        <f t="shared" ref="A40:A48" si="2" xml:space="preserve"> LN(C40)</f>
        <v>3.4011973816621555</v>
      </c>
      <c r="B40" s="3">
        <v>3.2949650414062477</v>
      </c>
      <c r="C40" s="3">
        <v>30</v>
      </c>
      <c r="L40" s="4" t="s">
        <v>66</v>
      </c>
      <c r="M40" s="4">
        <f>(1/M39)*(EXP(M39*-6.7934))</f>
        <v>0.32966944459541841</v>
      </c>
    </row>
    <row r="41" spans="1:13" x14ac:dyDescent="0.2">
      <c r="A41" s="3">
        <f t="shared" si="2"/>
        <v>3.8066624897703196</v>
      </c>
      <c r="B41" s="3">
        <v>4.3189778202868663</v>
      </c>
      <c r="C41" s="3">
        <v>45</v>
      </c>
    </row>
    <row r="42" spans="1:13" x14ac:dyDescent="0.2">
      <c r="A42" s="3">
        <f t="shared" si="2"/>
        <v>4.0943445622221004</v>
      </c>
      <c r="B42" s="3">
        <v>4.9874306065006051</v>
      </c>
      <c r="C42" s="3">
        <v>60</v>
      </c>
    </row>
    <row r="43" spans="1:13" x14ac:dyDescent="0.2">
      <c r="A43" s="3">
        <f t="shared" si="2"/>
        <v>4.499809670330265</v>
      </c>
      <c r="B43" s="3">
        <v>6.2816689798080541</v>
      </c>
      <c r="C43" s="3">
        <v>90</v>
      </c>
    </row>
    <row r="44" spans="1:13" x14ac:dyDescent="0.2">
      <c r="A44" s="3">
        <f t="shared" si="2"/>
        <v>4.7874917427820458</v>
      </c>
      <c r="B44" s="3">
        <v>7.3483489578086996</v>
      </c>
      <c r="C44" s="3">
        <v>120</v>
      </c>
    </row>
    <row r="45" spans="1:13" x14ac:dyDescent="0.2">
      <c r="A45" s="3">
        <f t="shared" si="2"/>
        <v>5.1929568508902104</v>
      </c>
      <c r="B45" s="3">
        <v>9.7519345082368218</v>
      </c>
      <c r="C45" s="3">
        <v>180</v>
      </c>
    </row>
    <row r="46" spans="1:13" x14ac:dyDescent="0.2">
      <c r="A46" s="3">
        <f t="shared" si="2"/>
        <v>5.4806389233419912</v>
      </c>
      <c r="B46" s="3">
        <v>10.534166492103962</v>
      </c>
      <c r="C46" s="3">
        <v>240</v>
      </c>
    </row>
    <row r="47" spans="1:13" x14ac:dyDescent="0.2">
      <c r="A47" s="3">
        <f t="shared" si="2"/>
        <v>5.7037824746562009</v>
      </c>
      <c r="B47" s="3">
        <v>10.975060883010897</v>
      </c>
      <c r="C47" s="3">
        <v>300</v>
      </c>
    </row>
    <row r="48" spans="1:13" x14ac:dyDescent="0.2">
      <c r="A48" s="3">
        <f t="shared" si="2"/>
        <v>5.8861040314501558</v>
      </c>
      <c r="B48" s="3">
        <v>11.003505682424244</v>
      </c>
      <c r="C48" s="3">
        <v>360</v>
      </c>
    </row>
    <row r="50" spans="1:13" x14ac:dyDescent="0.2">
      <c r="A50" s="18" t="s">
        <v>53</v>
      </c>
    </row>
    <row r="52" spans="1:13" x14ac:dyDescent="0.2">
      <c r="A52" s="3" t="s">
        <v>52</v>
      </c>
      <c r="B52" s="3" t="s">
        <v>50</v>
      </c>
      <c r="C52" s="3" t="s">
        <v>8</v>
      </c>
    </row>
    <row r="53" spans="1:13" x14ac:dyDescent="0.2">
      <c r="A53" s="3"/>
      <c r="B53" s="3"/>
      <c r="C53" s="3"/>
    </row>
    <row r="54" spans="1:13" x14ac:dyDescent="0.2">
      <c r="A54" s="3">
        <f xml:space="preserve"> C54^(1/2)</f>
        <v>3.872983346207417</v>
      </c>
      <c r="B54" s="3">
        <v>2.6407346548991844</v>
      </c>
      <c r="C54" s="3">
        <v>15</v>
      </c>
    </row>
    <row r="55" spans="1:13" x14ac:dyDescent="0.2">
      <c r="A55" s="3">
        <f t="shared" ref="A55:A63" si="3" xml:space="preserve"> C55^(1/2)</f>
        <v>5.4772255750516612</v>
      </c>
      <c r="B55" s="3">
        <v>3.2949650414062477</v>
      </c>
      <c r="C55" s="3">
        <v>30</v>
      </c>
    </row>
    <row r="56" spans="1:13" x14ac:dyDescent="0.2">
      <c r="A56" s="3">
        <f t="shared" si="3"/>
        <v>6.7082039324993694</v>
      </c>
      <c r="B56" s="3">
        <v>4.3189778202868663</v>
      </c>
      <c r="C56" s="3">
        <v>45</v>
      </c>
      <c r="L56" s="4" t="s">
        <v>68</v>
      </c>
    </row>
    <row r="57" spans="1:13" x14ac:dyDescent="0.2">
      <c r="A57" s="3">
        <f t="shared" si="3"/>
        <v>7.745966692414834</v>
      </c>
      <c r="B57" s="3">
        <v>4.9874306065006051</v>
      </c>
      <c r="C57" s="3">
        <v>60</v>
      </c>
    </row>
    <row r="58" spans="1:13" x14ac:dyDescent="0.2">
      <c r="A58" s="3">
        <f t="shared" si="3"/>
        <v>9.4868329805051381</v>
      </c>
      <c r="B58" s="3">
        <v>6.2816689798080541</v>
      </c>
      <c r="C58" s="3">
        <v>90</v>
      </c>
      <c r="L58" s="4" t="s">
        <v>69</v>
      </c>
      <c r="M58" s="4">
        <v>0.62080000000000002</v>
      </c>
    </row>
    <row r="59" spans="1:13" x14ac:dyDescent="0.2">
      <c r="A59" s="3">
        <f t="shared" si="3"/>
        <v>10.954451150103322</v>
      </c>
      <c r="B59" s="3">
        <v>7.3483489578086996</v>
      </c>
      <c r="C59" s="3">
        <v>120</v>
      </c>
      <c r="L59" s="4" t="s">
        <v>70</v>
      </c>
      <c r="M59" s="4">
        <v>0.3196</v>
      </c>
    </row>
    <row r="60" spans="1:13" x14ac:dyDescent="0.2">
      <c r="A60" s="3">
        <f t="shared" si="3"/>
        <v>13.416407864998739</v>
      </c>
      <c r="B60" s="3">
        <v>9.7519345082368218</v>
      </c>
      <c r="C60" s="3">
        <v>180</v>
      </c>
    </row>
    <row r="61" spans="1:13" x14ac:dyDescent="0.2">
      <c r="A61" s="3">
        <f t="shared" si="3"/>
        <v>15.491933384829668</v>
      </c>
      <c r="B61" s="3">
        <v>10.534166492103962</v>
      </c>
      <c r="C61" s="3">
        <v>240</v>
      </c>
    </row>
    <row r="62" spans="1:13" x14ac:dyDescent="0.2">
      <c r="A62" s="3">
        <f t="shared" si="3"/>
        <v>17.320508075688775</v>
      </c>
      <c r="B62" s="3">
        <v>10.975060883010897</v>
      </c>
      <c r="C62" s="3">
        <v>300</v>
      </c>
    </row>
    <row r="63" spans="1:13" x14ac:dyDescent="0.2">
      <c r="A63" s="3">
        <f t="shared" si="3"/>
        <v>18.973665961010276</v>
      </c>
      <c r="B63" s="3">
        <v>11.003505682424244</v>
      </c>
      <c r="C63" s="3">
        <v>360</v>
      </c>
    </row>
    <row r="65" spans="1:1" x14ac:dyDescent="0.2">
      <c r="A65" s="18" t="s">
        <v>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09514-8882-E542-82BD-67A960D2B2A4}">
  <dimension ref="A1:N13"/>
  <sheetViews>
    <sheetView zoomScale="119" workbookViewId="0">
      <selection activeCell="N5" sqref="N5"/>
    </sheetView>
  </sheetViews>
  <sheetFormatPr baseColWidth="10" defaultColWidth="11.1640625" defaultRowHeight="16" x14ac:dyDescent="0.2"/>
  <sheetData>
    <row r="1" spans="1:14" ht="85" x14ac:dyDescent="0.2">
      <c r="A1" s="1" t="s">
        <v>2</v>
      </c>
      <c r="B1" s="8" t="s">
        <v>17</v>
      </c>
      <c r="C1" s="5" t="s">
        <v>16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9" t="s">
        <v>48</v>
      </c>
      <c r="K1" s="5" t="s">
        <v>24</v>
      </c>
      <c r="L1" s="10"/>
      <c r="M1" s="10"/>
      <c r="N1" s="11"/>
    </row>
    <row r="2" spans="1:14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</row>
    <row r="3" spans="1:14" x14ac:dyDescent="0.2">
      <c r="A3" s="3" t="s">
        <v>88</v>
      </c>
      <c r="B3" s="3">
        <v>0.1678</v>
      </c>
      <c r="C3" s="3">
        <f xml:space="preserve"> 10/1000</f>
        <v>0.01</v>
      </c>
      <c r="D3" s="3">
        <f t="shared" ref="D3:D8" si="0" xml:space="preserve"> E3/(1000*$B$10)</f>
        <v>3.1314586334314521E-5</v>
      </c>
      <c r="E3" s="3">
        <v>15</v>
      </c>
      <c r="F3" s="3">
        <v>10</v>
      </c>
      <c r="G3" s="3">
        <f xml:space="preserve"> B3/($B$11*$B$13)</f>
        <v>2.1439589157065198E-6</v>
      </c>
      <c r="H3" s="3">
        <f t="shared" ref="H3:H8" si="1" xml:space="preserve"> G3*1000*$B$10</f>
        <v>1.02697776021258</v>
      </c>
      <c r="I3" s="3">
        <f xml:space="preserve"> H3*F3</f>
        <v>10.269777602125799</v>
      </c>
      <c r="J3" s="19">
        <f xml:space="preserve"> ((E3-I3)*$B$12)/C3</f>
        <v>9.4604447957484012</v>
      </c>
      <c r="K3" s="19">
        <f xml:space="preserve"> ((E3-I3)/E3)*100</f>
        <v>31.534815985828001</v>
      </c>
      <c r="L3" s="4"/>
      <c r="M3" s="4"/>
      <c r="N3" s="4"/>
    </row>
    <row r="4" spans="1:14" x14ac:dyDescent="0.2">
      <c r="A4" s="3" t="s">
        <v>88</v>
      </c>
      <c r="B4" s="3">
        <v>0.96389999999999998</v>
      </c>
      <c r="C4" s="3">
        <f xml:space="preserve"> 20/1000</f>
        <v>0.02</v>
      </c>
      <c r="D4" s="3">
        <f t="shared" si="0"/>
        <v>3.1314586334314521E-5</v>
      </c>
      <c r="E4" s="3">
        <v>15</v>
      </c>
      <c r="F4" s="3" t="s">
        <v>11</v>
      </c>
      <c r="G4" s="3">
        <f t="shared" ref="G4:G8" si="2" xml:space="preserve"> B4/($B$11*$B$13)</f>
        <v>1.2315625738078153E-5</v>
      </c>
      <c r="H4" s="3">
        <f t="shared" si="1"/>
        <v>5.8993078847968166</v>
      </c>
      <c r="I4" s="3">
        <f xml:space="preserve"> H4</f>
        <v>5.8993078847968166</v>
      </c>
      <c r="J4" s="19">
        <f t="shared" ref="J4:J8" si="3" xml:space="preserve"> ((E4-I4)*$B$12)/C4</f>
        <v>9.1006921152031843</v>
      </c>
      <c r="K4" s="19">
        <f t="shared" ref="K4:K8" si="4" xml:space="preserve"> ((E4-I4)/E4)*100</f>
        <v>60.671280768021226</v>
      </c>
      <c r="L4" s="4"/>
      <c r="M4" s="4"/>
      <c r="N4" s="4"/>
    </row>
    <row r="5" spans="1:14" x14ac:dyDescent="0.2">
      <c r="A5" s="3" t="s">
        <v>88</v>
      </c>
      <c r="B5" s="12">
        <v>3.4200000000000001E-2</v>
      </c>
      <c r="C5" s="3">
        <f xml:space="preserve"> 40/1000</f>
        <v>0.04</v>
      </c>
      <c r="D5" s="3">
        <f t="shared" si="0"/>
        <v>3.1314586334314521E-5</v>
      </c>
      <c r="E5" s="3">
        <v>15</v>
      </c>
      <c r="F5" s="3" t="s">
        <v>11</v>
      </c>
      <c r="G5" s="3">
        <f t="shared" si="2"/>
        <v>4.3696898043601294E-7</v>
      </c>
      <c r="H5" s="3">
        <f t="shared" si="1"/>
        <v>0.20931251131865455</v>
      </c>
      <c r="I5" s="3">
        <f xml:space="preserve"> H5</f>
        <v>0.20931251131865455</v>
      </c>
      <c r="J5" s="19">
        <f t="shared" si="3"/>
        <v>7.395343744340674</v>
      </c>
      <c r="K5" s="19">
        <f t="shared" si="4"/>
        <v>98.604583257875646</v>
      </c>
      <c r="L5" s="4"/>
      <c r="M5" s="4"/>
      <c r="N5" s="4"/>
    </row>
    <row r="6" spans="1:14" x14ac:dyDescent="0.2">
      <c r="A6" s="3" t="s">
        <v>88</v>
      </c>
      <c r="B6" s="12">
        <v>3.0499999999999999E-2</v>
      </c>
      <c r="C6" s="3">
        <f xml:space="preserve"> 60/1000</f>
        <v>0.06</v>
      </c>
      <c r="D6" s="3">
        <f t="shared" si="0"/>
        <v>3.1314586334314521E-5</v>
      </c>
      <c r="E6" s="3">
        <v>15</v>
      </c>
      <c r="F6" s="3" t="s">
        <v>11</v>
      </c>
      <c r="G6" s="3">
        <f t="shared" si="2"/>
        <v>3.8969455857597643E-7</v>
      </c>
      <c r="H6" s="3">
        <f t="shared" si="1"/>
        <v>0.18666759050347848</v>
      </c>
      <c r="I6" s="3">
        <f xml:space="preserve"> H6</f>
        <v>0.18666759050347848</v>
      </c>
      <c r="J6" s="19">
        <f t="shared" si="3"/>
        <v>4.9377774698321737</v>
      </c>
      <c r="K6" s="19">
        <f t="shared" si="4"/>
        <v>98.755549396643474</v>
      </c>
      <c r="L6" s="4"/>
      <c r="M6" s="4"/>
      <c r="N6" s="4"/>
    </row>
    <row r="7" spans="1:14" x14ac:dyDescent="0.2">
      <c r="A7" s="3" t="s">
        <v>88</v>
      </c>
      <c r="B7" s="12">
        <v>2.5399999999999999E-2</v>
      </c>
      <c r="C7" s="3">
        <f xml:space="preserve"> 80/1000</f>
        <v>0.08</v>
      </c>
      <c r="D7" s="3">
        <f t="shared" si="0"/>
        <v>3.1314586334314521E-5</v>
      </c>
      <c r="E7" s="3">
        <v>15</v>
      </c>
      <c r="F7" s="3" t="s">
        <v>11</v>
      </c>
      <c r="G7" s="3">
        <f t="shared" si="2"/>
        <v>3.2453251763376395E-7</v>
      </c>
      <c r="H7" s="3">
        <f t="shared" si="1"/>
        <v>0.15545432127174927</v>
      </c>
      <c r="I7" s="3">
        <f xml:space="preserve"> H7</f>
        <v>0.15545432127174927</v>
      </c>
      <c r="J7" s="19">
        <f t="shared" si="3"/>
        <v>3.7111364196820631</v>
      </c>
      <c r="K7" s="19">
        <f t="shared" si="4"/>
        <v>98.963637858188335</v>
      </c>
      <c r="L7" s="4"/>
      <c r="M7" s="4"/>
      <c r="N7" s="4"/>
    </row>
    <row r="8" spans="1:14" x14ac:dyDescent="0.2">
      <c r="A8" s="3" t="s">
        <v>88</v>
      </c>
      <c r="B8" s="12">
        <v>6.1000000000000004E-3</v>
      </c>
      <c r="C8" s="3">
        <f xml:space="preserve"> 100/1000</f>
        <v>0.1</v>
      </c>
      <c r="D8" s="3">
        <f t="shared" si="0"/>
        <v>3.1314586334314521E-5</v>
      </c>
      <c r="E8" s="3">
        <v>15</v>
      </c>
      <c r="F8" s="3" t="s">
        <v>11</v>
      </c>
      <c r="G8" s="3">
        <f t="shared" si="2"/>
        <v>7.7938911715195289E-8</v>
      </c>
      <c r="H8" s="3">
        <f t="shared" si="1"/>
        <v>3.7333518100695698E-2</v>
      </c>
      <c r="I8" s="3">
        <f xml:space="preserve"> H8</f>
        <v>3.7333518100695698E-2</v>
      </c>
      <c r="J8" s="19">
        <f t="shared" si="3"/>
        <v>2.992533296379861</v>
      </c>
      <c r="K8" s="19">
        <f t="shared" si="4"/>
        <v>99.751109879328709</v>
      </c>
      <c r="L8" s="4"/>
      <c r="M8" s="4"/>
      <c r="N8" s="4"/>
    </row>
    <row r="9" spans="1:14" x14ac:dyDescent="0.2">
      <c r="M9" t="s">
        <v>25</v>
      </c>
    </row>
    <row r="10" spans="1:14" ht="51" x14ac:dyDescent="0.2">
      <c r="A10" s="5" t="s">
        <v>13</v>
      </c>
      <c r="B10" s="3">
        <v>479.01</v>
      </c>
      <c r="C10" s="4"/>
      <c r="H10" s="4"/>
      <c r="I10" s="4"/>
      <c r="J10" s="4"/>
    </row>
    <row r="11" spans="1:14" ht="68" x14ac:dyDescent="0.2">
      <c r="A11" s="2" t="s">
        <v>14</v>
      </c>
      <c r="B11" s="3">
        <v>78266.425149617775</v>
      </c>
      <c r="C11" s="4"/>
    </row>
    <row r="12" spans="1:14" ht="17" x14ac:dyDescent="0.2">
      <c r="A12" s="2" t="s">
        <v>15</v>
      </c>
      <c r="B12" s="3">
        <f xml:space="preserve"> 20/1000</f>
        <v>0.02</v>
      </c>
      <c r="C12" s="4"/>
    </row>
    <row r="13" spans="1:14" ht="68" x14ac:dyDescent="0.2">
      <c r="A13" s="2" t="s">
        <v>26</v>
      </c>
      <c r="B13" s="3">
        <v>1</v>
      </c>
      <c r="C1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12DFD-9D9D-DE4F-92F3-9BEFA8E1DAD9}">
  <dimension ref="A1:J16"/>
  <sheetViews>
    <sheetView zoomScale="106" zoomScaleNormal="130" workbookViewId="0">
      <selection activeCell="S11" sqref="S11"/>
    </sheetView>
  </sheetViews>
  <sheetFormatPr baseColWidth="10" defaultColWidth="11.1640625" defaultRowHeight="16" x14ac:dyDescent="0.2"/>
  <cols>
    <col min="2" max="2" width="11.33203125" bestFit="1" customWidth="1"/>
    <col min="3" max="3" width="12.6640625" bestFit="1" customWidth="1"/>
    <col min="4" max="4" width="11.33203125" bestFit="1" customWidth="1"/>
    <col min="5" max="5" width="12.6640625" bestFit="1" customWidth="1"/>
    <col min="6" max="7" width="11.33203125" bestFit="1" customWidth="1"/>
    <col min="8" max="8" width="14.33203125" customWidth="1"/>
    <col min="9" max="10" width="11.33203125" bestFit="1" customWidth="1"/>
  </cols>
  <sheetData>
    <row r="1" spans="1:10" ht="85" x14ac:dyDescent="0.2">
      <c r="A1" s="1" t="s">
        <v>2</v>
      </c>
      <c r="B1" s="5" t="s">
        <v>17</v>
      </c>
      <c r="C1" s="5" t="s">
        <v>18</v>
      </c>
      <c r="D1" s="5" t="s">
        <v>19</v>
      </c>
      <c r="E1" s="5" t="s">
        <v>21</v>
      </c>
      <c r="F1" s="5" t="s">
        <v>22</v>
      </c>
      <c r="G1" s="5" t="s">
        <v>20</v>
      </c>
      <c r="H1" s="5" t="s">
        <v>56</v>
      </c>
      <c r="I1" s="9" t="s">
        <v>48</v>
      </c>
      <c r="J1" s="5" t="s">
        <v>24</v>
      </c>
    </row>
    <row r="2" spans="1:10" x14ac:dyDescent="0.2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x14ac:dyDescent="0.2">
      <c r="A3" s="3" t="s">
        <v>88</v>
      </c>
      <c r="B3" s="20">
        <v>2.497257814455808E-3</v>
      </c>
      <c r="C3" s="3">
        <f t="shared" ref="C3:C10" si="0" xml:space="preserve"> D3/(1000*$B$12)</f>
        <v>2.9226947245360224E-7</v>
      </c>
      <c r="D3" s="3">
        <v>0.14000000000000001</v>
      </c>
      <c r="E3" s="3">
        <f t="shared" ref="E3:E10" si="1" xml:space="preserve"> B3/($B$13*$B$16)</f>
        <v>3.1907140381967583E-8</v>
      </c>
      <c r="F3" s="3">
        <f xml:space="preserve"> E3*1000*$B$12</f>
        <v>1.5283839314366292E-2</v>
      </c>
      <c r="G3" s="3" t="s">
        <v>11</v>
      </c>
      <c r="H3" s="3">
        <v>1.5283839314366301E-2</v>
      </c>
      <c r="I3" s="19">
        <f t="shared" ref="I3:I10" si="2" xml:space="preserve"> ((D3-H3)*$B$14)/$B$15</f>
        <v>0.12471616068563372</v>
      </c>
      <c r="J3" s="19">
        <f xml:space="preserve"> ((D3-H3)/D3)*100</f>
        <v>89.082971918309781</v>
      </c>
    </row>
    <row r="4" spans="1:10" x14ac:dyDescent="0.2">
      <c r="A4" s="3" t="s">
        <v>88</v>
      </c>
      <c r="B4" s="20">
        <v>3.4189786147757694E-3</v>
      </c>
      <c r="C4" s="3">
        <f t="shared" si="0"/>
        <v>5.2190977223857542E-7</v>
      </c>
      <c r="D4" s="3">
        <v>0.25</v>
      </c>
      <c r="E4" s="3">
        <f t="shared" si="1"/>
        <v>4.368384793636853E-8</v>
      </c>
      <c r="F4" s="3">
        <f t="shared" ref="F4:F10" si="3" xml:space="preserve"> E4*1000*$B$12</f>
        <v>2.0924999999999888E-2</v>
      </c>
      <c r="G4" s="3" t="s">
        <v>11</v>
      </c>
      <c r="H4" s="3">
        <v>2.0924999999999899E-2</v>
      </c>
      <c r="I4" s="19">
        <f t="shared" si="2"/>
        <v>0.22907500000000011</v>
      </c>
      <c r="J4" s="19">
        <f t="shared" ref="J4:J10" si="4" xml:space="preserve"> ((D4-H4)/D4)*100</f>
        <v>91.630000000000038</v>
      </c>
    </row>
    <row r="5" spans="1:10" x14ac:dyDescent="0.2">
      <c r="A5" s="3" t="s">
        <v>88</v>
      </c>
      <c r="B5" s="20">
        <v>5.7717614548756608E-3</v>
      </c>
      <c r="C5" s="3">
        <f t="shared" si="0"/>
        <v>1.0438195444771508E-6</v>
      </c>
      <c r="D5" s="3">
        <v>0.5</v>
      </c>
      <c r="E5" s="3">
        <f t="shared" si="1"/>
        <v>7.3745050241069573E-8</v>
      </c>
      <c r="F5" s="3">
        <f t="shared" si="3"/>
        <v>3.5324616515974731E-2</v>
      </c>
      <c r="G5" s="3" t="s">
        <v>11</v>
      </c>
      <c r="H5" s="3">
        <v>3.5324616515974801E-2</v>
      </c>
      <c r="I5" s="19">
        <f t="shared" si="2"/>
        <v>0.46467538348402526</v>
      </c>
      <c r="J5" s="19">
        <f t="shared" si="4"/>
        <v>92.935076696805041</v>
      </c>
    </row>
    <row r="6" spans="1:10" x14ac:dyDescent="0.2">
      <c r="A6" s="3" t="s">
        <v>88</v>
      </c>
      <c r="B6" s="20">
        <v>7.6631217176362371E-3</v>
      </c>
      <c r="C6" s="3">
        <f t="shared" si="0"/>
        <v>1.5657293167157263E-6</v>
      </c>
      <c r="D6" s="3">
        <v>0.75</v>
      </c>
      <c r="E6" s="3">
        <f t="shared" si="1"/>
        <v>9.7910715903398299E-8</v>
      </c>
      <c r="F6" s="3">
        <f t="shared" si="3"/>
        <v>4.6900212024886818E-2</v>
      </c>
      <c r="G6" s="3" t="s">
        <v>11</v>
      </c>
      <c r="H6" s="3">
        <v>4.6900212024886798E-2</v>
      </c>
      <c r="I6" s="19">
        <f t="shared" si="2"/>
        <v>0.70309978797511319</v>
      </c>
      <c r="J6" s="19">
        <f t="shared" si="4"/>
        <v>93.74663839668176</v>
      </c>
    </row>
    <row r="7" spans="1:10" x14ac:dyDescent="0.2">
      <c r="A7" s="3" t="s">
        <v>88</v>
      </c>
      <c r="B7" s="20">
        <v>8.6343865217844862E-3</v>
      </c>
      <c r="C7" s="3">
        <f t="shared" si="0"/>
        <v>2.0876390889543017E-6</v>
      </c>
      <c r="D7" s="3">
        <v>1</v>
      </c>
      <c r="E7" s="3">
        <f t="shared" si="1"/>
        <v>1.1032044079228635E-7</v>
      </c>
      <c r="F7" s="3">
        <f t="shared" si="3"/>
        <v>5.2844594343913087E-2</v>
      </c>
      <c r="G7" s="3" t="s">
        <v>11</v>
      </c>
      <c r="H7" s="3">
        <v>5.2844594343913198E-2</v>
      </c>
      <c r="I7" s="19">
        <f t="shared" si="2"/>
        <v>0.94715540565608691</v>
      </c>
      <c r="J7" s="19">
        <f t="shared" si="4"/>
        <v>94.715540565608677</v>
      </c>
    </row>
    <row r="8" spans="1:10" x14ac:dyDescent="0.2">
      <c r="A8" s="3" t="s">
        <v>88</v>
      </c>
      <c r="B8" s="20">
        <v>9.8852363318136863E-3</v>
      </c>
      <c r="C8" s="3">
        <f t="shared" si="0"/>
        <v>1.0438195444771508E-5</v>
      </c>
      <c r="D8" s="3">
        <v>5</v>
      </c>
      <c r="E8" s="3">
        <f t="shared" si="1"/>
        <v>1.2630238717136153E-7</v>
      </c>
      <c r="F8" s="3">
        <f t="shared" si="3"/>
        <v>6.0500106478953881E-2</v>
      </c>
      <c r="G8" s="3" t="s">
        <v>11</v>
      </c>
      <c r="H8" s="3">
        <v>6.0500106478954298E-2</v>
      </c>
      <c r="I8" s="19">
        <f t="shared" si="2"/>
        <v>4.9394998935210461</v>
      </c>
      <c r="J8" s="19">
        <f t="shared" si="4"/>
        <v>98.789997870420919</v>
      </c>
    </row>
    <row r="9" spans="1:10" x14ac:dyDescent="0.2">
      <c r="A9" s="3" t="s">
        <v>88</v>
      </c>
      <c r="B9" s="20">
        <v>0.41352019640821602</v>
      </c>
      <c r="C9" s="3">
        <f t="shared" si="0"/>
        <v>2.0876390889543015E-5</v>
      </c>
      <c r="D9" s="3">
        <v>10</v>
      </c>
      <c r="E9" s="3">
        <f t="shared" si="1"/>
        <v>5.283494111500454E-6</v>
      </c>
      <c r="F9" s="3">
        <f t="shared" si="3"/>
        <v>2.5308465143498324</v>
      </c>
      <c r="G9" s="3" t="s">
        <v>11</v>
      </c>
      <c r="H9" s="3">
        <v>2.5308465143498324</v>
      </c>
      <c r="I9" s="19">
        <f t="shared" si="2"/>
        <v>7.4691534856501676</v>
      </c>
      <c r="J9" s="19">
        <f t="shared" si="4"/>
        <v>74.691534856501676</v>
      </c>
    </row>
    <row r="10" spans="1:10" x14ac:dyDescent="0.2">
      <c r="A10" s="3" t="s">
        <v>88</v>
      </c>
      <c r="B10" s="20">
        <v>1.1420000000000001</v>
      </c>
      <c r="C10" s="3">
        <f t="shared" si="0"/>
        <v>3.1314586334314521E-5</v>
      </c>
      <c r="D10" s="3">
        <v>15</v>
      </c>
      <c r="E10" s="3">
        <f t="shared" si="1"/>
        <v>1.4591186422675141E-5</v>
      </c>
      <c r="F10" s="3">
        <f t="shared" si="3"/>
        <v>6.9893242083256197</v>
      </c>
      <c r="G10" s="3">
        <v>10</v>
      </c>
      <c r="H10" s="3">
        <v>6.9893242083256188</v>
      </c>
      <c r="I10" s="19">
        <f t="shared" si="2"/>
        <v>8.0106757916743803</v>
      </c>
      <c r="J10" s="19">
        <f t="shared" si="4"/>
        <v>53.404505277829209</v>
      </c>
    </row>
    <row r="12" spans="1:10" ht="51" x14ac:dyDescent="0.2">
      <c r="A12" s="5" t="s">
        <v>13</v>
      </c>
      <c r="B12" s="3">
        <v>479.01</v>
      </c>
      <c r="F12" s="4"/>
      <c r="G12" s="4"/>
      <c r="H12" s="4"/>
      <c r="I12" s="4"/>
    </row>
    <row r="13" spans="1:10" ht="68" x14ac:dyDescent="0.2">
      <c r="A13" s="2" t="s">
        <v>14</v>
      </c>
      <c r="B13" s="3">
        <v>78266.425149999995</v>
      </c>
    </row>
    <row r="14" spans="1:10" ht="17" x14ac:dyDescent="0.2">
      <c r="A14" s="2" t="s">
        <v>15</v>
      </c>
      <c r="B14" s="3">
        <f xml:space="preserve"> 20/1000</f>
        <v>0.02</v>
      </c>
    </row>
    <row r="15" spans="1:10" ht="34" x14ac:dyDescent="0.2">
      <c r="A15" s="2" t="s">
        <v>16</v>
      </c>
      <c r="B15" s="3">
        <f xml:space="preserve"> 20/1000</f>
        <v>0.02</v>
      </c>
    </row>
    <row r="16" spans="1:10" ht="68" x14ac:dyDescent="0.2">
      <c r="A16" s="2" t="s">
        <v>26</v>
      </c>
      <c r="B16" s="3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F3B4E-DC48-42E3-A8D0-1E8506AAA122}">
  <dimension ref="A1:AC62"/>
  <sheetViews>
    <sheetView tabSelected="1" topLeftCell="A36" zoomScale="109" zoomScaleNormal="160" workbookViewId="0">
      <selection activeCell="Q52" sqref="Q52"/>
    </sheetView>
  </sheetViews>
  <sheetFormatPr baseColWidth="10" defaultColWidth="8.83203125" defaultRowHeight="16" x14ac:dyDescent="0.2"/>
  <cols>
    <col min="1" max="1" width="16.1640625" customWidth="1"/>
    <col min="2" max="2" width="13.5" customWidth="1"/>
    <col min="3" max="3" width="16.5" customWidth="1"/>
    <col min="4" max="4" width="13.6640625" customWidth="1"/>
    <col min="6" max="6" width="19.1640625" customWidth="1"/>
  </cols>
  <sheetData>
    <row r="1" spans="1:29" x14ac:dyDescent="0.2">
      <c r="A1" s="7" t="s">
        <v>35</v>
      </c>
      <c r="B1" s="7" t="s">
        <v>12</v>
      </c>
      <c r="C1" s="7" t="s">
        <v>36</v>
      </c>
      <c r="D1" s="7" t="s">
        <v>47</v>
      </c>
      <c r="E1" s="7" t="s">
        <v>37</v>
      </c>
      <c r="H1" t="s">
        <v>47</v>
      </c>
      <c r="I1" t="s">
        <v>12</v>
      </c>
      <c r="K1" t="s">
        <v>89</v>
      </c>
      <c r="L1" t="s">
        <v>90</v>
      </c>
    </row>
    <row r="2" spans="1:29" x14ac:dyDescent="0.2">
      <c r="A2" s="7"/>
      <c r="B2" s="7"/>
      <c r="C2" s="7"/>
      <c r="D2" s="7"/>
      <c r="E2" s="7"/>
    </row>
    <row r="3" spans="1:29" x14ac:dyDescent="0.2">
      <c r="A3" s="7">
        <v>1.5283839314366301E-2</v>
      </c>
      <c r="B3" s="7">
        <v>0.12471616068563372</v>
      </c>
      <c r="C3" s="7">
        <f xml:space="preserve"> A3/B3</f>
        <v>0.12254898828141102</v>
      </c>
      <c r="D3" s="7">
        <f xml:space="preserve"> LN(A3)</f>
        <v>-4.1809592627760743</v>
      </c>
      <c r="E3" s="7">
        <f xml:space="preserve"> LN(B3)</f>
        <v>-2.0817148381763393</v>
      </c>
      <c r="H3">
        <v>-4.1809592627760743</v>
      </c>
      <c r="I3">
        <v>0.12471616068563372</v>
      </c>
      <c r="K3">
        <f xml:space="preserve"> 1/A3</f>
        <v>65.428586327784359</v>
      </c>
      <c r="L3">
        <f xml:space="preserve"> 1/B3</f>
        <v>8.0182070591529353</v>
      </c>
    </row>
    <row r="4" spans="1:29" x14ac:dyDescent="0.2">
      <c r="A4" s="7">
        <v>2.0924999999999899E-2</v>
      </c>
      <c r="B4" s="7">
        <v>0.22907500000000011</v>
      </c>
      <c r="C4" s="7">
        <f t="shared" ref="C4:C10" si="0" xml:space="preserve"> A4/B4</f>
        <v>9.1345629160754727E-2</v>
      </c>
      <c r="D4" s="7">
        <f t="shared" ref="D4:D10" si="1" xml:space="preserve"> LN(A4)</f>
        <v>-3.866810662606603</v>
      </c>
      <c r="E4" s="7">
        <f t="shared" ref="E4:E10" si="2" xml:space="preserve"> LN(B4)</f>
        <v>-1.4737058181308595</v>
      </c>
      <c r="F4" s="16" t="s">
        <v>39</v>
      </c>
      <c r="H4">
        <v>-3.866810662606603</v>
      </c>
      <c r="I4">
        <v>0.22907500000000011</v>
      </c>
      <c r="K4">
        <f t="shared" ref="K4:K10" si="3" xml:space="preserve"> 1/A4</f>
        <v>47.789725209080281</v>
      </c>
      <c r="L4">
        <f t="shared" ref="L4:L10" si="4" xml:space="preserve"> 1/B4</f>
        <v>4.3653825166430185</v>
      </c>
    </row>
    <row r="5" spans="1:29" x14ac:dyDescent="0.2">
      <c r="A5" s="7">
        <v>3.5324616515974801E-2</v>
      </c>
      <c r="B5" s="7">
        <v>0.46467538348402526</v>
      </c>
      <c r="C5" s="7">
        <f t="shared" si="0"/>
        <v>7.601998679404802E-2</v>
      </c>
      <c r="D5" s="7">
        <f t="shared" si="1"/>
        <v>-3.3431752063522886</v>
      </c>
      <c r="E5" s="7">
        <f t="shared" si="2"/>
        <v>-0.76641621721442832</v>
      </c>
      <c r="H5">
        <v>-3.3431752063522886</v>
      </c>
      <c r="I5">
        <v>0.46467538348402526</v>
      </c>
      <c r="K5">
        <f t="shared" si="3"/>
        <v>28.308870658164722</v>
      </c>
      <c r="L5">
        <f t="shared" si="4"/>
        <v>2.1520399735880957</v>
      </c>
    </row>
    <row r="6" spans="1:29" x14ac:dyDescent="0.2">
      <c r="A6" s="7">
        <v>4.6900212024886798E-2</v>
      </c>
      <c r="B6" s="7">
        <v>0.70309978797511319</v>
      </c>
      <c r="C6" s="7">
        <f t="shared" si="0"/>
        <v>6.6704915613695043E-2</v>
      </c>
      <c r="D6" s="7">
        <f t="shared" si="1"/>
        <v>-3.0597330827536231</v>
      </c>
      <c r="E6" s="7">
        <f t="shared" si="2"/>
        <v>-0.35225645133429462</v>
      </c>
      <c r="H6">
        <v>-3.0597330827536231</v>
      </c>
      <c r="I6">
        <v>0.70309978797511319</v>
      </c>
      <c r="K6">
        <f t="shared" si="3"/>
        <v>21.321865228868624</v>
      </c>
      <c r="L6">
        <f t="shared" si="4"/>
        <v>1.42227322081826</v>
      </c>
    </row>
    <row r="7" spans="1:29" x14ac:dyDescent="0.2">
      <c r="A7" s="7">
        <v>5.2844594343913198E-2</v>
      </c>
      <c r="B7" s="7">
        <v>0.94715540565608691</v>
      </c>
      <c r="C7" s="7">
        <f t="shared" si="0"/>
        <v>5.5792950162500708E-2</v>
      </c>
      <c r="D7" s="7">
        <f t="shared" si="1"/>
        <v>-2.9403998548883878</v>
      </c>
      <c r="E7" s="7">
        <f t="shared" si="2"/>
        <v>-5.4292096137975254E-2</v>
      </c>
      <c r="H7">
        <v>-2.9403998548883878</v>
      </c>
      <c r="I7">
        <v>0.94715540565608691</v>
      </c>
      <c r="K7">
        <f t="shared" si="3"/>
        <v>18.923411418242498</v>
      </c>
      <c r="L7">
        <f t="shared" si="4"/>
        <v>1.0557929501625005</v>
      </c>
    </row>
    <row r="8" spans="1:29" x14ac:dyDescent="0.2">
      <c r="A8" s="7">
        <v>6.0500106478954298E-2</v>
      </c>
      <c r="B8" s="7">
        <v>4.9394998935210461</v>
      </c>
      <c r="C8" s="7">
        <f t="shared" si="0"/>
        <v>1.2248225080095656E-2</v>
      </c>
      <c r="D8" s="7">
        <f t="shared" si="1"/>
        <v>-2.8051101539641743</v>
      </c>
      <c r="E8" s="7">
        <f t="shared" si="2"/>
        <v>1.5972640899457655</v>
      </c>
      <c r="H8">
        <v>-2.8051101539641743</v>
      </c>
      <c r="I8">
        <v>4.9394998935210461</v>
      </c>
      <c r="K8">
        <f t="shared" si="3"/>
        <v>16.528896529262511</v>
      </c>
      <c r="L8">
        <f t="shared" si="4"/>
        <v>0.20244964501601911</v>
      </c>
    </row>
    <row r="9" spans="1:29" x14ac:dyDescent="0.2">
      <c r="A9" s="7">
        <v>2.5308465143498324</v>
      </c>
      <c r="B9" s="7">
        <v>7.4691534856501676</v>
      </c>
      <c r="C9" s="7">
        <f t="shared" si="0"/>
        <v>0.33883980550301007</v>
      </c>
      <c r="D9" s="7">
        <f t="shared" si="1"/>
        <v>0.92855383742856712</v>
      </c>
      <c r="E9" s="7">
        <f t="shared" si="2"/>
        <v>2.0107816708558706</v>
      </c>
      <c r="H9">
        <v>0.92855383742856712</v>
      </c>
      <c r="I9">
        <v>7.4691534856501676</v>
      </c>
      <c r="K9">
        <f t="shared" si="3"/>
        <v>0.39512471196100851</v>
      </c>
      <c r="L9">
        <f t="shared" si="4"/>
        <v>0.13388398055030101</v>
      </c>
    </row>
    <row r="10" spans="1:29" x14ac:dyDescent="0.2">
      <c r="A10" s="7">
        <v>6.9893242083256188</v>
      </c>
      <c r="B10" s="7">
        <v>8.0106757916743803</v>
      </c>
      <c r="C10" s="7">
        <f t="shared" si="0"/>
        <v>0.8725011959152974</v>
      </c>
      <c r="D10" s="7">
        <f t="shared" si="1"/>
        <v>1.9443838717901849</v>
      </c>
      <c r="E10" s="7">
        <f t="shared" si="2"/>
        <v>2.0807751260201206</v>
      </c>
      <c r="H10">
        <v>1.9443838717901849</v>
      </c>
      <c r="I10">
        <v>8.0106757916743803</v>
      </c>
      <c r="K10">
        <f t="shared" si="3"/>
        <v>0.14307534894558321</v>
      </c>
      <c r="L10">
        <f t="shared" si="4"/>
        <v>0.12483341306101983</v>
      </c>
    </row>
    <row r="13" spans="1:29" x14ac:dyDescent="0.2">
      <c r="A13" s="10"/>
      <c r="B13" s="11"/>
      <c r="AB13" t="s">
        <v>42</v>
      </c>
      <c r="AC13">
        <f xml:space="preserve"> (8.314*298.15)/1.3742</f>
        <v>1803.8270266336774</v>
      </c>
    </row>
    <row r="14" spans="1:29" x14ac:dyDescent="0.2">
      <c r="A14" s="4" t="s">
        <v>45</v>
      </c>
      <c r="B14" s="4">
        <f xml:space="preserve"> 1/0.1147</f>
        <v>8.7183958151700089</v>
      </c>
      <c r="AB14" t="s">
        <v>43</v>
      </c>
      <c r="AC14">
        <f xml:space="preserve"> EXP(5.8368/1.3742)</f>
        <v>69.924541273010504</v>
      </c>
    </row>
    <row r="15" spans="1:29" x14ac:dyDescent="0.2">
      <c r="A15" s="4" t="s">
        <v>71</v>
      </c>
      <c r="B15" s="4">
        <f xml:space="preserve"> 1/(B14*0.0647)</f>
        <v>1.7727975270479137</v>
      </c>
    </row>
    <row r="16" spans="1:29" x14ac:dyDescent="0.2">
      <c r="A16" s="4"/>
      <c r="B16" s="4"/>
    </row>
    <row r="17" spans="1:23" x14ac:dyDescent="0.2">
      <c r="A17" s="18" t="s">
        <v>38</v>
      </c>
      <c r="B17" s="4"/>
    </row>
    <row r="18" spans="1:23" x14ac:dyDescent="0.2">
      <c r="A18" s="4"/>
      <c r="B18" s="4"/>
    </row>
    <row r="19" spans="1:23" x14ac:dyDescent="0.2">
      <c r="A19" s="4"/>
      <c r="B19" s="4"/>
    </row>
    <row r="20" spans="1:23" x14ac:dyDescent="0.2">
      <c r="A20" s="4"/>
      <c r="B20" s="4"/>
    </row>
    <row r="21" spans="1:23" x14ac:dyDescent="0.2">
      <c r="A21" s="4"/>
      <c r="B21" s="4"/>
    </row>
    <row r="22" spans="1:23" x14ac:dyDescent="0.2">
      <c r="A22" s="4"/>
      <c r="B22" s="4"/>
    </row>
    <row r="26" spans="1:23" x14ac:dyDescent="0.2">
      <c r="M26" t="s">
        <v>40</v>
      </c>
      <c r="N26">
        <f xml:space="preserve"> 1/0.593</f>
        <v>1.6863406408094437</v>
      </c>
      <c r="O26" t="s">
        <v>44</v>
      </c>
      <c r="P26" t="s">
        <v>40</v>
      </c>
      <c r="Q26">
        <f xml:space="preserve"> -1/0.593</f>
        <v>-1.6863406408094437</v>
      </c>
    </row>
    <row r="27" spans="1:23" x14ac:dyDescent="0.2">
      <c r="M27" t="s">
        <v>72</v>
      </c>
      <c r="N27">
        <f xml:space="preserve"> EXP(1.4041)</f>
        <v>4.0718604172936503</v>
      </c>
      <c r="P27" t="s">
        <v>73</v>
      </c>
      <c r="Q27">
        <f xml:space="preserve"> EXP(Q26*1.4041)</f>
        <v>9.3687463401807933E-2</v>
      </c>
    </row>
    <row r="28" spans="1:23" x14ac:dyDescent="0.2">
      <c r="A28" t="s">
        <v>57</v>
      </c>
      <c r="B28" t="s">
        <v>37</v>
      </c>
      <c r="C28" t="s">
        <v>35</v>
      </c>
      <c r="D28" t="s">
        <v>31</v>
      </c>
      <c r="E28">
        <v>8.3140000000000001</v>
      </c>
    </row>
    <row r="29" spans="1:23" x14ac:dyDescent="0.2">
      <c r="D29" t="s">
        <v>41</v>
      </c>
      <c r="E29">
        <v>298.14999999999998</v>
      </c>
    </row>
    <row r="30" spans="1:23" x14ac:dyDescent="0.2">
      <c r="A30">
        <f xml:space="preserve"> ($E$28*$E$29*LN((1/C30)+1))^2</f>
        <v>113295060.52564003</v>
      </c>
      <c r="B30">
        <v>-2.3314141050475716</v>
      </c>
      <c r="C30">
        <v>1.3839314366359504E-2</v>
      </c>
      <c r="W30" s="16" t="s">
        <v>84</v>
      </c>
    </row>
    <row r="31" spans="1:23" x14ac:dyDescent="0.2">
      <c r="A31">
        <f t="shared" ref="A31:A37" si="5" xml:space="preserve"> ($E$28*$E$29*LN((1/C31)+1))^2</f>
        <v>84737057.782797247</v>
      </c>
      <c r="B31">
        <v>-1.6195999483943175</v>
      </c>
      <c r="C31">
        <v>2.4999999999999942E-2</v>
      </c>
    </row>
    <row r="32" spans="1:23" x14ac:dyDescent="0.2">
      <c r="A32">
        <f t="shared" si="5"/>
        <v>54738503.849676341</v>
      </c>
      <c r="B32">
        <v>-0.80574754111765801</v>
      </c>
      <c r="C32">
        <v>5.324616515974858E-2</v>
      </c>
    </row>
    <row r="33" spans="1:13" x14ac:dyDescent="0.2">
      <c r="A33">
        <f t="shared" si="5"/>
        <v>46142352.063500851</v>
      </c>
      <c r="B33">
        <v>-0.3841960862719338</v>
      </c>
      <c r="C33">
        <v>6.9002120248868898E-2</v>
      </c>
    </row>
    <row r="34" spans="1:13" x14ac:dyDescent="0.2">
      <c r="A34">
        <f t="shared" si="5"/>
        <v>40035336.430534601</v>
      </c>
      <c r="B34">
        <v>-8.8240606063667196E-2</v>
      </c>
      <c r="C34">
        <v>8.4459434391325333E-2</v>
      </c>
    </row>
    <row r="35" spans="1:13" x14ac:dyDescent="0.2">
      <c r="A35">
        <f t="shared" si="5"/>
        <v>7811086.3603159338</v>
      </c>
      <c r="B35">
        <v>1.5812586504282782</v>
      </c>
      <c r="C35">
        <v>0.47895435919082568</v>
      </c>
    </row>
    <row r="36" spans="1:13" x14ac:dyDescent="0.2">
      <c r="A36">
        <f t="shared" si="5"/>
        <v>681296.10408714809</v>
      </c>
      <c r="B36">
        <v>1.8309351645291605</v>
      </c>
      <c r="C36">
        <v>2.5308465143498324</v>
      </c>
      <c r="M36">
        <f xml:space="preserve"> EXP(1.7562)</f>
        <v>5.7903920449956292</v>
      </c>
    </row>
    <row r="37" spans="1:13" x14ac:dyDescent="0.2">
      <c r="A37">
        <f t="shared" si="5"/>
        <v>109874.61693179437</v>
      </c>
      <c r="B37">
        <v>2.0807751260201206</v>
      </c>
      <c r="C37">
        <v>6.9893242083256188</v>
      </c>
    </row>
    <row r="44" spans="1:13" x14ac:dyDescent="0.2">
      <c r="H44" s="16" t="s">
        <v>85</v>
      </c>
    </row>
    <row r="46" spans="1:13" ht="17" x14ac:dyDescent="0.2">
      <c r="A46" s="11" t="s">
        <v>12</v>
      </c>
      <c r="B46" s="11" t="s">
        <v>35</v>
      </c>
      <c r="C46" t="s">
        <v>45</v>
      </c>
      <c r="D46" t="s">
        <v>46</v>
      </c>
      <c r="E46" t="s">
        <v>47</v>
      </c>
      <c r="F46" t="s">
        <v>46</v>
      </c>
    </row>
    <row r="48" spans="1:13" x14ac:dyDescent="0.2">
      <c r="A48">
        <v>9.7158257917443674E-2</v>
      </c>
      <c r="B48">
        <v>1.3839314366359504E-2</v>
      </c>
      <c r="C48">
        <v>8.1142191100000005</v>
      </c>
      <c r="D48">
        <f xml:space="preserve"> LN(A48/($C$48-A48))</f>
        <v>-4.4129859824603397</v>
      </c>
      <c r="E48">
        <f xml:space="preserve"> LN(B48)</f>
        <v>-4.2802418700226861</v>
      </c>
      <c r="F48">
        <f xml:space="preserve"> D48</f>
        <v>-4.4129859824603397</v>
      </c>
    </row>
    <row r="49" spans="1:16" x14ac:dyDescent="0.2">
      <c r="A49">
        <v>0.19797788461403876</v>
      </c>
      <c r="B49">
        <v>2.4999999999999942E-2</v>
      </c>
      <c r="C49">
        <v>8.1142191100000005</v>
      </c>
      <c r="D49">
        <f t="shared" ref="D49:D55" si="6" xml:space="preserve"> LN(A49/($C$48-A49))</f>
        <v>-3.6885164488115683</v>
      </c>
      <c r="E49">
        <f t="shared" ref="E49:E55" si="7" xml:space="preserve"> LN(B49)</f>
        <v>-3.6888794541139385</v>
      </c>
      <c r="F49">
        <f t="shared" ref="F49:F55" si="8" xml:space="preserve"> D49</f>
        <v>-3.6885164488115683</v>
      </c>
    </row>
    <row r="50" spans="1:16" x14ac:dyDescent="0.2">
      <c r="A50">
        <v>0.44675383484025144</v>
      </c>
      <c r="B50">
        <v>5.324616515974858E-2</v>
      </c>
      <c r="C50">
        <v>8.1142191100000005</v>
      </c>
      <c r="D50">
        <f t="shared" si="6"/>
        <v>-2.8427336292789476</v>
      </c>
      <c r="E50">
        <f t="shared" si="7"/>
        <v>-2.9328294927652325</v>
      </c>
      <c r="F50">
        <f t="shared" si="8"/>
        <v>-2.8427336292789476</v>
      </c>
    </row>
    <row r="51" spans="1:16" x14ac:dyDescent="0.2">
      <c r="A51">
        <v>0.68099787975113113</v>
      </c>
      <c r="B51">
        <v>6.9002120248868898E-2</v>
      </c>
      <c r="C51">
        <v>8.1142191100000005</v>
      </c>
      <c r="D51">
        <f t="shared" si="6"/>
        <v>-2.3901553948237364</v>
      </c>
      <c r="E51">
        <f t="shared" si="7"/>
        <v>-2.6736180466125039</v>
      </c>
      <c r="F51">
        <f t="shared" si="8"/>
        <v>-2.3901553948237364</v>
      </c>
    </row>
    <row r="52" spans="1:16" x14ac:dyDescent="0.2">
      <c r="A52">
        <v>0.91554056560867469</v>
      </c>
      <c r="B52">
        <v>8.4459434391325333E-2</v>
      </c>
      <c r="C52">
        <v>8.1142191100000005</v>
      </c>
      <c r="D52">
        <f t="shared" si="6"/>
        <v>-2.0621380797397708</v>
      </c>
      <c r="E52">
        <f t="shared" si="7"/>
        <v>-2.4714839262626116</v>
      </c>
      <c r="F52">
        <f t="shared" si="8"/>
        <v>-2.0621380797397708</v>
      </c>
    </row>
    <row r="53" spans="1:16" x14ac:dyDescent="0.2">
      <c r="A53">
        <v>4.8610703506751385</v>
      </c>
      <c r="B53">
        <v>0.47895435919082568</v>
      </c>
      <c r="C53">
        <v>8.1142191100000005</v>
      </c>
      <c r="D53">
        <f t="shared" si="6"/>
        <v>0.40163527409488975</v>
      </c>
      <c r="E53">
        <f t="shared" si="7"/>
        <v>-0.73614996963744539</v>
      </c>
      <c r="F53">
        <f t="shared" si="8"/>
        <v>0.40163527409488975</v>
      </c>
    </row>
    <row r="54" spans="1:16" x14ac:dyDescent="0.2">
      <c r="A54">
        <v>6.2397190949253414</v>
      </c>
      <c r="B54">
        <v>2.5308465143498324</v>
      </c>
      <c r="C54">
        <v>8.1142191100000005</v>
      </c>
      <c r="D54">
        <f t="shared" si="6"/>
        <v>1.2025931992933681</v>
      </c>
      <c r="E54">
        <f t="shared" si="7"/>
        <v>0.92855383742856712</v>
      </c>
      <c r="F54">
        <f t="shared" si="8"/>
        <v>1.2025931992933681</v>
      </c>
      <c r="O54" t="s">
        <v>40</v>
      </c>
      <c r="P54">
        <f xml:space="preserve"> 1/1.2987</f>
        <v>0.77000077000077005</v>
      </c>
    </row>
    <row r="55" spans="1:16" x14ac:dyDescent="0.2">
      <c r="A55">
        <v>8.0106757916743803</v>
      </c>
      <c r="B55">
        <v>6.9893242083256188</v>
      </c>
      <c r="C55">
        <v>8.1142191100000005</v>
      </c>
      <c r="D55">
        <f t="shared" si="6"/>
        <v>4.3485403453109308</v>
      </c>
      <c r="E55">
        <f t="shared" si="7"/>
        <v>1.9443838717901849</v>
      </c>
      <c r="F55">
        <f t="shared" si="8"/>
        <v>4.3485403453109308</v>
      </c>
      <c r="O55" t="s">
        <v>74</v>
      </c>
      <c r="P55">
        <f xml:space="preserve"> EXP(P54*1.0777)</f>
        <v>2.2929285190268471</v>
      </c>
    </row>
    <row r="62" spans="1:16" x14ac:dyDescent="0.2">
      <c r="K62" s="16" t="s">
        <v>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CA952-F37E-4774-ABD3-F01E1A1A67A6}">
  <dimension ref="A1:Y18"/>
  <sheetViews>
    <sheetView zoomScale="123" workbookViewId="0">
      <selection activeCell="H3" sqref="H3:I5"/>
    </sheetView>
  </sheetViews>
  <sheetFormatPr baseColWidth="10" defaultColWidth="11.1640625" defaultRowHeight="16" x14ac:dyDescent="0.2"/>
  <cols>
    <col min="21" max="21" width="13.33203125" customWidth="1"/>
    <col min="25" max="25" width="15.1640625" customWidth="1"/>
  </cols>
  <sheetData>
    <row r="1" spans="1:25" ht="85" x14ac:dyDescent="0.2">
      <c r="A1" s="1" t="s">
        <v>2</v>
      </c>
      <c r="B1" s="8" t="s">
        <v>17</v>
      </c>
      <c r="C1" s="5" t="s">
        <v>27</v>
      </c>
      <c r="D1" s="5" t="s">
        <v>18</v>
      </c>
      <c r="E1" s="5" t="s">
        <v>19</v>
      </c>
      <c r="F1" s="5" t="s">
        <v>21</v>
      </c>
      <c r="G1" s="5" t="s">
        <v>22</v>
      </c>
      <c r="H1" s="9" t="s">
        <v>48</v>
      </c>
      <c r="I1" s="5" t="s">
        <v>24</v>
      </c>
      <c r="J1" s="5" t="s">
        <v>28</v>
      </c>
      <c r="K1" s="5" t="s">
        <v>29</v>
      </c>
      <c r="L1" s="5" t="s">
        <v>30</v>
      </c>
      <c r="M1" s="5" t="s">
        <v>29</v>
      </c>
      <c r="O1" s="10"/>
      <c r="Y1" t="s">
        <v>81</v>
      </c>
    </row>
    <row r="2" spans="1:25" ht="20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4"/>
      <c r="U2" s="17" t="s">
        <v>76</v>
      </c>
      <c r="V2">
        <f xml:space="preserve"> -(-13965*8.314)</f>
        <v>116105.01</v>
      </c>
    </row>
    <row r="3" spans="1:25" x14ac:dyDescent="0.2">
      <c r="A3" s="3" t="s">
        <v>88</v>
      </c>
      <c r="B3" s="3">
        <v>0.43169999999999997</v>
      </c>
      <c r="C3" s="3">
        <v>298.14999999999998</v>
      </c>
      <c r="D3" s="3">
        <f xml:space="preserve"> E3/(1000*$B$7)</f>
        <v>3.1314586334314521E-5</v>
      </c>
      <c r="E3" s="3">
        <v>15</v>
      </c>
      <c r="F3" s="3">
        <f xml:space="preserve"> B3/($B$8*$B$10)</f>
        <v>5.515775112696689E-6</v>
      </c>
      <c r="G3" s="3">
        <f xml:space="preserve"> F3*1000*$B$7</f>
        <v>2.6421114367328413</v>
      </c>
      <c r="H3" s="19">
        <f xml:space="preserve"> (E3-G3)*$B$9/$B$11</f>
        <v>12.357888563267158</v>
      </c>
      <c r="I3" s="19">
        <f xml:space="preserve"> ((E3-G3)/E3)*100</f>
        <v>82.385923755114391</v>
      </c>
      <c r="J3" s="3">
        <f xml:space="preserve"> H3/G3</f>
        <v>4.6772775710583074</v>
      </c>
      <c r="K3" s="3">
        <f xml:space="preserve"> LN(J3)</f>
        <v>1.5427162250815674</v>
      </c>
      <c r="L3" s="3">
        <f xml:space="preserve"> 1/C3</f>
        <v>3.3540164346805303E-3</v>
      </c>
      <c r="M3" s="3">
        <f xml:space="preserve"> LN(J3)</f>
        <v>1.5427162250815674</v>
      </c>
      <c r="O3" s="4"/>
      <c r="U3" s="4" t="s">
        <v>77</v>
      </c>
      <c r="V3">
        <f xml:space="preserve"> 48.065*8.314</f>
        <v>399.61241000000001</v>
      </c>
      <c r="Y3" t="s">
        <v>83</v>
      </c>
    </row>
    <row r="4" spans="1:25" x14ac:dyDescent="0.2">
      <c r="A4" s="3" t="s">
        <v>88</v>
      </c>
      <c r="B4" s="3">
        <v>0.2702</v>
      </c>
      <c r="C4" s="3">
        <v>308.14999999999998</v>
      </c>
      <c r="D4" s="3">
        <f t="shared" ref="D4:D5" si="0" xml:space="preserve"> E4/(1000*$B$7)</f>
        <v>3.1314586334314521E-5</v>
      </c>
      <c r="E4" s="3">
        <v>15</v>
      </c>
      <c r="F4" s="3">
        <f t="shared" ref="F4:F5" si="1" xml:space="preserve"> B4/($B$8*$B$10)</f>
        <v>3.4523104828599617E-6</v>
      </c>
      <c r="G4" s="3">
        <f t="shared" ref="G4:G5" si="2" xml:space="preserve"> F4*1000*$B$7</f>
        <v>1.6536912443947502</v>
      </c>
      <c r="H4" s="19">
        <f t="shared" ref="H4:H5" si="3" xml:space="preserve"> (E4-G4)*$B$9/$B$11</f>
        <v>13.346308755605248</v>
      </c>
      <c r="I4" s="19">
        <f xml:space="preserve"> ((E4-G4)/E4)*100</f>
        <v>88.975391704035005</v>
      </c>
      <c r="J4" s="3">
        <f xml:space="preserve"> H4/G4</f>
        <v>8.0706170519092204</v>
      </c>
      <c r="K4" s="3">
        <f xml:space="preserve"> LN(J4)</f>
        <v>2.0882299418010364</v>
      </c>
      <c r="L4" s="3">
        <f xml:space="preserve"> 1/C4</f>
        <v>3.2451728054518907E-3</v>
      </c>
      <c r="M4" s="3">
        <f xml:space="preserve"> LN(J4)</f>
        <v>2.0882299418010364</v>
      </c>
      <c r="O4" s="4"/>
      <c r="U4" s="4" t="s">
        <v>78</v>
      </c>
      <c r="V4">
        <f xml:space="preserve"> V2-(C3*V3)</f>
        <v>-3039.4300415000034</v>
      </c>
    </row>
    <row r="5" spans="1:25" x14ac:dyDescent="0.2">
      <c r="A5" s="3" t="s">
        <v>88</v>
      </c>
      <c r="B5" s="3">
        <v>2.6700000000000002E-2</v>
      </c>
      <c r="C5" s="3">
        <v>318.14999999999998</v>
      </c>
      <c r="D5" s="3">
        <f t="shared" si="0"/>
        <v>3.1314586334314521E-5</v>
      </c>
      <c r="E5" s="3">
        <v>15</v>
      </c>
      <c r="F5" s="3">
        <f t="shared" si="1"/>
        <v>3.4114244963864171E-7</v>
      </c>
      <c r="G5" s="3">
        <f t="shared" si="2"/>
        <v>0.16341064480140577</v>
      </c>
      <c r="H5" s="19">
        <f t="shared" si="3"/>
        <v>14.836589355198596</v>
      </c>
      <c r="I5" s="19">
        <f xml:space="preserve"> ((E5-G5)/E5)*100</f>
        <v>98.910595701323956</v>
      </c>
      <c r="J5" s="3">
        <f xml:space="preserve"> H5/G5</f>
        <v>90.793285671380943</v>
      </c>
      <c r="K5" s="3">
        <f t="shared" ref="K5" si="4" xml:space="preserve"> LN(J5)</f>
        <v>4.5085853365226516</v>
      </c>
      <c r="L5" s="3">
        <f xml:space="preserve"> 1/C5</f>
        <v>3.1431714600031434E-3</v>
      </c>
      <c r="M5" s="3">
        <f t="shared" ref="M5" si="5" xml:space="preserve"> LN(J5)</f>
        <v>4.5085853365226516</v>
      </c>
      <c r="O5" s="4"/>
      <c r="U5" s="4" t="s">
        <v>79</v>
      </c>
      <c r="V5">
        <f xml:space="preserve"> V2-(C4*V3)</f>
        <v>-7035.5541415000043</v>
      </c>
    </row>
    <row r="6" spans="1:25" x14ac:dyDescent="0.2">
      <c r="U6" s="4" t="s">
        <v>80</v>
      </c>
      <c r="V6">
        <f xml:space="preserve"> V2-(C5*V3)</f>
        <v>-11031.678241500005</v>
      </c>
    </row>
    <row r="7" spans="1:25" ht="51" x14ac:dyDescent="0.2">
      <c r="A7" s="5" t="s">
        <v>13</v>
      </c>
      <c r="B7" s="3">
        <v>479.01</v>
      </c>
      <c r="C7" s="4"/>
      <c r="G7" s="4"/>
      <c r="H7" s="4"/>
      <c r="U7" s="4" t="s">
        <v>31</v>
      </c>
      <c r="V7">
        <v>8.3140000000000001</v>
      </c>
    </row>
    <row r="8" spans="1:25" ht="68" x14ac:dyDescent="0.2">
      <c r="A8" s="2" t="s">
        <v>14</v>
      </c>
      <c r="B8" s="3">
        <v>78266.425149617775</v>
      </c>
      <c r="C8" s="4"/>
      <c r="U8" s="4" t="s">
        <v>82</v>
      </c>
      <c r="V8">
        <v>7.2000000000000005E-4</v>
      </c>
    </row>
    <row r="9" spans="1:25" ht="17" x14ac:dyDescent="0.2">
      <c r="A9" s="2" t="s">
        <v>15</v>
      </c>
      <c r="B9" s="3">
        <f xml:space="preserve"> 20/1000</f>
        <v>0.02</v>
      </c>
      <c r="C9" s="4"/>
    </row>
    <row r="10" spans="1:25" ht="68" x14ac:dyDescent="0.2">
      <c r="A10" s="2" t="s">
        <v>26</v>
      </c>
      <c r="B10" s="3">
        <v>1</v>
      </c>
      <c r="C10" s="4"/>
    </row>
    <row r="11" spans="1:25" ht="34" x14ac:dyDescent="0.2">
      <c r="A11" s="2" t="s">
        <v>16</v>
      </c>
      <c r="B11" s="3">
        <f xml:space="preserve"> 20/1000</f>
        <v>0.02</v>
      </c>
    </row>
    <row r="12" spans="1:25" x14ac:dyDescent="0.2">
      <c r="G12" s="4"/>
      <c r="H12" s="4"/>
    </row>
    <row r="13" spans="1:25" x14ac:dyDescent="0.2">
      <c r="G13" s="4"/>
      <c r="H13" s="4"/>
    </row>
    <row r="14" spans="1:25" x14ac:dyDescent="0.2">
      <c r="G14" s="4"/>
      <c r="H14" s="4"/>
    </row>
    <row r="15" spans="1:25" x14ac:dyDescent="0.2">
      <c r="G15" s="4"/>
      <c r="H15" s="4"/>
    </row>
    <row r="16" spans="1:25" x14ac:dyDescent="0.2">
      <c r="G16" s="4"/>
      <c r="H16" s="4"/>
    </row>
    <row r="17" spans="7:8" x14ac:dyDescent="0.2">
      <c r="G17" s="4"/>
      <c r="H17" s="4"/>
    </row>
    <row r="18" spans="7:8" x14ac:dyDescent="0.2">
      <c r="G18" s="4"/>
      <c r="H18" s="4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498D-319B-E340-9063-E8CC94B40E76}">
  <dimension ref="A1:N15"/>
  <sheetViews>
    <sheetView zoomScale="155" workbookViewId="0">
      <selection activeCell="W10" sqref="W10"/>
    </sheetView>
  </sheetViews>
  <sheetFormatPr baseColWidth="10" defaultColWidth="11.1640625" defaultRowHeight="16" x14ac:dyDescent="0.2"/>
  <cols>
    <col min="1" max="1" width="11" bestFit="1" customWidth="1"/>
    <col min="2" max="2" width="13.1640625" customWidth="1"/>
    <col min="3" max="3" width="11" bestFit="1" customWidth="1"/>
    <col min="4" max="4" width="12.5" bestFit="1" customWidth="1"/>
    <col min="5" max="5" width="11" bestFit="1" customWidth="1"/>
    <col min="6" max="6" width="12.5" bestFit="1" customWidth="1"/>
    <col min="7" max="7" width="11" bestFit="1" customWidth="1"/>
    <col min="9" max="11" width="11" bestFit="1" customWidth="1"/>
  </cols>
  <sheetData>
    <row r="1" spans="1:14" ht="85" x14ac:dyDescent="0.2">
      <c r="A1" s="5" t="s">
        <v>2</v>
      </c>
      <c r="B1" s="5" t="s">
        <v>17</v>
      </c>
      <c r="C1" s="5" t="s">
        <v>32</v>
      </c>
      <c r="D1" s="5" t="s">
        <v>18</v>
      </c>
      <c r="E1" s="5" t="s">
        <v>19</v>
      </c>
      <c r="F1" s="5" t="s">
        <v>21</v>
      </c>
      <c r="G1" s="5" t="s">
        <v>22</v>
      </c>
      <c r="H1" s="5" t="s">
        <v>20</v>
      </c>
      <c r="I1" s="5" t="s">
        <v>33</v>
      </c>
      <c r="J1" s="5" t="s">
        <v>48</v>
      </c>
      <c r="K1" s="5" t="s">
        <v>24</v>
      </c>
      <c r="L1" s="10"/>
    </row>
    <row r="2" spans="1:14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</row>
    <row r="3" spans="1:14" x14ac:dyDescent="0.2">
      <c r="A3" s="3" t="s">
        <v>88</v>
      </c>
      <c r="B3" s="3">
        <v>0.69640000000000002</v>
      </c>
      <c r="C3" s="3">
        <v>2</v>
      </c>
      <c r="D3" s="3">
        <v>3.1314586334314521E-5</v>
      </c>
      <c r="E3" s="3">
        <v>15</v>
      </c>
      <c r="F3" s="3">
        <f xml:space="preserve"> B3/($B$12*$B$14)</f>
        <v>8.8978128063052459E-6</v>
      </c>
      <c r="G3" s="3">
        <f xml:space="preserve"> F3*1000*$B$11</f>
        <v>4.2621413123482759</v>
      </c>
      <c r="H3" s="3" t="s">
        <v>34</v>
      </c>
      <c r="I3" s="3">
        <f t="shared" ref="I3:I9" si="0" xml:space="preserve"> G3</f>
        <v>4.2621413123482759</v>
      </c>
      <c r="J3" s="19">
        <f xml:space="preserve"> ((E3-I3)*$B$13)/$B$15</f>
        <v>10.737858687651723</v>
      </c>
      <c r="K3" s="19">
        <f xml:space="preserve"> ((E3-I3)/E3)*100</f>
        <v>71.585724584344817</v>
      </c>
      <c r="L3" s="4"/>
      <c r="N3" s="4"/>
    </row>
    <row r="4" spans="1:14" x14ac:dyDescent="0.2">
      <c r="A4" s="3" t="s">
        <v>88</v>
      </c>
      <c r="B4" s="3">
        <v>1.7927999999999999</v>
      </c>
      <c r="C4" s="3">
        <v>4</v>
      </c>
      <c r="D4" s="3">
        <v>3.1314586334314521E-5</v>
      </c>
      <c r="E4" s="3">
        <v>15</v>
      </c>
      <c r="F4" s="3">
        <f xml:space="preserve"> B4/($B$12*$B$14)</f>
        <v>2.2906373921803626E-5</v>
      </c>
      <c r="G4" s="3">
        <f t="shared" ref="G4:G9" si="1" xml:space="preserve"> F4*1000*$B$11</f>
        <v>10.972382172283154</v>
      </c>
      <c r="H4" s="3" t="s">
        <v>34</v>
      </c>
      <c r="I4" s="3">
        <f t="shared" si="0"/>
        <v>10.972382172283154</v>
      </c>
      <c r="J4" s="19">
        <f t="shared" ref="J4:J9" si="2" xml:space="preserve"> ((E4-I4)*$B$13)/$B$15</f>
        <v>4.0276178277168455</v>
      </c>
      <c r="K4" s="19">
        <f t="shared" ref="K4:K9" si="3" xml:space="preserve"> ((E4-I4)/E4)*100</f>
        <v>26.850785518112303</v>
      </c>
      <c r="L4" s="4"/>
      <c r="N4" s="4"/>
    </row>
    <row r="5" spans="1:14" x14ac:dyDescent="0.2">
      <c r="A5" s="3" t="s">
        <v>88</v>
      </c>
      <c r="B5" s="3">
        <v>1.8398000000000001</v>
      </c>
      <c r="C5" s="3">
        <v>6</v>
      </c>
      <c r="D5" s="3">
        <v>3.1314586334314521E-5</v>
      </c>
      <c r="E5" s="3">
        <v>15</v>
      </c>
      <c r="F5" s="3">
        <f t="shared" ref="F5" si="4" xml:space="preserve"> B5/($B$12*$B$14)</f>
        <v>2.3506886848133821E-5</v>
      </c>
      <c r="G5" s="3">
        <f t="shared" si="1"/>
        <v>11.260033869124582</v>
      </c>
      <c r="H5" s="3" t="s">
        <v>34</v>
      </c>
      <c r="I5" s="3">
        <f t="shared" si="0"/>
        <v>11.260033869124582</v>
      </c>
      <c r="J5" s="19">
        <f t="shared" si="2"/>
        <v>3.7399661308754184</v>
      </c>
      <c r="K5" s="19">
        <f t="shared" si="3"/>
        <v>24.933107539169452</v>
      </c>
      <c r="L5" s="4"/>
      <c r="N5" s="4"/>
    </row>
    <row r="6" spans="1:14" x14ac:dyDescent="0.2">
      <c r="A6" s="3" t="s">
        <v>88</v>
      </c>
      <c r="B6" s="3">
        <v>1.87853</v>
      </c>
      <c r="C6" s="3">
        <v>7</v>
      </c>
      <c r="D6" s="3">
        <v>3.1314586334314521E-5</v>
      </c>
      <c r="E6" s="3">
        <v>15</v>
      </c>
      <c r="F6" s="3">
        <f xml:space="preserve"> B6/($B$12*$B$14)</f>
        <v>2.4001735053171443E-5</v>
      </c>
      <c r="G6" s="3">
        <f t="shared" si="1"/>
        <v>11.497071107819652</v>
      </c>
      <c r="H6" s="3" t="s">
        <v>34</v>
      </c>
      <c r="I6" s="3">
        <f t="shared" si="0"/>
        <v>11.497071107819652</v>
      </c>
      <c r="J6" s="19">
        <f t="shared" si="2"/>
        <v>3.5029288921803481</v>
      </c>
      <c r="K6" s="19">
        <f t="shared" si="3"/>
        <v>23.352859281202321</v>
      </c>
      <c r="L6" s="4"/>
      <c r="N6" s="4"/>
    </row>
    <row r="7" spans="1:14" x14ac:dyDescent="0.2">
      <c r="A7" s="3" t="s">
        <v>88</v>
      </c>
      <c r="B7" s="3">
        <v>1.8966000000000001</v>
      </c>
      <c r="C7" s="3">
        <v>8</v>
      </c>
      <c r="D7" s="3">
        <v>3.1314586334314521E-5</v>
      </c>
      <c r="E7" s="3">
        <v>15</v>
      </c>
      <c r="F7" s="3">
        <f t="shared" ref="F7" si="5" xml:space="preserve"> B7/($B$12*$B$14)</f>
        <v>2.4232613108039243E-5</v>
      </c>
      <c r="G7" s="3">
        <f t="shared" si="1"/>
        <v>11.607664004881878</v>
      </c>
      <c r="H7" s="3" t="s">
        <v>34</v>
      </c>
      <c r="I7" s="3">
        <f t="shared" si="0"/>
        <v>11.607664004881878</v>
      </c>
      <c r="J7" s="19">
        <f t="shared" si="2"/>
        <v>3.3923359951181222</v>
      </c>
      <c r="K7" s="19">
        <f t="shared" si="3"/>
        <v>22.615573300787482</v>
      </c>
      <c r="L7" s="4"/>
      <c r="N7" s="4"/>
    </row>
    <row r="8" spans="1:14" x14ac:dyDescent="0.2">
      <c r="A8" s="3" t="s">
        <v>88</v>
      </c>
      <c r="B8" s="3">
        <v>1.9044300000000001</v>
      </c>
      <c r="C8" s="3">
        <v>10</v>
      </c>
      <c r="D8" s="3">
        <v>3.1314586334314521E-5</v>
      </c>
      <c r="E8" s="3">
        <v>15</v>
      </c>
      <c r="F8" s="3">
        <f xml:space="preserve"> B8/($B$12*$B$14)</f>
        <v>2.43326560061917E-5</v>
      </c>
      <c r="G8" s="3">
        <f t="shared" si="1"/>
        <v>11.655585553525887</v>
      </c>
      <c r="H8" s="3" t="s">
        <v>34</v>
      </c>
      <c r="I8" s="3">
        <f t="shared" si="0"/>
        <v>11.655585553525887</v>
      </c>
      <c r="J8" s="19">
        <f t="shared" si="2"/>
        <v>3.3444144464741137</v>
      </c>
      <c r="K8" s="19">
        <f t="shared" si="3"/>
        <v>22.296096309827419</v>
      </c>
      <c r="L8" s="4"/>
      <c r="N8" s="4"/>
    </row>
    <row r="9" spans="1:14" x14ac:dyDescent="0.2">
      <c r="A9" s="3" t="s">
        <v>88</v>
      </c>
      <c r="B9" s="7">
        <v>1.9283999999999999</v>
      </c>
      <c r="C9" s="3">
        <v>12</v>
      </c>
      <c r="D9" s="3">
        <v>3.1314586334314521E-5</v>
      </c>
      <c r="E9" s="3">
        <v>15</v>
      </c>
      <c r="F9" s="3">
        <f xml:space="preserve"> B9/($B$12*$B$14)</f>
        <v>2.4638917598620097E-5</v>
      </c>
      <c r="G9" s="3">
        <f t="shared" si="1"/>
        <v>11.802287918915013</v>
      </c>
      <c r="H9" s="3" t="s">
        <v>34</v>
      </c>
      <c r="I9" s="3">
        <f t="shared" si="0"/>
        <v>11.802287918915013</v>
      </c>
      <c r="J9" s="19">
        <f t="shared" si="2"/>
        <v>3.1977120810849868</v>
      </c>
      <c r="K9" s="19">
        <f t="shared" si="3"/>
        <v>21.318080540566577</v>
      </c>
      <c r="L9" s="4"/>
    </row>
    <row r="11" spans="1:14" ht="51" x14ac:dyDescent="0.2">
      <c r="A11" s="5" t="s">
        <v>13</v>
      </c>
      <c r="B11" s="3">
        <v>479.01</v>
      </c>
    </row>
    <row r="12" spans="1:14" ht="68" x14ac:dyDescent="0.2">
      <c r="A12" s="2" t="s">
        <v>14</v>
      </c>
      <c r="B12" s="3">
        <v>78266.425149617775</v>
      </c>
    </row>
    <row r="13" spans="1:14" ht="17" x14ac:dyDescent="0.2">
      <c r="A13" s="2" t="s">
        <v>15</v>
      </c>
      <c r="B13" s="3">
        <f xml:space="preserve"> 20/1000</f>
        <v>0.02</v>
      </c>
    </row>
    <row r="14" spans="1:14" ht="68" x14ac:dyDescent="0.2">
      <c r="A14" s="2" t="s">
        <v>26</v>
      </c>
      <c r="B14" s="3">
        <v>1</v>
      </c>
    </row>
    <row r="15" spans="1:14" ht="34" x14ac:dyDescent="0.2">
      <c r="A15" s="2" t="s">
        <v>16</v>
      </c>
      <c r="B15" s="3">
        <f xml:space="preserve"> 20/1000</f>
        <v>0.02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C738-D389-4956-9231-9584364C1135}">
  <dimension ref="A1:N11"/>
  <sheetViews>
    <sheetView zoomScale="119" workbookViewId="0">
      <selection activeCell="N6" sqref="N6"/>
    </sheetView>
  </sheetViews>
  <sheetFormatPr baseColWidth="10" defaultColWidth="11.1640625" defaultRowHeight="16" x14ac:dyDescent="0.2"/>
  <sheetData>
    <row r="1" spans="1:14" ht="85" x14ac:dyDescent="0.2">
      <c r="A1" s="1" t="s">
        <v>2</v>
      </c>
      <c r="B1" s="8" t="s">
        <v>17</v>
      </c>
      <c r="C1" s="5" t="s">
        <v>75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9" t="s">
        <v>48</v>
      </c>
      <c r="K1" s="5" t="s">
        <v>24</v>
      </c>
      <c r="L1" s="10"/>
      <c r="M1" s="10"/>
      <c r="N1" s="11"/>
    </row>
    <row r="2" spans="1:14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</row>
    <row r="3" spans="1:14" x14ac:dyDescent="0.2">
      <c r="A3" s="3" t="s">
        <v>88</v>
      </c>
      <c r="B3" s="3">
        <v>0.72970000000000002</v>
      </c>
      <c r="C3" t="s">
        <v>87</v>
      </c>
      <c r="D3" s="3">
        <f xml:space="preserve"> E3/(1000*$B$8)</f>
        <v>3.1314586334314521E-5</v>
      </c>
      <c r="E3" s="3">
        <v>15</v>
      </c>
      <c r="F3" s="3" t="s">
        <v>11</v>
      </c>
      <c r="G3" s="3">
        <f xml:space="preserve"> B3/($B$9*$B$11)</f>
        <v>9.3232826030455745E-6</v>
      </c>
      <c r="H3" s="3">
        <f xml:space="preserve"> G3*1000*$B$8</f>
        <v>4.4659455996848605</v>
      </c>
      <c r="I3" s="3">
        <f xml:space="preserve"> H3</f>
        <v>4.4659455996848605</v>
      </c>
      <c r="J3" s="19">
        <f xml:space="preserve"> ((E3-I3)*$B$10)/$C$4</f>
        <v>0.21068108800630278</v>
      </c>
      <c r="K3" s="19">
        <f xml:space="preserve"> ((E3-I3)/E3)*100</f>
        <v>70.227029335434253</v>
      </c>
      <c r="L3" s="4"/>
      <c r="M3" s="4"/>
      <c r="N3" s="4"/>
    </row>
    <row r="4" spans="1:14" x14ac:dyDescent="0.2">
      <c r="A4" s="3" t="s">
        <v>88</v>
      </c>
      <c r="B4" s="3">
        <v>0.95979999999999999</v>
      </c>
      <c r="C4" s="3">
        <v>1</v>
      </c>
      <c r="D4" s="3">
        <f xml:space="preserve"> E4/(1000*$B$8)</f>
        <v>3.1314586334314521E-5</v>
      </c>
      <c r="E4" s="3">
        <v>15</v>
      </c>
      <c r="F4" s="3" t="s">
        <v>11</v>
      </c>
      <c r="G4" s="3">
        <f xml:space="preserve"> B4/($B$9*$B$11)</f>
        <v>1.2263240567908924E-5</v>
      </c>
      <c r="H4" s="3">
        <f xml:space="preserve"> G4*1000*$B$8</f>
        <v>5.8742148644340535</v>
      </c>
      <c r="I4" s="3">
        <f xml:space="preserve"> H4</f>
        <v>5.8742148644340535</v>
      </c>
      <c r="J4" s="19">
        <f xml:space="preserve"> ((E4-I4)*$B$10)/$C$4</f>
        <v>0.18251570271131892</v>
      </c>
      <c r="K4" s="19">
        <f t="shared" ref="K4:K5" si="0" xml:space="preserve"> ((E4-I4)/E4)*100</f>
        <v>60.838567570439636</v>
      </c>
      <c r="L4" s="4"/>
      <c r="M4" s="4"/>
      <c r="N4" s="4"/>
    </row>
    <row r="5" spans="1:14" x14ac:dyDescent="0.2">
      <c r="A5" s="3" t="s">
        <v>88</v>
      </c>
      <c r="B5" s="12">
        <v>1.2098</v>
      </c>
      <c r="C5" s="3">
        <v>2</v>
      </c>
      <c r="D5" s="3">
        <f xml:space="preserve"> E5/(1000*$B$8)</f>
        <v>3.1314586334314521E-5</v>
      </c>
      <c r="E5" s="3">
        <v>15</v>
      </c>
      <c r="F5" s="3" t="s">
        <v>11</v>
      </c>
      <c r="G5" s="3">
        <f xml:space="preserve"> B5/($B$9*$B$11)</f>
        <v>1.5457458261154634E-5</v>
      </c>
      <c r="H5" s="3">
        <f xml:space="preserve"> G5*1000*$B$8</f>
        <v>7.4042770816756818</v>
      </c>
      <c r="I5" s="3">
        <f xml:space="preserve"> H5</f>
        <v>7.4042770816756818</v>
      </c>
      <c r="J5" s="19">
        <f xml:space="preserve"> ((E5-I5)*$B$10)/$C$4</f>
        <v>0.15191445836648637</v>
      </c>
      <c r="K5" s="19">
        <f t="shared" si="0"/>
        <v>50.638152788828783</v>
      </c>
      <c r="L5" s="4"/>
      <c r="M5" s="4"/>
      <c r="N5" s="4"/>
    </row>
    <row r="6" spans="1:14" x14ac:dyDescent="0.2">
      <c r="A6" s="3" t="s">
        <v>88</v>
      </c>
      <c r="B6" s="12">
        <v>1.3327</v>
      </c>
      <c r="C6" s="3">
        <v>3</v>
      </c>
      <c r="D6" s="3">
        <f xml:space="preserve"> E6/(1000*$B$8)</f>
        <v>3.1314586334314521E-5</v>
      </c>
      <c r="E6" s="3">
        <v>15</v>
      </c>
      <c r="F6" s="3" t="s">
        <v>11</v>
      </c>
      <c r="G6" s="3">
        <f xml:space="preserve"> B6/($B$9*$B$11)</f>
        <v>1.7027735679154224E-5</v>
      </c>
      <c r="H6" s="3">
        <f xml:space="preserve"> G6*1000*$B$8</f>
        <v>8.1564556676716649</v>
      </c>
      <c r="I6" s="3">
        <f xml:space="preserve"> H6</f>
        <v>8.1564556676716649</v>
      </c>
      <c r="J6" s="19">
        <f xml:space="preserve"> ((E6-I6)*$B$10)/$C$4</f>
        <v>0.13687088664656671</v>
      </c>
      <c r="K6" s="19">
        <f t="shared" ref="K6" si="1" xml:space="preserve"> ((E6-I6)/E6)*100</f>
        <v>45.623628882188896</v>
      </c>
      <c r="L6" s="4"/>
      <c r="M6" s="4"/>
      <c r="N6" s="4"/>
    </row>
    <row r="7" spans="1:14" x14ac:dyDescent="0.2">
      <c r="M7" t="s">
        <v>25</v>
      </c>
    </row>
    <row r="8" spans="1:14" ht="51" x14ac:dyDescent="0.2">
      <c r="A8" s="5" t="s">
        <v>13</v>
      </c>
      <c r="B8" s="3">
        <v>479.01</v>
      </c>
      <c r="C8" s="4"/>
      <c r="H8" s="4"/>
      <c r="I8" s="4"/>
      <c r="J8" s="4"/>
    </row>
    <row r="9" spans="1:14" ht="68" x14ac:dyDescent="0.2">
      <c r="A9" s="2" t="s">
        <v>14</v>
      </c>
      <c r="B9" s="3">
        <v>78266.425149617775</v>
      </c>
      <c r="C9" s="4"/>
    </row>
    <row r="10" spans="1:14" ht="17" x14ac:dyDescent="0.2">
      <c r="A10" s="2" t="s">
        <v>15</v>
      </c>
      <c r="B10" s="3">
        <f xml:space="preserve"> 20/1000</f>
        <v>0.02</v>
      </c>
      <c r="C10" s="4"/>
    </row>
    <row r="11" spans="1:14" ht="68" x14ac:dyDescent="0.2">
      <c r="A11" s="2" t="s">
        <v>26</v>
      </c>
      <c r="B11" s="3">
        <v>1</v>
      </c>
      <c r="C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Contact time</vt:lpstr>
      <vt:lpstr>Adsorption kinetics</vt:lpstr>
      <vt:lpstr>Dosage</vt:lpstr>
      <vt:lpstr>Low concentration 5.5.24</vt:lpstr>
      <vt:lpstr>Isotherm new</vt:lpstr>
      <vt:lpstr>Temperature 8.5.24</vt:lpstr>
      <vt:lpstr>pH </vt:lpstr>
      <vt:lpstr>Regeneration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mayilswamy b</dc:creator>
  <cp:lastModifiedBy>mayilswamy b</cp:lastModifiedBy>
  <dcterms:created xsi:type="dcterms:W3CDTF">2024-01-16T09:18:18Z</dcterms:created>
  <dcterms:modified xsi:type="dcterms:W3CDTF">2025-08-20T05:49:06Z</dcterms:modified>
</cp:coreProperties>
</file>