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uneelu/Desktop/neelu/DIAT/PhD/Pre-synopsis/Excel sheet all biochars/"/>
    </mc:Choice>
  </mc:AlternateContent>
  <xr:revisionPtr revIDLastSave="0" documentId="13_ncr:1_{E592918C-5A61-5447-A78E-DB0D6BD5F074}" xr6:coauthVersionLast="47" xr6:coauthVersionMax="47" xr10:uidLastSave="{00000000-0000-0000-0000-000000000000}"/>
  <bookViews>
    <workbookView xWindow="0" yWindow="500" windowWidth="28800" windowHeight="16420" xr2:uid="{9155A8E4-BE83-D146-AA22-780A72B5A0B7}"/>
  </bookViews>
  <sheets>
    <sheet name="Standardization" sheetId="15" r:id="rId1"/>
    <sheet name="Contact time " sheetId="11" r:id="rId2"/>
    <sheet name="Adsorption kinetics" sheetId="8" r:id="rId3"/>
    <sheet name="Adsorbent dosage " sheetId="10" r:id="rId4"/>
    <sheet name="pH" sheetId="4" r:id="rId5"/>
    <sheet name="Adsorption thermodynamics" sheetId="12" r:id="rId6"/>
    <sheet name="Low concentration" sheetId="6" r:id="rId7"/>
    <sheet name="Adsorption isotherm" sheetId="13" r:id="rId8"/>
    <sheet name="Regeneration studies" sheetId="14" r:id="rId9"/>
  </sheets>
  <externalReferences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5" l="1"/>
  <c r="B21" i="15"/>
  <c r="C12" i="15"/>
  <c r="B12" i="15"/>
  <c r="B11" i="15"/>
  <c r="B10" i="15"/>
  <c r="B9" i="15"/>
  <c r="B8" i="15"/>
  <c r="B7" i="15"/>
  <c r="B6" i="15"/>
  <c r="B5" i="15"/>
  <c r="B4" i="15"/>
  <c r="B3" i="15"/>
  <c r="E4" i="14"/>
  <c r="F4" i="14" s="1"/>
  <c r="G4" i="14" s="1"/>
  <c r="J4" i="14" s="1"/>
  <c r="E5" i="14"/>
  <c r="H5" i="14" s="1"/>
  <c r="I5" i="14" s="1"/>
  <c r="F5" i="14"/>
  <c r="G5" i="14" s="1"/>
  <c r="J5" i="14" s="1"/>
  <c r="E6" i="14"/>
  <c r="F6" i="14" s="1"/>
  <c r="G6" i="14" s="1"/>
  <c r="J6" i="14" s="1"/>
  <c r="B14" i="14"/>
  <c r="B12" i="14"/>
  <c r="E3" i="14"/>
  <c r="H3" i="14" s="1"/>
  <c r="I3" i="14" s="1"/>
  <c r="B100" i="13"/>
  <c r="B101" i="13" s="1"/>
  <c r="E81" i="13"/>
  <c r="D81" i="13"/>
  <c r="F81" i="13" s="1"/>
  <c r="E80" i="13"/>
  <c r="D80" i="13"/>
  <c r="F80" i="13" s="1"/>
  <c r="E79" i="13"/>
  <c r="D79" i="13"/>
  <c r="F79" i="13" s="1"/>
  <c r="E78" i="13"/>
  <c r="D78" i="13"/>
  <c r="F78" i="13" s="1"/>
  <c r="E77" i="13"/>
  <c r="D77" i="13"/>
  <c r="F77" i="13" s="1"/>
  <c r="E76" i="13"/>
  <c r="D76" i="13"/>
  <c r="F76" i="13" s="1"/>
  <c r="P75" i="13"/>
  <c r="P76" i="13" s="1"/>
  <c r="E75" i="13"/>
  <c r="D75" i="13"/>
  <c r="F75" i="13" s="1"/>
  <c r="F74" i="13"/>
  <c r="E74" i="13"/>
  <c r="D74" i="13"/>
  <c r="C65" i="13"/>
  <c r="B65" i="13"/>
  <c r="C64" i="13"/>
  <c r="B64" i="13"/>
  <c r="O63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D51" i="13"/>
  <c r="D50" i="13"/>
  <c r="A48" i="13"/>
  <c r="A47" i="13"/>
  <c r="A46" i="13"/>
  <c r="A45" i="13"/>
  <c r="A44" i="13"/>
  <c r="A43" i="13"/>
  <c r="A42" i="13"/>
  <c r="A41" i="13"/>
  <c r="B34" i="13"/>
  <c r="B33" i="13"/>
  <c r="B11" i="12"/>
  <c r="B9" i="12"/>
  <c r="V6" i="12"/>
  <c r="V5" i="12"/>
  <c r="V9" i="12" s="1"/>
  <c r="N5" i="12"/>
  <c r="F5" i="12"/>
  <c r="G5" i="12" s="1"/>
  <c r="I5" i="12" s="1"/>
  <c r="D5" i="12"/>
  <c r="N4" i="12"/>
  <c r="F4" i="12"/>
  <c r="G4" i="12" s="1"/>
  <c r="I4" i="12" s="1"/>
  <c r="D4" i="12"/>
  <c r="N3" i="12"/>
  <c r="F3" i="12"/>
  <c r="G3" i="12" s="1"/>
  <c r="I3" i="12" s="1"/>
  <c r="D3" i="12"/>
  <c r="H4" i="14" l="1"/>
  <c r="I4" i="14" s="1"/>
  <c r="H6" i="14"/>
  <c r="I6" i="14" s="1"/>
  <c r="F3" i="14"/>
  <c r="G3" i="14" s="1"/>
  <c r="J3" i="14" s="1"/>
  <c r="K5" i="12"/>
  <c r="J5" i="12"/>
  <c r="L5" i="12" s="1"/>
  <c r="J3" i="12"/>
  <c r="L3" i="12" s="1"/>
  <c r="K3" i="12"/>
  <c r="J4" i="12"/>
  <c r="L4" i="12" s="1"/>
  <c r="K4" i="12"/>
  <c r="V8" i="12"/>
  <c r="V7" i="12"/>
  <c r="A63" i="8"/>
  <c r="A62" i="8"/>
  <c r="A61" i="8"/>
  <c r="A60" i="8"/>
  <c r="A59" i="8"/>
  <c r="A58" i="8"/>
  <c r="A57" i="8"/>
  <c r="A56" i="8"/>
  <c r="A55" i="8"/>
  <c r="A54" i="8"/>
  <c r="A49" i="8"/>
  <c r="A48" i="8"/>
  <c r="A47" i="8"/>
  <c r="A46" i="8"/>
  <c r="A45" i="8"/>
  <c r="A44" i="8"/>
  <c r="A43" i="8"/>
  <c r="A42" i="8"/>
  <c r="O41" i="8"/>
  <c r="O42" i="8" s="1"/>
  <c r="A41" i="8"/>
  <c r="A40" i="8"/>
  <c r="B30" i="8"/>
  <c r="B29" i="8"/>
  <c r="B28" i="8"/>
  <c r="B27" i="8"/>
  <c r="B26" i="8"/>
  <c r="O25" i="8"/>
  <c r="B25" i="8"/>
  <c r="O24" i="8"/>
  <c r="B24" i="8"/>
  <c r="B23" i="8"/>
  <c r="B22" i="8"/>
  <c r="B21" i="8"/>
  <c r="A12" i="8"/>
  <c r="A11" i="8"/>
  <c r="A10" i="8"/>
  <c r="A9" i="8"/>
  <c r="A8" i="8"/>
  <c r="A7" i="8"/>
  <c r="O6" i="8"/>
  <c r="A6" i="8"/>
  <c r="O5" i="8"/>
  <c r="A5" i="8"/>
  <c r="A4" i="8"/>
  <c r="A3" i="8"/>
  <c r="M4" i="12" l="1"/>
  <c r="O4" i="12"/>
  <c r="M3" i="12"/>
  <c r="O3" i="12"/>
  <c r="O5" i="12"/>
  <c r="M5" i="12"/>
  <c r="B17" i="11" l="1"/>
  <c r="B16" i="11"/>
  <c r="E11" i="11"/>
  <c r="F11" i="11" s="1"/>
  <c r="B11" i="11"/>
  <c r="I11" i="11" s="1"/>
  <c r="E10" i="11"/>
  <c r="F10" i="11" s="1"/>
  <c r="B10" i="11"/>
  <c r="I10" i="11" s="1"/>
  <c r="F9" i="11"/>
  <c r="E9" i="11"/>
  <c r="B9" i="11"/>
  <c r="I9" i="11" s="1"/>
  <c r="E8" i="11"/>
  <c r="F8" i="11" s="1"/>
  <c r="B8" i="11"/>
  <c r="E7" i="11"/>
  <c r="F7" i="11" s="1"/>
  <c r="B7" i="11"/>
  <c r="I7" i="11" s="1"/>
  <c r="I6" i="11"/>
  <c r="E6" i="11"/>
  <c r="F6" i="11" s="1"/>
  <c r="B6" i="11"/>
  <c r="E5" i="11"/>
  <c r="F5" i="11" s="1"/>
  <c r="B5" i="11"/>
  <c r="G5" i="11" s="1"/>
  <c r="H5" i="11" s="1"/>
  <c r="E4" i="11"/>
  <c r="F4" i="11" s="1"/>
  <c r="B4" i="11"/>
  <c r="I4" i="11" s="1"/>
  <c r="E3" i="11"/>
  <c r="F3" i="11" s="1"/>
  <c r="B3" i="11"/>
  <c r="I5" i="11" l="1"/>
  <c r="G6" i="11"/>
  <c r="H6" i="11" s="1"/>
  <c r="G9" i="11"/>
  <c r="H9" i="11" s="1"/>
  <c r="I3" i="11"/>
  <c r="I8" i="11"/>
  <c r="G10" i="11"/>
  <c r="H10" i="11" s="1"/>
  <c r="G4" i="11"/>
  <c r="H4" i="11" s="1"/>
  <c r="G8" i="11"/>
  <c r="H8" i="11" s="1"/>
  <c r="G3" i="11"/>
  <c r="H3" i="11" s="1"/>
  <c r="B22" i="11" s="1"/>
  <c r="B24" i="11" s="1"/>
  <c r="G7" i="11"/>
  <c r="H7" i="11" s="1"/>
  <c r="G11" i="11"/>
  <c r="H11" i="11" s="1"/>
  <c r="G4" i="10"/>
  <c r="H4" i="10" s="1"/>
  <c r="I4" i="10" s="1"/>
  <c r="G5" i="10"/>
  <c r="H5" i="10" s="1"/>
  <c r="I5" i="10" s="1"/>
  <c r="G6" i="10"/>
  <c r="H6" i="10" s="1"/>
  <c r="I6" i="10" s="1"/>
  <c r="G7" i="10"/>
  <c r="H7" i="10" s="1"/>
  <c r="I7" i="10" s="1"/>
  <c r="G8" i="10"/>
  <c r="H8" i="10"/>
  <c r="I8" i="10" s="1"/>
  <c r="G3" i="10"/>
  <c r="H3" i="10"/>
  <c r="I3" i="10" s="1"/>
  <c r="B12" i="10"/>
  <c r="M8" i="10"/>
  <c r="D8" i="10"/>
  <c r="C8" i="10"/>
  <c r="M7" i="10"/>
  <c r="D7" i="10"/>
  <c r="C7" i="10"/>
  <c r="M6" i="10"/>
  <c r="D6" i="10"/>
  <c r="C6" i="10"/>
  <c r="M5" i="10"/>
  <c r="D5" i="10"/>
  <c r="C5" i="10"/>
  <c r="M4" i="10"/>
  <c r="D4" i="10"/>
  <c r="C4" i="10"/>
  <c r="M3" i="10"/>
  <c r="D3" i="10"/>
  <c r="C3" i="10"/>
  <c r="B15" i="6"/>
  <c r="B14" i="6"/>
  <c r="E10" i="6"/>
  <c r="F10" i="6" s="1"/>
  <c r="H10" i="6" s="1"/>
  <c r="C10" i="6"/>
  <c r="E9" i="6"/>
  <c r="F9" i="6" s="1"/>
  <c r="H9" i="6" s="1"/>
  <c r="C9" i="6"/>
  <c r="E8" i="6"/>
  <c r="F8" i="6" s="1"/>
  <c r="H8" i="6" s="1"/>
  <c r="C8" i="6"/>
  <c r="E7" i="6"/>
  <c r="F7" i="6" s="1"/>
  <c r="H7" i="6" s="1"/>
  <c r="C7" i="6"/>
  <c r="E6" i="6"/>
  <c r="F6" i="6" s="1"/>
  <c r="H6" i="6" s="1"/>
  <c r="C6" i="6"/>
  <c r="E5" i="6"/>
  <c r="F5" i="6" s="1"/>
  <c r="H5" i="6" s="1"/>
  <c r="C5" i="6"/>
  <c r="E4" i="6"/>
  <c r="F4" i="6" s="1"/>
  <c r="H4" i="6" s="1"/>
  <c r="C4" i="6"/>
  <c r="E3" i="6"/>
  <c r="F3" i="6" s="1"/>
  <c r="H3" i="6" s="1"/>
  <c r="C3" i="6"/>
  <c r="J7" i="10" l="1"/>
  <c r="K7" i="10"/>
  <c r="K4" i="10"/>
  <c r="J4" i="10"/>
  <c r="J6" i="10"/>
  <c r="K6" i="10"/>
  <c r="K8" i="10"/>
  <c r="J8" i="10"/>
  <c r="K3" i="10"/>
  <c r="J3" i="10"/>
  <c r="K5" i="10"/>
  <c r="J5" i="10"/>
  <c r="J3" i="6"/>
  <c r="I3" i="6"/>
  <c r="J10" i="6"/>
  <c r="I10" i="6"/>
  <c r="I7" i="6"/>
  <c r="J7" i="6"/>
  <c r="J5" i="6"/>
  <c r="I5" i="6"/>
  <c r="I8" i="6"/>
  <c r="J8" i="6"/>
  <c r="I6" i="6"/>
  <c r="J6" i="6"/>
  <c r="J9" i="6"/>
  <c r="I9" i="6"/>
  <c r="J4" i="6"/>
  <c r="I4" i="6"/>
  <c r="B15" i="4" l="1"/>
  <c r="B13" i="4"/>
  <c r="F9" i="4"/>
  <c r="G9" i="4" s="1"/>
  <c r="I9" i="4" s="1"/>
  <c r="F8" i="4"/>
  <c r="G8" i="4" s="1"/>
  <c r="I8" i="4" s="1"/>
  <c r="F7" i="4"/>
  <c r="G7" i="4" s="1"/>
  <c r="I7" i="4" s="1"/>
  <c r="F6" i="4"/>
  <c r="G6" i="4" s="1"/>
  <c r="I6" i="4" s="1"/>
  <c r="F5" i="4"/>
  <c r="G5" i="4" s="1"/>
  <c r="I5" i="4" s="1"/>
  <c r="F4" i="4"/>
  <c r="G4" i="4" s="1"/>
  <c r="I4" i="4" s="1"/>
  <c r="F3" i="4"/>
  <c r="G3" i="4" s="1"/>
  <c r="I3" i="4" s="1"/>
  <c r="K4" i="4" l="1"/>
  <c r="J4" i="4"/>
  <c r="J8" i="4"/>
  <c r="K8" i="4"/>
  <c r="J5" i="4"/>
  <c r="K5" i="4"/>
  <c r="K6" i="4"/>
  <c r="J6" i="4"/>
  <c r="K7" i="4"/>
  <c r="J7" i="4"/>
  <c r="K9" i="4"/>
  <c r="J9" i="4"/>
  <c r="J3" i="4"/>
  <c r="K3" i="4"/>
</calcChain>
</file>

<file path=xl/sharedStrings.xml><?xml version="1.0" encoding="utf-8"?>
<sst xmlns="http://schemas.openxmlformats.org/spreadsheetml/2006/main" count="210" uniqueCount="106">
  <si>
    <t>Time (min)</t>
  </si>
  <si>
    <t>Absorbance</t>
  </si>
  <si>
    <t>Adsorbent dosage (g)</t>
  </si>
  <si>
    <t>Initial concentration (mol/L)</t>
  </si>
  <si>
    <t>Intial concentration (ppm or mg/L) (Co)</t>
  </si>
  <si>
    <t>DF</t>
  </si>
  <si>
    <t>Final concentration (mol/L)</t>
  </si>
  <si>
    <t xml:space="preserve">Final concentration (Ce) ppm or mg/L)  </t>
  </si>
  <si>
    <t>Final concentration (Ce) ppm or mg/L) * DF</t>
  </si>
  <si>
    <t>Adsorption capacity (q) (mg/g)</t>
  </si>
  <si>
    <t>Removal Efficiency (%)</t>
  </si>
  <si>
    <t>N/A</t>
  </si>
  <si>
    <t xml:space="preserve"> </t>
  </si>
  <si>
    <t>M.W. of RhB (g/mol)</t>
  </si>
  <si>
    <t>Molar absorptivity  𝛆 (L/ mol cm)</t>
  </si>
  <si>
    <t>Volume (L)</t>
  </si>
  <si>
    <t>Optical path length l (cm)</t>
  </si>
  <si>
    <t>Concentration (mg/L or ppm)</t>
  </si>
  <si>
    <r>
      <t>Initial concentration (C</t>
    </r>
    <r>
      <rPr>
        <b/>
        <vertAlign val="sub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) (mol/L)</t>
    </r>
  </si>
  <si>
    <t>Absorbance at 554 nm</t>
  </si>
  <si>
    <r>
      <t>Final concentration (C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(mol/L)</t>
    </r>
  </si>
  <si>
    <r>
      <t>Final concentration (C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(mg/L or ppm)</t>
    </r>
  </si>
  <si>
    <r>
      <t>Adsorption capacity at time t (q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(mol/g)</t>
    </r>
  </si>
  <si>
    <r>
      <t>Adsorption capacity at time t (q</t>
    </r>
    <r>
      <rPr>
        <b/>
        <vertAlign val="subscript"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) (mg/g)</t>
    </r>
  </si>
  <si>
    <t>Removal efficiency (%)</t>
  </si>
  <si>
    <t>qe</t>
  </si>
  <si>
    <t>SLOPE</t>
  </si>
  <si>
    <t>k1</t>
  </si>
  <si>
    <t>IPD</t>
  </si>
  <si>
    <t>pH</t>
  </si>
  <si>
    <t>Final concentration*DF</t>
  </si>
  <si>
    <t>Temperature (K)</t>
  </si>
  <si>
    <t>kd</t>
  </si>
  <si>
    <t>lnkd</t>
  </si>
  <si>
    <t>1/T</t>
  </si>
  <si>
    <t>R</t>
  </si>
  <si>
    <t>Final concentration* DF (Ce) (ppm)</t>
  </si>
  <si>
    <r>
      <t>Adsorption capacity (q</t>
    </r>
    <r>
      <rPr>
        <b/>
        <vertAlign val="subscript"/>
        <sz val="12"/>
        <color rgb="FF000000"/>
        <rFont val="Times New Roman"/>
        <family val="1"/>
      </rPr>
      <t>e</t>
    </r>
    <r>
      <rPr>
        <b/>
        <sz val="12"/>
        <color rgb="FF000000"/>
        <rFont val="Times New Roman"/>
        <family val="1"/>
      </rPr>
      <t>) (mg/g)</t>
    </r>
  </si>
  <si>
    <t>Ce</t>
  </si>
  <si>
    <t>Ce/qe</t>
  </si>
  <si>
    <t>lnce</t>
  </si>
  <si>
    <t>lnqe</t>
  </si>
  <si>
    <t>Langmuir</t>
  </si>
  <si>
    <t>Freundlich</t>
  </si>
  <si>
    <t>n</t>
  </si>
  <si>
    <t>T</t>
  </si>
  <si>
    <t>kH</t>
  </si>
  <si>
    <t>Halsey</t>
  </si>
  <si>
    <t>qm</t>
  </si>
  <si>
    <t>ln(qe/qmax-qe)</t>
  </si>
  <si>
    <t>lnCe</t>
  </si>
  <si>
    <t>qmax</t>
  </si>
  <si>
    <t>Ks</t>
  </si>
  <si>
    <t>Adsorption capacity (mg/g)</t>
  </si>
  <si>
    <t>t (min)</t>
  </si>
  <si>
    <t>ln(qe-qt)</t>
  </si>
  <si>
    <t>qt</t>
  </si>
  <si>
    <t>m= -k1</t>
  </si>
  <si>
    <t>C = lnqe</t>
  </si>
  <si>
    <t>PFO</t>
  </si>
  <si>
    <t>t/qt</t>
  </si>
  <si>
    <t>m = 1/qe</t>
  </si>
  <si>
    <t>k2 = 1/cqe2</t>
  </si>
  <si>
    <t>PSO</t>
  </si>
  <si>
    <t>ln(t)</t>
  </si>
  <si>
    <t>t</t>
  </si>
  <si>
    <t>beta = 1/m</t>
  </si>
  <si>
    <t>beta</t>
  </si>
  <si>
    <t>alpha</t>
  </si>
  <si>
    <t>Elovich</t>
  </si>
  <si>
    <t>t1/2</t>
  </si>
  <si>
    <t>m =kip</t>
  </si>
  <si>
    <t>kip</t>
  </si>
  <si>
    <t>C</t>
  </si>
  <si>
    <r>
      <t>ln(q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>-q</t>
    </r>
    <r>
      <rPr>
        <vertAlign val="subscript"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)</t>
    </r>
  </si>
  <si>
    <t>Equilibrium</t>
  </si>
  <si>
    <r>
      <rPr>
        <sz val="12"/>
        <color theme="1"/>
        <rFont val="Times New Roman"/>
        <family val="1"/>
      </rPr>
      <t>Δ</t>
    </r>
    <r>
      <rPr>
        <sz val="9.1"/>
        <color theme="1"/>
        <rFont val="Calibri"/>
        <family val="2"/>
      </rPr>
      <t>H</t>
    </r>
  </si>
  <si>
    <t>ΔS</t>
  </si>
  <si>
    <t>ΔG (298.15 K)</t>
  </si>
  <si>
    <t>ΔG (308.15 K)</t>
  </si>
  <si>
    <t>ΔG (318.15 K)</t>
  </si>
  <si>
    <t>qmax =1/m</t>
  </si>
  <si>
    <t>kl</t>
  </si>
  <si>
    <t>KF</t>
  </si>
  <si>
    <t>bT</t>
  </si>
  <si>
    <t>Kt</t>
  </si>
  <si>
    <t>Temkin</t>
  </si>
  <si>
    <t>[RTln((1/Ce)+1)]2</t>
  </si>
  <si>
    <t>d</t>
  </si>
  <si>
    <t>D-R</t>
  </si>
  <si>
    <t>Sips</t>
  </si>
  <si>
    <t>Initial concentration (Co) (mol/L)</t>
  </si>
  <si>
    <t>Regeneration cycle</t>
  </si>
  <si>
    <t>Final concentration (Ct) (mol/L)</t>
  </si>
  <si>
    <t>Final concentration (Ct) (mg/L or ppm)</t>
  </si>
  <si>
    <t>Adsorption capacity at time t (qt) (mol/g)</t>
  </si>
  <si>
    <t>Adsorption capacity at time t (qt) (mg/g)</t>
  </si>
  <si>
    <t>Initial adsorption</t>
  </si>
  <si>
    <t>Final concentration</t>
  </si>
  <si>
    <t>Concentration (mol/L)</t>
  </si>
  <si>
    <t>Beer-Lambert's law</t>
  </si>
  <si>
    <t>A = 𝛆lC</t>
  </si>
  <si>
    <t>𝛆= A/ (lC)</t>
  </si>
  <si>
    <t>l (cm)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</si>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</sst>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b/>
      <vertAlign val="subscript"/>
      <sz val="12"/>
      <color rgb="FF000000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Calibri"/>
      <family val="1"/>
    </font>
    <font>
      <sz val="9.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/>
    <xf numFmtId="0" fontId="4" fillId="0" borderId="0" xfId="0" applyFont="1"/>
    <xf numFmtId="0" fontId="4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/>
    <xf numFmtId="0" fontId="7" fillId="0" borderId="0" xfId="0" applyFont="1" applyAlignment="1">
      <alignment horizontal="centerContinuous"/>
    </xf>
    <xf numFmtId="0" fontId="0" fillId="0" borderId="0" xfId="0" applyAlignment="1">
      <alignment wrapText="1"/>
    </xf>
    <xf numFmtId="0" fontId="3" fillId="0" borderId="1" xfId="0" applyFont="1" applyBorder="1"/>
    <xf numFmtId="0" fontId="3" fillId="0" borderId="0" xfId="0" applyFont="1"/>
    <xf numFmtId="0" fontId="1" fillId="0" borderId="0" xfId="0" applyFont="1"/>
    <xf numFmtId="0" fontId="6" fillId="0" borderId="0" xfId="0" applyFont="1"/>
    <xf numFmtId="2" fontId="4" fillId="0" borderId="1" xfId="0" applyNumberFormat="1" applyFont="1" applyBorder="1"/>
    <xf numFmtId="2" fontId="4" fillId="2" borderId="1" xfId="0" applyNumberFormat="1" applyFont="1" applyFill="1" applyBorder="1"/>
    <xf numFmtId="2" fontId="0" fillId="0" borderId="1" xfId="0" applyNumberFormat="1" applyBorder="1"/>
    <xf numFmtId="0" fontId="2" fillId="0" borderId="0" xfId="0" applyFont="1"/>
    <xf numFmtId="0" fontId="10" fillId="0" borderId="0" xfId="0" applyFont="1"/>
    <xf numFmtId="0" fontId="1" fillId="0" borderId="1" xfId="0" applyFont="1" applyBorder="1"/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2093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Absorbance at 554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844279008692721E-2"/>
                  <c:y val="1.108128765107710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77923x + 0.0258</a:t>
                    </a:r>
                    <a:b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0.9996</a:t>
                    </a:r>
                    <a:endPara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[1]Sheet1!$B$2:$B$11</c:f>
              <c:numCache>
                <c:formatCode>General</c:formatCode>
                <c:ptCount val="10"/>
                <c:pt idx="1">
                  <c:v>2.0876390889543017E-7</c:v>
                </c:pt>
                <c:pt idx="2">
                  <c:v>2.9226947245360224E-7</c:v>
                </c:pt>
                <c:pt idx="3">
                  <c:v>5.2190977223857542E-7</c:v>
                </c:pt>
                <c:pt idx="4">
                  <c:v>1.0438195444771508E-6</c:v>
                </c:pt>
                <c:pt idx="5">
                  <c:v>1.5657293167157263E-6</c:v>
                </c:pt>
                <c:pt idx="6">
                  <c:v>2.0876390889543017E-6</c:v>
                </c:pt>
                <c:pt idx="7">
                  <c:v>1.0438195444771508E-5</c:v>
                </c:pt>
                <c:pt idx="8">
                  <c:v>2.0876390889543015E-5</c:v>
                </c:pt>
                <c:pt idx="9">
                  <c:v>3.1314586334314521E-5</c:v>
                </c:pt>
              </c:numCache>
            </c:numRef>
          </c:xVal>
          <c:yVal>
            <c:numRef>
              <c:f>[1]Sheet1!$C$2:$C$11</c:f>
              <c:numCache>
                <c:formatCode>General</c:formatCode>
                <c:ptCount val="10"/>
                <c:pt idx="1">
                  <c:v>2.18E-2</c:v>
                </c:pt>
                <c:pt idx="2">
                  <c:v>3.5299999999999998E-2</c:v>
                </c:pt>
                <c:pt idx="3">
                  <c:v>5.6399999999999999E-2</c:v>
                </c:pt>
                <c:pt idx="4">
                  <c:v>0.12559999999999999</c:v>
                </c:pt>
                <c:pt idx="5">
                  <c:v>0.17530000000000001</c:v>
                </c:pt>
                <c:pt idx="6">
                  <c:v>0.18</c:v>
                </c:pt>
                <c:pt idx="7">
                  <c:v>0.85829999999999995</c:v>
                </c:pt>
                <c:pt idx="8">
                  <c:v>1.6364000000000001</c:v>
                </c:pt>
                <c:pt idx="9">
                  <c:v>2.4693999999999998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A-DF41-B57B-91B3E5E6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46768"/>
        <c:axId val="570693744"/>
      </c:scatterChart>
      <c:valAx>
        <c:axId val="57074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Concentration (mol/L)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0693744"/>
        <c:crosses val="autoZero"/>
        <c:crossBetween val="midCat"/>
      </c:valAx>
      <c:valAx>
        <c:axId val="57069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0746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[2]Thermodynamics!$O$1</c:f>
              <c:strCache>
                <c:ptCount val="1"/>
                <c:pt idx="0">
                  <c:v>lnkd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5950.6x - 17.642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0.94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[2]Thermodynamics!$N$2:$N$5</c:f>
              <c:numCache>
                <c:formatCode>General</c:formatCode>
                <c:ptCount val="4"/>
                <c:pt idx="1">
                  <c:v>3.3540164346805303E-3</c:v>
                </c:pt>
                <c:pt idx="2">
                  <c:v>3.2451728054518907E-3</c:v>
                </c:pt>
                <c:pt idx="3">
                  <c:v>3.1431714600031434E-3</c:v>
                </c:pt>
              </c:numCache>
            </c:numRef>
          </c:xVal>
          <c:yVal>
            <c:numRef>
              <c:f>[2]Thermodynamics!$O$2:$O$5</c:f>
              <c:numCache>
                <c:formatCode>General</c:formatCode>
                <c:ptCount val="4"/>
                <c:pt idx="1">
                  <c:v>2.4045802399215401</c:v>
                </c:pt>
                <c:pt idx="2">
                  <c:v>1.4854483837598544</c:v>
                </c:pt>
                <c:pt idx="3">
                  <c:v>1.1558675084792991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0-EC42-B8A6-295B2AEE0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20735"/>
        <c:axId val="1697951727"/>
      </c:scatterChart>
      <c:valAx>
        <c:axId val="166882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1/T (K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51727"/>
        <c:crosses val="autoZero"/>
        <c:crossBetween val="midCat"/>
      </c:valAx>
      <c:valAx>
        <c:axId val="1697951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ln(k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8207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[2]Thermodynamics!$K$1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rgbClr val="FF0066"/>
                </a:solidFill>
              </a:ln>
              <a:effectLst/>
            </c:spPr>
          </c:marker>
          <c:xVal>
            <c:numRef>
              <c:f>[2]Thermodynamics!$C$2:$C$5</c:f>
              <c:numCache>
                <c:formatCode>General</c:formatCode>
                <c:ptCount val="4"/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xVal>
          <c:yVal>
            <c:numRef>
              <c:f>[2]Thermodynamics!$K$2:$K$5</c:f>
              <c:numCache>
                <c:formatCode>General</c:formatCode>
                <c:ptCount val="4"/>
                <c:pt idx="1">
                  <c:v>52.547670435946344</c:v>
                </c:pt>
                <c:pt idx="2">
                  <c:v>30.637179485046246</c:v>
                </c:pt>
                <c:pt idx="3">
                  <c:v>24.108914024815309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88-AD42-8DA1-3EA50413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38336"/>
        <c:axId val="1662892256"/>
      </c:scatterChart>
      <c:scatterChart>
        <c:scatterStyle val="smoothMarker"/>
        <c:varyColors val="0"/>
        <c:ser>
          <c:idx val="0"/>
          <c:order val="0"/>
          <c:tx>
            <c:strRef>
              <c:f>[2]Thermodynamics!$J$1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00009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0099"/>
              </a:solidFill>
              <a:ln w="9525">
                <a:solidFill>
                  <a:srgbClr val="000099"/>
                </a:solidFill>
              </a:ln>
              <a:effectLst/>
            </c:spPr>
          </c:marker>
          <c:xVal>
            <c:numRef>
              <c:f>[2]Thermodynamics!$C$2:$C$5</c:f>
              <c:numCache>
                <c:formatCode>General</c:formatCode>
                <c:ptCount val="4"/>
                <c:pt idx="1">
                  <c:v>298.14999999999998</c:v>
                </c:pt>
                <c:pt idx="2">
                  <c:v>308.14999999999998</c:v>
                </c:pt>
                <c:pt idx="3">
                  <c:v>318.14999999999998</c:v>
                </c:pt>
              </c:numCache>
            </c:numRef>
          </c:xVal>
          <c:yVal>
            <c:numRef>
              <c:f>[2]Thermodynamics!$J$2:$J$5</c:f>
              <c:numCache>
                <c:formatCode>General</c:formatCode>
                <c:ptCount val="4"/>
                <c:pt idx="1">
                  <c:v>7.882150565391953</c:v>
                </c:pt>
                <c:pt idx="2">
                  <c:v>4.595576922756937</c:v>
                </c:pt>
                <c:pt idx="3">
                  <c:v>3.6163371037222958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88-AD42-8DA1-3EA504134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233232"/>
        <c:axId val="1502006240"/>
      </c:scatterChart>
      <c:valAx>
        <c:axId val="15741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2892256"/>
        <c:crosses val="autoZero"/>
        <c:crossBetween val="midCat"/>
      </c:valAx>
      <c:valAx>
        <c:axId val="166289225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4138336"/>
        <c:crosses val="autoZero"/>
        <c:crossBetween val="midCat"/>
      </c:valAx>
      <c:valAx>
        <c:axId val="1502006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8233232"/>
        <c:crosses val="max"/>
        <c:crossBetween val="midCat"/>
      </c:valAx>
      <c:valAx>
        <c:axId val="156823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2006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'[3]Low concentration'!$I$1</c:f>
              <c:strCache>
                <c:ptCount val="1"/>
                <c:pt idx="0">
                  <c:v>Adsorption capacity (qe) (mg/g)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'[3]Low concentration'!$D$2:$D$10</c:f>
              <c:numCache>
                <c:formatCode>General</c:formatCode>
                <c:ptCount val="9"/>
                <c:pt idx="1">
                  <c:v>0.14000000000000001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'[3]Low concentration'!$I$2:$I$10</c:f>
              <c:numCache>
                <c:formatCode>General</c:formatCode>
                <c:ptCount val="9"/>
                <c:pt idx="1">
                  <c:v>0.11001078054221058</c:v>
                </c:pt>
                <c:pt idx="2">
                  <c:v>0.21633863122084859</c:v>
                </c:pt>
                <c:pt idx="3">
                  <c:v>0.38738742081156619</c:v>
                </c:pt>
                <c:pt idx="4">
                  <c:v>0.63677539592467258</c:v>
                </c:pt>
                <c:pt idx="5">
                  <c:v>0.89014153280258768</c:v>
                </c:pt>
                <c:pt idx="6">
                  <c:v>3.6474249999650072</c:v>
                </c:pt>
                <c:pt idx="7">
                  <c:v>3.9635985405678134</c:v>
                </c:pt>
                <c:pt idx="8">
                  <c:v>3.9835520359140877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4-DB48-8905-B07D8FD9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280832"/>
        <c:axId val="458634848"/>
      </c:scatterChart>
      <c:valAx>
        <c:axId val="14062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Initial dye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34848"/>
        <c:crosses val="autoZero"/>
        <c:crossBetween val="midCat"/>
      </c:valAx>
      <c:valAx>
        <c:axId val="4586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8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'[3]Low concentration'!$J$1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'[3]Low concentration'!$D$2:$D$10</c:f>
              <c:numCache>
                <c:formatCode>General</c:formatCode>
                <c:ptCount val="9"/>
                <c:pt idx="1">
                  <c:v>0.14000000000000001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'[3]Low concentration'!$J$2:$J$10</c:f>
              <c:numCache>
                <c:formatCode>General</c:formatCode>
                <c:ptCount val="9"/>
                <c:pt idx="1">
                  <c:v>78.579128958721839</c:v>
                </c:pt>
                <c:pt idx="2">
                  <c:v>86.53545248833943</c:v>
                </c:pt>
                <c:pt idx="3">
                  <c:v>77.477484162313232</c:v>
                </c:pt>
                <c:pt idx="4">
                  <c:v>84.903386123289678</c:v>
                </c:pt>
                <c:pt idx="5">
                  <c:v>89.014153280258768</c:v>
                </c:pt>
                <c:pt idx="6">
                  <c:v>72.94849999930014</c:v>
                </c:pt>
                <c:pt idx="7">
                  <c:v>39.635985405678134</c:v>
                </c:pt>
                <c:pt idx="8">
                  <c:v>26.557013572760578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3-6548-9087-80ED2105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94655"/>
        <c:axId val="367109119"/>
      </c:scatterChart>
      <c:valAx>
        <c:axId val="8808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 dye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9119"/>
        <c:crosses val="autoZero"/>
        <c:crossBetween val="midCat"/>
      </c:valAx>
      <c:valAx>
        <c:axId val="367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'[2]Adsorption isotherm'!$D$1</c:f>
              <c:strCache>
                <c:ptCount val="1"/>
                <c:pt idx="0">
                  <c:v>Ce/qe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C0256"/>
              </a:solidFill>
              <a:ln w="9525">
                <a:solidFill>
                  <a:srgbClr val="7C025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C025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0.2329x + 0.1625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0.9936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'[2]Adsorption isotherm'!$C$2:$C$10</c:f>
              <c:numCache>
                <c:formatCode>General</c:formatCode>
                <c:ptCount val="9"/>
                <c:pt idx="1">
                  <c:v>2.9989219457789432E-2</c:v>
                </c:pt>
                <c:pt idx="2">
                  <c:v>3.36613687791514E-2</c:v>
                </c:pt>
                <c:pt idx="3">
                  <c:v>0.11261257918843379</c:v>
                </c:pt>
                <c:pt idx="4">
                  <c:v>0.11322460407532745</c:v>
                </c:pt>
                <c:pt idx="5">
                  <c:v>0.10985846719741231</c:v>
                </c:pt>
                <c:pt idx="6">
                  <c:v>1.3525750000349928</c:v>
                </c:pt>
                <c:pt idx="7">
                  <c:v>6.0364014594321862</c:v>
                </c:pt>
                <c:pt idx="8">
                  <c:v>11.016447964085913</c:v>
                </c:pt>
              </c:numCache>
            </c:numRef>
          </c:xVal>
          <c:yVal>
            <c:numRef>
              <c:f>'[2]Adsorption isotherm'!$D$2:$D$10</c:f>
              <c:numCache>
                <c:formatCode>General</c:formatCode>
                <c:ptCount val="9"/>
                <c:pt idx="1">
                  <c:v>0.27260255140433914</c:v>
                </c:pt>
                <c:pt idx="2">
                  <c:v>0.15559573705903826</c:v>
                </c:pt>
                <c:pt idx="3">
                  <c:v>0.29069756305590272</c:v>
                </c:pt>
                <c:pt idx="4">
                  <c:v>0.17780932617679432</c:v>
                </c:pt>
                <c:pt idx="5">
                  <c:v>0.12341685355532817</c:v>
                </c:pt>
                <c:pt idx="6">
                  <c:v>0.37083010618394324</c:v>
                </c:pt>
                <c:pt idx="7">
                  <c:v>1.522959855204566</c:v>
                </c:pt>
                <c:pt idx="8">
                  <c:v>2.7654836348982244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3-D240-9564-2C9B67289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417631"/>
        <c:axId val="1697989167"/>
      </c:scatterChart>
      <c:valAx>
        <c:axId val="177141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89167"/>
        <c:crosses val="autoZero"/>
        <c:crossBetween val="midCat"/>
      </c:valAx>
      <c:valAx>
        <c:axId val="1697989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4176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'[2]Adsorption isotherm'!$I$1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0.5664x + 0.485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0.8759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'[2]Adsorption isotherm'!$H$2:$H$10</c:f>
              <c:numCache>
                <c:formatCode>General</c:formatCode>
                <c:ptCount val="9"/>
                <c:pt idx="1">
                  <c:v>-3.5069173133091898</c:v>
                </c:pt>
                <c:pt idx="2">
                  <c:v>-3.3914044261873455</c:v>
                </c:pt>
                <c:pt idx="3">
                  <c:v>-2.1838018538108308</c:v>
                </c:pt>
                <c:pt idx="4">
                  <c:v>-2.1783817863414914</c:v>
                </c:pt>
                <c:pt idx="5">
                  <c:v>-2.2085624034914826</c:v>
                </c:pt>
                <c:pt idx="6">
                  <c:v>0.30201018309198219</c:v>
                </c:pt>
                <c:pt idx="7">
                  <c:v>1.7978080495341771</c:v>
                </c:pt>
                <c:pt idx="8">
                  <c:v>2.3993894254584851</c:v>
                </c:pt>
              </c:numCache>
            </c:numRef>
          </c:xVal>
          <c:yVal>
            <c:numRef>
              <c:f>'[2]Adsorption isotherm'!$I$2:$I$10</c:f>
              <c:numCache>
                <c:formatCode>General</c:formatCode>
                <c:ptCount val="9"/>
                <c:pt idx="1">
                  <c:v>-2.2071769130627028</c:v>
                </c:pt>
                <c:pt idx="2">
                  <c:v>-1.5309103617813873</c:v>
                </c:pt>
                <c:pt idx="3">
                  <c:v>-0.94832999933775575</c:v>
                </c:pt>
                <c:pt idx="4">
                  <c:v>-0.45133828225135786</c:v>
                </c:pt>
                <c:pt idx="5">
                  <c:v>-0.11637480327830017</c:v>
                </c:pt>
                <c:pt idx="6">
                  <c:v>1.2940214391650215</c:v>
                </c:pt>
                <c:pt idx="7">
                  <c:v>1.3771523349937931</c:v>
                </c:pt>
                <c:pt idx="8">
                  <c:v>1.3821738926157963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F-6043-BF02-A556789F0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538511"/>
        <c:axId val="1475402031"/>
      </c:scatterChart>
      <c:valAx>
        <c:axId val="134553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7361359737552927"/>
              <c:y val="0.9017852743016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402031"/>
        <c:crosses val="autoZero"/>
        <c:crossBetween val="midCat"/>
      </c:valAx>
      <c:valAx>
        <c:axId val="147540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6726721156558377E-2"/>
              <c:y val="0.39945534979801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4553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'[2]Isotherm new'!$B$1</c:f>
              <c:strCache>
                <c:ptCount val="1"/>
                <c:pt idx="0">
                  <c:v>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0.7518x + 2.5724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0.9407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'[2]Isotherm new'!$A$2:$A$10</c:f>
              <c:numCache>
                <c:formatCode>General</c:formatCode>
                <c:ptCount val="9"/>
                <c:pt idx="1">
                  <c:v>-3.5069173133091898</c:v>
                </c:pt>
                <c:pt idx="2">
                  <c:v>-3.3914044261873455</c:v>
                </c:pt>
                <c:pt idx="3">
                  <c:v>-2.1838018538108308</c:v>
                </c:pt>
                <c:pt idx="4">
                  <c:v>-2.1783817863414914</c:v>
                </c:pt>
                <c:pt idx="5">
                  <c:v>-2.2085624034914826</c:v>
                </c:pt>
                <c:pt idx="6">
                  <c:v>0.30201018309198219</c:v>
                </c:pt>
                <c:pt idx="7">
                  <c:v>1.7978080495341771</c:v>
                </c:pt>
                <c:pt idx="8">
                  <c:v>2.3993894254584851</c:v>
                </c:pt>
              </c:numCache>
            </c:numRef>
          </c:xVal>
          <c:yVal>
            <c:numRef>
              <c:f>'[2]Isotherm new'!$B$2:$B$10</c:f>
              <c:numCache>
                <c:formatCode>General</c:formatCode>
                <c:ptCount val="9"/>
                <c:pt idx="1">
                  <c:v>0.11001078054221058</c:v>
                </c:pt>
                <c:pt idx="2">
                  <c:v>0.21633863122084859</c:v>
                </c:pt>
                <c:pt idx="3">
                  <c:v>0.38738742081156619</c:v>
                </c:pt>
                <c:pt idx="4">
                  <c:v>0.63677539592467258</c:v>
                </c:pt>
                <c:pt idx="5">
                  <c:v>0.89014153280258768</c:v>
                </c:pt>
                <c:pt idx="6">
                  <c:v>3.6474249999650072</c:v>
                </c:pt>
                <c:pt idx="7">
                  <c:v>3.9635985405678134</c:v>
                </c:pt>
                <c:pt idx="8">
                  <c:v>3.9835520359140877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D-FB47-A8A1-D07DED65E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788575"/>
        <c:axId val="1697982927"/>
      </c:scatterChart>
      <c:valAx>
        <c:axId val="152478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7370822397200352"/>
              <c:y val="0.91435185185185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82927"/>
        <c:crosses val="autoZero"/>
        <c:crossBetween val="midCat"/>
      </c:valAx>
      <c:valAx>
        <c:axId val="1697982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32824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478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'[2]Isotherm new'!$D$18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846894138232718E-2"/>
                  <c:y val="-1.412219305920093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-4E-08x + 1.2176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0.9342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'[2]Isotherm new'!$C$19:$C$27</c:f>
              <c:numCache>
                <c:formatCode>General</c:formatCode>
                <c:ptCount val="9"/>
                <c:pt idx="1">
                  <c:v>76847289.791430622</c:v>
                </c:pt>
                <c:pt idx="2">
                  <c:v>72058789.839225009</c:v>
                </c:pt>
                <c:pt idx="3">
                  <c:v>32237036.11001727</c:v>
                </c:pt>
                <c:pt idx="4">
                  <c:v>32100095.629495729</c:v>
                </c:pt>
                <c:pt idx="5">
                  <c:v>32867291.081844684</c:v>
                </c:pt>
                <c:pt idx="6">
                  <c:v>1882458.3367496715</c:v>
                </c:pt>
                <c:pt idx="7">
                  <c:v>144381.21994242712</c:v>
                </c:pt>
                <c:pt idx="8">
                  <c:v>46387.265036429104</c:v>
                </c:pt>
              </c:numCache>
            </c:numRef>
          </c:xVal>
          <c:yVal>
            <c:numRef>
              <c:f>'[2]Isotherm new'!$D$19:$D$27</c:f>
              <c:numCache>
                <c:formatCode>General</c:formatCode>
                <c:ptCount val="9"/>
                <c:pt idx="1">
                  <c:v>-2.2071769130627028</c:v>
                </c:pt>
                <c:pt idx="2">
                  <c:v>-1.5309103617813873</c:v>
                </c:pt>
                <c:pt idx="3">
                  <c:v>-0.94832999933775575</c:v>
                </c:pt>
                <c:pt idx="4">
                  <c:v>-0.45133828225135786</c:v>
                </c:pt>
                <c:pt idx="5">
                  <c:v>-0.11637480327830017</c:v>
                </c:pt>
                <c:pt idx="6">
                  <c:v>1.2940214391650215</c:v>
                </c:pt>
                <c:pt idx="7">
                  <c:v>1.3771523349937931</c:v>
                </c:pt>
                <c:pt idx="8">
                  <c:v>1.3821738926157963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0-7847-82BE-A26041F64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853391"/>
        <c:axId val="1475395375"/>
      </c:scatterChart>
      <c:valAx>
        <c:axId val="1874853391"/>
        <c:scaling>
          <c:orientation val="minMax"/>
          <c:max val="80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ε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95375"/>
        <c:crosses val="autoZero"/>
        <c:crossBetween val="midCat"/>
      </c:valAx>
      <c:valAx>
        <c:axId val="1475395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85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'[2]Isotherm new'!$F$34</c:f>
              <c:strCache>
                <c:ptCount val="1"/>
                <c:pt idx="0">
                  <c:v>ln(qe/qmax-qe)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99"/>
              </a:solidFill>
              <a:ln w="9525">
                <a:solidFill>
                  <a:srgbClr val="000099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0099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1.7704x + 2.4416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0.9772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'[2]Isotherm new'!$E$35:$E$43</c:f>
              <c:numCache>
                <c:formatCode>General</c:formatCode>
                <c:ptCount val="9"/>
                <c:pt idx="1">
                  <c:v>-3.5069173133091898</c:v>
                </c:pt>
                <c:pt idx="2">
                  <c:v>-3.3914044261873455</c:v>
                </c:pt>
                <c:pt idx="3">
                  <c:v>-2.1838018538108308</c:v>
                </c:pt>
                <c:pt idx="4">
                  <c:v>-2.1783817863414914</c:v>
                </c:pt>
                <c:pt idx="5">
                  <c:v>-2.2085624034914826</c:v>
                </c:pt>
                <c:pt idx="6">
                  <c:v>0.30201018309198219</c:v>
                </c:pt>
                <c:pt idx="7">
                  <c:v>1.7978080495341771</c:v>
                </c:pt>
                <c:pt idx="8">
                  <c:v>2.3993894254584851</c:v>
                </c:pt>
              </c:numCache>
            </c:numRef>
          </c:xVal>
          <c:yVal>
            <c:numRef>
              <c:f>'[2]Isotherm new'!$F$35:$F$43</c:f>
              <c:numCache>
                <c:formatCode>General</c:formatCode>
                <c:ptCount val="9"/>
                <c:pt idx="1">
                  <c:v>-3.5618455436511112</c:v>
                </c:pt>
                <c:pt idx="2">
                  <c:v>-2.8577595230939004</c:v>
                </c:pt>
                <c:pt idx="3">
                  <c:v>-2.2287358969010822</c:v>
                </c:pt>
                <c:pt idx="4">
                  <c:v>-1.6599140508869035</c:v>
                </c:pt>
                <c:pt idx="5">
                  <c:v>-1.2462744244014587</c:v>
                </c:pt>
                <c:pt idx="6">
                  <c:v>2.3785464904384139</c:v>
                </c:pt>
                <c:pt idx="7">
                  <c:v>5.198933920001851</c:v>
                </c:pt>
                <c:pt idx="8">
                  <c:v>7.6296802086808437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7-8141-90F8-56C747AA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880991"/>
        <c:axId val="1455365599"/>
      </c:scatterChart>
      <c:valAx>
        <c:axId val="187488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lnC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layout>
            <c:manualLayout>
              <c:xMode val="edge"/>
              <c:yMode val="edge"/>
              <c:x val="0.53852886390882893"/>
              <c:y val="0.91873581076065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365599"/>
        <c:crosses val="autoZero"/>
        <c:crossBetween val="midCat"/>
      </c:valAx>
      <c:valAx>
        <c:axId val="1455365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115431347660716E-2"/>
              <c:y val="0.36589068659373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8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'[4]Adsorption isotherm 13.10.23'!$D$67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804588612365448E-2"/>
                  <c:y val="-4.393296128514946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</a:rPr>
                      <a:t>y = 0.5664x + 0.485</a:t>
                    </a:r>
                    <a:br>
                      <a:rPr lang="en-US" b="1" baseline="0">
                        <a:solidFill>
                          <a:schemeClr val="tx1"/>
                        </a:solidFill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</a:rPr>
                      <a:t>R² = 0.8759</a:t>
                    </a:r>
                    <a:endParaRPr lang="en-US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'[4]Adsorption isotherm 13.10.23'!$C$68:$C$77</c:f>
              <c:numCache>
                <c:formatCode>General</c:formatCode>
                <c:ptCount val="10"/>
                <c:pt idx="1">
                  <c:v>-3.5069173133091898</c:v>
                </c:pt>
                <c:pt idx="2">
                  <c:v>-3.3914044261873455</c:v>
                </c:pt>
                <c:pt idx="3">
                  <c:v>-2.1838018538108308</c:v>
                </c:pt>
                <c:pt idx="4">
                  <c:v>-2.1783817863414914</c:v>
                </c:pt>
                <c:pt idx="5">
                  <c:v>-2.2085624034914826</c:v>
                </c:pt>
                <c:pt idx="6">
                  <c:v>0.30201018309198219</c:v>
                </c:pt>
                <c:pt idx="7">
                  <c:v>1.7978080495341771</c:v>
                </c:pt>
                <c:pt idx="8">
                  <c:v>2.3993894254584851</c:v>
                </c:pt>
              </c:numCache>
            </c:numRef>
          </c:xVal>
          <c:yVal>
            <c:numRef>
              <c:f>'[4]Adsorption isotherm 13.10.23'!$D$68:$D$77</c:f>
              <c:numCache>
                <c:formatCode>General</c:formatCode>
                <c:ptCount val="10"/>
                <c:pt idx="1">
                  <c:v>-2.2071769130627028</c:v>
                </c:pt>
                <c:pt idx="2">
                  <c:v>-1.5309103617813873</c:v>
                </c:pt>
                <c:pt idx="3">
                  <c:v>-0.94832999933775575</c:v>
                </c:pt>
                <c:pt idx="4">
                  <c:v>-0.45133828225135786</c:v>
                </c:pt>
                <c:pt idx="5">
                  <c:v>-0.11637480327830017</c:v>
                </c:pt>
                <c:pt idx="6">
                  <c:v>1.2940214391650215</c:v>
                </c:pt>
                <c:pt idx="7">
                  <c:v>1.3771523349937931</c:v>
                </c:pt>
                <c:pt idx="8">
                  <c:v>1.3821738926157963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E-2145-9BD9-6299BDB7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41040"/>
        <c:axId val="728644896"/>
      </c:scatterChart>
      <c:valAx>
        <c:axId val="79944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ln(C</a:t>
                </a:r>
                <a:r>
                  <a:rPr lang="en-GB" b="1" baseline="-25000">
                    <a:solidFill>
                      <a:schemeClr val="tx1"/>
                    </a:solidFill>
                  </a:rPr>
                  <a:t>e</a:t>
                </a:r>
                <a:r>
                  <a:rPr lang="en-GB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4896"/>
        <c:crosses val="autoZero"/>
        <c:crossBetween val="midCat"/>
      </c:valAx>
      <c:valAx>
        <c:axId val="7286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ln(q</a:t>
                </a:r>
                <a:r>
                  <a:rPr lang="en-GB" b="1" baseline="-25000">
                    <a:solidFill>
                      <a:schemeClr val="tx1"/>
                    </a:solidFill>
                  </a:rPr>
                  <a:t>e</a:t>
                </a:r>
                <a:r>
                  <a:rPr lang="en-GB" b="1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'Contact time '!$I$1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'Contact time '!$C$2:$C$11</c:f>
              <c:numCache>
                <c:formatCode>General</c:formatCode>
                <c:ptCount val="10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</c:numCache>
            </c:numRef>
          </c:xVal>
          <c:yVal>
            <c:numRef>
              <c:f>'Contact time '!$I$2:$I$11</c:f>
              <c:numCache>
                <c:formatCode>0.00</c:formatCode>
                <c:ptCount val="10"/>
                <c:pt idx="1">
                  <c:v>30.310955266130062</c:v>
                </c:pt>
                <c:pt idx="2">
                  <c:v>32.558988967222639</c:v>
                </c:pt>
                <c:pt idx="3">
                  <c:v>33.870341959526655</c:v>
                </c:pt>
                <c:pt idx="4">
                  <c:v>34.994358810072946</c:v>
                </c:pt>
                <c:pt idx="5">
                  <c:v>40.708111133683232</c:v>
                </c:pt>
                <c:pt idx="6">
                  <c:v>41.4574557007141</c:v>
                </c:pt>
                <c:pt idx="7">
                  <c:v>43.986493614443255</c:v>
                </c:pt>
                <c:pt idx="8">
                  <c:v>43.986493614443255</c:v>
                </c:pt>
                <c:pt idx="9">
                  <c:v>43.799157472685536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C-4E4B-B1DC-0C9C2997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23056"/>
        <c:axId val="502854176"/>
      </c:scatterChart>
      <c:scatterChart>
        <c:scatterStyle val="lineMarker"/>
        <c:varyColors val="0"/>
        <c:ser>
          <c:idx val="0"/>
          <c:order val="0"/>
          <c:tx>
            <c:strRef>
              <c:f>'Contact time '!$H$1</c:f>
              <c:strCache>
                <c:ptCount val="1"/>
                <c:pt idx="0">
                  <c:v>Adsorption capacity at time t (qt) (mg/g)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'Contact time '!$C$2:$C$11</c:f>
              <c:numCache>
                <c:formatCode>General</c:formatCode>
                <c:ptCount val="10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</c:numCache>
            </c:numRef>
          </c:xVal>
          <c:yVal>
            <c:numRef>
              <c:f>'Contact time '!$H$2:$H$11</c:f>
              <c:numCache>
                <c:formatCode>0.00</c:formatCode>
                <c:ptCount val="10"/>
                <c:pt idx="1">
                  <c:v>4.5466432899195093</c:v>
                </c:pt>
                <c:pt idx="2">
                  <c:v>4.8838483450833952</c:v>
                </c:pt>
                <c:pt idx="3">
                  <c:v>5.0805512939289974</c:v>
                </c:pt>
                <c:pt idx="4">
                  <c:v>5.2491538215109408</c:v>
                </c:pt>
                <c:pt idx="5">
                  <c:v>6.1062166700524854</c:v>
                </c:pt>
                <c:pt idx="6">
                  <c:v>6.2186183551071146</c:v>
                </c:pt>
                <c:pt idx="7">
                  <c:v>6.5979740421664879</c:v>
                </c:pt>
                <c:pt idx="8">
                  <c:v>6.5979740421664879</c:v>
                </c:pt>
                <c:pt idx="9">
                  <c:v>6.569873620902829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C-4E4B-B1DC-0C9C2997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53024"/>
        <c:axId val="976518304"/>
      </c:scatterChart>
      <c:valAx>
        <c:axId val="17815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Contact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54176"/>
        <c:crosses val="autoZero"/>
        <c:crossBetween val="midCat"/>
      </c:valAx>
      <c:valAx>
        <c:axId val="50285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23056"/>
        <c:crosses val="autoZero"/>
        <c:crossBetween val="midCat"/>
      </c:valAx>
      <c:valAx>
        <c:axId val="976518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Adsorption capacity</a:t>
                </a:r>
                <a:r>
                  <a:rPr lang="en-GB" b="1" baseline="0">
                    <a:solidFill>
                      <a:schemeClr val="tx1"/>
                    </a:solidFill>
                  </a:rPr>
                  <a:t> (mg/g)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53024"/>
        <c:crosses val="max"/>
        <c:crossBetween val="midCat"/>
      </c:valAx>
      <c:valAx>
        <c:axId val="170845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518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238978956689608E-2"/>
          <c:y val="4.2198890793110247E-2"/>
          <c:w val="0.70669887395715247"/>
          <c:h val="0.69271713584821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ln(qe-qt)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677723021342891E-2"/>
                  <c:y val="2.72097850513783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-0.0154x + 0.7649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0.8231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[2]Sheet1!$B$2:$B$12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[2]Sheet1!$C$2:$C$12</c:f>
              <c:numCache>
                <c:formatCode>General</c:formatCode>
                <c:ptCount val="11"/>
                <c:pt idx="1">
                  <c:v>0.72757967446642213</c:v>
                </c:pt>
                <c:pt idx="2">
                  <c:v>0.54977279273058965</c:v>
                </c:pt>
                <c:pt idx="3">
                  <c:v>0.4292833913130788</c:v>
                </c:pt>
                <c:pt idx="4">
                  <c:v>0.31302358067534231</c:v>
                </c:pt>
                <c:pt idx="5">
                  <c:v>-0.67238240853326459</c:v>
                </c:pt>
                <c:pt idx="6">
                  <c:v>-0.92107906543504137</c:v>
                </c:pt>
                <c:pt idx="7">
                  <c:v>-3.9774388268271097</c:v>
                </c:pt>
                <c:pt idx="8">
                  <c:v>-3.9774388268271097</c:v>
                </c:pt>
                <c:pt idx="9">
                  <c:v>-3.0611462904198179</c:v>
                </c:pt>
                <c:pt idx="10">
                  <c:v>-3.9774388268271097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2-8A4B-A99C-904B9FB2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690447"/>
        <c:axId val="1455358943"/>
      </c:scatterChart>
      <c:valAx>
        <c:axId val="1514690447"/>
        <c:scaling>
          <c:orientation val="minMax"/>
          <c:max val="3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(min)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358943"/>
        <c:crosses val="autoZero"/>
        <c:crossBetween val="midCat"/>
      </c:valAx>
      <c:valAx>
        <c:axId val="1455358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4690447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[2]Sheet1!$B$19</c:f>
              <c:strCache>
                <c:ptCount val="1"/>
                <c:pt idx="0">
                  <c:v>t/qt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0.1457x + 1.7806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0.9992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[2]Sheet1!$A$20:$A$30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[2]Sheet1!$B$20:$B$30</c:f>
              <c:numCache>
                <c:formatCode>General</c:formatCode>
                <c:ptCount val="11"/>
                <c:pt idx="1">
                  <c:v>3.2991371971618979</c:v>
                </c:pt>
                <c:pt idx="2">
                  <c:v>6.1426968816919167</c:v>
                </c:pt>
                <c:pt idx="3">
                  <c:v>8.8573065001376392</c:v>
                </c:pt>
                <c:pt idx="4">
                  <c:v>11.430413746711146</c:v>
                </c:pt>
                <c:pt idx="5">
                  <c:v>14.739077380172036</c:v>
                </c:pt>
                <c:pt idx="6">
                  <c:v>19.29689090848429</c:v>
                </c:pt>
                <c:pt idx="7">
                  <c:v>27.281101569914</c:v>
                </c:pt>
                <c:pt idx="8">
                  <c:v>36.374802093218669</c:v>
                </c:pt>
                <c:pt idx="9">
                  <c:v>45.662978819792599</c:v>
                </c:pt>
                <c:pt idx="10">
                  <c:v>54.562203139828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C-A942-BEF6-ABD66036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41039"/>
        <c:axId val="1475358351"/>
      </c:scatterChart>
      <c:valAx>
        <c:axId val="146544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(min)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358351"/>
        <c:crosses val="autoZero"/>
        <c:crossBetween val="midCat"/>
      </c:valAx>
      <c:valAx>
        <c:axId val="1475358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(min/g 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544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[2]Sheet1!$B$39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168635170603673E-2"/>
                  <c:y val="-1.92366579177602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0.7493x + 2.431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0.9315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[2]Sheet1!$A$40:$A$49</c:f>
              <c:numCache>
                <c:formatCode>General</c:formatCode>
                <c:ptCount val="10"/>
                <c:pt idx="0">
                  <c:v>2.7080502011022101</c:v>
                </c:pt>
                <c:pt idx="1">
                  <c:v>3.4011973816621555</c:v>
                </c:pt>
                <c:pt idx="2">
                  <c:v>3.8066624897703196</c:v>
                </c:pt>
                <c:pt idx="3">
                  <c:v>4.0943445622221004</c:v>
                </c:pt>
                <c:pt idx="4">
                  <c:v>4.499809670330265</c:v>
                </c:pt>
                <c:pt idx="5">
                  <c:v>4.7874917427820458</c:v>
                </c:pt>
                <c:pt idx="6">
                  <c:v>5.1929568508902104</c:v>
                </c:pt>
                <c:pt idx="7">
                  <c:v>5.4806389233419912</c:v>
                </c:pt>
                <c:pt idx="8">
                  <c:v>5.7037824746562009</c:v>
                </c:pt>
                <c:pt idx="9">
                  <c:v>5.8861040314501558</c:v>
                </c:pt>
              </c:numCache>
            </c:numRef>
          </c:xVal>
          <c:yVal>
            <c:numRef>
              <c:f>[2]Sheet1!$B$40:$B$49</c:f>
              <c:numCache>
                <c:formatCode>General</c:formatCode>
                <c:ptCount val="10"/>
                <c:pt idx="0">
                  <c:v>4.5466432899195093</c:v>
                </c:pt>
                <c:pt idx="1">
                  <c:v>4.8838483450833952</c:v>
                </c:pt>
                <c:pt idx="2">
                  <c:v>5.0805512939289974</c:v>
                </c:pt>
                <c:pt idx="3">
                  <c:v>5.2491538215109408</c:v>
                </c:pt>
                <c:pt idx="4">
                  <c:v>6.1062166700524854</c:v>
                </c:pt>
                <c:pt idx="5">
                  <c:v>6.2186183551071146</c:v>
                </c:pt>
                <c:pt idx="6">
                  <c:v>6.5979740421664879</c:v>
                </c:pt>
                <c:pt idx="7">
                  <c:v>6.5979740421664879</c:v>
                </c:pt>
                <c:pt idx="8">
                  <c:v>6.569873620902829</c:v>
                </c:pt>
                <c:pt idx="9">
                  <c:v>6.5979740421664879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B-3C46-9444-42EFB72C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86223"/>
        <c:axId val="983147647"/>
      </c:scatterChart>
      <c:valAx>
        <c:axId val="158718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3147647"/>
        <c:crosses val="autoZero"/>
        <c:crossBetween val="midCat"/>
      </c:valAx>
      <c:valAx>
        <c:axId val="983147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71862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[2]Sheet1!$B$53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848643919510064E-2"/>
                  <c:y val="-3.70195392242636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0.1452x + 4.2556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0.8532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[2]Sheet1!$A$54:$A$63</c:f>
              <c:numCache>
                <c:formatCode>General</c:formatCode>
                <c:ptCount val="10"/>
                <c:pt idx="0">
                  <c:v>3.872983346207417</c:v>
                </c:pt>
                <c:pt idx="1">
                  <c:v>5.4772255750516612</c:v>
                </c:pt>
                <c:pt idx="2">
                  <c:v>6.7082039324993694</c:v>
                </c:pt>
                <c:pt idx="3">
                  <c:v>7.745966692414834</c:v>
                </c:pt>
                <c:pt idx="4">
                  <c:v>9.4868329805051381</c:v>
                </c:pt>
                <c:pt idx="5">
                  <c:v>10.954451150103322</c:v>
                </c:pt>
                <c:pt idx="6">
                  <c:v>13.416407864998739</c:v>
                </c:pt>
                <c:pt idx="7">
                  <c:v>15.491933384829668</c:v>
                </c:pt>
                <c:pt idx="8">
                  <c:v>17.320508075688775</c:v>
                </c:pt>
                <c:pt idx="9">
                  <c:v>18.973665961010276</c:v>
                </c:pt>
              </c:numCache>
            </c:numRef>
          </c:xVal>
          <c:yVal>
            <c:numRef>
              <c:f>[2]Sheet1!$B$54:$B$63</c:f>
              <c:numCache>
                <c:formatCode>General</c:formatCode>
                <c:ptCount val="10"/>
                <c:pt idx="0">
                  <c:v>4.5466432899195093</c:v>
                </c:pt>
                <c:pt idx="1">
                  <c:v>4.8838483450833952</c:v>
                </c:pt>
                <c:pt idx="2">
                  <c:v>5.0805512939289974</c:v>
                </c:pt>
                <c:pt idx="3">
                  <c:v>5.2491538215109408</c:v>
                </c:pt>
                <c:pt idx="4">
                  <c:v>6.1062166700524854</c:v>
                </c:pt>
                <c:pt idx="5">
                  <c:v>6.2186183551071146</c:v>
                </c:pt>
                <c:pt idx="6">
                  <c:v>6.5979740421664879</c:v>
                </c:pt>
                <c:pt idx="7">
                  <c:v>6.5979740421664879</c:v>
                </c:pt>
                <c:pt idx="8">
                  <c:v>6.569873620902829</c:v>
                </c:pt>
                <c:pt idx="9">
                  <c:v>6.5979740421664879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A-1A43-B87A-0617B5EE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96303"/>
        <c:axId val="1697994159"/>
      </c:scatterChart>
      <c:valAx>
        <c:axId val="168959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(min</a:t>
                </a:r>
                <a:r>
                  <a:rPr lang="en-US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7994159"/>
        <c:crosses val="autoZero"/>
        <c:crossBetween val="midCat"/>
      </c:valAx>
      <c:valAx>
        <c:axId val="1697994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US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95963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'Adsorbent dosage '!$O$1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'Adsorbent dosage '!$M$2:$M$8</c:f>
              <c:numCache>
                <c:formatCode>General</c:formatCode>
                <c:ptCount val="7"/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'Adsorbent dosage '!$O$2:$O$8</c:f>
              <c:numCache>
                <c:formatCode>0.00</c:formatCode>
                <c:ptCount val="7"/>
                <c:pt idx="1">
                  <c:v>14.124748036574625</c:v>
                </c:pt>
                <c:pt idx="2">
                  <c:v>26.316283783555892</c:v>
                </c:pt>
                <c:pt idx="3">
                  <c:v>49.022407087421634</c:v>
                </c:pt>
                <c:pt idx="4">
                  <c:v>66.106061763663476</c:v>
                </c:pt>
                <c:pt idx="5">
                  <c:v>84.630015007068778</c:v>
                </c:pt>
                <c:pt idx="6">
                  <c:v>96.899073906390313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6-9345-86A9-19974267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85519"/>
        <c:axId val="869736847"/>
      </c:scatterChart>
      <c:scatterChart>
        <c:scatterStyle val="lineMarker"/>
        <c:varyColors val="0"/>
        <c:ser>
          <c:idx val="0"/>
          <c:order val="0"/>
          <c:tx>
            <c:strRef>
              <c:f>'Adsorbent dosage '!$N$1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'Adsorbent dosage '!$M$2:$M$8</c:f>
              <c:numCache>
                <c:formatCode>General</c:formatCode>
                <c:ptCount val="7"/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'Adsorbent dosage '!$N$2:$N$8</c:f>
              <c:numCache>
                <c:formatCode>0.00</c:formatCode>
                <c:ptCount val="7"/>
                <c:pt idx="1">
                  <c:v>4.2374244109723875</c:v>
                </c:pt>
                <c:pt idx="2">
                  <c:v>3.9474425675333844</c:v>
                </c:pt>
                <c:pt idx="3">
                  <c:v>3.6766805315566224</c:v>
                </c:pt>
                <c:pt idx="4">
                  <c:v>3.3053030881831744</c:v>
                </c:pt>
                <c:pt idx="5">
                  <c:v>3.1736255627650798</c:v>
                </c:pt>
                <c:pt idx="6">
                  <c:v>2.9069722171917092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6-9345-86A9-19974267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30896"/>
        <c:axId val="512813472"/>
      </c:scatterChart>
      <c:valAx>
        <c:axId val="1520185519"/>
        <c:scaling>
          <c:orientation val="minMax"/>
          <c:max val="0.1"/>
          <c:min val="0.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Adsorbent dosage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9736847"/>
        <c:crosses val="autoZero"/>
        <c:crossBetween val="midCat"/>
      </c:valAx>
      <c:valAx>
        <c:axId val="8697368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</a:t>
                </a:r>
                <a:r>
                  <a:rPr lang="en-GB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Efficiency (%)</a:t>
                </a:r>
                <a:endParaRPr lang="en-GB" sz="105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0185519"/>
        <c:crosses val="autoZero"/>
        <c:crossBetween val="midCat"/>
      </c:valAx>
      <c:valAx>
        <c:axId val="512813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3530896"/>
        <c:crosses val="max"/>
        <c:crossBetween val="midCat"/>
      </c:valAx>
      <c:valAx>
        <c:axId val="51353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813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'Adsorbent dosage '!$O$1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'Adsorbent dosage '!$M$2:$M$8</c:f>
              <c:numCache>
                <c:formatCode>General</c:formatCode>
                <c:ptCount val="7"/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'Adsorbent dosage '!$O$2:$O$8</c:f>
              <c:numCache>
                <c:formatCode>0.00</c:formatCode>
                <c:ptCount val="7"/>
                <c:pt idx="1">
                  <c:v>14.124748036574625</c:v>
                </c:pt>
                <c:pt idx="2">
                  <c:v>26.316283783555892</c:v>
                </c:pt>
                <c:pt idx="3">
                  <c:v>49.022407087421634</c:v>
                </c:pt>
                <c:pt idx="4">
                  <c:v>66.106061763663476</c:v>
                </c:pt>
                <c:pt idx="5">
                  <c:v>84.630015007068778</c:v>
                </c:pt>
                <c:pt idx="6">
                  <c:v>96.899073906390313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F-4B46-828F-E4F839DD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56912"/>
        <c:axId val="1003654576"/>
      </c:scatterChart>
      <c:scatterChart>
        <c:scatterStyle val="lineMarker"/>
        <c:varyColors val="0"/>
        <c:ser>
          <c:idx val="0"/>
          <c:order val="0"/>
          <c:tx>
            <c:strRef>
              <c:f>'Adsorbent dosage '!$N$1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'Adsorbent dosage '!$M$2:$M$8</c:f>
              <c:numCache>
                <c:formatCode>General</c:formatCode>
                <c:ptCount val="7"/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xVal>
          <c:yVal>
            <c:numRef>
              <c:f>'Adsorbent dosage '!$N$2:$N$8</c:f>
              <c:numCache>
                <c:formatCode>0.00</c:formatCode>
                <c:ptCount val="7"/>
                <c:pt idx="1">
                  <c:v>4.2374244109723875</c:v>
                </c:pt>
                <c:pt idx="2">
                  <c:v>3.9474425675333844</c:v>
                </c:pt>
                <c:pt idx="3">
                  <c:v>3.6766805315566224</c:v>
                </c:pt>
                <c:pt idx="4">
                  <c:v>3.3053030881831744</c:v>
                </c:pt>
                <c:pt idx="5">
                  <c:v>3.1736255627650798</c:v>
                </c:pt>
                <c:pt idx="6">
                  <c:v>2.9069722171917092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F-4B46-828F-E4F839DD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32752"/>
        <c:axId val="1004134784"/>
      </c:scatterChart>
      <c:valAx>
        <c:axId val="1003656912"/>
        <c:scaling>
          <c:orientation val="minMax"/>
          <c:max val="0.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Adsorbent dosage</a:t>
                </a:r>
                <a:r>
                  <a:rPr lang="en-GB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(g)</a:t>
                </a:r>
                <a:endParaRPr lang="en-GB" sz="105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654576"/>
        <c:crosses val="autoZero"/>
        <c:crossBetween val="midCat"/>
      </c:valAx>
      <c:valAx>
        <c:axId val="10036545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656912"/>
        <c:crosses val="autoZero"/>
        <c:crossBetween val="midCat"/>
      </c:valAx>
      <c:valAx>
        <c:axId val="1004134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3532752"/>
        <c:crosses val="max"/>
        <c:crossBetween val="midCat"/>
      </c:valAx>
      <c:valAx>
        <c:axId val="10035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4134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64940157435398"/>
          <c:y val="0.64187568075270962"/>
          <c:w val="0.74454912790633898"/>
          <c:h val="6.8668267074538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pH!$P$1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pH!$N$2:$N$9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xVal>
          <c:yVal>
            <c:numRef>
              <c:f>pH!$P$2:$P$9</c:f>
              <c:numCache>
                <c:formatCode>0.00</c:formatCode>
                <c:ptCount val="8"/>
                <c:pt idx="1">
                  <c:v>58.831125941418641</c:v>
                </c:pt>
                <c:pt idx="2">
                  <c:v>54.628555051394969</c:v>
                </c:pt>
                <c:pt idx="3">
                  <c:v>39.613544492863802</c:v>
                </c:pt>
                <c:pt idx="4">
                  <c:v>38.593503014702719</c:v>
                </c:pt>
                <c:pt idx="5">
                  <c:v>38.185486423438292</c:v>
                </c:pt>
                <c:pt idx="6">
                  <c:v>37.287849922656505</c:v>
                </c:pt>
                <c:pt idx="7">
                  <c:v>33.003675714379973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7-784D-A036-291AE973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30656"/>
        <c:axId val="47673231"/>
      </c:scatterChart>
      <c:scatterChart>
        <c:scatterStyle val="lineMarker"/>
        <c:varyColors val="0"/>
        <c:ser>
          <c:idx val="0"/>
          <c:order val="0"/>
          <c:tx>
            <c:strRef>
              <c:f>pH!$O$1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pH!$N$2:$N$9</c:f>
              <c:numCache>
                <c:formatCode>General</c:formatCode>
                <c:ptCount val="8"/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xVal>
          <c:yVal>
            <c:numRef>
              <c:f>pH!$O$2:$O$9</c:f>
              <c:numCache>
                <c:formatCode>0.00</c:formatCode>
                <c:ptCount val="8"/>
                <c:pt idx="1">
                  <c:v>8.8246688912127951</c:v>
                </c:pt>
                <c:pt idx="2">
                  <c:v>8.1942832577092446</c:v>
                </c:pt>
                <c:pt idx="3">
                  <c:v>5.94203167392957</c:v>
                </c:pt>
                <c:pt idx="4">
                  <c:v>5.7890254522054079</c:v>
                </c:pt>
                <c:pt idx="5">
                  <c:v>5.7278229635157434</c:v>
                </c:pt>
                <c:pt idx="6">
                  <c:v>5.5931774883984762</c:v>
                </c:pt>
                <c:pt idx="7">
                  <c:v>4.9505513571569963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7-784D-A036-291AE973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82720"/>
        <c:axId val="404044912"/>
      </c:scatterChart>
      <c:valAx>
        <c:axId val="183613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73231"/>
        <c:crosses val="autoZero"/>
        <c:crossBetween val="midCat"/>
      </c:valAx>
      <c:valAx>
        <c:axId val="4767323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6130656"/>
        <c:crosses val="autoZero"/>
        <c:crossBetween val="midCat"/>
      </c:valAx>
      <c:valAx>
        <c:axId val="40404491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8782720"/>
        <c:crosses val="max"/>
        <c:crossBetween val="midCat"/>
      </c:valAx>
      <c:valAx>
        <c:axId val="3287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044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12700</xdr:rowOff>
    </xdr:from>
    <xdr:to>
      <xdr:col>9</xdr:col>
      <xdr:colOff>413895</xdr:colOff>
      <xdr:row>13</xdr:row>
      <xdr:rowOff>508977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0F3BF-6B15-CA41-A1A2-1CF253E56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580838</xdr:colOff>
      <xdr:row>0</xdr:row>
      <xdr:rowOff>1084356</xdr:rowOff>
    </xdr:from>
    <xdr:to>
      <xdr:col>15</xdr:col>
      <xdr:colOff>222249</xdr:colOff>
      <xdr:row>12</xdr:row>
      <xdr:rowOff>465791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7D10D-933C-8108-F888-0203A5F12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100932</xdr:colOff>
      <xdr:row>1</xdr:row>
      <xdr:rowOff>31751</xdr:rowOff>
    </xdr:from>
    <xdr:to>
      <xdr:col>12</xdr:col>
      <xdr:colOff>724930</xdr:colOff>
      <xdr:row>15</xdr:row>
      <xdr:rowOff>137696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45533-1171-3249-AC58-4B44BEA94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887604</xdr:colOff>
      <xdr:row>22</xdr:row>
      <xdr:rowOff>123092</xdr:rowOff>
    </xdr:from>
    <xdr:to>
      <xdr:col>11</xdr:col>
      <xdr:colOff>535911</xdr:colOff>
      <xdr:row>36</xdr:row>
      <xdr:rowOff>52754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E0C92-11B5-BC42-A69D-4B202C1BD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301487</xdr:colOff>
      <xdr:row>35</xdr:row>
      <xdr:rowOff>149086</xdr:rowOff>
    </xdr:from>
    <xdr:to>
      <xdr:col>12</xdr:col>
      <xdr:colOff>188843</xdr:colOff>
      <xdr:row>49</xdr:row>
      <xdr:rowOff>109330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3448B6-07CA-914A-9A55-00259D4C5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745435</xdr:colOff>
      <xdr:row>50</xdr:row>
      <xdr:rowOff>175590</xdr:rowOff>
    </xdr:from>
    <xdr:to>
      <xdr:col>11</xdr:col>
      <xdr:colOff>394252</xdr:colOff>
      <xdr:row>64</xdr:row>
      <xdr:rowOff>135834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FCD55-486E-A345-9BEA-8ED5CDBE1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152444</xdr:colOff>
      <xdr:row>0</xdr:row>
      <xdr:rowOff>1223062</xdr:rowOff>
    </xdr:from>
    <xdr:to>
      <xdr:col>33</xdr:col>
      <xdr:colOff>616279</xdr:colOff>
      <xdr:row>10</xdr:row>
      <xdr:rowOff>396696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55FA95-678E-9943-AFF9-82AC4A781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135833</xdr:colOff>
      <xdr:row>9</xdr:row>
      <xdr:rowOff>556591</xdr:rowOff>
    </xdr:from>
    <xdr:to>
      <xdr:col>11</xdr:col>
      <xdr:colOff>726107</xdr:colOff>
      <xdr:row>16</xdr:row>
      <xdr:rowOff>103809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4FA8C6-7809-A0F2-A48A-EDF5CE5A5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744509</xdr:colOff>
      <xdr:row>0</xdr:row>
      <xdr:rowOff>959268</xdr:rowOff>
    </xdr:from>
    <xdr:to>
      <xdr:col>22</xdr:col>
      <xdr:colOff>342976</xdr:colOff>
      <xdr:row>11</xdr:row>
      <xdr:rowOff>128217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EA86F-5691-BF73-3E9D-72FD0B62A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</xdr:colOff>
      <xdr:row>6</xdr:row>
      <xdr:rowOff>410210</xdr:rowOff>
    </xdr:from>
    <xdr:to>
      <xdr:col>10</xdr:col>
      <xdr:colOff>417830</xdr:colOff>
      <xdr:row>14</xdr:row>
      <xdr:rowOff>176530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72C74-AF95-2543-B687-5B56C3885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106363</xdr:colOff>
      <xdr:row>6</xdr:row>
      <xdr:rowOff>641350</xdr:rowOff>
    </xdr:from>
    <xdr:to>
      <xdr:col>17</xdr:col>
      <xdr:colOff>392113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B1E367-FBD1-9A48-B692-06696DB71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548113</xdr:colOff>
      <xdr:row>11</xdr:row>
      <xdr:rowOff>23102</xdr:rowOff>
    </xdr:from>
    <xdr:to>
      <xdr:col>14</xdr:col>
      <xdr:colOff>3822</xdr:colOff>
      <xdr:row>15</xdr:row>
      <xdr:rowOff>447298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952B4-4489-D143-8439-C1397E272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309880</xdr:colOff>
      <xdr:row>10</xdr:row>
      <xdr:rowOff>187960</xdr:rowOff>
    </xdr:from>
    <xdr:to>
      <xdr:col>7</xdr:col>
      <xdr:colOff>990600</xdr:colOff>
      <xdr:row>15</xdr:row>
      <xdr:rowOff>340360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91C2C-8413-544D-A7FE-17E9F6C85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0</xdr:rowOff>
    </xdr:from>
    <xdr:to>
      <xdr:col>9</xdr:col>
      <xdr:colOff>619099</xdr:colOff>
      <xdr:row>14</xdr:row>
      <xdr:rowOff>28084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38AD8-2E99-894C-9C86-C94D8FD18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18</xdr:row>
      <xdr:rowOff>165100</xdr:rowOff>
    </xdr:from>
    <xdr:to>
      <xdr:col>9</xdr:col>
      <xdr:colOff>409193</xdr:colOff>
      <xdr:row>32</xdr:row>
      <xdr:rowOff>175748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9EF03-B322-6C41-BF37-4CA16E437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503</xdr:colOff>
      <xdr:row>38</xdr:row>
      <xdr:rowOff>198910</xdr:rowOff>
    </xdr:from>
    <xdr:to>
      <xdr:col>11</xdr:col>
      <xdr:colOff>549143</xdr:colOff>
      <xdr:row>52</xdr:row>
      <xdr:rowOff>168430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B17B0-64D4-1C4A-B091-9EFC5A818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538193</xdr:colOff>
      <xdr:row>54</xdr:row>
      <xdr:rowOff>175883</xdr:rowOff>
    </xdr:from>
    <xdr:to>
      <xdr:col>12</xdr:col>
      <xdr:colOff>812800</xdr:colOff>
      <xdr:row>68</xdr:row>
      <xdr:rowOff>101120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D2657-0477-B440-A41B-9CA6CCBC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3601</xdr:colOff>
      <xdr:row>69</xdr:row>
      <xdr:rowOff>110889</xdr:rowOff>
    </xdr:from>
    <xdr:to>
      <xdr:col>13</xdr:col>
      <xdr:colOff>228600</xdr:colOff>
      <xdr:row>83</xdr:row>
      <xdr:rowOff>67671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E3CDDB-2EDF-7240-B60D-2762A083C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571500</xdr:colOff>
      <xdr:row>86</xdr:row>
      <xdr:rowOff>25400</xdr:rowOff>
    </xdr:from>
    <xdr:to>
      <xdr:col>10</xdr:col>
      <xdr:colOff>593686</xdr:colOff>
      <xdr:row>99</xdr:row>
      <xdr:rowOff>112322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C451C5-2054-794E-A884-2EE56B11A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luneelu/Desktop/neelu/DIAT/PhD/Experimental%20work/UVvis12.9.23.xlsx" TargetMode="External"/><Relationship Id="rId1" Type="http://schemas.openxmlformats.org/officeDocument/2006/relationships/externalLinkPath" Target="/Users/baluneelu/Desktop/neelu/DIAT/PhD/Experimental%20work/UVvis12.9.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luneelu/Desktop/neelu/DIAT/PhD/Pre-synopsis/Excel%20sheet%20all%20biochars/SSB%202%20old.xlsx" TargetMode="External"/><Relationship Id="rId1" Type="http://schemas.openxmlformats.org/officeDocument/2006/relationships/externalLinkPath" Target="SSB%202%20ol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luneelu/Desktop/neelu/DIAT/PhD/Biochar%20testing%20&amp;%20characterization/UV-vis%20/SSB%20UV%20data%203.10.23%20copy.xlsx" TargetMode="External"/><Relationship Id="rId1" Type="http://schemas.openxmlformats.org/officeDocument/2006/relationships/externalLinkPath" Target="/Users/baluneelu/Desktop/neelu/DIAT/PhD/Biochar%20testing%20&amp;%20characterization/UV-vis%20/SSB%20UV%20data%203.10.23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luneelu/Desktop/neelu/DIAT/PhD/Biochar%20testing%20&amp;%20characterization/UV-vis%20/Modified%20SSB%20UV%20data%204.1.24%20copy%203.xlsx" TargetMode="External"/><Relationship Id="rId1" Type="http://schemas.openxmlformats.org/officeDocument/2006/relationships/externalLinkPath" Target="/Users/baluneelu/Desktop/neelu/DIAT/PhD/Biochar%20testing%20&amp;%20characterization/UV-vis%20/Modified%20SSB%20UV%20data%204.1.24%20copy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 (2)"/>
      <sheetName val="Sheet6"/>
      <sheetName val="Adsorption isotherms"/>
      <sheetName val="Sheet8"/>
      <sheetName val="16.9.23"/>
      <sheetName val="Sheet5"/>
      <sheetName val="16.9.23 isotherm"/>
      <sheetName val="Adsorption isotherm 17.9.23"/>
      <sheetName val="Original new UV"/>
      <sheetName val="Original new UV (2)"/>
      <sheetName val="Original new UV (3)"/>
      <sheetName val="Adsorbent dosage"/>
      <sheetName val="Adsorbent dosage 18.9.23"/>
      <sheetName val="Adsorbent dosage (2)"/>
      <sheetName val="13.9.23"/>
      <sheetName val="Old UV"/>
    </sheetNames>
    <sheetDataSet>
      <sheetData sheetId="0">
        <row r="1">
          <cell r="C1" t="str">
            <v>Absorbance at 554 nm</v>
          </cell>
        </row>
        <row r="2">
          <cell r="B2"/>
          <cell r="C2"/>
        </row>
        <row r="3">
          <cell r="B3">
            <v>2.0876390889543017E-7</v>
          </cell>
          <cell r="C3">
            <v>2.18E-2</v>
          </cell>
        </row>
        <row r="4">
          <cell r="B4">
            <v>2.9226947245360224E-7</v>
          </cell>
          <cell r="C4">
            <v>3.5299999999999998E-2</v>
          </cell>
        </row>
        <row r="5">
          <cell r="B5">
            <v>5.2190977223857542E-7</v>
          </cell>
          <cell r="C5">
            <v>5.6399999999999999E-2</v>
          </cell>
        </row>
        <row r="6">
          <cell r="B6">
            <v>1.0438195444771508E-6</v>
          </cell>
          <cell r="C6">
            <v>0.12559999999999999</v>
          </cell>
        </row>
        <row r="7">
          <cell r="B7">
            <v>1.5657293167157263E-6</v>
          </cell>
          <cell r="C7">
            <v>0.17530000000000001</v>
          </cell>
        </row>
        <row r="8">
          <cell r="B8">
            <v>2.0876390889543017E-6</v>
          </cell>
          <cell r="C8">
            <v>0.18</v>
          </cell>
        </row>
        <row r="9">
          <cell r="B9">
            <v>1.0438195444771508E-5</v>
          </cell>
          <cell r="C9">
            <v>0.85829999999999995</v>
          </cell>
        </row>
        <row r="10">
          <cell r="B10">
            <v>2.0876390889543015E-5</v>
          </cell>
          <cell r="C10">
            <v>1.6364000000000001</v>
          </cell>
        </row>
        <row r="11">
          <cell r="B11">
            <v>3.1314586334314521E-5</v>
          </cell>
          <cell r="C11">
            <v>2.4693999999999998</v>
          </cell>
        </row>
      </sheetData>
      <sheetData sheetId="1"/>
      <sheetData sheetId="2">
        <row r="1">
          <cell r="I1" t="str">
            <v>Adsorption capacity (qe) (mg/g)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sorbent dosage"/>
      <sheetName val="Contact time"/>
      <sheetName val="Sheet1"/>
      <sheetName val="Sheet3"/>
      <sheetName val="Regeneration"/>
      <sheetName val="Linear kinetics model"/>
      <sheetName val="pH"/>
      <sheetName val="Thermodynamics"/>
      <sheetName val="Low concentration"/>
      <sheetName val="Adsorption isotherm"/>
      <sheetName val="Isotherm new"/>
      <sheetName val="Sheet8"/>
      <sheetName val="Regeneration studies"/>
    </sheetNames>
    <sheetDataSet>
      <sheetData sheetId="0"/>
      <sheetData sheetId="1"/>
      <sheetData sheetId="2">
        <row r="1">
          <cell r="C1" t="str">
            <v>ln(qe-qt)</v>
          </cell>
        </row>
        <row r="3">
          <cell r="B3">
            <v>15</v>
          </cell>
          <cell r="C3">
            <v>0.72757967446642213</v>
          </cell>
        </row>
        <row r="4">
          <cell r="B4">
            <v>30</v>
          </cell>
          <cell r="C4">
            <v>0.54977279273058965</v>
          </cell>
        </row>
        <row r="5">
          <cell r="B5">
            <v>45</v>
          </cell>
          <cell r="C5">
            <v>0.4292833913130788</v>
          </cell>
        </row>
        <row r="6">
          <cell r="B6">
            <v>60</v>
          </cell>
          <cell r="C6">
            <v>0.31302358067534231</v>
          </cell>
        </row>
        <row r="7">
          <cell r="B7">
            <v>90</v>
          </cell>
          <cell r="C7">
            <v>-0.67238240853326459</v>
          </cell>
        </row>
        <row r="8">
          <cell r="B8">
            <v>120</v>
          </cell>
          <cell r="C8">
            <v>-0.92107906543504137</v>
          </cell>
        </row>
        <row r="9">
          <cell r="B9">
            <v>180</v>
          </cell>
          <cell r="C9">
            <v>-3.9774388268271097</v>
          </cell>
        </row>
        <row r="10">
          <cell r="B10">
            <v>240</v>
          </cell>
          <cell r="C10">
            <v>-3.9774388268271097</v>
          </cell>
        </row>
        <row r="11">
          <cell r="B11">
            <v>300</v>
          </cell>
          <cell r="C11">
            <v>-3.0611462904198179</v>
          </cell>
        </row>
        <row r="12">
          <cell r="B12">
            <v>360</v>
          </cell>
          <cell r="C12">
            <v>-3.9774388268271097</v>
          </cell>
        </row>
        <row r="19">
          <cell r="B19" t="str">
            <v>t/qt</v>
          </cell>
        </row>
        <row r="21">
          <cell r="A21">
            <v>15</v>
          </cell>
          <cell r="B21">
            <v>3.2991371971618979</v>
          </cell>
        </row>
        <row r="22">
          <cell r="A22">
            <v>30</v>
          </cell>
          <cell r="B22">
            <v>6.1426968816919167</v>
          </cell>
        </row>
        <row r="23">
          <cell r="A23">
            <v>45</v>
          </cell>
          <cell r="B23">
            <v>8.8573065001376392</v>
          </cell>
        </row>
        <row r="24">
          <cell r="A24">
            <v>60</v>
          </cell>
          <cell r="B24">
            <v>11.430413746711146</v>
          </cell>
        </row>
        <row r="25">
          <cell r="A25">
            <v>90</v>
          </cell>
          <cell r="B25">
            <v>14.739077380172036</v>
          </cell>
        </row>
        <row r="26">
          <cell r="A26">
            <v>120</v>
          </cell>
          <cell r="B26">
            <v>19.29689090848429</v>
          </cell>
        </row>
        <row r="27">
          <cell r="A27">
            <v>180</v>
          </cell>
          <cell r="B27">
            <v>27.281101569914</v>
          </cell>
        </row>
        <row r="28">
          <cell r="A28">
            <v>240</v>
          </cell>
          <cell r="B28">
            <v>36.374802093218669</v>
          </cell>
        </row>
        <row r="29">
          <cell r="A29">
            <v>300</v>
          </cell>
          <cell r="B29">
            <v>45.662978819792599</v>
          </cell>
        </row>
        <row r="30">
          <cell r="A30">
            <v>360</v>
          </cell>
          <cell r="B30">
            <v>54.562203139828</v>
          </cell>
        </row>
        <row r="39">
          <cell r="B39" t="str">
            <v>qt</v>
          </cell>
        </row>
        <row r="40">
          <cell r="A40">
            <v>2.7080502011022101</v>
          </cell>
          <cell r="B40">
            <v>4.5466432899195093</v>
          </cell>
        </row>
        <row r="41">
          <cell r="A41">
            <v>3.4011973816621555</v>
          </cell>
          <cell r="B41">
            <v>4.8838483450833952</v>
          </cell>
        </row>
        <row r="42">
          <cell r="A42">
            <v>3.8066624897703196</v>
          </cell>
          <cell r="B42">
            <v>5.0805512939289974</v>
          </cell>
        </row>
        <row r="43">
          <cell r="A43">
            <v>4.0943445622221004</v>
          </cell>
          <cell r="B43">
            <v>5.2491538215109408</v>
          </cell>
        </row>
        <row r="44">
          <cell r="A44">
            <v>4.499809670330265</v>
          </cell>
          <cell r="B44">
            <v>6.1062166700524854</v>
          </cell>
        </row>
        <row r="45">
          <cell r="A45">
            <v>4.7874917427820458</v>
          </cell>
          <cell r="B45">
            <v>6.2186183551071146</v>
          </cell>
        </row>
        <row r="46">
          <cell r="A46">
            <v>5.1929568508902104</v>
          </cell>
          <cell r="B46">
            <v>6.5979740421664879</v>
          </cell>
        </row>
        <row r="47">
          <cell r="A47">
            <v>5.4806389233419912</v>
          </cell>
          <cell r="B47">
            <v>6.5979740421664879</v>
          </cell>
        </row>
        <row r="48">
          <cell r="A48">
            <v>5.7037824746562009</v>
          </cell>
          <cell r="B48">
            <v>6.569873620902829</v>
          </cell>
        </row>
        <row r="49">
          <cell r="A49">
            <v>5.8861040314501558</v>
          </cell>
          <cell r="B49">
            <v>6.5979740421664879</v>
          </cell>
        </row>
        <row r="53">
          <cell r="B53" t="str">
            <v>qt</v>
          </cell>
        </row>
        <row r="54">
          <cell r="A54">
            <v>3.872983346207417</v>
          </cell>
          <cell r="B54">
            <v>4.5466432899195093</v>
          </cell>
        </row>
        <row r="55">
          <cell r="A55">
            <v>5.4772255750516612</v>
          </cell>
          <cell r="B55">
            <v>4.8838483450833952</v>
          </cell>
        </row>
        <row r="56">
          <cell r="A56">
            <v>6.7082039324993694</v>
          </cell>
          <cell r="B56">
            <v>5.0805512939289974</v>
          </cell>
        </row>
        <row r="57">
          <cell r="A57">
            <v>7.745966692414834</v>
          </cell>
          <cell r="B57">
            <v>5.2491538215109408</v>
          </cell>
        </row>
        <row r="58">
          <cell r="A58">
            <v>9.4868329805051381</v>
          </cell>
          <cell r="B58">
            <v>6.1062166700524854</v>
          </cell>
        </row>
        <row r="59">
          <cell r="A59">
            <v>10.954451150103322</v>
          </cell>
          <cell r="B59">
            <v>6.2186183551071146</v>
          </cell>
        </row>
        <row r="60">
          <cell r="A60">
            <v>13.416407864998739</v>
          </cell>
          <cell r="B60">
            <v>6.5979740421664879</v>
          </cell>
        </row>
        <row r="61">
          <cell r="A61">
            <v>15.491933384829668</v>
          </cell>
          <cell r="B61">
            <v>6.5979740421664879</v>
          </cell>
        </row>
        <row r="62">
          <cell r="A62">
            <v>17.320508075688775</v>
          </cell>
          <cell r="B62">
            <v>6.569873620902829</v>
          </cell>
        </row>
        <row r="63">
          <cell r="A63">
            <v>18.973665961010276</v>
          </cell>
          <cell r="B63">
            <v>6.5979740421664879</v>
          </cell>
        </row>
      </sheetData>
      <sheetData sheetId="3"/>
      <sheetData sheetId="4"/>
      <sheetData sheetId="5"/>
      <sheetData sheetId="6"/>
      <sheetData sheetId="7">
        <row r="1">
          <cell r="J1" t="str">
            <v>Adsorption capacity (mg/g)</v>
          </cell>
          <cell r="K1" t="str">
            <v>Removal Efficiency (%)</v>
          </cell>
          <cell r="O1" t="str">
            <v>lnkd</v>
          </cell>
        </row>
        <row r="3">
          <cell r="C3">
            <v>298.14999999999998</v>
          </cell>
          <cell r="J3">
            <v>7.882150565391953</v>
          </cell>
          <cell r="K3">
            <v>52.547670435946344</v>
          </cell>
          <cell r="N3">
            <v>3.3540164346805303E-3</v>
          </cell>
          <cell r="O3">
            <v>2.4045802399215401</v>
          </cell>
        </row>
        <row r="4">
          <cell r="C4">
            <v>308.14999999999998</v>
          </cell>
          <cell r="J4">
            <v>4.595576922756937</v>
          </cell>
          <cell r="K4">
            <v>30.637179485046246</v>
          </cell>
          <cell r="N4">
            <v>3.2451728054518907E-3</v>
          </cell>
          <cell r="O4">
            <v>1.4854483837598544</v>
          </cell>
        </row>
        <row r="5">
          <cell r="C5">
            <v>318.14999999999998</v>
          </cell>
          <cell r="J5">
            <v>3.6163371037222958</v>
          </cell>
          <cell r="K5">
            <v>24.108914024815309</v>
          </cell>
          <cell r="N5">
            <v>3.1431714600031434E-3</v>
          </cell>
          <cell r="O5">
            <v>1.1558675084792991</v>
          </cell>
        </row>
      </sheetData>
      <sheetData sheetId="8"/>
      <sheetData sheetId="9">
        <row r="1">
          <cell r="D1" t="str">
            <v>Ce/qe</v>
          </cell>
          <cell r="I1" t="str">
            <v>lnqe</v>
          </cell>
        </row>
        <row r="3">
          <cell r="C3">
            <v>2.9989219457789432E-2</v>
          </cell>
          <cell r="D3">
            <v>0.27260255140433914</v>
          </cell>
          <cell r="H3">
            <v>-3.5069173133091898</v>
          </cell>
          <cell r="I3">
            <v>-2.2071769130627028</v>
          </cell>
        </row>
        <row r="4">
          <cell r="C4">
            <v>3.36613687791514E-2</v>
          </cell>
          <cell r="D4">
            <v>0.15559573705903826</v>
          </cell>
          <cell r="H4">
            <v>-3.3914044261873455</v>
          </cell>
          <cell r="I4">
            <v>-1.5309103617813873</v>
          </cell>
        </row>
        <row r="5">
          <cell r="C5">
            <v>0.11261257918843379</v>
          </cell>
          <cell r="D5">
            <v>0.29069756305590272</v>
          </cell>
          <cell r="H5">
            <v>-2.1838018538108308</v>
          </cell>
          <cell r="I5">
            <v>-0.94832999933775575</v>
          </cell>
        </row>
        <row r="6">
          <cell r="C6">
            <v>0.11322460407532745</v>
          </cell>
          <cell r="D6">
            <v>0.17780932617679432</v>
          </cell>
          <cell r="H6">
            <v>-2.1783817863414914</v>
          </cell>
          <cell r="I6">
            <v>-0.45133828225135786</v>
          </cell>
        </row>
        <row r="7">
          <cell r="C7">
            <v>0.10985846719741231</v>
          </cell>
          <cell r="D7">
            <v>0.12341685355532817</v>
          </cell>
          <cell r="H7">
            <v>-2.2085624034914826</v>
          </cell>
          <cell r="I7">
            <v>-0.11637480327830017</v>
          </cell>
        </row>
        <row r="8">
          <cell r="C8">
            <v>1.3525750000349928</v>
          </cell>
          <cell r="D8">
            <v>0.37083010618394324</v>
          </cell>
          <cell r="H8">
            <v>0.30201018309198219</v>
          </cell>
          <cell r="I8">
            <v>1.2940214391650215</v>
          </cell>
        </row>
        <row r="9">
          <cell r="C9">
            <v>6.0364014594321862</v>
          </cell>
          <cell r="D9">
            <v>1.522959855204566</v>
          </cell>
          <cell r="H9">
            <v>1.7978080495341771</v>
          </cell>
          <cell r="I9">
            <v>1.3771523349937931</v>
          </cell>
        </row>
        <row r="10">
          <cell r="C10">
            <v>11.016447964085913</v>
          </cell>
          <cell r="D10">
            <v>2.7654836348982244</v>
          </cell>
          <cell r="H10">
            <v>2.3993894254584851</v>
          </cell>
          <cell r="I10">
            <v>1.3821738926157963</v>
          </cell>
        </row>
      </sheetData>
      <sheetData sheetId="10">
        <row r="1">
          <cell r="B1" t="str">
            <v>qe</v>
          </cell>
        </row>
        <row r="3">
          <cell r="A3">
            <v>-3.5069173133091898</v>
          </cell>
          <cell r="B3">
            <v>0.11001078054221058</v>
          </cell>
        </row>
        <row r="4">
          <cell r="A4">
            <v>-3.3914044261873455</v>
          </cell>
          <cell r="B4">
            <v>0.21633863122084859</v>
          </cell>
        </row>
        <row r="5">
          <cell r="A5">
            <v>-2.1838018538108308</v>
          </cell>
          <cell r="B5">
            <v>0.38738742081156619</v>
          </cell>
        </row>
        <row r="6">
          <cell r="A6">
            <v>-2.1783817863414914</v>
          </cell>
          <cell r="B6">
            <v>0.63677539592467258</v>
          </cell>
        </row>
        <row r="7">
          <cell r="A7">
            <v>-2.2085624034914826</v>
          </cell>
          <cell r="B7">
            <v>0.89014153280258768</v>
          </cell>
        </row>
        <row r="8">
          <cell r="A8">
            <v>0.30201018309198219</v>
          </cell>
          <cell r="B8">
            <v>3.6474249999650072</v>
          </cell>
        </row>
        <row r="9">
          <cell r="A9">
            <v>1.7978080495341771</v>
          </cell>
          <cell r="B9">
            <v>3.9635985405678134</v>
          </cell>
        </row>
        <row r="10">
          <cell r="A10">
            <v>2.3993894254584851</v>
          </cell>
          <cell r="B10">
            <v>3.9835520359140877</v>
          </cell>
        </row>
        <row r="18">
          <cell r="D18" t="str">
            <v>lnqe</v>
          </cell>
        </row>
        <row r="20">
          <cell r="C20">
            <v>76847289.791430622</v>
          </cell>
          <cell r="D20">
            <v>-2.2071769130627028</v>
          </cell>
        </row>
        <row r="21">
          <cell r="C21">
            <v>72058789.839225009</v>
          </cell>
          <cell r="D21">
            <v>-1.5309103617813873</v>
          </cell>
        </row>
        <row r="22">
          <cell r="C22">
            <v>32237036.11001727</v>
          </cell>
          <cell r="D22">
            <v>-0.94832999933775575</v>
          </cell>
        </row>
        <row r="23">
          <cell r="C23">
            <v>32100095.629495729</v>
          </cell>
          <cell r="D23">
            <v>-0.45133828225135786</v>
          </cell>
        </row>
        <row r="24">
          <cell r="C24">
            <v>32867291.081844684</v>
          </cell>
          <cell r="D24">
            <v>-0.11637480327830017</v>
          </cell>
        </row>
        <row r="25">
          <cell r="C25">
            <v>1882458.3367496715</v>
          </cell>
          <cell r="D25">
            <v>1.2940214391650215</v>
          </cell>
        </row>
        <row r="26">
          <cell r="C26">
            <v>144381.21994242712</v>
          </cell>
          <cell r="D26">
            <v>1.3771523349937931</v>
          </cell>
        </row>
        <row r="27">
          <cell r="C27">
            <v>46387.265036429104</v>
          </cell>
          <cell r="D27">
            <v>1.3821738926157963</v>
          </cell>
        </row>
        <row r="34">
          <cell r="F34" t="str">
            <v>ln(qe/qmax-qe)</v>
          </cell>
        </row>
        <row r="36">
          <cell r="E36">
            <v>-3.5069173133091898</v>
          </cell>
          <cell r="F36">
            <v>-3.5618455436511112</v>
          </cell>
        </row>
        <row r="37">
          <cell r="E37">
            <v>-3.3914044261873455</v>
          </cell>
          <cell r="F37">
            <v>-2.8577595230939004</v>
          </cell>
        </row>
        <row r="38">
          <cell r="E38">
            <v>-2.1838018538108308</v>
          </cell>
          <cell r="F38">
            <v>-2.2287358969010822</v>
          </cell>
        </row>
        <row r="39">
          <cell r="E39">
            <v>-2.1783817863414914</v>
          </cell>
          <cell r="F39">
            <v>-1.6599140508869035</v>
          </cell>
        </row>
        <row r="40">
          <cell r="E40">
            <v>-2.2085624034914826</v>
          </cell>
          <cell r="F40">
            <v>-1.2462744244014587</v>
          </cell>
        </row>
        <row r="41">
          <cell r="E41">
            <v>0.30201018309198219</v>
          </cell>
          <cell r="F41">
            <v>2.3785464904384139</v>
          </cell>
        </row>
        <row r="42">
          <cell r="E42">
            <v>1.7978080495341771</v>
          </cell>
          <cell r="F42">
            <v>5.198933920001851</v>
          </cell>
        </row>
        <row r="43">
          <cell r="E43">
            <v>2.3993894254584851</v>
          </cell>
          <cell r="F43">
            <v>7.6296802086808437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age"/>
      <sheetName val="Contact time"/>
      <sheetName val="pH"/>
      <sheetName val="Temperature"/>
      <sheetName val="Low concentration"/>
      <sheetName val="Adsorption isotherm 13.10.23"/>
      <sheetName val="Standardization for ct"/>
      <sheetName val="Linear kinetic models"/>
      <sheetName val="Non-linear kinetic models"/>
      <sheetName val="Standardization other studies"/>
      <sheetName val="pH (2)"/>
      <sheetName val="Concentration"/>
      <sheetName val="Concentration 10.10.23"/>
      <sheetName val="Activation biochar"/>
      <sheetName val="Sheet1"/>
    </sheetNames>
    <sheetDataSet>
      <sheetData sheetId="0">
        <row r="1">
          <cell r="J1" t="str">
            <v>Adsorption capacity (q) (mg/g)</v>
          </cell>
        </row>
      </sheetData>
      <sheetData sheetId="1">
        <row r="1">
          <cell r="I1" t="str">
            <v>Removal efficiency (%)</v>
          </cell>
        </row>
      </sheetData>
      <sheetData sheetId="2">
        <row r="1">
          <cell r="K1" t="str">
            <v>Removal Efficiency (%)</v>
          </cell>
        </row>
      </sheetData>
      <sheetData sheetId="3">
        <row r="1">
          <cell r="O1" t="str">
            <v>lnkd</v>
          </cell>
        </row>
      </sheetData>
      <sheetData sheetId="4">
        <row r="1">
          <cell r="I1" t="str">
            <v>Adsorption capacity (qe) (mg/g)</v>
          </cell>
          <cell r="J1" t="str">
            <v>Removal Efficiency (%)</v>
          </cell>
        </row>
        <row r="3">
          <cell r="D3">
            <v>0.14000000000000001</v>
          </cell>
          <cell r="I3">
            <v>0.11001078054221058</v>
          </cell>
          <cell r="J3">
            <v>78.579128958721839</v>
          </cell>
        </row>
        <row r="4">
          <cell r="D4">
            <v>0.25</v>
          </cell>
          <cell r="I4">
            <v>0.21633863122084859</v>
          </cell>
          <cell r="J4">
            <v>86.53545248833943</v>
          </cell>
        </row>
        <row r="5">
          <cell r="D5">
            <v>0.5</v>
          </cell>
          <cell r="I5">
            <v>0.38738742081156619</v>
          </cell>
          <cell r="J5">
            <v>77.477484162313232</v>
          </cell>
        </row>
        <row r="6">
          <cell r="D6">
            <v>0.75</v>
          </cell>
          <cell r="I6">
            <v>0.63677539592467258</v>
          </cell>
          <cell r="J6">
            <v>84.903386123289678</v>
          </cell>
        </row>
        <row r="7">
          <cell r="D7">
            <v>1</v>
          </cell>
          <cell r="I7">
            <v>0.89014153280258768</v>
          </cell>
          <cell r="J7">
            <v>89.014153280258768</v>
          </cell>
        </row>
        <row r="8">
          <cell r="D8">
            <v>5</v>
          </cell>
          <cell r="I8">
            <v>3.6474249999650072</v>
          </cell>
          <cell r="J8">
            <v>72.94849999930014</v>
          </cell>
        </row>
        <row r="9">
          <cell r="D9">
            <v>10</v>
          </cell>
          <cell r="I9">
            <v>3.9635985405678134</v>
          </cell>
          <cell r="J9">
            <v>39.635985405678134</v>
          </cell>
        </row>
        <row r="10">
          <cell r="D10">
            <v>15</v>
          </cell>
          <cell r="I10">
            <v>3.9835520359140877</v>
          </cell>
          <cell r="J10">
            <v>26.557013572760578</v>
          </cell>
        </row>
      </sheetData>
      <sheetData sheetId="5">
        <row r="1">
          <cell r="D1" t="str">
            <v>Ce/qe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sorption isotherm 13.10.23"/>
      <sheetName val="Standardization"/>
      <sheetName val="Contact time BM"/>
      <sheetName val="Contact time NaOH 4.1.23"/>
      <sheetName val="Contact time NaOH"/>
      <sheetName val="Linear kinetic models"/>
      <sheetName val="Non-linear kinetic models"/>
      <sheetName val="Dosage"/>
      <sheetName val="Temperature"/>
      <sheetName val="pH"/>
      <sheetName val="pH (2)"/>
      <sheetName val="Concentration"/>
      <sheetName val="Concentration 10.10.23"/>
      <sheetName val="Low concentration"/>
      <sheetName val="Activation biochar"/>
    </sheetNames>
    <sheetDataSet>
      <sheetData sheetId="0">
        <row r="1">
          <cell r="D1" t="str">
            <v>Ce/qe</v>
          </cell>
        </row>
        <row r="67">
          <cell r="D67" t="str">
            <v>lnqe</v>
          </cell>
        </row>
        <row r="69">
          <cell r="C69">
            <v>-3.5069173133091898</v>
          </cell>
          <cell r="D69">
            <v>-2.2071769130627028</v>
          </cell>
        </row>
        <row r="70">
          <cell r="C70">
            <v>-3.3914044261873455</v>
          </cell>
          <cell r="D70">
            <v>-1.5309103617813873</v>
          </cell>
        </row>
        <row r="71">
          <cell r="C71">
            <v>-2.1838018538108308</v>
          </cell>
          <cell r="D71">
            <v>-0.94832999933775575</v>
          </cell>
        </row>
        <row r="72">
          <cell r="C72">
            <v>-2.1783817863414914</v>
          </cell>
          <cell r="D72">
            <v>-0.45133828225135786</v>
          </cell>
        </row>
        <row r="73">
          <cell r="C73">
            <v>-2.2085624034914826</v>
          </cell>
          <cell r="D73">
            <v>-0.11637480327830017</v>
          </cell>
        </row>
        <row r="74">
          <cell r="C74">
            <v>0.30201018309198219</v>
          </cell>
          <cell r="D74">
            <v>1.2940214391650215</v>
          </cell>
        </row>
        <row r="75">
          <cell r="C75">
            <v>1.7978080495341771</v>
          </cell>
          <cell r="D75">
            <v>1.3771523349937931</v>
          </cell>
        </row>
        <row r="76">
          <cell r="C76">
            <v>2.3993894254584851</v>
          </cell>
          <cell r="D76">
            <v>1.3821738926157963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C5C6-8B86-AE4A-8C7F-701EF344EF71}">
  <dimension ref="A1:J22"/>
  <sheetViews>
    <sheetView tabSelected="1" zoomScale="125" workbookViewId="0">
      <selection activeCell="P2" sqref="P2"/>
    </sheetView>
  </sheetViews>
  <sheetFormatPr baseColWidth="10" defaultRowHeight="16" x14ac:dyDescent="0.2"/>
  <cols>
    <col min="1" max="1" width="13.83203125" customWidth="1"/>
    <col min="2" max="2" width="14.1640625" customWidth="1"/>
    <col min="3" max="3" width="14.33203125" customWidth="1"/>
  </cols>
  <sheetData>
    <row r="1" spans="1:10" ht="51" x14ac:dyDescent="0.2">
      <c r="A1" s="1" t="s">
        <v>17</v>
      </c>
      <c r="B1" s="1" t="s">
        <v>99</v>
      </c>
      <c r="C1" s="1" t="s">
        <v>19</v>
      </c>
      <c r="D1" s="26"/>
      <c r="E1" s="26"/>
      <c r="F1" s="22"/>
      <c r="G1" s="22"/>
      <c r="H1" s="22"/>
      <c r="I1" s="22"/>
    </row>
    <row r="2" spans="1:10" x14ac:dyDescent="0.2">
      <c r="A2" s="7"/>
      <c r="B2" s="7"/>
      <c r="C2" s="7"/>
      <c r="D2" s="8"/>
      <c r="E2" s="8"/>
      <c r="F2" s="8"/>
      <c r="G2" s="8"/>
      <c r="H2" s="8"/>
      <c r="I2" s="8"/>
    </row>
    <row r="3" spans="1:10" x14ac:dyDescent="0.2">
      <c r="A3" s="7">
        <v>0.1</v>
      </c>
      <c r="B3" s="7">
        <f t="shared" ref="B3:B12" si="0" xml:space="preserve"> A3/(1000*$B$14)</f>
        <v>2.0876390889543017E-7</v>
      </c>
      <c r="C3" s="7">
        <v>2.18E-2</v>
      </c>
      <c r="D3" s="8"/>
      <c r="E3" s="8"/>
      <c r="F3" s="8"/>
      <c r="G3" s="8"/>
      <c r="H3" s="8"/>
      <c r="I3" s="8"/>
    </row>
    <row r="4" spans="1:10" x14ac:dyDescent="0.2">
      <c r="A4" s="7">
        <v>0.14000000000000001</v>
      </c>
      <c r="B4" s="7">
        <f t="shared" si="0"/>
        <v>2.9226947245360224E-7</v>
      </c>
      <c r="C4" s="7">
        <v>3.5299999999999998E-2</v>
      </c>
      <c r="D4" s="8"/>
      <c r="E4" s="8"/>
      <c r="F4" s="8"/>
      <c r="G4" s="8"/>
      <c r="H4" s="8"/>
      <c r="I4" s="8"/>
    </row>
    <row r="5" spans="1:10" x14ac:dyDescent="0.2">
      <c r="A5" s="7">
        <v>0.25</v>
      </c>
      <c r="B5" s="7">
        <f t="shared" si="0"/>
        <v>5.2190977223857542E-7</v>
      </c>
      <c r="C5" s="7">
        <v>5.6399999999999999E-2</v>
      </c>
      <c r="D5" s="8"/>
      <c r="E5" s="8"/>
      <c r="F5" s="8"/>
      <c r="G5" s="8"/>
      <c r="H5" s="8"/>
      <c r="I5" s="8"/>
    </row>
    <row r="6" spans="1:10" x14ac:dyDescent="0.2">
      <c r="A6" s="7">
        <v>0.5</v>
      </c>
      <c r="B6" s="7">
        <f t="shared" si="0"/>
        <v>1.0438195444771508E-6</v>
      </c>
      <c r="C6" s="7">
        <v>0.12559999999999999</v>
      </c>
      <c r="D6" s="8"/>
      <c r="E6" s="8"/>
      <c r="F6" s="8"/>
      <c r="G6" s="8"/>
      <c r="H6" s="8"/>
      <c r="I6" s="8"/>
    </row>
    <row r="7" spans="1:10" x14ac:dyDescent="0.2">
      <c r="A7" s="7">
        <v>0.75</v>
      </c>
      <c r="B7" s="7">
        <f t="shared" si="0"/>
        <v>1.5657293167157263E-6</v>
      </c>
      <c r="C7" s="7">
        <v>0.17530000000000001</v>
      </c>
      <c r="D7" s="8"/>
      <c r="E7" s="8"/>
      <c r="F7" s="8"/>
      <c r="G7" s="8"/>
      <c r="H7" s="8"/>
      <c r="I7" s="8"/>
    </row>
    <row r="8" spans="1:10" x14ac:dyDescent="0.2">
      <c r="A8" s="7">
        <v>1</v>
      </c>
      <c r="B8" s="7">
        <f t="shared" si="0"/>
        <v>2.0876390889543017E-6</v>
      </c>
      <c r="C8" s="7">
        <v>0.18</v>
      </c>
      <c r="D8" s="8"/>
      <c r="E8" s="8"/>
      <c r="F8" s="8"/>
      <c r="G8" s="8"/>
      <c r="H8" s="8"/>
      <c r="I8" s="8"/>
    </row>
    <row r="9" spans="1:10" x14ac:dyDescent="0.2">
      <c r="A9" s="7">
        <v>5</v>
      </c>
      <c r="B9" s="7">
        <f t="shared" si="0"/>
        <v>1.0438195444771508E-5</v>
      </c>
      <c r="C9" s="7">
        <v>0.85829999999999995</v>
      </c>
      <c r="D9" s="8"/>
      <c r="E9" s="8"/>
      <c r="F9" s="8"/>
      <c r="G9" s="8"/>
      <c r="H9" s="8"/>
      <c r="I9" s="8"/>
    </row>
    <row r="10" spans="1:10" x14ac:dyDescent="0.2">
      <c r="A10" s="7">
        <v>10</v>
      </c>
      <c r="B10" s="7">
        <f t="shared" si="0"/>
        <v>2.0876390889543015E-5</v>
      </c>
      <c r="C10" s="7">
        <v>1.6364000000000001</v>
      </c>
      <c r="D10" s="8"/>
      <c r="E10" s="8"/>
      <c r="F10" s="8"/>
      <c r="G10" s="8"/>
      <c r="H10" s="8"/>
      <c r="I10" s="8"/>
    </row>
    <row r="11" spans="1:10" x14ac:dyDescent="0.2">
      <c r="A11" s="7">
        <v>15</v>
      </c>
      <c r="B11" s="7">
        <f t="shared" si="0"/>
        <v>3.1314586334314521E-5</v>
      </c>
      <c r="C11" s="7">
        <v>2.4693999999999998</v>
      </c>
      <c r="D11" s="8"/>
      <c r="E11" s="8"/>
      <c r="F11" s="8"/>
      <c r="G11" s="8"/>
      <c r="H11" s="8"/>
      <c r="I11" s="8"/>
    </row>
    <row r="12" spans="1:10" x14ac:dyDescent="0.2">
      <c r="A12" s="7">
        <v>20</v>
      </c>
      <c r="B12" s="7">
        <f t="shared" si="0"/>
        <v>4.175278177908603E-5</v>
      </c>
      <c r="C12" s="7">
        <f xml:space="preserve"> C10+(A12-A10)*(C11-C10)/(A11-A10)</f>
        <v>3.3023999999999996</v>
      </c>
      <c r="D12" s="8"/>
      <c r="E12" s="8"/>
      <c r="F12" s="8"/>
      <c r="G12" s="8"/>
      <c r="H12" s="8"/>
      <c r="I12" s="8"/>
    </row>
    <row r="13" spans="1:10" x14ac:dyDescent="0.2">
      <c r="A13" s="8"/>
      <c r="B13" s="8"/>
      <c r="C13" s="8"/>
      <c r="D13" s="8"/>
      <c r="E13" s="8"/>
      <c r="F13" s="8"/>
      <c r="G13" s="8"/>
      <c r="H13" s="8"/>
      <c r="I13" s="8"/>
    </row>
    <row r="14" spans="1:10" ht="51" x14ac:dyDescent="0.2">
      <c r="A14" s="27" t="s">
        <v>13</v>
      </c>
      <c r="B14" s="7">
        <v>479.01</v>
      </c>
      <c r="C14" s="8"/>
      <c r="D14" s="8"/>
      <c r="E14" s="8"/>
      <c r="F14" s="8"/>
      <c r="G14" s="8"/>
      <c r="H14" s="8"/>
      <c r="I14" s="8"/>
    </row>
    <row r="15" spans="1:10" x14ac:dyDescent="0.2">
      <c r="A15" s="8"/>
      <c r="B15" s="8"/>
      <c r="C15" s="8"/>
      <c r="D15" s="8"/>
      <c r="E15" s="8"/>
      <c r="F15" s="8"/>
      <c r="G15" s="8"/>
      <c r="H15" s="8"/>
      <c r="I15" s="8"/>
    </row>
    <row r="16" spans="1:10" x14ac:dyDescent="0.2">
      <c r="A16" s="22" t="s">
        <v>100</v>
      </c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2">
      <c r="A17" s="8" t="s">
        <v>101</v>
      </c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2">
      <c r="A18" s="8" t="s">
        <v>102</v>
      </c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2">
      <c r="A20" s="7" t="s">
        <v>103</v>
      </c>
      <c r="B20" s="7">
        <v>1</v>
      </c>
      <c r="C20" s="8"/>
      <c r="D20" s="8"/>
      <c r="E20" s="8"/>
      <c r="F20" s="8"/>
      <c r="G20" s="8"/>
      <c r="H20" s="8"/>
      <c r="I20" s="8"/>
      <c r="J20" s="8"/>
    </row>
    <row r="21" spans="1:10" x14ac:dyDescent="0.2">
      <c r="A21" s="7" t="s">
        <v>104</v>
      </c>
      <c r="B21" s="7">
        <f xml:space="preserve"> SLOPE(C3:C12,B3:B12)</f>
        <v>78266.425149617775</v>
      </c>
      <c r="C21" s="8"/>
      <c r="D21" s="8"/>
      <c r="E21" s="8"/>
      <c r="F21" s="8"/>
      <c r="G21" s="8"/>
      <c r="H21" s="8"/>
      <c r="I21" s="8"/>
      <c r="J21" s="8"/>
    </row>
    <row r="22" spans="1:10" x14ac:dyDescent="0.2">
      <c r="A22" s="7" t="s">
        <v>105</v>
      </c>
      <c r="B22" s="7">
        <f xml:space="preserve"> INTERCEPT(C3:C12,B3:B12)</f>
        <v>2.4360336237063573E-2</v>
      </c>
      <c r="C22" s="8"/>
      <c r="D22" s="8"/>
      <c r="E22" s="8"/>
      <c r="F22" s="8"/>
      <c r="G22" s="8"/>
      <c r="H22" s="8"/>
      <c r="I22" s="8"/>
      <c r="J2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0309-4303-9B48-8826-3D8FA920AEF2}">
  <dimension ref="A1:I25"/>
  <sheetViews>
    <sheetView zoomScale="136" workbookViewId="0">
      <selection activeCell="B15" sqref="B15"/>
    </sheetView>
  </sheetViews>
  <sheetFormatPr baseColWidth="10" defaultRowHeight="16" x14ac:dyDescent="0.2"/>
  <sheetData>
    <row r="1" spans="1:9" ht="87" x14ac:dyDescent="0.2">
      <c r="A1" s="1" t="s">
        <v>17</v>
      </c>
      <c r="B1" s="1" t="s">
        <v>18</v>
      </c>
      <c r="C1" s="1" t="s">
        <v>0</v>
      </c>
      <c r="D1" s="1" t="s">
        <v>19</v>
      </c>
      <c r="E1" s="1" t="s">
        <v>20</v>
      </c>
      <c r="F1" s="1" t="s">
        <v>21</v>
      </c>
      <c r="G1" s="10" t="s">
        <v>22</v>
      </c>
      <c r="H1" s="10" t="s">
        <v>23</v>
      </c>
      <c r="I1" s="1" t="s">
        <v>24</v>
      </c>
    </row>
    <row r="2" spans="1:9" x14ac:dyDescent="0.2">
      <c r="A2" s="7"/>
      <c r="B2" s="7"/>
      <c r="C2" s="7"/>
      <c r="D2" s="7"/>
      <c r="E2" s="7"/>
      <c r="F2" s="7"/>
      <c r="G2" s="7"/>
      <c r="H2" s="7"/>
      <c r="I2" s="7"/>
    </row>
    <row r="3" spans="1:9" x14ac:dyDescent="0.2">
      <c r="A3" s="7">
        <v>15</v>
      </c>
      <c r="B3" s="7">
        <f t="shared" ref="B3:B11" si="0" xml:space="preserve"> $B$13/(1000*$B$14)</f>
        <v>3.1314586334314521E-5</v>
      </c>
      <c r="C3" s="7">
        <v>15</v>
      </c>
      <c r="D3" s="7">
        <v>0.74399999999999999</v>
      </c>
      <c r="E3" s="7">
        <f t="shared" ref="E3:E11" si="1">D3/ $B$15/1</f>
        <v>2.1822836078746768E-5</v>
      </c>
      <c r="F3" s="7">
        <f t="shared" ref="F3:F11" si="2" xml:space="preserve"> (E3*1000*$B$14)</f>
        <v>10.45335671008049</v>
      </c>
      <c r="G3" s="7">
        <f t="shared" ref="G3:G11" si="3">((B3-E3)*$B$16)/$B$17</f>
        <v>9.4917502555677526E-6</v>
      </c>
      <c r="H3" s="19">
        <f t="shared" ref="H3:H11" si="4" xml:space="preserve"> G3*$B$14*1000</f>
        <v>4.5466432899195093</v>
      </c>
      <c r="I3" s="19">
        <f t="shared" ref="I3:I11" si="5" xml:space="preserve"> ((B3-E3)/B3)*100</f>
        <v>30.310955266130062</v>
      </c>
    </row>
    <row r="4" spans="1:9" x14ac:dyDescent="0.2">
      <c r="A4" s="7">
        <v>15</v>
      </c>
      <c r="B4" s="7">
        <f t="shared" si="0"/>
        <v>3.1314586334314521E-5</v>
      </c>
      <c r="C4" s="7">
        <v>30</v>
      </c>
      <c r="D4" s="7">
        <v>0.72</v>
      </c>
      <c r="E4" s="7">
        <f t="shared" si="1"/>
        <v>2.1118873624593647E-5</v>
      </c>
      <c r="F4" s="7">
        <f t="shared" si="2"/>
        <v>10.116151654916603</v>
      </c>
      <c r="G4" s="7">
        <f t="shared" si="3"/>
        <v>1.0195712709720874E-5</v>
      </c>
      <c r="H4" s="19">
        <f t="shared" si="4"/>
        <v>4.8838483450833952</v>
      </c>
      <c r="I4" s="19">
        <f t="shared" si="5"/>
        <v>32.558988967222639</v>
      </c>
    </row>
    <row r="5" spans="1:9" x14ac:dyDescent="0.2">
      <c r="A5" s="7">
        <v>15</v>
      </c>
      <c r="B5" s="7">
        <f t="shared" si="0"/>
        <v>3.1314586334314521E-5</v>
      </c>
      <c r="C5" s="7">
        <v>45</v>
      </c>
      <c r="D5" s="7">
        <v>0.70599999999999996</v>
      </c>
      <c r="E5" s="7">
        <f t="shared" si="1"/>
        <v>2.070822885967099E-5</v>
      </c>
      <c r="F5" s="7">
        <f t="shared" si="2"/>
        <v>9.9194487060709999</v>
      </c>
      <c r="G5" s="7">
        <f t="shared" si="3"/>
        <v>1.0606357474643531E-5</v>
      </c>
      <c r="H5" s="19">
        <f t="shared" si="4"/>
        <v>5.0805512939289974</v>
      </c>
      <c r="I5" s="19">
        <f t="shared" si="5"/>
        <v>33.870341959526655</v>
      </c>
    </row>
    <row r="6" spans="1:9" x14ac:dyDescent="0.2">
      <c r="A6" s="7">
        <v>15</v>
      </c>
      <c r="B6" s="7">
        <f t="shared" si="0"/>
        <v>3.1314586334314521E-5</v>
      </c>
      <c r="C6" s="7">
        <v>60</v>
      </c>
      <c r="D6" s="7">
        <v>0.69399999999999995</v>
      </c>
      <c r="E6" s="7">
        <f t="shared" si="1"/>
        <v>2.0356247632594429E-5</v>
      </c>
      <c r="F6" s="7">
        <f t="shared" si="2"/>
        <v>9.7508461784890574</v>
      </c>
      <c r="G6" s="7">
        <f t="shared" si="3"/>
        <v>1.0958338701720092E-5</v>
      </c>
      <c r="H6" s="19">
        <f t="shared" si="4"/>
        <v>5.2491538215109408</v>
      </c>
      <c r="I6" s="19">
        <f t="shared" si="5"/>
        <v>34.994358810072946</v>
      </c>
    </row>
    <row r="7" spans="1:9" x14ac:dyDescent="0.2">
      <c r="A7" s="7">
        <v>15</v>
      </c>
      <c r="B7" s="7">
        <f t="shared" si="0"/>
        <v>3.1314586334314521E-5</v>
      </c>
      <c r="C7" s="7">
        <v>90</v>
      </c>
      <c r="D7" s="7">
        <v>0.63300000000000001</v>
      </c>
      <c r="E7" s="7">
        <f t="shared" si="1"/>
        <v>1.8567009728288582E-5</v>
      </c>
      <c r="F7" s="7">
        <f t="shared" si="2"/>
        <v>8.8937833299475137</v>
      </c>
      <c r="G7" s="7">
        <f t="shared" si="3"/>
        <v>1.274757660602594E-5</v>
      </c>
      <c r="H7" s="19">
        <f t="shared" si="4"/>
        <v>6.1062166700524854</v>
      </c>
      <c r="I7" s="19">
        <f t="shared" si="5"/>
        <v>40.708111133683232</v>
      </c>
    </row>
    <row r="8" spans="1:9" x14ac:dyDescent="0.2">
      <c r="A8" s="7">
        <v>15</v>
      </c>
      <c r="B8" s="7">
        <f t="shared" si="0"/>
        <v>3.1314586334314521E-5</v>
      </c>
      <c r="C8" s="7">
        <v>120</v>
      </c>
      <c r="D8" s="7">
        <v>0.625</v>
      </c>
      <c r="E8" s="7">
        <f t="shared" si="1"/>
        <v>1.8332355576904207E-5</v>
      </c>
      <c r="F8" s="7">
        <f t="shared" si="2"/>
        <v>8.7813816448928836</v>
      </c>
      <c r="G8" s="7">
        <f t="shared" si="3"/>
        <v>1.2982230757410313E-5</v>
      </c>
      <c r="H8" s="19">
        <f t="shared" si="4"/>
        <v>6.2186183551071146</v>
      </c>
      <c r="I8" s="19">
        <f t="shared" si="5"/>
        <v>41.4574557007141</v>
      </c>
    </row>
    <row r="9" spans="1:9" x14ac:dyDescent="0.2">
      <c r="A9" s="7">
        <v>15</v>
      </c>
      <c r="B9" s="7">
        <f t="shared" si="0"/>
        <v>3.1314586334314521E-5</v>
      </c>
      <c r="C9" s="7">
        <v>180</v>
      </c>
      <c r="D9" s="7">
        <v>0.59799999999999998</v>
      </c>
      <c r="E9" s="7">
        <f t="shared" si="1"/>
        <v>1.7540397815981943E-5</v>
      </c>
      <c r="F9" s="7">
        <f t="shared" si="2"/>
        <v>8.4020259578335104</v>
      </c>
      <c r="G9" s="7">
        <f t="shared" si="3"/>
        <v>1.3774188518332578E-5</v>
      </c>
      <c r="H9" s="19">
        <f t="shared" si="4"/>
        <v>6.5979740421664879</v>
      </c>
      <c r="I9" s="19">
        <f t="shared" si="5"/>
        <v>43.986493614443255</v>
      </c>
    </row>
    <row r="10" spans="1:9" x14ac:dyDescent="0.2">
      <c r="A10" s="7">
        <v>15</v>
      </c>
      <c r="B10" s="7">
        <f t="shared" si="0"/>
        <v>3.1314586334314521E-5</v>
      </c>
      <c r="C10" s="7">
        <v>240</v>
      </c>
      <c r="D10" s="7">
        <v>0.59799999999999998</v>
      </c>
      <c r="E10" s="7">
        <f t="shared" si="1"/>
        <v>1.7540397815981943E-5</v>
      </c>
      <c r="F10" s="7">
        <f t="shared" si="2"/>
        <v>8.4020259578335104</v>
      </c>
      <c r="G10" s="7">
        <f t="shared" si="3"/>
        <v>1.3774188518332578E-5</v>
      </c>
      <c r="H10" s="19">
        <f t="shared" si="4"/>
        <v>6.5979740421664879</v>
      </c>
      <c r="I10" s="19">
        <f t="shared" si="5"/>
        <v>43.986493614443255</v>
      </c>
    </row>
    <row r="11" spans="1:9" x14ac:dyDescent="0.2">
      <c r="A11" s="9">
        <v>15</v>
      </c>
      <c r="B11" s="9">
        <f t="shared" si="0"/>
        <v>3.1314586334314521E-5</v>
      </c>
      <c r="C11" s="9">
        <v>300</v>
      </c>
      <c r="D11" s="9">
        <v>0.6</v>
      </c>
      <c r="E11" s="9">
        <f t="shared" si="1"/>
        <v>1.759906135382804E-5</v>
      </c>
      <c r="F11" s="9">
        <f t="shared" si="2"/>
        <v>8.4301263790971692</v>
      </c>
      <c r="G11" s="9">
        <f t="shared" si="3"/>
        <v>1.371552498048648E-5</v>
      </c>
      <c r="H11" s="20">
        <f t="shared" si="4"/>
        <v>6.569873620902829</v>
      </c>
      <c r="I11" s="20">
        <f t="shared" si="5"/>
        <v>43.799157472685536</v>
      </c>
    </row>
    <row r="12" spans="1:9" x14ac:dyDescent="0.2">
      <c r="I12" s="8"/>
    </row>
    <row r="13" spans="1:9" ht="51" x14ac:dyDescent="0.2">
      <c r="A13" s="1" t="s">
        <v>17</v>
      </c>
      <c r="B13" s="7">
        <v>15</v>
      </c>
      <c r="I13" s="8"/>
    </row>
    <row r="14" spans="1:9" ht="51" x14ac:dyDescent="0.2">
      <c r="A14" s="3" t="s">
        <v>13</v>
      </c>
      <c r="B14" s="7">
        <v>479.01</v>
      </c>
      <c r="I14" s="8"/>
    </row>
    <row r="15" spans="1:9" ht="68" x14ac:dyDescent="0.2">
      <c r="A15" s="10" t="s">
        <v>14</v>
      </c>
      <c r="B15" s="7">
        <v>34092.727330000002</v>
      </c>
      <c r="I15" s="8"/>
    </row>
    <row r="16" spans="1:9" ht="34" x14ac:dyDescent="0.2">
      <c r="A16" s="10" t="s">
        <v>15</v>
      </c>
      <c r="B16" s="7">
        <f xml:space="preserve"> 20/1000</f>
        <v>0.02</v>
      </c>
      <c r="I16" s="8"/>
    </row>
    <row r="17" spans="1:9" ht="34" x14ac:dyDescent="0.2">
      <c r="A17" s="10" t="s">
        <v>2</v>
      </c>
      <c r="B17" s="7">
        <f xml:space="preserve"> 20/1000</f>
        <v>0.02</v>
      </c>
      <c r="I17" s="8"/>
    </row>
    <row r="20" spans="1:9" ht="17" x14ac:dyDescent="0.2">
      <c r="A20" s="10" t="s">
        <v>25</v>
      </c>
      <c r="B20" s="11">
        <v>6.5979740421664879</v>
      </c>
    </row>
    <row r="21" spans="1:9" x14ac:dyDescent="0.2">
      <c r="A21" s="12"/>
      <c r="B21" s="12"/>
    </row>
    <row r="22" spans="1:9" x14ac:dyDescent="0.2">
      <c r="A22" s="12" t="s">
        <v>26</v>
      </c>
      <c r="B22" s="12">
        <f xml:space="preserve"> SLOPE(H3:H11,C3:C11)</f>
        <v>7.207678674406995E-3</v>
      </c>
    </row>
    <row r="23" spans="1:9" x14ac:dyDescent="0.2">
      <c r="A23" s="12"/>
      <c r="B23" s="12"/>
    </row>
    <row r="24" spans="1:9" x14ac:dyDescent="0.2">
      <c r="A24" s="12" t="s">
        <v>27</v>
      </c>
      <c r="B24" s="12">
        <f xml:space="preserve"> B22*2.303</f>
        <v>1.6599283987159309E-2</v>
      </c>
    </row>
    <row r="25" spans="1:9" x14ac:dyDescent="0.2">
      <c r="A25" s="13"/>
      <c r="B25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D76F-1E62-2242-AE05-EF416281C760}">
  <dimension ref="A1:O65"/>
  <sheetViews>
    <sheetView topLeftCell="A39" workbookViewId="0">
      <selection activeCell="M70" sqref="M70"/>
    </sheetView>
  </sheetViews>
  <sheetFormatPr baseColWidth="10" defaultRowHeight="16" x14ac:dyDescent="0.2"/>
  <cols>
    <col min="1" max="16384" width="10.83203125" style="8"/>
  </cols>
  <sheetData>
    <row r="1" spans="1:15" ht="18" x14ac:dyDescent="0.25">
      <c r="A1" s="7" t="s">
        <v>74</v>
      </c>
      <c r="B1" s="7" t="s">
        <v>54</v>
      </c>
      <c r="C1" s="7" t="s">
        <v>55</v>
      </c>
      <c r="D1" s="7" t="s">
        <v>56</v>
      </c>
      <c r="E1" s="7" t="s">
        <v>25</v>
      </c>
    </row>
    <row r="2" spans="1:15" x14ac:dyDescent="0.2">
      <c r="A2" s="7"/>
      <c r="B2" s="7"/>
      <c r="C2" s="7"/>
      <c r="D2" s="7"/>
      <c r="E2" s="7"/>
    </row>
    <row r="3" spans="1:15" x14ac:dyDescent="0.2">
      <c r="A3" s="7">
        <f xml:space="preserve"> LN($E$3-D3)</f>
        <v>0.72757967446642213</v>
      </c>
      <c r="B3" s="7">
        <v>15</v>
      </c>
      <c r="C3" s="7">
        <v>0.72757967446642213</v>
      </c>
      <c r="D3" s="7">
        <v>4.5466432899195093</v>
      </c>
      <c r="E3" s="9">
        <v>6.6167075999999998</v>
      </c>
      <c r="N3" s="8" t="s">
        <v>57</v>
      </c>
    </row>
    <row r="4" spans="1:15" x14ac:dyDescent="0.2">
      <c r="A4" s="7">
        <f t="shared" ref="A4:A12" si="0" xml:space="preserve"> LN($E$3-D4)</f>
        <v>0.54977279273058965</v>
      </c>
      <c r="B4" s="7">
        <v>30</v>
      </c>
      <c r="C4" s="7">
        <v>0.54977279273058965</v>
      </c>
      <c r="D4" s="7">
        <v>4.8838483450833952</v>
      </c>
      <c r="E4" s="7"/>
      <c r="N4" s="8" t="s">
        <v>58</v>
      </c>
    </row>
    <row r="5" spans="1:15" x14ac:dyDescent="0.2">
      <c r="A5" s="7">
        <f t="shared" si="0"/>
        <v>0.4292833913130788</v>
      </c>
      <c r="B5" s="7">
        <v>45</v>
      </c>
      <c r="C5" s="7">
        <v>0.4292833913130788</v>
      </c>
      <c r="D5" s="7">
        <v>5.0805512939289974</v>
      </c>
      <c r="E5" s="7"/>
      <c r="N5" s="8" t="s">
        <v>27</v>
      </c>
      <c r="O5" s="8">
        <f xml:space="preserve"> 0.0154</f>
        <v>1.54E-2</v>
      </c>
    </row>
    <row r="6" spans="1:15" x14ac:dyDescent="0.2">
      <c r="A6" s="7">
        <f t="shared" si="0"/>
        <v>0.31302358067534231</v>
      </c>
      <c r="B6" s="7">
        <v>60</v>
      </c>
      <c r="C6" s="7">
        <v>0.31302358067534231</v>
      </c>
      <c r="D6" s="7">
        <v>5.2491538215109408</v>
      </c>
      <c r="E6" s="7"/>
      <c r="N6" s="8" t="s">
        <v>25</v>
      </c>
      <c r="O6" s="8">
        <f xml:space="preserve"> EXP(0.7649)</f>
        <v>2.1487794859623683</v>
      </c>
    </row>
    <row r="7" spans="1:15" x14ac:dyDescent="0.2">
      <c r="A7" s="7">
        <f t="shared" si="0"/>
        <v>-0.67238240853326459</v>
      </c>
      <c r="B7" s="7">
        <v>90</v>
      </c>
      <c r="C7" s="7">
        <v>-0.67238240853326459</v>
      </c>
      <c r="D7" s="7">
        <v>6.1062166700524854</v>
      </c>
      <c r="E7" s="7"/>
    </row>
    <row r="8" spans="1:15" x14ac:dyDescent="0.2">
      <c r="A8" s="7">
        <f t="shared" si="0"/>
        <v>-0.92107906543504137</v>
      </c>
      <c r="B8" s="7">
        <v>120</v>
      </c>
      <c r="C8" s="7">
        <v>-0.92107906543504137</v>
      </c>
      <c r="D8" s="7">
        <v>6.2186183551071146</v>
      </c>
      <c r="E8" s="7"/>
    </row>
    <row r="9" spans="1:15" x14ac:dyDescent="0.2">
      <c r="A9" s="7">
        <f t="shared" si="0"/>
        <v>-3.9774388268271097</v>
      </c>
      <c r="B9" s="9">
        <v>180</v>
      </c>
      <c r="C9" s="7">
        <v>-3.9774388268271097</v>
      </c>
      <c r="D9" s="7">
        <v>6.5979740421664879</v>
      </c>
      <c r="E9" s="7"/>
    </row>
    <row r="10" spans="1:15" x14ac:dyDescent="0.2">
      <c r="A10" s="7">
        <f t="shared" si="0"/>
        <v>-3.9774388268271097</v>
      </c>
      <c r="B10" s="7">
        <v>240</v>
      </c>
      <c r="C10" s="7">
        <v>-3.9774388268271097</v>
      </c>
      <c r="D10" s="7">
        <v>6.5979740421664879</v>
      </c>
      <c r="E10" s="7"/>
    </row>
    <row r="11" spans="1:15" x14ac:dyDescent="0.2">
      <c r="A11" s="7">
        <f t="shared" si="0"/>
        <v>-3.0611462904198179</v>
      </c>
      <c r="B11" s="9">
        <v>300</v>
      </c>
      <c r="C11" s="7">
        <v>-3.0611462904198179</v>
      </c>
      <c r="D11" s="7">
        <v>6.569873620902829</v>
      </c>
      <c r="E11" s="7"/>
    </row>
    <row r="12" spans="1:15" x14ac:dyDescent="0.2">
      <c r="A12" s="7">
        <f t="shared" si="0"/>
        <v>-3.9774388268271097</v>
      </c>
      <c r="B12" s="9">
        <v>360</v>
      </c>
      <c r="C12" s="7">
        <v>-3.9774388268271097</v>
      </c>
      <c r="D12" s="7">
        <v>6.5979740421664879</v>
      </c>
      <c r="E12" s="7"/>
    </row>
    <row r="15" spans="1:15" x14ac:dyDescent="0.2">
      <c r="B15" s="22" t="s">
        <v>59</v>
      </c>
    </row>
    <row r="19" spans="1:15" x14ac:dyDescent="0.2">
      <c r="A19" s="7" t="s">
        <v>54</v>
      </c>
      <c r="B19" s="7" t="s">
        <v>60</v>
      </c>
      <c r="C19" s="7" t="s">
        <v>56</v>
      </c>
    </row>
    <row r="20" spans="1:15" x14ac:dyDescent="0.2">
      <c r="A20" s="7"/>
      <c r="B20" s="7"/>
      <c r="C20" s="7"/>
    </row>
    <row r="21" spans="1:15" x14ac:dyDescent="0.2">
      <c r="A21" s="7">
        <v>15</v>
      </c>
      <c r="B21" s="7">
        <f xml:space="preserve"> A21/C21</f>
        <v>3.2991371971618979</v>
      </c>
      <c r="C21" s="7">
        <v>4.5466432899195093</v>
      </c>
    </row>
    <row r="22" spans="1:15" x14ac:dyDescent="0.2">
      <c r="A22" s="7">
        <v>30</v>
      </c>
      <c r="B22" s="7">
        <f t="shared" ref="B22:B30" si="1" xml:space="preserve"> A22/C22</f>
        <v>6.1426968816919167</v>
      </c>
      <c r="C22" s="7">
        <v>4.8838483450833952</v>
      </c>
    </row>
    <row r="23" spans="1:15" x14ac:dyDescent="0.2">
      <c r="A23" s="7">
        <v>45</v>
      </c>
      <c r="B23" s="7">
        <f t="shared" si="1"/>
        <v>8.8573065001376392</v>
      </c>
      <c r="C23" s="7">
        <v>5.0805512939289974</v>
      </c>
      <c r="N23" s="8" t="s">
        <v>61</v>
      </c>
    </row>
    <row r="24" spans="1:15" x14ac:dyDescent="0.2">
      <c r="A24" s="7">
        <v>60</v>
      </c>
      <c r="B24" s="7">
        <f t="shared" si="1"/>
        <v>11.430413746711146</v>
      </c>
      <c r="C24" s="7">
        <v>5.2491538215109408</v>
      </c>
      <c r="N24" s="8" t="s">
        <v>25</v>
      </c>
      <c r="O24" s="8">
        <f xml:space="preserve"> 1/0.1457</f>
        <v>6.8634179821551138</v>
      </c>
    </row>
    <row r="25" spans="1:15" x14ac:dyDescent="0.2">
      <c r="A25" s="7">
        <v>90</v>
      </c>
      <c r="B25" s="7">
        <f t="shared" si="1"/>
        <v>14.739077380172036</v>
      </c>
      <c r="C25" s="7">
        <v>6.1062166700524854</v>
      </c>
      <c r="N25" s="8" t="s">
        <v>62</v>
      </c>
      <c r="O25" s="8">
        <f xml:space="preserve"> 1/((O24)^2*1.7806)</f>
        <v>1.1922099292373355E-2</v>
      </c>
    </row>
    <row r="26" spans="1:15" x14ac:dyDescent="0.2">
      <c r="A26" s="7">
        <v>120</v>
      </c>
      <c r="B26" s="7">
        <f t="shared" si="1"/>
        <v>19.29689090848429</v>
      </c>
      <c r="C26" s="7">
        <v>6.2186183551071146</v>
      </c>
    </row>
    <row r="27" spans="1:15" x14ac:dyDescent="0.2">
      <c r="A27" s="9">
        <v>180</v>
      </c>
      <c r="B27" s="7">
        <f t="shared" si="1"/>
        <v>27.281101569914</v>
      </c>
      <c r="C27" s="7">
        <v>6.5979740421664879</v>
      </c>
    </row>
    <row r="28" spans="1:15" x14ac:dyDescent="0.2">
      <c r="A28" s="7">
        <v>240</v>
      </c>
      <c r="B28" s="7">
        <f t="shared" si="1"/>
        <v>36.374802093218669</v>
      </c>
      <c r="C28" s="7">
        <v>6.5979740421664879</v>
      </c>
    </row>
    <row r="29" spans="1:15" x14ac:dyDescent="0.2">
      <c r="A29" s="9">
        <v>300</v>
      </c>
      <c r="B29" s="7">
        <f t="shared" si="1"/>
        <v>45.662978819792599</v>
      </c>
      <c r="C29" s="7">
        <v>6.569873620902829</v>
      </c>
    </row>
    <row r="30" spans="1:15" x14ac:dyDescent="0.2">
      <c r="A30" s="9">
        <v>360</v>
      </c>
      <c r="B30" s="7">
        <f t="shared" si="1"/>
        <v>54.562203139828</v>
      </c>
      <c r="C30" s="7">
        <v>6.5979740421664879</v>
      </c>
    </row>
    <row r="32" spans="1:15" x14ac:dyDescent="0.2">
      <c r="B32" s="22" t="s">
        <v>63</v>
      </c>
    </row>
    <row r="39" spans="1:15" x14ac:dyDescent="0.2">
      <c r="A39" s="7" t="s">
        <v>64</v>
      </c>
      <c r="B39" s="7" t="s">
        <v>56</v>
      </c>
      <c r="C39" s="7" t="s">
        <v>65</v>
      </c>
      <c r="N39" s="8" t="s">
        <v>66</v>
      </c>
    </row>
    <row r="40" spans="1:15" x14ac:dyDescent="0.2">
      <c r="A40" s="7">
        <f xml:space="preserve"> LN(C40)</f>
        <v>2.7080502011022101</v>
      </c>
      <c r="B40" s="7">
        <v>4.5466432899195093</v>
      </c>
      <c r="C40" s="7">
        <v>15</v>
      </c>
    </row>
    <row r="41" spans="1:15" x14ac:dyDescent="0.2">
      <c r="A41" s="7">
        <f t="shared" ref="A41:A49" si="2" xml:space="preserve"> LN(C41)</f>
        <v>3.4011973816621555</v>
      </c>
      <c r="B41" s="7">
        <v>4.8838483450833952</v>
      </c>
      <c r="C41" s="7">
        <v>30</v>
      </c>
      <c r="N41" s="8" t="s">
        <v>67</v>
      </c>
      <c r="O41" s="8">
        <f xml:space="preserve"> 1/0.7493</f>
        <v>1.3345789403443213</v>
      </c>
    </row>
    <row r="42" spans="1:15" x14ac:dyDescent="0.2">
      <c r="A42" s="7">
        <f t="shared" si="2"/>
        <v>3.8066624897703196</v>
      </c>
      <c r="B42" s="7">
        <v>5.0805512939289974</v>
      </c>
      <c r="C42" s="7">
        <v>45</v>
      </c>
      <c r="N42" s="8" t="s">
        <v>68</v>
      </c>
      <c r="O42" s="8">
        <f>(1/O41)*(EXP(O41*2.431))</f>
        <v>19.216044139732009</v>
      </c>
    </row>
    <row r="43" spans="1:15" x14ac:dyDescent="0.2">
      <c r="A43" s="7">
        <f t="shared" si="2"/>
        <v>4.0943445622221004</v>
      </c>
      <c r="B43" s="7">
        <v>5.2491538215109408</v>
      </c>
      <c r="C43" s="7">
        <v>60</v>
      </c>
    </row>
    <row r="44" spans="1:15" x14ac:dyDescent="0.2">
      <c r="A44" s="7">
        <f t="shared" si="2"/>
        <v>4.499809670330265</v>
      </c>
      <c r="B44" s="7">
        <v>6.1062166700524854</v>
      </c>
      <c r="C44" s="7">
        <v>90</v>
      </c>
    </row>
    <row r="45" spans="1:15" x14ac:dyDescent="0.2">
      <c r="A45" s="7">
        <f t="shared" si="2"/>
        <v>4.7874917427820458</v>
      </c>
      <c r="B45" s="7">
        <v>6.2186183551071146</v>
      </c>
      <c r="C45" s="7">
        <v>120</v>
      </c>
    </row>
    <row r="46" spans="1:15" x14ac:dyDescent="0.2">
      <c r="A46" s="7">
        <f t="shared" si="2"/>
        <v>5.1929568508902104</v>
      </c>
      <c r="B46" s="7">
        <v>6.5979740421664879</v>
      </c>
      <c r="C46" s="9">
        <v>180</v>
      </c>
    </row>
    <row r="47" spans="1:15" x14ac:dyDescent="0.2">
      <c r="A47" s="7">
        <f t="shared" si="2"/>
        <v>5.4806389233419912</v>
      </c>
      <c r="B47" s="7">
        <v>6.5979740421664879</v>
      </c>
      <c r="C47" s="7">
        <v>240</v>
      </c>
    </row>
    <row r="48" spans="1:15" x14ac:dyDescent="0.2">
      <c r="A48" s="7">
        <f t="shared" si="2"/>
        <v>5.7037824746562009</v>
      </c>
      <c r="B48" s="7">
        <v>6.569873620902829</v>
      </c>
      <c r="C48" s="9">
        <v>300</v>
      </c>
    </row>
    <row r="49" spans="1:14" x14ac:dyDescent="0.2">
      <c r="A49" s="7">
        <f t="shared" si="2"/>
        <v>5.8861040314501558</v>
      </c>
      <c r="B49" s="7">
        <v>6.5979740421664879</v>
      </c>
      <c r="C49" s="9">
        <v>360</v>
      </c>
    </row>
    <row r="51" spans="1:14" x14ac:dyDescent="0.2">
      <c r="B51" s="22" t="s">
        <v>69</v>
      </c>
    </row>
    <row r="53" spans="1:14" x14ac:dyDescent="0.2">
      <c r="A53" s="7" t="s">
        <v>70</v>
      </c>
      <c r="B53" s="7" t="s">
        <v>56</v>
      </c>
      <c r="C53" s="7" t="s">
        <v>65</v>
      </c>
    </row>
    <row r="54" spans="1:14" x14ac:dyDescent="0.2">
      <c r="A54" s="7">
        <f xml:space="preserve"> C54^(1/2)</f>
        <v>3.872983346207417</v>
      </c>
      <c r="B54" s="7">
        <v>4.5466432899195093</v>
      </c>
      <c r="C54" s="7">
        <v>15</v>
      </c>
    </row>
    <row r="55" spans="1:14" x14ac:dyDescent="0.2">
      <c r="A55" s="7">
        <f t="shared" ref="A55:A63" si="3" xml:space="preserve"> C55^(1/2)</f>
        <v>5.4772255750516612</v>
      </c>
      <c r="B55" s="7">
        <v>4.8838483450833952</v>
      </c>
      <c r="C55" s="7">
        <v>30</v>
      </c>
    </row>
    <row r="56" spans="1:14" x14ac:dyDescent="0.2">
      <c r="A56" s="7">
        <f t="shared" si="3"/>
        <v>6.7082039324993694</v>
      </c>
      <c r="B56" s="7">
        <v>5.0805512939289974</v>
      </c>
      <c r="C56" s="7">
        <v>45</v>
      </c>
      <c r="M56" s="8" t="s">
        <v>71</v>
      </c>
    </row>
    <row r="57" spans="1:14" x14ac:dyDescent="0.2">
      <c r="A57" s="7">
        <f t="shared" si="3"/>
        <v>7.745966692414834</v>
      </c>
      <c r="B57" s="7">
        <v>5.2491538215109408</v>
      </c>
      <c r="C57" s="7">
        <v>60</v>
      </c>
    </row>
    <row r="58" spans="1:14" x14ac:dyDescent="0.2">
      <c r="A58" s="7">
        <f t="shared" si="3"/>
        <v>9.4868329805051381</v>
      </c>
      <c r="B58" s="7">
        <v>6.1062166700524854</v>
      </c>
      <c r="C58" s="7">
        <v>90</v>
      </c>
      <c r="M58" s="8" t="s">
        <v>72</v>
      </c>
      <c r="N58" s="8">
        <v>0.1452</v>
      </c>
    </row>
    <row r="59" spans="1:14" x14ac:dyDescent="0.2">
      <c r="A59" s="7">
        <f t="shared" si="3"/>
        <v>10.954451150103322</v>
      </c>
      <c r="B59" s="7">
        <v>6.2186183551071146</v>
      </c>
      <c r="C59" s="7">
        <v>120</v>
      </c>
      <c r="M59" s="8" t="s">
        <v>73</v>
      </c>
      <c r="N59" s="8">
        <v>4.2556000000000003</v>
      </c>
    </row>
    <row r="60" spans="1:14" x14ac:dyDescent="0.2">
      <c r="A60" s="7">
        <f t="shared" si="3"/>
        <v>13.416407864998739</v>
      </c>
      <c r="B60" s="7">
        <v>6.5979740421664879</v>
      </c>
      <c r="C60" s="9">
        <v>180</v>
      </c>
    </row>
    <row r="61" spans="1:14" x14ac:dyDescent="0.2">
      <c r="A61" s="7">
        <f t="shared" si="3"/>
        <v>15.491933384829668</v>
      </c>
      <c r="B61" s="7">
        <v>6.5979740421664879</v>
      </c>
      <c r="C61" s="7">
        <v>240</v>
      </c>
    </row>
    <row r="62" spans="1:14" x14ac:dyDescent="0.2">
      <c r="A62" s="7">
        <f t="shared" si="3"/>
        <v>17.320508075688775</v>
      </c>
      <c r="B62" s="7">
        <v>6.569873620902829</v>
      </c>
      <c r="C62" s="9">
        <v>300</v>
      </c>
    </row>
    <row r="63" spans="1:14" x14ac:dyDescent="0.2">
      <c r="A63" s="7">
        <f t="shared" si="3"/>
        <v>18.973665961010276</v>
      </c>
      <c r="B63" s="7">
        <v>6.5979740421664879</v>
      </c>
      <c r="C63" s="9">
        <v>360</v>
      </c>
    </row>
    <row r="65" spans="2:2" x14ac:dyDescent="0.2">
      <c r="B65" s="22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FE93-83D5-1247-A8C1-A73B6D40FF71}">
  <dimension ref="A1:O19"/>
  <sheetViews>
    <sheetView zoomScaleNormal="160" workbookViewId="0">
      <selection activeCell="U9" sqref="U9"/>
    </sheetView>
  </sheetViews>
  <sheetFormatPr baseColWidth="10" defaultRowHeight="16" x14ac:dyDescent="0.2"/>
  <cols>
    <col min="1" max="3" width="11" bestFit="1" customWidth="1"/>
    <col min="4" max="4" width="12.83203125" bestFit="1" customWidth="1"/>
    <col min="5" max="5" width="11" bestFit="1" customWidth="1"/>
    <col min="7" max="7" width="13.83203125" bestFit="1" customWidth="1"/>
    <col min="8" max="15" width="11" bestFit="1" customWidth="1"/>
  </cols>
  <sheetData>
    <row r="1" spans="1:15" ht="102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/>
      <c r="M1" s="3" t="s">
        <v>2</v>
      </c>
      <c r="N1" s="4" t="s">
        <v>53</v>
      </c>
      <c r="O1" s="3" t="s">
        <v>10</v>
      </c>
    </row>
    <row r="2" spans="1:15" x14ac:dyDescent="0.2">
      <c r="A2" s="7"/>
      <c r="C2" s="7"/>
      <c r="D2" s="7"/>
      <c r="E2" s="7"/>
      <c r="F2" s="7"/>
      <c r="G2" s="7"/>
      <c r="H2" s="7"/>
      <c r="I2" s="7"/>
      <c r="J2" s="7"/>
      <c r="K2" s="7"/>
      <c r="L2" s="8"/>
      <c r="M2" s="7"/>
      <c r="N2" s="7"/>
      <c r="O2" s="12"/>
    </row>
    <row r="3" spans="1:15" x14ac:dyDescent="0.2">
      <c r="A3" s="7" t="s">
        <v>75</v>
      </c>
      <c r="B3" s="12">
        <v>2.1046999999999998</v>
      </c>
      <c r="C3" s="7">
        <f xml:space="preserve"> 10/1000</f>
        <v>0.01</v>
      </c>
      <c r="D3" s="7">
        <f t="shared" ref="D3:D8" si="0" xml:space="preserve"> E3/(1000*$B$10)</f>
        <v>3.1314586334314521E-5</v>
      </c>
      <c r="E3" s="7">
        <v>15</v>
      </c>
      <c r="F3" s="7" t="s">
        <v>11</v>
      </c>
      <c r="G3" s="7">
        <f>B3/( $B$11*$B$13)</f>
        <v>2.6891479915896967E-5</v>
      </c>
      <c r="H3" s="7">
        <f t="shared" ref="H3:H8" si="1" xml:space="preserve"> G3*1000*$B$10</f>
        <v>12.881287794513806</v>
      </c>
      <c r="I3" s="7">
        <f xml:space="preserve"> H3</f>
        <v>12.881287794513806</v>
      </c>
      <c r="J3" s="19">
        <f xml:space="preserve"> ((E3-I3)*$B$12)/C3</f>
        <v>4.2374244109723875</v>
      </c>
      <c r="K3" s="19">
        <f xml:space="preserve"> ((E3-I3)/E3)*100</f>
        <v>14.124748036574625</v>
      </c>
      <c r="L3" s="8"/>
      <c r="M3" s="7">
        <f xml:space="preserve"> 10/1000</f>
        <v>0.01</v>
      </c>
      <c r="N3" s="19">
        <v>4.2374244109723875</v>
      </c>
      <c r="O3" s="21">
        <v>14.124748036574625</v>
      </c>
    </row>
    <row r="4" spans="1:15" x14ac:dyDescent="0.2">
      <c r="A4" s="7" t="s">
        <v>75</v>
      </c>
      <c r="B4">
        <v>1.8059000000000001</v>
      </c>
      <c r="C4" s="7">
        <f xml:space="preserve"> 20/1000</f>
        <v>0.02</v>
      </c>
      <c r="D4" s="7">
        <f t="shared" si="0"/>
        <v>3.1314586334314521E-5</v>
      </c>
      <c r="E4" s="7">
        <v>15</v>
      </c>
      <c r="F4" s="7" t="s">
        <v>11</v>
      </c>
      <c r="G4" s="7">
        <f t="shared" ref="G4:G8" si="2">B4/( $B$11*$B$13)</f>
        <v>2.3073750928929702E-5</v>
      </c>
      <c r="H4" s="7">
        <f t="shared" si="1"/>
        <v>11.052557432466616</v>
      </c>
      <c r="I4" s="7">
        <f t="shared" ref="I4:I6" si="3" xml:space="preserve"> H4</f>
        <v>11.052557432466616</v>
      </c>
      <c r="J4" s="19">
        <f t="shared" ref="J4:J8" si="4" xml:space="preserve"> ((E4-I4)*$B$12)/C4</f>
        <v>3.9474425675333844</v>
      </c>
      <c r="K4" s="19">
        <f t="shared" ref="K4:K8" si="5" xml:space="preserve"> ((E4-I4)/E4)*100</f>
        <v>26.316283783555892</v>
      </c>
      <c r="L4" s="8"/>
      <c r="M4" s="7">
        <f xml:space="preserve"> 20/1000</f>
        <v>0.02</v>
      </c>
      <c r="N4" s="19">
        <v>3.9474425675333844</v>
      </c>
      <c r="O4" s="21">
        <v>26.316283783555892</v>
      </c>
    </row>
    <row r="5" spans="1:15" x14ac:dyDescent="0.2">
      <c r="A5" s="7" t="s">
        <v>75</v>
      </c>
      <c r="B5" s="7">
        <v>1.2494000000000001</v>
      </c>
      <c r="C5" s="7">
        <f xml:space="preserve"> 40/1000</f>
        <v>0.04</v>
      </c>
      <c r="D5" s="7">
        <f t="shared" si="0"/>
        <v>3.1314586334314521E-5</v>
      </c>
      <c r="E5" s="7">
        <v>15</v>
      </c>
      <c r="F5" s="7" t="s">
        <v>11</v>
      </c>
      <c r="G5" s="7">
        <f t="shared" si="2"/>
        <v>1.5963422343764754E-5</v>
      </c>
      <c r="H5" s="7">
        <f t="shared" si="1"/>
        <v>7.6466389368867551</v>
      </c>
      <c r="I5" s="7">
        <f t="shared" si="3"/>
        <v>7.6466389368867551</v>
      </c>
      <c r="J5" s="19">
        <f t="shared" si="4"/>
        <v>3.6766805315566224</v>
      </c>
      <c r="K5" s="19">
        <f t="shared" si="5"/>
        <v>49.022407087421634</v>
      </c>
      <c r="L5" s="8"/>
      <c r="M5" s="7">
        <f xml:space="preserve"> 40/1000</f>
        <v>0.04</v>
      </c>
      <c r="N5" s="19">
        <v>3.6766805315566224</v>
      </c>
      <c r="O5" s="21">
        <v>49.022407087421634</v>
      </c>
    </row>
    <row r="6" spans="1:15" x14ac:dyDescent="0.2">
      <c r="A6" s="7" t="s">
        <v>75</v>
      </c>
      <c r="B6" s="7">
        <v>0.83069999999999999</v>
      </c>
      <c r="C6" s="7">
        <f xml:space="preserve"> 60/1000</f>
        <v>0.06</v>
      </c>
      <c r="D6" s="7">
        <f t="shared" si="0"/>
        <v>3.1314586334314521E-5</v>
      </c>
      <c r="E6" s="7">
        <v>15</v>
      </c>
      <c r="F6" s="7" t="s">
        <v>11</v>
      </c>
      <c r="G6" s="7">
        <f t="shared" si="2"/>
        <v>1.0613746551116841E-5</v>
      </c>
      <c r="H6" s="7">
        <f t="shared" si="1"/>
        <v>5.0840907354504781</v>
      </c>
      <c r="I6" s="7">
        <f t="shared" si="3"/>
        <v>5.0840907354504781</v>
      </c>
      <c r="J6" s="19">
        <f t="shared" si="4"/>
        <v>3.3053030881831744</v>
      </c>
      <c r="K6" s="19">
        <f t="shared" si="5"/>
        <v>66.106061763663476</v>
      </c>
      <c r="L6" s="8"/>
      <c r="M6" s="7">
        <f xml:space="preserve"> 60/1000</f>
        <v>0.06</v>
      </c>
      <c r="N6" s="19">
        <v>3.3053030881831744</v>
      </c>
      <c r="O6" s="21">
        <v>66.106061763663476</v>
      </c>
    </row>
    <row r="7" spans="1:15" x14ac:dyDescent="0.2">
      <c r="A7" s="7" t="s">
        <v>75</v>
      </c>
      <c r="B7" s="9">
        <v>0.37669999999999998</v>
      </c>
      <c r="C7" s="7">
        <f xml:space="preserve"> 80/1000</f>
        <v>0.08</v>
      </c>
      <c r="D7" s="7">
        <f t="shared" si="0"/>
        <v>3.1314586334314521E-5</v>
      </c>
      <c r="E7" s="7">
        <v>15</v>
      </c>
      <c r="F7" s="7" t="s">
        <v>11</v>
      </c>
      <c r="G7" s="7">
        <f t="shared" si="2"/>
        <v>4.8130472201826331E-6</v>
      </c>
      <c r="H7" s="7">
        <f t="shared" si="1"/>
        <v>2.3054977489396831</v>
      </c>
      <c r="I7" s="7">
        <f xml:space="preserve"> H7</f>
        <v>2.3054977489396831</v>
      </c>
      <c r="J7" s="19">
        <f t="shared" si="4"/>
        <v>3.1736255627650798</v>
      </c>
      <c r="K7" s="19">
        <f t="shared" si="5"/>
        <v>84.630015007068778</v>
      </c>
      <c r="L7" s="8"/>
      <c r="M7" s="7">
        <f xml:space="preserve"> 80/1000</f>
        <v>0.08</v>
      </c>
      <c r="N7" s="19">
        <v>3.1736255627650798</v>
      </c>
      <c r="O7" s="21">
        <v>84.630015007068778</v>
      </c>
    </row>
    <row r="8" spans="1:15" x14ac:dyDescent="0.2">
      <c r="A8" s="7" t="s">
        <v>75</v>
      </c>
      <c r="B8" s="9">
        <v>7.5999999999999998E-2</v>
      </c>
      <c r="C8" s="7">
        <f xml:space="preserve"> 100/1000</f>
        <v>0.1</v>
      </c>
      <c r="D8" s="7">
        <f t="shared" si="0"/>
        <v>3.1314586334314521E-5</v>
      </c>
      <c r="E8" s="7">
        <v>15</v>
      </c>
      <c r="F8" s="7" t="s">
        <v>11</v>
      </c>
      <c r="G8" s="7">
        <f t="shared" si="2"/>
        <v>9.7104217874669533E-7</v>
      </c>
      <c r="H8" s="7">
        <f t="shared" si="1"/>
        <v>0.46513891404145452</v>
      </c>
      <c r="I8" s="7">
        <f xml:space="preserve"> H8</f>
        <v>0.46513891404145452</v>
      </c>
      <c r="J8" s="19">
        <f t="shared" si="4"/>
        <v>2.9069722171917092</v>
      </c>
      <c r="K8" s="19">
        <f t="shared" si="5"/>
        <v>96.899073906390313</v>
      </c>
      <c r="L8" s="8"/>
      <c r="M8" s="7">
        <f xml:space="preserve"> 100/1000</f>
        <v>0.1</v>
      </c>
      <c r="N8" s="19">
        <v>2.9069722171917092</v>
      </c>
      <c r="O8" s="21">
        <v>96.899073906390313</v>
      </c>
    </row>
    <row r="9" spans="1:15" x14ac:dyDescent="0.2">
      <c r="M9" t="s">
        <v>12</v>
      </c>
    </row>
    <row r="10" spans="1:15" ht="51" x14ac:dyDescent="0.2">
      <c r="A10" s="3" t="s">
        <v>13</v>
      </c>
      <c r="B10" s="7">
        <v>479.01</v>
      </c>
      <c r="C10" s="8"/>
      <c r="H10" s="8"/>
      <c r="I10" s="8"/>
      <c r="J10" s="8"/>
    </row>
    <row r="11" spans="1:15" ht="68" x14ac:dyDescent="0.2">
      <c r="A11" s="10" t="s">
        <v>14</v>
      </c>
      <c r="B11" s="7">
        <v>78266.425149617775</v>
      </c>
      <c r="C11" s="8"/>
      <c r="N11" s="9"/>
    </row>
    <row r="12" spans="1:15" ht="34" x14ac:dyDescent="0.2">
      <c r="A12" s="10" t="s">
        <v>15</v>
      </c>
      <c r="B12" s="7">
        <f xml:space="preserve"> 20/1000</f>
        <v>0.02</v>
      </c>
      <c r="C12" s="8"/>
    </row>
    <row r="13" spans="1:15" ht="68" x14ac:dyDescent="0.2">
      <c r="A13" s="10" t="s">
        <v>16</v>
      </c>
      <c r="B13" s="7">
        <v>1</v>
      </c>
      <c r="C13" s="8"/>
    </row>
    <row r="14" spans="1:15" x14ac:dyDescent="0.2">
      <c r="O14" s="8"/>
    </row>
    <row r="15" spans="1:15" x14ac:dyDescent="0.2">
      <c r="O15" s="8"/>
    </row>
    <row r="16" spans="1:15" x14ac:dyDescent="0.2">
      <c r="O16" s="8"/>
    </row>
    <row r="17" spans="15:15" x14ac:dyDescent="0.2">
      <c r="O17" s="8"/>
    </row>
    <row r="18" spans="15:15" x14ac:dyDescent="0.2">
      <c r="O18" s="8"/>
    </row>
    <row r="19" spans="15:15" x14ac:dyDescent="0.2">
      <c r="O19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0116-3AA0-1740-8EF8-8098E56F5991}">
  <dimension ref="A1:P15"/>
  <sheetViews>
    <sheetView workbookViewId="0">
      <selection activeCell="Y8" sqref="Y8"/>
    </sheetView>
  </sheetViews>
  <sheetFormatPr baseColWidth="10" defaultRowHeight="16" x14ac:dyDescent="0.2"/>
  <sheetData>
    <row r="1" spans="1:16" ht="85" x14ac:dyDescent="0.2">
      <c r="A1" s="3" t="s">
        <v>0</v>
      </c>
      <c r="B1" s="3" t="s">
        <v>1</v>
      </c>
      <c r="C1" s="3" t="s">
        <v>29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5</v>
      </c>
      <c r="I1" s="3" t="s">
        <v>30</v>
      </c>
      <c r="J1" s="3" t="s">
        <v>9</v>
      </c>
      <c r="K1" s="3" t="s">
        <v>10</v>
      </c>
      <c r="N1" s="3" t="s">
        <v>29</v>
      </c>
      <c r="O1" s="3" t="s">
        <v>53</v>
      </c>
      <c r="P1" s="3" t="s">
        <v>10</v>
      </c>
    </row>
    <row r="2" spans="1:16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N2" s="7"/>
      <c r="O2" s="7"/>
      <c r="P2" s="7"/>
    </row>
    <row r="3" spans="1:16" x14ac:dyDescent="0.2">
      <c r="A3" s="7">
        <v>300</v>
      </c>
      <c r="B3" s="7">
        <v>0.1009</v>
      </c>
      <c r="C3" s="7">
        <v>2</v>
      </c>
      <c r="D3" s="7">
        <v>3.1314586334314521E-5</v>
      </c>
      <c r="E3" s="7">
        <v>15</v>
      </c>
      <c r="F3" s="7">
        <f xml:space="preserve"> B3/($B$12*$B$14)</f>
        <v>1.289186260993968E-6</v>
      </c>
      <c r="G3" s="7">
        <f xml:space="preserve"> F3*1000*$B$11</f>
        <v>0.61753311087872054</v>
      </c>
      <c r="H3" s="7">
        <v>10</v>
      </c>
      <c r="I3" s="7">
        <f xml:space="preserve"> G3*H3</f>
        <v>6.1753311087872049</v>
      </c>
      <c r="J3" s="19">
        <f xml:space="preserve"> ((E3-I3)*$B$13)/$B$15</f>
        <v>8.8246688912127951</v>
      </c>
      <c r="K3" s="19">
        <f xml:space="preserve"> ((E3-I3)/E3)*100</f>
        <v>58.831125941418641</v>
      </c>
      <c r="N3" s="7">
        <v>2</v>
      </c>
      <c r="O3" s="19">
        <v>8.8246688912127951</v>
      </c>
      <c r="P3" s="19">
        <v>58.831125941418641</v>
      </c>
    </row>
    <row r="4" spans="1:16" x14ac:dyDescent="0.2">
      <c r="A4" s="7">
        <v>300</v>
      </c>
      <c r="B4" s="7">
        <v>0.11119999999999999</v>
      </c>
      <c r="C4" s="7">
        <v>4</v>
      </c>
      <c r="D4" s="7">
        <v>3.1314586334314521E-5</v>
      </c>
      <c r="E4" s="7">
        <v>15</v>
      </c>
      <c r="F4" s="7">
        <f t="shared" ref="F4:F9" si="0" xml:space="preserve"> B4/($B$12*$B$14)</f>
        <v>1.4207880299556911E-6</v>
      </c>
      <c r="G4" s="7">
        <f t="shared" ref="G4:G9" si="1" xml:space="preserve"> F4*1000*$B$11</f>
        <v>0.6805716742290755</v>
      </c>
      <c r="H4" s="7">
        <v>10</v>
      </c>
      <c r="I4" s="7">
        <f t="shared" ref="I4:I9" si="2" xml:space="preserve"> G4*H4</f>
        <v>6.8057167422907554</v>
      </c>
      <c r="J4" s="19">
        <f t="shared" ref="J4:J9" si="3" xml:space="preserve"> ((E4-I4)*$B$13)/$B$15</f>
        <v>8.1942832577092446</v>
      </c>
      <c r="K4" s="19">
        <f t="shared" ref="K4:K9" si="4" xml:space="preserve"> ((E4-I4)/E4)*100</f>
        <v>54.628555051394969</v>
      </c>
      <c r="N4" s="7">
        <v>4</v>
      </c>
      <c r="O4" s="19">
        <v>8.1942832577092446</v>
      </c>
      <c r="P4" s="19">
        <v>54.628555051394969</v>
      </c>
    </row>
    <row r="5" spans="1:16" x14ac:dyDescent="0.2">
      <c r="A5" s="7">
        <v>300</v>
      </c>
      <c r="B5" s="7">
        <v>0.14799999999999999</v>
      </c>
      <c r="C5" s="7">
        <v>6</v>
      </c>
      <c r="D5" s="7">
        <v>3.1314586334314521E-5</v>
      </c>
      <c r="E5" s="7">
        <v>15</v>
      </c>
      <c r="F5" s="7">
        <f t="shared" si="0"/>
        <v>1.8909768744014595E-6</v>
      </c>
      <c r="G5" s="7">
        <f t="shared" si="1"/>
        <v>0.90579683260704302</v>
      </c>
      <c r="H5" s="7">
        <v>10</v>
      </c>
      <c r="I5" s="7">
        <f t="shared" si="2"/>
        <v>9.05796832607043</v>
      </c>
      <c r="J5" s="19">
        <f t="shared" si="3"/>
        <v>5.94203167392957</v>
      </c>
      <c r="K5" s="19">
        <f t="shared" si="4"/>
        <v>39.613544492863802</v>
      </c>
      <c r="N5" s="7">
        <v>6</v>
      </c>
      <c r="O5" s="19">
        <v>5.94203167392957</v>
      </c>
      <c r="P5" s="19">
        <v>39.613544492863802</v>
      </c>
    </row>
    <row r="6" spans="1:16" x14ac:dyDescent="0.2">
      <c r="A6" s="7">
        <v>300</v>
      </c>
      <c r="B6" s="7">
        <v>0.15049999999999999</v>
      </c>
      <c r="C6" s="7">
        <v>7</v>
      </c>
      <c r="D6" s="7">
        <v>3.1314586334314521E-5</v>
      </c>
      <c r="E6" s="7">
        <v>15</v>
      </c>
      <c r="F6" s="7">
        <f t="shared" si="0"/>
        <v>1.9229190513339165E-6</v>
      </c>
      <c r="G6" s="7">
        <f t="shared" si="1"/>
        <v>0.92109745477945926</v>
      </c>
      <c r="H6" s="7">
        <v>10</v>
      </c>
      <c r="I6" s="7">
        <f t="shared" si="2"/>
        <v>9.2109745477945921</v>
      </c>
      <c r="J6" s="19">
        <f t="shared" si="3"/>
        <v>5.7890254522054079</v>
      </c>
      <c r="K6" s="19">
        <f t="shared" si="4"/>
        <v>38.593503014702719</v>
      </c>
      <c r="N6" s="7">
        <v>7</v>
      </c>
      <c r="O6" s="19">
        <v>5.7890254522054079</v>
      </c>
      <c r="P6" s="19">
        <v>38.593503014702719</v>
      </c>
    </row>
    <row r="7" spans="1:16" x14ac:dyDescent="0.2">
      <c r="A7" s="7">
        <v>300</v>
      </c>
      <c r="B7" s="7">
        <v>0.1515</v>
      </c>
      <c r="C7" s="7">
        <v>8</v>
      </c>
      <c r="D7" s="7">
        <v>3.1314586334314521E-5</v>
      </c>
      <c r="E7" s="7">
        <v>15</v>
      </c>
      <c r="F7" s="7">
        <f t="shared" si="0"/>
        <v>1.9356959221068991E-6</v>
      </c>
      <c r="G7" s="7">
        <f t="shared" si="1"/>
        <v>0.92721770364842571</v>
      </c>
      <c r="H7" s="7">
        <v>10</v>
      </c>
      <c r="I7" s="7">
        <f t="shared" si="2"/>
        <v>9.2721770364842566</v>
      </c>
      <c r="J7" s="19">
        <f t="shared" si="3"/>
        <v>5.7278229635157434</v>
      </c>
      <c r="K7" s="19">
        <f t="shared" si="4"/>
        <v>38.185486423438292</v>
      </c>
      <c r="N7" s="7">
        <v>8</v>
      </c>
      <c r="O7" s="19">
        <v>5.7278229635157434</v>
      </c>
      <c r="P7" s="19">
        <v>38.185486423438292</v>
      </c>
    </row>
    <row r="8" spans="1:16" x14ac:dyDescent="0.2">
      <c r="A8" s="7">
        <v>300</v>
      </c>
      <c r="B8" s="7">
        <v>0.1537</v>
      </c>
      <c r="C8" s="7">
        <v>10</v>
      </c>
      <c r="D8" s="7">
        <v>3.1314586334314521E-5</v>
      </c>
      <c r="E8" s="7">
        <v>15</v>
      </c>
      <c r="F8" s="7">
        <f t="shared" si="0"/>
        <v>1.9638050378074618E-6</v>
      </c>
      <c r="G8" s="7">
        <f t="shared" si="1"/>
        <v>0.94068225116015236</v>
      </c>
      <c r="H8" s="7">
        <v>10</v>
      </c>
      <c r="I8" s="7">
        <f t="shared" si="2"/>
        <v>9.4068225116015238</v>
      </c>
      <c r="J8" s="19">
        <f t="shared" si="3"/>
        <v>5.5931774883984762</v>
      </c>
      <c r="K8" s="19">
        <f t="shared" si="4"/>
        <v>37.287849922656505</v>
      </c>
      <c r="N8" s="7">
        <v>10</v>
      </c>
      <c r="O8" s="19">
        <v>5.5931774883984762</v>
      </c>
      <c r="P8" s="19">
        <v>37.287849922656505</v>
      </c>
    </row>
    <row r="9" spans="1:16" x14ac:dyDescent="0.2">
      <c r="A9" s="7">
        <v>300</v>
      </c>
      <c r="B9" s="7">
        <v>0.16420000000000001</v>
      </c>
      <c r="C9" s="7">
        <v>12</v>
      </c>
      <c r="D9" s="7">
        <v>3.1314586334314521E-5</v>
      </c>
      <c r="E9" s="7">
        <v>15</v>
      </c>
      <c r="F9" s="7">
        <f t="shared" si="0"/>
        <v>2.0979621809237814E-6</v>
      </c>
      <c r="G9" s="7">
        <f t="shared" si="1"/>
        <v>1.0049448642843004</v>
      </c>
      <c r="H9" s="7">
        <v>10</v>
      </c>
      <c r="I9" s="7">
        <f t="shared" si="2"/>
        <v>10.049448642843004</v>
      </c>
      <c r="J9" s="19">
        <f t="shared" si="3"/>
        <v>4.9505513571569963</v>
      </c>
      <c r="K9" s="19">
        <f t="shared" si="4"/>
        <v>33.003675714379973</v>
      </c>
      <c r="N9" s="7">
        <v>12</v>
      </c>
      <c r="O9" s="19">
        <v>4.9505513571569963</v>
      </c>
      <c r="P9" s="19">
        <v>33.003675714379973</v>
      </c>
    </row>
    <row r="11" spans="1:16" ht="51" x14ac:dyDescent="0.2">
      <c r="A11" s="3" t="s">
        <v>13</v>
      </c>
      <c r="B11" s="7">
        <v>479.01</v>
      </c>
    </row>
    <row r="12" spans="1:16" ht="68" x14ac:dyDescent="0.2">
      <c r="A12" s="10" t="s">
        <v>14</v>
      </c>
      <c r="B12" s="7">
        <v>78266.425149617775</v>
      </c>
    </row>
    <row r="13" spans="1:16" ht="34" x14ac:dyDescent="0.2">
      <c r="A13" s="10" t="s">
        <v>15</v>
      </c>
      <c r="B13" s="7">
        <f xml:space="preserve"> 20/1000</f>
        <v>0.02</v>
      </c>
    </row>
    <row r="14" spans="1:16" ht="68" x14ac:dyDescent="0.2">
      <c r="A14" s="10" t="s">
        <v>16</v>
      </c>
      <c r="B14" s="7">
        <v>1</v>
      </c>
    </row>
    <row r="15" spans="1:16" ht="34" x14ac:dyDescent="0.2">
      <c r="A15" s="10" t="s">
        <v>2</v>
      </c>
      <c r="B15" s="7">
        <f xml:space="preserve"> 20/1000</f>
        <v>0.02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41F4-DF82-4641-8433-DE5310329A05}">
  <dimension ref="A1:V18"/>
  <sheetViews>
    <sheetView workbookViewId="0">
      <selection activeCell="U14" sqref="U14"/>
    </sheetView>
  </sheetViews>
  <sheetFormatPr baseColWidth="10" defaultRowHeight="16" x14ac:dyDescent="0.2"/>
  <sheetData>
    <row r="1" spans="1:22" ht="85" x14ac:dyDescent="0.2">
      <c r="A1" s="1" t="s">
        <v>0</v>
      </c>
      <c r="B1" s="2" t="s">
        <v>1</v>
      </c>
      <c r="C1" s="3" t="s">
        <v>31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5</v>
      </c>
      <c r="I1" s="3" t="s">
        <v>30</v>
      </c>
      <c r="J1" s="4" t="s">
        <v>53</v>
      </c>
      <c r="K1" s="3" t="s">
        <v>10</v>
      </c>
      <c r="L1" s="3" t="s">
        <v>32</v>
      </c>
      <c r="M1" s="3" t="s">
        <v>33</v>
      </c>
      <c r="N1" s="3" t="s">
        <v>34</v>
      </c>
      <c r="O1" s="3" t="s">
        <v>33</v>
      </c>
    </row>
    <row r="2" spans="1:22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22" x14ac:dyDescent="0.2">
      <c r="A3" s="7">
        <v>300</v>
      </c>
      <c r="B3" s="7">
        <v>0.1163</v>
      </c>
      <c r="C3" s="7">
        <v>298.14999999999998</v>
      </c>
      <c r="D3" s="7">
        <f xml:space="preserve"> E3/(1000*$B$7)</f>
        <v>3.1314586334314521E-5</v>
      </c>
      <c r="E3" s="7">
        <v>15</v>
      </c>
      <c r="F3" s="7">
        <f xml:space="preserve"> B3/($B$8*$B$10)</f>
        <v>1.4859500708979036E-6</v>
      </c>
      <c r="G3" s="7">
        <f xml:space="preserve"> F3*1000*$B$7</f>
        <v>0.71178494346080479</v>
      </c>
      <c r="H3" s="7">
        <v>10</v>
      </c>
      <c r="I3" s="7">
        <f xml:space="preserve"> G3*H3</f>
        <v>7.1178494346080479</v>
      </c>
      <c r="J3" s="19">
        <f xml:space="preserve"> (E3-I3)*$B$9/$B$11</f>
        <v>7.882150565391953</v>
      </c>
      <c r="K3" s="19">
        <f xml:space="preserve"> ((E3-I3)/E3)*100</f>
        <v>52.547670435946344</v>
      </c>
      <c r="L3" s="7">
        <f xml:space="preserve"> J3/G3</f>
        <v>11.073780975286944</v>
      </c>
      <c r="M3" s="7">
        <f xml:space="preserve"> LN(L3)</f>
        <v>2.4045802399215401</v>
      </c>
      <c r="N3" s="7">
        <f xml:space="preserve"> 1/C3</f>
        <v>3.3540164346805303E-3</v>
      </c>
      <c r="O3" s="7">
        <f xml:space="preserve"> LN(L3)</f>
        <v>2.4045802399215401</v>
      </c>
    </row>
    <row r="4" spans="1:22" x14ac:dyDescent="0.2">
      <c r="A4" s="7">
        <v>300</v>
      </c>
      <c r="B4" s="7">
        <v>0.17</v>
      </c>
      <c r="C4" s="7">
        <v>308.14999999999998</v>
      </c>
      <c r="D4" s="7">
        <f xml:space="preserve"> E4/(1000*$B$7)</f>
        <v>3.1314586334314521E-5</v>
      </c>
      <c r="E4" s="7">
        <v>15</v>
      </c>
      <c r="F4" s="7">
        <f t="shared" ref="F4:F5" si="0" xml:space="preserve"> B4/($B$8*$B$10)</f>
        <v>2.172068031407082E-6</v>
      </c>
      <c r="G4" s="7">
        <f t="shared" ref="G4:G5" si="1" xml:space="preserve"> F4*1000*$B$7</f>
        <v>1.0404423077243063</v>
      </c>
      <c r="H4" s="7">
        <v>10</v>
      </c>
      <c r="I4" s="7">
        <f xml:space="preserve"> G4*H4</f>
        <v>10.404423077243063</v>
      </c>
      <c r="J4" s="19">
        <f xml:space="preserve"> (E4-I4)*$B$9/$B$11</f>
        <v>4.595576922756937</v>
      </c>
      <c r="K4" s="19">
        <f xml:space="preserve"> ((E4-I4)/E4)*100</f>
        <v>30.637179485046246</v>
      </c>
      <c r="L4" s="7">
        <f t="shared" ref="L4:L5" si="2" xml:space="preserve"> J4/G4</f>
        <v>4.4169454554463012</v>
      </c>
      <c r="M4" s="7">
        <f t="shared" ref="M4:M5" si="3" xml:space="preserve"> LN(L4)</f>
        <v>1.4854483837598544</v>
      </c>
      <c r="N4" s="7">
        <f t="shared" ref="N4:N5" si="4" xml:space="preserve"> 1/C4</f>
        <v>3.2451728054518907E-3</v>
      </c>
      <c r="O4" s="7">
        <f t="shared" ref="O4:O5" si="5" xml:space="preserve"> LN(L4)</f>
        <v>1.4854483837598544</v>
      </c>
    </row>
    <row r="5" spans="1:22" x14ac:dyDescent="0.2">
      <c r="A5" s="7">
        <v>300</v>
      </c>
      <c r="B5" s="7">
        <v>0.186</v>
      </c>
      <c r="C5" s="7">
        <v>318.14999999999998</v>
      </c>
      <c r="D5" s="7">
        <f t="shared" ref="D5" si="6" xml:space="preserve"> E5/(1000*$B$7)</f>
        <v>3.1314586334314521E-5</v>
      </c>
      <c r="E5" s="7">
        <v>15</v>
      </c>
      <c r="F5" s="7">
        <f t="shared" si="0"/>
        <v>2.3764979637748072E-6</v>
      </c>
      <c r="G5" s="7">
        <f t="shared" si="1"/>
        <v>1.1383662896277704</v>
      </c>
      <c r="H5" s="7">
        <v>10</v>
      </c>
      <c r="I5" s="7">
        <f xml:space="preserve"> G5*H5</f>
        <v>11.383662896277704</v>
      </c>
      <c r="J5" s="19">
        <f xml:space="preserve"> (E5-I5)*$B$9/$B$11</f>
        <v>3.6163371037222958</v>
      </c>
      <c r="K5" s="19">
        <f xml:space="preserve"> ((E5-I5)/E5)*100</f>
        <v>24.108914024815309</v>
      </c>
      <c r="L5" s="7">
        <f t="shared" si="2"/>
        <v>3.1767781044401682</v>
      </c>
      <c r="M5" s="7">
        <f t="shared" si="3"/>
        <v>1.1558675084792991</v>
      </c>
      <c r="N5" s="7">
        <f t="shared" si="4"/>
        <v>3.1431714600031434E-3</v>
      </c>
      <c r="O5" s="7">
        <f t="shared" si="5"/>
        <v>1.1558675084792991</v>
      </c>
      <c r="U5" s="23" t="s">
        <v>76</v>
      </c>
      <c r="V5">
        <f xml:space="preserve"> -(5950.6*8.314)</f>
        <v>-49473.288400000005</v>
      </c>
    </row>
    <row r="6" spans="1:22" x14ac:dyDescent="0.2">
      <c r="U6" s="8" t="s">
        <v>77</v>
      </c>
      <c r="V6">
        <f xml:space="preserve"> 8.314*-17.642</f>
        <v>-146.675588</v>
      </c>
    </row>
    <row r="7" spans="1:22" ht="51" x14ac:dyDescent="0.2">
      <c r="A7" s="3" t="s">
        <v>13</v>
      </c>
      <c r="B7" s="7">
        <v>479.01</v>
      </c>
      <c r="C7" s="8"/>
      <c r="G7" s="8"/>
      <c r="H7" s="8"/>
      <c r="I7" s="8"/>
      <c r="J7" s="8"/>
      <c r="U7" s="8" t="s">
        <v>78</v>
      </c>
      <c r="V7">
        <f xml:space="preserve"> V5-(C3*V6)</f>
        <v>-5741.9618378000087</v>
      </c>
    </row>
    <row r="8" spans="1:22" ht="68" x14ac:dyDescent="0.2">
      <c r="A8" s="10" t="s">
        <v>14</v>
      </c>
      <c r="B8" s="7">
        <v>78266.425149617775</v>
      </c>
      <c r="C8" s="8"/>
      <c r="U8" s="8" t="s">
        <v>79</v>
      </c>
      <c r="V8">
        <f xml:space="preserve"> V5-(C4*V6)</f>
        <v>-4275.2059578000044</v>
      </c>
    </row>
    <row r="9" spans="1:22" ht="34" x14ac:dyDescent="0.2">
      <c r="A9" s="10" t="s">
        <v>15</v>
      </c>
      <c r="B9" s="7">
        <f xml:space="preserve"> 20/1000</f>
        <v>0.02</v>
      </c>
      <c r="C9" s="8"/>
      <c r="U9" s="8" t="s">
        <v>80</v>
      </c>
      <c r="V9">
        <f xml:space="preserve"> V5-(C5*V6)</f>
        <v>-2808.4500778000074</v>
      </c>
    </row>
    <row r="10" spans="1:22" ht="68" x14ac:dyDescent="0.2">
      <c r="A10" s="10" t="s">
        <v>16</v>
      </c>
      <c r="B10" s="7">
        <v>1</v>
      </c>
      <c r="C10" s="8"/>
    </row>
    <row r="11" spans="1:22" ht="34" x14ac:dyDescent="0.2">
      <c r="A11" s="10" t="s">
        <v>2</v>
      </c>
      <c r="B11" s="7">
        <f xml:space="preserve"> 20/1000</f>
        <v>0.02</v>
      </c>
    </row>
    <row r="12" spans="1:22" x14ac:dyDescent="0.2">
      <c r="G12" s="8"/>
      <c r="H12" s="8"/>
      <c r="I12" s="8"/>
      <c r="J12" s="8"/>
    </row>
    <row r="13" spans="1:22" x14ac:dyDescent="0.2">
      <c r="G13" s="8"/>
      <c r="H13" s="8"/>
      <c r="I13" s="8"/>
      <c r="J13" s="8"/>
    </row>
    <row r="14" spans="1:22" x14ac:dyDescent="0.2">
      <c r="G14" s="8"/>
      <c r="H14" s="8"/>
      <c r="I14" s="8"/>
      <c r="J14" s="8"/>
    </row>
    <row r="15" spans="1:22" x14ac:dyDescent="0.2">
      <c r="G15" s="8"/>
      <c r="H15" s="8"/>
      <c r="I15" s="8"/>
      <c r="J15" s="8"/>
    </row>
    <row r="16" spans="1:22" x14ac:dyDescent="0.2">
      <c r="G16" s="8"/>
      <c r="H16" s="8"/>
      <c r="I16" s="8"/>
      <c r="J16" s="8"/>
    </row>
    <row r="17" spans="7:10" x14ac:dyDescent="0.2">
      <c r="G17" s="8"/>
      <c r="H17" s="8"/>
      <c r="I17" s="8"/>
      <c r="J17" s="8"/>
    </row>
    <row r="18" spans="7:10" x14ac:dyDescent="0.2">
      <c r="G18" s="8"/>
      <c r="H18" s="8"/>
      <c r="I18" s="8"/>
      <c r="J18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529C-E793-8F48-9544-F01F1DDE27AD}">
  <dimension ref="A1:O16"/>
  <sheetViews>
    <sheetView zoomScale="125" workbookViewId="0">
      <selection activeCell="P11" sqref="P11"/>
    </sheetView>
  </sheetViews>
  <sheetFormatPr baseColWidth="10" defaultRowHeight="16" x14ac:dyDescent="0.2"/>
  <cols>
    <col min="2" max="2" width="12.6640625" customWidth="1"/>
    <col min="3" max="3" width="13.1640625" customWidth="1"/>
    <col min="4" max="4" width="12.83203125" customWidth="1"/>
    <col min="5" max="5" width="14.1640625" customWidth="1"/>
    <col min="6" max="6" width="13.5" customWidth="1"/>
    <col min="8" max="8" width="12.83203125" customWidth="1"/>
    <col min="9" max="9" width="12.5" customWidth="1"/>
    <col min="10" max="10" width="12" customWidth="1"/>
  </cols>
  <sheetData>
    <row r="1" spans="1:15" ht="86" x14ac:dyDescent="0.25">
      <c r="A1" s="1" t="s">
        <v>0</v>
      </c>
      <c r="B1" s="3" t="s">
        <v>1</v>
      </c>
      <c r="C1" s="3" t="s">
        <v>3</v>
      </c>
      <c r="D1" s="3" t="s">
        <v>4</v>
      </c>
      <c r="E1" s="3" t="s">
        <v>6</v>
      </c>
      <c r="F1" s="3" t="s">
        <v>7</v>
      </c>
      <c r="G1" s="3" t="s">
        <v>5</v>
      </c>
      <c r="H1" s="3" t="s">
        <v>36</v>
      </c>
      <c r="I1" s="4" t="s">
        <v>37</v>
      </c>
      <c r="J1" s="3" t="s">
        <v>10</v>
      </c>
      <c r="K1" s="14"/>
      <c r="L1" s="14"/>
      <c r="M1" s="14"/>
      <c r="N1" s="14"/>
      <c r="O1" s="14"/>
    </row>
    <row r="2" spans="1:15" x14ac:dyDescent="0.2">
      <c r="A2" s="7"/>
      <c r="B2" s="7"/>
      <c r="C2" s="7"/>
      <c r="D2" s="7"/>
      <c r="E2" s="7"/>
      <c r="F2" s="7"/>
      <c r="G2" s="7"/>
      <c r="H2" s="7"/>
      <c r="I2" s="7"/>
      <c r="J2" s="7"/>
    </row>
    <row r="3" spans="1:15" x14ac:dyDescent="0.2">
      <c r="A3" s="7">
        <v>300</v>
      </c>
      <c r="B3" s="7">
        <v>4.8999999999999998E-3</v>
      </c>
      <c r="C3" s="7">
        <f t="shared" ref="C3:C10" si="0" xml:space="preserve"> D3/(1000*$B$12)</f>
        <v>2.9226947245360224E-7</v>
      </c>
      <c r="D3" s="7">
        <v>0.14000000000000001</v>
      </c>
      <c r="E3" s="7">
        <f t="shared" ref="E3:E10" si="1" xml:space="preserve"> B3/($B$13*$B$16)</f>
        <v>6.2606666787310142E-8</v>
      </c>
      <c r="F3" s="7">
        <f xml:space="preserve"> E3*1000*$B$12</f>
        <v>2.9989219457789432E-2</v>
      </c>
      <c r="G3" s="7" t="s">
        <v>11</v>
      </c>
      <c r="H3" s="7">
        <f t="shared" ref="H3:H9" si="2" xml:space="preserve"> F3</f>
        <v>2.9989219457789432E-2</v>
      </c>
      <c r="I3" s="7">
        <f t="shared" ref="I3:I10" si="3" xml:space="preserve"> ((D3-H3)*$B$14)/$B$15</f>
        <v>0.11001078054221058</v>
      </c>
      <c r="J3" s="7">
        <f xml:space="preserve"> ((D3-H3)/D3)*100</f>
        <v>78.579128958721839</v>
      </c>
    </row>
    <row r="4" spans="1:15" x14ac:dyDescent="0.2">
      <c r="A4" s="7">
        <v>300</v>
      </c>
      <c r="B4" s="7">
        <v>5.4999999999999997E-3</v>
      </c>
      <c r="C4" s="7">
        <f t="shared" si="0"/>
        <v>5.2190977223857542E-7</v>
      </c>
      <c r="D4" s="7">
        <v>0.25</v>
      </c>
      <c r="E4" s="7">
        <f t="shared" si="1"/>
        <v>7.0272789251062404E-8</v>
      </c>
      <c r="F4" s="7">
        <f t="shared" ref="F4:F10" si="4" xml:space="preserve"> E4*1000*$B$12</f>
        <v>3.36613687791514E-2</v>
      </c>
      <c r="G4" s="7" t="s">
        <v>11</v>
      </c>
      <c r="H4" s="7">
        <f t="shared" si="2"/>
        <v>3.36613687791514E-2</v>
      </c>
      <c r="I4" s="7">
        <f t="shared" si="3"/>
        <v>0.21633863122084859</v>
      </c>
      <c r="J4" s="7">
        <f t="shared" ref="J4:J10" si="5" xml:space="preserve"> ((D4-H4)/D4)*100</f>
        <v>86.53545248833943</v>
      </c>
    </row>
    <row r="5" spans="1:15" x14ac:dyDescent="0.2">
      <c r="A5" s="7">
        <v>300</v>
      </c>
      <c r="B5" s="7">
        <v>1.84E-2</v>
      </c>
      <c r="C5" s="7">
        <f t="shared" si="0"/>
        <v>1.0438195444771508E-6</v>
      </c>
      <c r="D5" s="7">
        <v>0.5</v>
      </c>
      <c r="E5" s="7">
        <f t="shared" si="1"/>
        <v>2.3509442222173604E-7</v>
      </c>
      <c r="F5" s="7">
        <f t="shared" si="4"/>
        <v>0.11261257918843379</v>
      </c>
      <c r="G5" s="7" t="s">
        <v>11</v>
      </c>
      <c r="H5" s="7">
        <f t="shared" si="2"/>
        <v>0.11261257918843379</v>
      </c>
      <c r="I5" s="7">
        <f t="shared" si="3"/>
        <v>0.38738742081156619</v>
      </c>
      <c r="J5" s="7">
        <f t="shared" si="5"/>
        <v>77.477484162313232</v>
      </c>
    </row>
    <row r="6" spans="1:15" x14ac:dyDescent="0.2">
      <c r="A6" s="7">
        <v>300</v>
      </c>
      <c r="B6" s="7">
        <v>1.8499999999999999E-2</v>
      </c>
      <c r="C6" s="7">
        <f t="shared" si="0"/>
        <v>1.5657293167157263E-6</v>
      </c>
      <c r="D6" s="7">
        <v>0.75</v>
      </c>
      <c r="E6" s="7">
        <f t="shared" si="1"/>
        <v>2.3637210929902809E-7</v>
      </c>
      <c r="F6" s="7">
        <f t="shared" si="4"/>
        <v>0.11322460407532745</v>
      </c>
      <c r="G6" s="7" t="s">
        <v>11</v>
      </c>
      <c r="H6" s="7">
        <f t="shared" si="2"/>
        <v>0.11322460407532745</v>
      </c>
      <c r="I6" s="7">
        <f t="shared" si="3"/>
        <v>0.63677539592467258</v>
      </c>
      <c r="J6" s="7">
        <f t="shared" si="5"/>
        <v>84.903386123289678</v>
      </c>
    </row>
    <row r="7" spans="1:15" x14ac:dyDescent="0.2">
      <c r="A7" s="7">
        <v>300</v>
      </c>
      <c r="B7" s="7">
        <v>1.7950000000000001E-2</v>
      </c>
      <c r="C7" s="7">
        <f t="shared" si="0"/>
        <v>2.0876390889543017E-6</v>
      </c>
      <c r="D7" s="7">
        <v>1</v>
      </c>
      <c r="E7" s="7">
        <f t="shared" si="1"/>
        <v>2.2934483037392186E-7</v>
      </c>
      <c r="F7" s="7">
        <f t="shared" si="4"/>
        <v>0.10985846719741231</v>
      </c>
      <c r="G7" s="7" t="s">
        <v>11</v>
      </c>
      <c r="H7" s="7">
        <f t="shared" si="2"/>
        <v>0.10985846719741231</v>
      </c>
      <c r="I7" s="7">
        <f t="shared" si="3"/>
        <v>0.89014153280258768</v>
      </c>
      <c r="J7" s="7">
        <f t="shared" si="5"/>
        <v>89.014153280258768</v>
      </c>
    </row>
    <row r="8" spans="1:15" x14ac:dyDescent="0.2">
      <c r="A8" s="7">
        <v>300</v>
      </c>
      <c r="B8" s="7">
        <v>0.221</v>
      </c>
      <c r="C8" s="7">
        <f t="shared" si="0"/>
        <v>1.0438195444771508E-5</v>
      </c>
      <c r="D8" s="7">
        <v>5</v>
      </c>
      <c r="E8" s="7">
        <f t="shared" si="1"/>
        <v>2.8236884408154168E-6</v>
      </c>
      <c r="F8" s="7">
        <f t="shared" si="4"/>
        <v>1.3525750000349928</v>
      </c>
      <c r="G8" s="7" t="s">
        <v>11</v>
      </c>
      <c r="H8" s="7">
        <f t="shared" si="2"/>
        <v>1.3525750000349928</v>
      </c>
      <c r="I8" s="7">
        <f t="shared" si="3"/>
        <v>3.6474249999650072</v>
      </c>
      <c r="J8" s="7">
        <f t="shared" si="5"/>
        <v>72.94849999930014</v>
      </c>
    </row>
    <row r="9" spans="1:15" x14ac:dyDescent="0.2">
      <c r="A9" s="7">
        <v>300</v>
      </c>
      <c r="B9" s="7">
        <v>0.98629999999999995</v>
      </c>
      <c r="C9" s="7">
        <f t="shared" si="0"/>
        <v>2.0876390889543015E-5</v>
      </c>
      <c r="D9" s="7">
        <v>10</v>
      </c>
      <c r="E9" s="7">
        <f t="shared" si="1"/>
        <v>1.2601827643331426E-5</v>
      </c>
      <c r="F9" s="7">
        <f t="shared" si="4"/>
        <v>6.0364014594321862</v>
      </c>
      <c r="G9" s="7" t="s">
        <v>11</v>
      </c>
      <c r="H9" s="7">
        <f t="shared" si="2"/>
        <v>6.0364014594321862</v>
      </c>
      <c r="I9" s="7">
        <f t="shared" si="3"/>
        <v>3.9635985405678134</v>
      </c>
      <c r="J9" s="7">
        <f t="shared" si="5"/>
        <v>39.635985405678134</v>
      </c>
    </row>
    <row r="10" spans="1:15" x14ac:dyDescent="0.2">
      <c r="A10" s="7">
        <v>300</v>
      </c>
      <c r="B10" s="7">
        <v>0.18</v>
      </c>
      <c r="C10" s="7">
        <f t="shared" si="0"/>
        <v>3.1314586334314521E-5</v>
      </c>
      <c r="D10" s="7">
        <v>15</v>
      </c>
      <c r="E10" s="7">
        <f t="shared" si="1"/>
        <v>2.2998367391256785E-6</v>
      </c>
      <c r="F10" s="7">
        <f t="shared" si="4"/>
        <v>1.1016447964085914</v>
      </c>
      <c r="G10" s="7">
        <v>10</v>
      </c>
      <c r="H10" s="7">
        <f xml:space="preserve"> F10*G10</f>
        <v>11.016447964085913</v>
      </c>
      <c r="I10" s="7">
        <f t="shared" si="3"/>
        <v>3.9835520359140877</v>
      </c>
      <c r="J10" s="7">
        <f t="shared" si="5"/>
        <v>26.557013572760578</v>
      </c>
    </row>
    <row r="12" spans="1:15" ht="51" x14ac:dyDescent="0.2">
      <c r="A12" s="3" t="s">
        <v>13</v>
      </c>
      <c r="B12" s="7">
        <v>479.01</v>
      </c>
      <c r="F12" s="8"/>
      <c r="G12" s="8"/>
      <c r="H12" s="8"/>
      <c r="I12" s="8"/>
    </row>
    <row r="13" spans="1:15" ht="68" x14ac:dyDescent="0.2">
      <c r="A13" s="10" t="s">
        <v>14</v>
      </c>
      <c r="B13" s="7">
        <v>78266.425149999995</v>
      </c>
    </row>
    <row r="14" spans="1:15" ht="34" x14ac:dyDescent="0.2">
      <c r="A14" s="10" t="s">
        <v>15</v>
      </c>
      <c r="B14" s="7">
        <f xml:space="preserve"> 20/1000</f>
        <v>0.02</v>
      </c>
    </row>
    <row r="15" spans="1:15" ht="34" x14ac:dyDescent="0.2">
      <c r="A15" s="10" t="s">
        <v>2</v>
      </c>
      <c r="B15" s="7">
        <f xml:space="preserve"> 20/1000</f>
        <v>0.02</v>
      </c>
    </row>
    <row r="16" spans="1:15" ht="68" x14ac:dyDescent="0.2">
      <c r="A16" s="10" t="s">
        <v>16</v>
      </c>
      <c r="B16" s="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BCA5-2227-3545-BD38-95A71512CE5B}">
  <dimension ref="A1:P104"/>
  <sheetViews>
    <sheetView zoomScale="139" workbookViewId="0">
      <selection activeCell="S7" sqref="S7"/>
    </sheetView>
  </sheetViews>
  <sheetFormatPr baseColWidth="10" defaultRowHeight="16" x14ac:dyDescent="0.2"/>
  <sheetData>
    <row r="1" spans="1:4" x14ac:dyDescent="0.2">
      <c r="A1" s="7" t="s">
        <v>38</v>
      </c>
      <c r="B1" s="7" t="s">
        <v>39</v>
      </c>
      <c r="C1" s="8"/>
      <c r="D1" s="8"/>
    </row>
    <row r="2" spans="1:4" x14ac:dyDescent="0.2">
      <c r="A2" s="7"/>
      <c r="B2" s="7"/>
      <c r="C2" s="8"/>
      <c r="D2" s="8"/>
    </row>
    <row r="3" spans="1:4" x14ac:dyDescent="0.2">
      <c r="A3" s="7">
        <v>2.9989219457789432E-2</v>
      </c>
      <c r="B3" s="7">
        <v>0.27260255140433914</v>
      </c>
      <c r="C3" s="8"/>
      <c r="D3" s="8"/>
    </row>
    <row r="4" spans="1:4" x14ac:dyDescent="0.2">
      <c r="A4" s="7">
        <v>3.36613687791514E-2</v>
      </c>
      <c r="B4" s="7">
        <v>0.15559573705903826</v>
      </c>
      <c r="C4" s="8"/>
      <c r="D4" s="8"/>
    </row>
    <row r="5" spans="1:4" x14ac:dyDescent="0.2">
      <c r="A5" s="7">
        <v>0.11261257918843379</v>
      </c>
      <c r="B5" s="7">
        <v>0.29069756305590272</v>
      </c>
      <c r="C5" s="8"/>
      <c r="D5" s="8"/>
    </row>
    <row r="6" spans="1:4" x14ac:dyDescent="0.2">
      <c r="A6" s="7">
        <v>0.11322460407532745</v>
      </c>
      <c r="B6" s="7">
        <v>0.17780932617679432</v>
      </c>
      <c r="C6" s="8"/>
      <c r="D6" s="8"/>
    </row>
    <row r="7" spans="1:4" x14ac:dyDescent="0.2">
      <c r="A7" s="7">
        <v>0.10985846719741231</v>
      </c>
      <c r="B7" s="7">
        <v>0.12341685355532817</v>
      </c>
      <c r="C7" s="8"/>
      <c r="D7" s="8"/>
    </row>
    <row r="8" spans="1:4" x14ac:dyDescent="0.2">
      <c r="A8" s="7">
        <v>1.3525750000349928</v>
      </c>
      <c r="B8" s="7">
        <v>0.37083010618394324</v>
      </c>
      <c r="C8" s="8"/>
      <c r="D8" s="8"/>
    </row>
    <row r="9" spans="1:4" x14ac:dyDescent="0.2">
      <c r="A9" s="7">
        <v>6.0364014594321862</v>
      </c>
      <c r="B9" s="7">
        <v>1.522959855204566</v>
      </c>
      <c r="C9" s="8"/>
      <c r="D9" s="8"/>
    </row>
    <row r="10" spans="1:4" x14ac:dyDescent="0.2">
      <c r="A10" s="7">
        <v>11.016447964085913</v>
      </c>
      <c r="B10" s="7">
        <v>2.7654836348982244</v>
      </c>
      <c r="C10" s="8"/>
      <c r="D10" s="8"/>
    </row>
    <row r="11" spans="1:4" x14ac:dyDescent="0.2">
      <c r="A11" s="8"/>
      <c r="B11" s="8"/>
      <c r="C11" s="8"/>
      <c r="D11" s="8"/>
    </row>
    <row r="12" spans="1:4" x14ac:dyDescent="0.2">
      <c r="A12" s="8"/>
      <c r="B12" s="8"/>
      <c r="C12" s="8"/>
      <c r="D12" s="8"/>
    </row>
    <row r="13" spans="1:4" x14ac:dyDescent="0.2">
      <c r="A13" s="22" t="s">
        <v>42</v>
      </c>
      <c r="B13" s="8"/>
      <c r="C13" s="8"/>
      <c r="D13" s="8"/>
    </row>
    <row r="14" spans="1:4" x14ac:dyDescent="0.2">
      <c r="A14" s="8" t="s">
        <v>81</v>
      </c>
      <c r="B14" s="8"/>
      <c r="C14" s="8" t="s">
        <v>51</v>
      </c>
      <c r="D14" s="8">
        <v>4.2936882782310004</v>
      </c>
    </row>
    <row r="15" spans="1:4" x14ac:dyDescent="0.2">
      <c r="A15" s="8"/>
      <c r="B15" s="8"/>
      <c r="C15" s="8" t="s">
        <v>82</v>
      </c>
      <c r="D15" s="8">
        <v>1.4332307692307693</v>
      </c>
    </row>
    <row r="21" spans="1:2" x14ac:dyDescent="0.2">
      <c r="A21" s="12" t="s">
        <v>40</v>
      </c>
      <c r="B21" s="12" t="s">
        <v>41</v>
      </c>
    </row>
    <row r="22" spans="1:2" x14ac:dyDescent="0.2">
      <c r="A22" s="12"/>
      <c r="B22" s="12"/>
    </row>
    <row r="23" spans="1:2" x14ac:dyDescent="0.2">
      <c r="A23" s="12">
        <v>-3.5069173133091898</v>
      </c>
      <c r="B23" s="12">
        <v>-2.2071769130627028</v>
      </c>
    </row>
    <row r="24" spans="1:2" x14ac:dyDescent="0.2">
      <c r="A24" s="12">
        <v>-3.3914044261873455</v>
      </c>
      <c r="B24" s="12">
        <v>-1.5309103617813873</v>
      </c>
    </row>
    <row r="25" spans="1:2" x14ac:dyDescent="0.2">
      <c r="A25" s="12">
        <v>-2.1838018538108308</v>
      </c>
      <c r="B25" s="12">
        <v>-0.94832999933775575</v>
      </c>
    </row>
    <row r="26" spans="1:2" x14ac:dyDescent="0.2">
      <c r="A26" s="12">
        <v>-2.1783817863414914</v>
      </c>
      <c r="B26" s="12">
        <v>-0.45133828225135786</v>
      </c>
    </row>
    <row r="27" spans="1:2" x14ac:dyDescent="0.2">
      <c r="A27" s="12">
        <v>-2.2085624034914826</v>
      </c>
      <c r="B27" s="12">
        <v>-0.11637480327830017</v>
      </c>
    </row>
    <row r="28" spans="1:2" x14ac:dyDescent="0.2">
      <c r="A28" s="12">
        <v>0.30201018309198219</v>
      </c>
      <c r="B28" s="12">
        <v>1.2940214391650215</v>
      </c>
    </row>
    <row r="29" spans="1:2" x14ac:dyDescent="0.2">
      <c r="A29" s="12">
        <v>1.7978080495341771</v>
      </c>
      <c r="B29" s="12">
        <v>1.3771523349937931</v>
      </c>
    </row>
    <row r="30" spans="1:2" x14ac:dyDescent="0.2">
      <c r="A30" s="12">
        <v>2.3993894254584851</v>
      </c>
      <c r="B30" s="12">
        <v>1.3821738926157963</v>
      </c>
    </row>
    <row r="32" spans="1:2" x14ac:dyDescent="0.2">
      <c r="A32" s="17" t="s">
        <v>43</v>
      </c>
    </row>
    <row r="33" spans="1:3" x14ac:dyDescent="0.2">
      <c r="A33" t="s">
        <v>44</v>
      </c>
      <c r="B33">
        <f xml:space="preserve"> 1/0.5664</f>
        <v>1.7655367231638417</v>
      </c>
    </row>
    <row r="34" spans="1:3" x14ac:dyDescent="0.2">
      <c r="A34" t="s">
        <v>83</v>
      </c>
      <c r="B34">
        <f xml:space="preserve"> EXP(0.485)</f>
        <v>1.6241750088442293</v>
      </c>
    </row>
    <row r="39" spans="1:3" x14ac:dyDescent="0.2">
      <c r="A39" s="24" t="s">
        <v>50</v>
      </c>
      <c r="B39" s="15" t="s">
        <v>25</v>
      </c>
      <c r="C39" s="15" t="s">
        <v>38</v>
      </c>
    </row>
    <row r="40" spans="1:3" x14ac:dyDescent="0.2">
      <c r="A40" s="12"/>
      <c r="B40" s="11"/>
      <c r="C40" s="11"/>
    </row>
    <row r="41" spans="1:3" x14ac:dyDescent="0.2">
      <c r="A41" s="12">
        <f xml:space="preserve"> LN(C41)</f>
        <v>-3.5069173133091898</v>
      </c>
      <c r="B41" s="11">
        <v>0.11001078054221058</v>
      </c>
      <c r="C41" s="11">
        <v>2.9989219457789432E-2</v>
      </c>
    </row>
    <row r="42" spans="1:3" x14ac:dyDescent="0.2">
      <c r="A42" s="12">
        <f t="shared" ref="A42:A48" si="0" xml:space="preserve"> LN(C42)</f>
        <v>-3.3914044261873455</v>
      </c>
      <c r="B42" s="11">
        <v>0.21633863122084859</v>
      </c>
      <c r="C42" s="11">
        <v>3.36613687791514E-2</v>
      </c>
    </row>
    <row r="43" spans="1:3" x14ac:dyDescent="0.2">
      <c r="A43" s="12">
        <f t="shared" si="0"/>
        <v>-2.1838018538108308</v>
      </c>
      <c r="B43" s="11">
        <v>0.38738742081156619</v>
      </c>
      <c r="C43" s="11">
        <v>0.11261257918843379</v>
      </c>
    </row>
    <row r="44" spans="1:3" x14ac:dyDescent="0.2">
      <c r="A44" s="12">
        <f t="shared" si="0"/>
        <v>-2.1783817863414914</v>
      </c>
      <c r="B44" s="11">
        <v>0.63677539592467258</v>
      </c>
      <c r="C44" s="11">
        <v>0.11322460407532745</v>
      </c>
    </row>
    <row r="45" spans="1:3" x14ac:dyDescent="0.2">
      <c r="A45" s="12">
        <f t="shared" si="0"/>
        <v>-2.2085624034914826</v>
      </c>
      <c r="B45" s="11">
        <v>0.89014153280258768</v>
      </c>
      <c r="C45" s="11">
        <v>0.10985846719741231</v>
      </c>
    </row>
    <row r="46" spans="1:3" x14ac:dyDescent="0.2">
      <c r="A46" s="12">
        <f t="shared" si="0"/>
        <v>0.30201018309198219</v>
      </c>
      <c r="B46" s="11">
        <v>3.6474249999650072</v>
      </c>
      <c r="C46" s="11">
        <v>1.3525750000349928</v>
      </c>
    </row>
    <row r="47" spans="1:3" x14ac:dyDescent="0.2">
      <c r="A47" s="12">
        <f t="shared" si="0"/>
        <v>1.7978080495341771</v>
      </c>
      <c r="B47" s="11">
        <v>3.9635985405678134</v>
      </c>
      <c r="C47" s="11">
        <v>6.0364014594321862</v>
      </c>
    </row>
    <row r="48" spans="1:3" x14ac:dyDescent="0.2">
      <c r="A48" s="12">
        <f t="shared" si="0"/>
        <v>2.3993894254584851</v>
      </c>
      <c r="B48" s="11">
        <v>3.9835520359140877</v>
      </c>
      <c r="C48" s="11">
        <v>11.016447964085913</v>
      </c>
    </row>
    <row r="50" spans="1:15" x14ac:dyDescent="0.2">
      <c r="C50" t="s">
        <v>84</v>
      </c>
      <c r="D50">
        <f xml:space="preserve"> (8.314*298.15)/0.7518</f>
        <v>3297.1789039638197</v>
      </c>
    </row>
    <row r="51" spans="1:15" x14ac:dyDescent="0.2">
      <c r="C51" t="s">
        <v>85</v>
      </c>
      <c r="D51">
        <f xml:space="preserve"> EXP(2.5724/0.7518)</f>
        <v>30.620039964275581</v>
      </c>
    </row>
    <row r="53" spans="1:15" x14ac:dyDescent="0.2">
      <c r="A53" s="17" t="s">
        <v>86</v>
      </c>
    </row>
    <row r="56" spans="1:15" x14ac:dyDescent="0.2">
      <c r="A56" s="15" t="s">
        <v>25</v>
      </c>
      <c r="B56" t="s">
        <v>41</v>
      </c>
      <c r="C56" t="s">
        <v>87</v>
      </c>
      <c r="D56" t="s">
        <v>41</v>
      </c>
    </row>
    <row r="57" spans="1:15" x14ac:dyDescent="0.2">
      <c r="A57" s="11"/>
    </row>
    <row r="58" spans="1:15" x14ac:dyDescent="0.2">
      <c r="A58" s="11">
        <v>0.11001078054221058</v>
      </c>
      <c r="B58">
        <f xml:space="preserve"> LN(A58)</f>
        <v>-2.2071769130627028</v>
      </c>
      <c r="C58">
        <f xml:space="preserve"> ($B$29*$B$30*LN((1/C41)+1))^2</f>
        <v>45.31356430016335</v>
      </c>
      <c r="D58">
        <v>-2.2071769130627028</v>
      </c>
    </row>
    <row r="59" spans="1:15" x14ac:dyDescent="0.2">
      <c r="A59" s="11">
        <v>0.21633863122084859</v>
      </c>
      <c r="B59">
        <f t="shared" ref="B59:B65" si="1" xml:space="preserve"> LN(A59)</f>
        <v>-1.5309103617813873</v>
      </c>
      <c r="C59">
        <f t="shared" ref="C59:C65" si="2" xml:space="preserve"> ($B$29*$B$30*LN((1/C42)+1))^2</f>
        <v>42.489990416497328</v>
      </c>
      <c r="D59">
        <v>-1.5309103617813873</v>
      </c>
    </row>
    <row r="60" spans="1:15" x14ac:dyDescent="0.2">
      <c r="A60" s="11">
        <v>0.38738742081156619</v>
      </c>
      <c r="B60">
        <f t="shared" si="1"/>
        <v>-0.94832999933775575</v>
      </c>
      <c r="C60">
        <f t="shared" si="2"/>
        <v>19.008803206757324</v>
      </c>
      <c r="D60">
        <v>-0.94832999933775575</v>
      </c>
    </row>
    <row r="61" spans="1:15" x14ac:dyDescent="0.2">
      <c r="A61" s="11">
        <v>0.63677539592467258</v>
      </c>
      <c r="B61">
        <f t="shared" si="1"/>
        <v>-0.45133828225135786</v>
      </c>
      <c r="C61">
        <f t="shared" si="2"/>
        <v>18.928055254731301</v>
      </c>
      <c r="D61">
        <v>-0.45133828225135786</v>
      </c>
    </row>
    <row r="62" spans="1:15" x14ac:dyDescent="0.2">
      <c r="A62" s="11">
        <v>0.89014153280258768</v>
      </c>
      <c r="B62">
        <f t="shared" si="1"/>
        <v>-0.11637480327830017</v>
      </c>
      <c r="C62">
        <f t="shared" si="2"/>
        <v>19.380437642648431</v>
      </c>
      <c r="D62">
        <v>-0.11637480327830017</v>
      </c>
      <c r="O62" t="s">
        <v>88</v>
      </c>
    </row>
    <row r="63" spans="1:15" x14ac:dyDescent="0.2">
      <c r="A63" s="11">
        <v>3.6474249999650072</v>
      </c>
      <c r="B63">
        <f t="shared" si="1"/>
        <v>1.2940214391650215</v>
      </c>
      <c r="C63">
        <f t="shared" si="2"/>
        <v>1.1100052730056962</v>
      </c>
      <c r="D63">
        <v>1.2940214391650215</v>
      </c>
      <c r="O63">
        <f xml:space="preserve"> EXP(1.2176)</f>
        <v>3.3790682303619159</v>
      </c>
    </row>
    <row r="64" spans="1:15" x14ac:dyDescent="0.2">
      <c r="A64" s="11">
        <v>3.9635985405678134</v>
      </c>
      <c r="B64">
        <f t="shared" si="1"/>
        <v>1.3771523349937931</v>
      </c>
      <c r="C64">
        <f t="shared" si="2"/>
        <v>8.5135438235412642E-2</v>
      </c>
      <c r="D64">
        <v>1.3771523349937931</v>
      </c>
    </row>
    <row r="65" spans="1:16" x14ac:dyDescent="0.2">
      <c r="A65" s="11">
        <v>3.9835520359140877</v>
      </c>
      <c r="B65">
        <f t="shared" si="1"/>
        <v>1.3821738926157963</v>
      </c>
      <c r="C65">
        <f t="shared" si="2"/>
        <v>2.7352588785393241E-2</v>
      </c>
      <c r="D65">
        <v>1.3821738926157963</v>
      </c>
    </row>
    <row r="67" spans="1:16" x14ac:dyDescent="0.2">
      <c r="A67" t="s">
        <v>35</v>
      </c>
      <c r="B67">
        <v>8.3140000000000001</v>
      </c>
    </row>
    <row r="68" spans="1:16" x14ac:dyDescent="0.2">
      <c r="A68" t="s">
        <v>45</v>
      </c>
      <c r="B68">
        <v>298.14999999999998</v>
      </c>
    </row>
    <row r="70" spans="1:16" x14ac:dyDescent="0.2">
      <c r="B70" s="17" t="s">
        <v>89</v>
      </c>
    </row>
    <row r="72" spans="1:16" ht="17" x14ac:dyDescent="0.2">
      <c r="A72" s="6" t="s">
        <v>25</v>
      </c>
      <c r="B72" s="6" t="s">
        <v>38</v>
      </c>
      <c r="C72" t="s">
        <v>48</v>
      </c>
      <c r="D72" t="s">
        <v>49</v>
      </c>
      <c r="E72" t="s">
        <v>50</v>
      </c>
      <c r="F72" t="s">
        <v>49</v>
      </c>
    </row>
    <row r="74" spans="1:16" x14ac:dyDescent="0.2">
      <c r="A74" s="11">
        <v>0.11001078054221058</v>
      </c>
      <c r="B74" s="11">
        <v>2.9989219457789432E-2</v>
      </c>
      <c r="C74">
        <v>3.9854873099999999</v>
      </c>
      <c r="D74">
        <f xml:space="preserve"> LN(A74/(C74-A74))</f>
        <v>-3.5618455436511112</v>
      </c>
      <c r="E74">
        <f xml:space="preserve"> LN(B74)</f>
        <v>-3.5069173133091898</v>
      </c>
      <c r="F74">
        <f xml:space="preserve"> D74</f>
        <v>-3.5618455436511112</v>
      </c>
    </row>
    <row r="75" spans="1:16" x14ac:dyDescent="0.2">
      <c r="A75" s="11">
        <v>0.21633863122084859</v>
      </c>
      <c r="B75" s="11">
        <v>3.36613687791514E-2</v>
      </c>
      <c r="C75">
        <v>3.9854873099999999</v>
      </c>
      <c r="D75">
        <f t="shared" ref="D75:D81" si="3" xml:space="preserve"> LN(A75/(C75-A75))</f>
        <v>-2.8577595230939004</v>
      </c>
      <c r="E75">
        <f t="shared" ref="E75:E81" si="4" xml:space="preserve"> LN(B75)</f>
        <v>-3.3914044261873455</v>
      </c>
      <c r="F75">
        <f t="shared" ref="F75:F81" si="5" xml:space="preserve"> D75</f>
        <v>-2.8577595230939004</v>
      </c>
      <c r="O75" t="s">
        <v>44</v>
      </c>
      <c r="P75">
        <f xml:space="preserve"> 1/1.7704</f>
        <v>0.56484410302756438</v>
      </c>
    </row>
    <row r="76" spans="1:16" x14ac:dyDescent="0.2">
      <c r="A76" s="11">
        <v>0.38738742081156619</v>
      </c>
      <c r="B76" s="11">
        <v>0.11261257918843379</v>
      </c>
      <c r="C76">
        <v>3.9854873099999999</v>
      </c>
      <c r="D76">
        <f t="shared" si="3"/>
        <v>-2.2287358969010822</v>
      </c>
      <c r="E76">
        <f t="shared" si="4"/>
        <v>-2.1838018538108308</v>
      </c>
      <c r="F76">
        <f t="shared" si="5"/>
        <v>-2.2287358969010822</v>
      </c>
      <c r="O76" t="s">
        <v>52</v>
      </c>
      <c r="P76">
        <f xml:space="preserve"> EXP(P75*2.4416)</f>
        <v>3.9714186043897763</v>
      </c>
    </row>
    <row r="77" spans="1:16" x14ac:dyDescent="0.2">
      <c r="A77" s="11">
        <v>0.63677539592467258</v>
      </c>
      <c r="B77" s="11">
        <v>0.11322460407532745</v>
      </c>
      <c r="C77">
        <v>3.9854873099999999</v>
      </c>
      <c r="D77">
        <f t="shared" si="3"/>
        <v>-1.6599140508869035</v>
      </c>
      <c r="E77">
        <f t="shared" si="4"/>
        <v>-2.1783817863414914</v>
      </c>
      <c r="F77">
        <f t="shared" si="5"/>
        <v>-1.6599140508869035</v>
      </c>
    </row>
    <row r="78" spans="1:16" x14ac:dyDescent="0.2">
      <c r="A78" s="11">
        <v>0.89014153280258768</v>
      </c>
      <c r="B78" s="11">
        <v>0.10985846719741231</v>
      </c>
      <c r="C78">
        <v>3.9854873099999999</v>
      </c>
      <c r="D78">
        <f t="shared" si="3"/>
        <v>-1.2462744244014587</v>
      </c>
      <c r="E78">
        <f t="shared" si="4"/>
        <v>-2.2085624034914826</v>
      </c>
      <c r="F78">
        <f t="shared" si="5"/>
        <v>-1.2462744244014587</v>
      </c>
    </row>
    <row r="79" spans="1:16" x14ac:dyDescent="0.2">
      <c r="A79" s="11">
        <v>3.6474249999650072</v>
      </c>
      <c r="B79" s="11">
        <v>1.3525750000349928</v>
      </c>
      <c r="C79">
        <v>3.9854873099999999</v>
      </c>
      <c r="D79">
        <f t="shared" si="3"/>
        <v>2.3785464904384139</v>
      </c>
      <c r="E79">
        <f t="shared" si="4"/>
        <v>0.30201018309198219</v>
      </c>
      <c r="F79">
        <f t="shared" si="5"/>
        <v>2.3785464904384139</v>
      </c>
    </row>
    <row r="80" spans="1:16" x14ac:dyDescent="0.2">
      <c r="A80" s="11">
        <v>3.9635985405678134</v>
      </c>
      <c r="B80" s="11">
        <v>6.0364014594321862</v>
      </c>
      <c r="C80">
        <v>3.9854873099999999</v>
      </c>
      <c r="D80">
        <f t="shared" si="3"/>
        <v>5.198933920001851</v>
      </c>
      <c r="E80">
        <f t="shared" si="4"/>
        <v>1.7978080495341771</v>
      </c>
      <c r="F80">
        <f t="shared" si="5"/>
        <v>5.198933920001851</v>
      </c>
    </row>
    <row r="81" spans="1:6" x14ac:dyDescent="0.2">
      <c r="A81" s="11">
        <v>3.9835520359140877</v>
      </c>
      <c r="B81" s="11">
        <v>11.016447964085913</v>
      </c>
      <c r="C81">
        <v>3.9854873099999999</v>
      </c>
      <c r="D81">
        <f t="shared" si="3"/>
        <v>7.6296802086808437</v>
      </c>
      <c r="E81">
        <f t="shared" si="4"/>
        <v>2.3993894254584851</v>
      </c>
      <c r="F81">
        <f t="shared" si="5"/>
        <v>7.6296802086808437</v>
      </c>
    </row>
    <row r="85" spans="1:6" x14ac:dyDescent="0.2">
      <c r="B85" s="17" t="s">
        <v>90</v>
      </c>
    </row>
    <row r="89" spans="1:6" ht="17" x14ac:dyDescent="0.2">
      <c r="A89" s="6" t="s">
        <v>40</v>
      </c>
      <c r="B89" s="16" t="s">
        <v>41</v>
      </c>
    </row>
    <row r="90" spans="1:6" x14ac:dyDescent="0.2">
      <c r="A90" s="18"/>
      <c r="B90" s="18"/>
    </row>
    <row r="91" spans="1:6" x14ac:dyDescent="0.2">
      <c r="A91" s="18">
        <v>-3.5069173133091898</v>
      </c>
      <c r="B91" s="18">
        <v>-2.2071769130627028</v>
      </c>
    </row>
    <row r="92" spans="1:6" x14ac:dyDescent="0.2">
      <c r="A92" s="18">
        <v>-3.3914044261873455</v>
      </c>
      <c r="B92" s="18">
        <v>-1.5309103617813873</v>
      </c>
    </row>
    <row r="93" spans="1:6" x14ac:dyDescent="0.2">
      <c r="A93" s="18">
        <v>-2.1838018538108308</v>
      </c>
      <c r="B93" s="18">
        <v>-0.94832999933775575</v>
      </c>
    </row>
    <row r="94" spans="1:6" x14ac:dyDescent="0.2">
      <c r="A94" s="18">
        <v>-2.1783817863414914</v>
      </c>
      <c r="B94" s="18">
        <v>-0.45133828225135786</v>
      </c>
    </row>
    <row r="95" spans="1:6" x14ac:dyDescent="0.2">
      <c r="A95" s="18">
        <v>-2.2085624034914826</v>
      </c>
      <c r="B95" s="18">
        <v>-0.11637480327830017</v>
      </c>
    </row>
    <row r="96" spans="1:6" x14ac:dyDescent="0.2">
      <c r="A96" s="18">
        <v>0.30201018309198219</v>
      </c>
      <c r="B96" s="18">
        <v>1.2940214391650215</v>
      </c>
    </row>
    <row r="97" spans="1:2" x14ac:dyDescent="0.2">
      <c r="A97" s="18">
        <v>1.7978080495341771</v>
      </c>
      <c r="B97" s="18">
        <v>1.3771523349937931</v>
      </c>
    </row>
    <row r="98" spans="1:2" x14ac:dyDescent="0.2">
      <c r="A98" s="18">
        <v>2.3993894254584851</v>
      </c>
      <c r="B98" s="18">
        <v>1.3821738926157963</v>
      </c>
    </row>
    <row r="100" spans="1:2" x14ac:dyDescent="0.2">
      <c r="A100" t="s">
        <v>44</v>
      </c>
      <c r="B100">
        <f xml:space="preserve"> -1/0.5664</f>
        <v>-1.7655367231638417</v>
      </c>
    </row>
    <row r="101" spans="1:2" x14ac:dyDescent="0.2">
      <c r="A101" t="s">
        <v>46</v>
      </c>
      <c r="B101">
        <f xml:space="preserve"> EXP(B100*0.485)</f>
        <v>0.42473692117008455</v>
      </c>
    </row>
    <row r="104" spans="1:2" x14ac:dyDescent="0.2">
      <c r="B104" s="17" t="s">
        <v>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9F2F-3D90-0341-A375-9FEA4970A2F3}">
  <dimension ref="A1:J14"/>
  <sheetViews>
    <sheetView workbookViewId="0">
      <selection activeCell="P9" sqref="P9"/>
    </sheetView>
  </sheetViews>
  <sheetFormatPr baseColWidth="10" defaultRowHeight="16" x14ac:dyDescent="0.2"/>
  <cols>
    <col min="3" max="3" width="15" customWidth="1"/>
  </cols>
  <sheetData>
    <row r="1" spans="1:10" ht="85" x14ac:dyDescent="0.2">
      <c r="A1" s="3" t="s">
        <v>17</v>
      </c>
      <c r="B1" s="3" t="s">
        <v>91</v>
      </c>
      <c r="C1" s="3" t="s">
        <v>92</v>
      </c>
      <c r="D1" s="1" t="s">
        <v>19</v>
      </c>
      <c r="E1" s="1" t="s">
        <v>93</v>
      </c>
      <c r="F1" s="1" t="s">
        <v>94</v>
      </c>
      <c r="G1" s="1" t="s">
        <v>98</v>
      </c>
      <c r="H1" s="10" t="s">
        <v>95</v>
      </c>
      <c r="I1" s="10" t="s">
        <v>96</v>
      </c>
      <c r="J1" s="1" t="s">
        <v>24</v>
      </c>
    </row>
    <row r="2" spans="1:10" x14ac:dyDescent="0.2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ht="17" x14ac:dyDescent="0.2">
      <c r="A3" s="7">
        <v>15</v>
      </c>
      <c r="B3" s="7">
        <v>3.1314586334314521E-5</v>
      </c>
      <c r="C3" s="25" t="s">
        <v>97</v>
      </c>
      <c r="D3" s="7">
        <v>1.3728</v>
      </c>
      <c r="E3" s="7">
        <f xml:space="preserve"> D3/$B$11/$B$13</f>
        <v>1.7540088197150834E-5</v>
      </c>
      <c r="F3" s="7">
        <f xml:space="preserve"> E3*1000*$B$10</f>
        <v>8.401877647317221</v>
      </c>
      <c r="G3" s="7">
        <f xml:space="preserve"> F3</f>
        <v>8.401877647317221</v>
      </c>
      <c r="H3" s="7">
        <f xml:space="preserve"> ((B3-E3)*$B$12)/$B$14</f>
        <v>1.3774498137163687E-5</v>
      </c>
      <c r="I3" s="19">
        <f xml:space="preserve"> H3*1000*$B$10</f>
        <v>6.5981223526827772</v>
      </c>
      <c r="J3" s="19">
        <f xml:space="preserve"> ((A3-G3)/A3)*100</f>
        <v>43.987482351218524</v>
      </c>
    </row>
    <row r="4" spans="1:10" x14ac:dyDescent="0.2">
      <c r="A4" s="7">
        <v>15</v>
      </c>
      <c r="B4" s="7">
        <v>3.1314586334314521E-5</v>
      </c>
      <c r="C4" s="7">
        <v>1</v>
      </c>
      <c r="D4" s="7">
        <v>1.6043000000000001</v>
      </c>
      <c r="E4" s="7">
        <f t="shared" ref="E4:E6" si="0" xml:space="preserve"> D4/$B$11/$B$13</f>
        <v>2.0497933781096361E-5</v>
      </c>
      <c r="F4" s="7">
        <f t="shared" ref="F4:F6" si="1" xml:space="preserve"> E4*1000*$B$10</f>
        <v>9.8187152604829677</v>
      </c>
      <c r="G4" s="7">
        <f t="shared" ref="G4:G6" si="2" xml:space="preserve"> F4</f>
        <v>9.8187152604829677</v>
      </c>
      <c r="H4" s="7">
        <f t="shared" ref="H4:H6" si="3" xml:space="preserve"> ((B4-E4)*$B$12)/$B$14</f>
        <v>1.081665255321816E-5</v>
      </c>
      <c r="I4" s="19">
        <f t="shared" ref="I4:I6" si="4" xml:space="preserve"> H4*1000*$B$10</f>
        <v>5.1812847395170305</v>
      </c>
      <c r="J4" s="19">
        <f t="shared" ref="J4:J6" si="5" xml:space="preserve"> ((A4-G4)/A4)*100</f>
        <v>34.541898263446882</v>
      </c>
    </row>
    <row r="5" spans="1:10" x14ac:dyDescent="0.2">
      <c r="A5" s="7">
        <v>15</v>
      </c>
      <c r="B5" s="7">
        <v>3.1314586334314521E-5</v>
      </c>
      <c r="C5" s="7">
        <v>2</v>
      </c>
      <c r="D5" s="7">
        <v>1.9415</v>
      </c>
      <c r="E5" s="7">
        <f t="shared" si="0"/>
        <v>2.4806294605746173E-5</v>
      </c>
      <c r="F5" s="7">
        <f t="shared" si="1"/>
        <v>11.882463179098474</v>
      </c>
      <c r="G5" s="7">
        <f t="shared" si="2"/>
        <v>11.882463179098474</v>
      </c>
      <c r="H5" s="7">
        <f t="shared" si="3"/>
        <v>6.5082917285683477E-6</v>
      </c>
      <c r="I5" s="19">
        <f t="shared" si="4"/>
        <v>3.117536820901524</v>
      </c>
      <c r="J5" s="19">
        <f t="shared" si="5"/>
        <v>20.783578806010173</v>
      </c>
    </row>
    <row r="6" spans="1:10" x14ac:dyDescent="0.2">
      <c r="A6" s="7">
        <v>15</v>
      </c>
      <c r="B6" s="7">
        <v>3.1314586334314521E-5</v>
      </c>
      <c r="C6" s="7">
        <v>3</v>
      </c>
      <c r="D6" s="12">
        <v>1.9988999999999999</v>
      </c>
      <c r="E6" s="7">
        <f t="shared" si="0"/>
        <v>2.5539686988115386E-5</v>
      </c>
      <c r="F6" s="7">
        <f t="shared" si="1"/>
        <v>12.233765464177152</v>
      </c>
      <c r="G6" s="7">
        <f t="shared" si="2"/>
        <v>12.233765464177152</v>
      </c>
      <c r="H6" s="7">
        <f t="shared" si="3"/>
        <v>5.7748993461991353E-6</v>
      </c>
      <c r="I6" s="19">
        <f t="shared" si="4"/>
        <v>2.7662345358228477</v>
      </c>
      <c r="J6" s="19">
        <f t="shared" si="5"/>
        <v>18.441563572152322</v>
      </c>
    </row>
    <row r="10" spans="1:10" ht="51" x14ac:dyDescent="0.2">
      <c r="A10" s="3" t="s">
        <v>13</v>
      </c>
      <c r="B10" s="7">
        <v>479.01</v>
      </c>
    </row>
    <row r="11" spans="1:10" ht="68" x14ac:dyDescent="0.2">
      <c r="A11" s="10" t="s">
        <v>14</v>
      </c>
      <c r="B11" s="7">
        <v>78266.425149617775</v>
      </c>
    </row>
    <row r="12" spans="1:10" ht="34" x14ac:dyDescent="0.2">
      <c r="A12" s="10" t="s">
        <v>15</v>
      </c>
      <c r="B12" s="7">
        <f xml:space="preserve"> 20/1000</f>
        <v>0.02</v>
      </c>
    </row>
    <row r="13" spans="1:10" ht="68" x14ac:dyDescent="0.2">
      <c r="A13" s="10" t="s">
        <v>16</v>
      </c>
      <c r="B13" s="7">
        <v>1</v>
      </c>
    </row>
    <row r="14" spans="1:10" ht="34" x14ac:dyDescent="0.2">
      <c r="A14" s="10" t="s">
        <v>2</v>
      </c>
      <c r="B14" s="7">
        <f xml:space="preserve"> 20/1000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Standardization</vt:lpstr>
      <vt:lpstr>Contact time </vt:lpstr>
      <vt:lpstr>Adsorption kinetics</vt:lpstr>
      <vt:lpstr>Adsorbent dosage </vt:lpstr>
      <vt:lpstr>pH</vt:lpstr>
      <vt:lpstr>Adsorption thermodynamics</vt:lpstr>
      <vt:lpstr>Low concentration</vt:lpstr>
      <vt:lpstr>Adsorption isotherm</vt:lpstr>
      <vt:lpstr>Regeneration 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mayilswamy b</dc:creator>
  <cp:lastModifiedBy>mayilswamy b</cp:lastModifiedBy>
  <dcterms:created xsi:type="dcterms:W3CDTF">2024-01-16T08:14:06Z</dcterms:created>
  <dcterms:modified xsi:type="dcterms:W3CDTF">2025-08-30T08:24:17Z</dcterms:modified>
</cp:coreProperties>
</file>