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uneelu/Desktop/neelu/DIAT/PhD/Pre-synopsis/Excel sheet all biochars/"/>
    </mc:Choice>
  </mc:AlternateContent>
  <xr:revisionPtr revIDLastSave="0" documentId="13_ncr:1_{44EBBD66-1611-3648-96C4-7C8D571ED34A}" xr6:coauthVersionLast="47" xr6:coauthVersionMax="47" xr10:uidLastSave="{00000000-0000-0000-0000-000000000000}"/>
  <bookViews>
    <workbookView xWindow="0" yWindow="500" windowWidth="28800" windowHeight="16420" activeTab="7" xr2:uid="{4436FCF0-49E9-0E4E-8EDE-6A9C06E7F5C9}"/>
  </bookViews>
  <sheets>
    <sheet name="Contact time" sheetId="4" r:id="rId1"/>
    <sheet name="Adsorption kinetic" sheetId="11" r:id="rId2"/>
    <sheet name="Adsorbent dosage" sheetId="1" r:id="rId3"/>
    <sheet name="Temperature" sheetId="2" r:id="rId4"/>
    <sheet name="pH" sheetId="5" r:id="rId5"/>
    <sheet name="Low concentration 12.6.24" sheetId="14" r:id="rId6"/>
    <sheet name="Adsorption isotherm 14.6.24" sheetId="15" r:id="rId7"/>
    <sheet name="Regeneration" sheetId="9" r:id="rId8"/>
  </sheets>
  <definedNames>
    <definedName name="solver_adj" localSheetId="6" hidden="1">'Adsorption isotherm 14.6.24'!$B$94:$B$96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itr" localSheetId="6" hidden="1">2147483647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opt" localSheetId="6" hidden="1">'Adsorption isotherm 14.6.24'!$E$94</definedName>
    <definedName name="solver_pre" localSheetId="6" hidden="1">0.000001</definedName>
    <definedName name="solver_rbv" localSheetId="6" hidden="1">1</definedName>
    <definedName name="solver_rlx" localSheetId="6" hidden="1">1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9" l="1"/>
  <c r="B12" i="9"/>
  <c r="E6" i="9"/>
  <c r="E5" i="9"/>
  <c r="E4" i="9"/>
  <c r="H4" i="9" s="1"/>
  <c r="I4" i="9" s="1"/>
  <c r="E3" i="9"/>
  <c r="F3" i="9" s="1"/>
  <c r="G3" i="9" s="1"/>
  <c r="J3" i="9" s="1"/>
  <c r="H5" i="9" l="1"/>
  <c r="I5" i="9" s="1"/>
  <c r="H6" i="9"/>
  <c r="I6" i="9" s="1"/>
  <c r="H3" i="9"/>
  <c r="I3" i="9" s="1"/>
  <c r="F6" i="9"/>
  <c r="G6" i="9" s="1"/>
  <c r="J6" i="9" s="1"/>
  <c r="F5" i="9"/>
  <c r="G5" i="9" s="1"/>
  <c r="J5" i="9" s="1"/>
  <c r="F4" i="9"/>
  <c r="G4" i="9" s="1"/>
  <c r="J4" i="9" s="1"/>
  <c r="J5" i="1" l="1"/>
  <c r="J6" i="1"/>
  <c r="J7" i="1"/>
  <c r="J8" i="1"/>
  <c r="N68" i="15" l="1"/>
  <c r="N67" i="15"/>
  <c r="L50" i="15"/>
  <c r="L49" i="15"/>
  <c r="K36" i="15"/>
  <c r="K35" i="15"/>
  <c r="R20" i="15"/>
  <c r="R19" i="15"/>
  <c r="M3" i="15"/>
  <c r="M2" i="15"/>
  <c r="E66" i="15"/>
  <c r="B66" i="15" s="1"/>
  <c r="E67" i="15"/>
  <c r="B67" i="15" s="1"/>
  <c r="E68" i="15"/>
  <c r="B68" i="15" s="1"/>
  <c r="E69" i="15"/>
  <c r="B69" i="15" s="1"/>
  <c r="E70" i="15"/>
  <c r="B70" i="15" s="1"/>
  <c r="E71" i="15"/>
  <c r="B71" i="15" s="1"/>
  <c r="E72" i="15"/>
  <c r="B72" i="15" s="1"/>
  <c r="E65" i="15"/>
  <c r="B65" i="15" s="1"/>
  <c r="A51" i="15"/>
  <c r="A52" i="15"/>
  <c r="A53" i="15"/>
  <c r="A54" i="15"/>
  <c r="A55" i="15"/>
  <c r="A56" i="15"/>
  <c r="A57" i="15"/>
  <c r="A50" i="15"/>
  <c r="B51" i="15" l="1"/>
  <c r="B52" i="15"/>
  <c r="B53" i="15"/>
  <c r="B54" i="15"/>
  <c r="B55" i="15"/>
  <c r="B56" i="15"/>
  <c r="B57" i="15"/>
  <c r="B50" i="15"/>
  <c r="B19" i="15"/>
  <c r="B20" i="15"/>
  <c r="B21" i="15"/>
  <c r="B22" i="15"/>
  <c r="B23" i="15"/>
  <c r="B24" i="15"/>
  <c r="B25" i="15"/>
  <c r="B18" i="15"/>
  <c r="A19" i="15"/>
  <c r="A20" i="15"/>
  <c r="A21" i="15"/>
  <c r="A22" i="15"/>
  <c r="A23" i="15"/>
  <c r="A24" i="15"/>
  <c r="A25" i="15"/>
  <c r="A18" i="15"/>
  <c r="D4" i="15"/>
  <c r="D5" i="15"/>
  <c r="D6" i="15"/>
  <c r="D7" i="15"/>
  <c r="D8" i="15"/>
  <c r="D9" i="15"/>
  <c r="D10" i="15"/>
  <c r="D3" i="15"/>
  <c r="B15" i="14"/>
  <c r="B14" i="14"/>
  <c r="Z10" i="14"/>
  <c r="W10" i="14"/>
  <c r="V10" i="14"/>
  <c r="E10" i="14"/>
  <c r="F10" i="14" s="1"/>
  <c r="C10" i="14"/>
  <c r="W9" i="14"/>
  <c r="V9" i="14"/>
  <c r="F9" i="14"/>
  <c r="E9" i="14"/>
  <c r="C9" i="14"/>
  <c r="W8" i="14"/>
  <c r="V8" i="14"/>
  <c r="F8" i="14"/>
  <c r="E8" i="14"/>
  <c r="C8" i="14"/>
  <c r="W7" i="14"/>
  <c r="V7" i="14"/>
  <c r="F7" i="14"/>
  <c r="E7" i="14"/>
  <c r="C7" i="14"/>
  <c r="W6" i="14"/>
  <c r="V6" i="14"/>
  <c r="F6" i="14"/>
  <c r="E6" i="14"/>
  <c r="C6" i="14"/>
  <c r="W5" i="14"/>
  <c r="V5" i="14"/>
  <c r="F5" i="14"/>
  <c r="E5" i="14"/>
  <c r="C5" i="14"/>
  <c r="W4" i="14"/>
  <c r="V4" i="14"/>
  <c r="F4" i="14"/>
  <c r="E4" i="14"/>
  <c r="C4" i="14"/>
  <c r="W3" i="14"/>
  <c r="V3" i="14"/>
  <c r="F3" i="14"/>
  <c r="E3" i="14"/>
  <c r="C3" i="14"/>
  <c r="L40" i="11"/>
  <c r="L39" i="11"/>
  <c r="AE5" i="11"/>
  <c r="AG3" i="11"/>
  <c r="AE3" i="11"/>
  <c r="M24" i="11"/>
  <c r="M23" i="11"/>
  <c r="B53" i="11"/>
  <c r="B54" i="11"/>
  <c r="B55" i="11"/>
  <c r="B56" i="11"/>
  <c r="B57" i="11"/>
  <c r="B58" i="11"/>
  <c r="B59" i="11"/>
  <c r="B60" i="11"/>
  <c r="B61" i="11"/>
  <c r="B52" i="11"/>
  <c r="B38" i="11"/>
  <c r="B39" i="11"/>
  <c r="B40" i="11"/>
  <c r="B41" i="11"/>
  <c r="B42" i="11"/>
  <c r="B43" i="11"/>
  <c r="B44" i="11"/>
  <c r="B45" i="11"/>
  <c r="B46" i="11"/>
  <c r="B37" i="11"/>
  <c r="E24" i="11"/>
  <c r="E25" i="11"/>
  <c r="E26" i="11"/>
  <c r="E27" i="11"/>
  <c r="E28" i="11"/>
  <c r="E29" i="11"/>
  <c r="E30" i="11"/>
  <c r="E31" i="11"/>
  <c r="E32" i="11"/>
  <c r="E23" i="11"/>
  <c r="C24" i="11"/>
  <c r="C25" i="11"/>
  <c r="C26" i="11"/>
  <c r="C27" i="11"/>
  <c r="C28" i="11"/>
  <c r="C29" i="11"/>
  <c r="C30" i="11"/>
  <c r="C31" i="11"/>
  <c r="C32" i="11"/>
  <c r="C23" i="11"/>
  <c r="AA3" i="2"/>
  <c r="Z4" i="2"/>
  <c r="Z5" i="2"/>
  <c r="Z3" i="2"/>
  <c r="Y5" i="2"/>
  <c r="Y4" i="2"/>
  <c r="Y3" i="2"/>
  <c r="W5" i="2"/>
  <c r="W3" i="2"/>
  <c r="J3" i="14" l="1"/>
  <c r="J8" i="14"/>
  <c r="J5" i="14"/>
  <c r="J10" i="14"/>
  <c r="J7" i="14"/>
  <c r="J4" i="14"/>
  <c r="J9" i="14"/>
  <c r="J6" i="14"/>
  <c r="B18" i="11" l="1"/>
  <c r="B17" i="11"/>
  <c r="F12" i="11"/>
  <c r="H12" i="11" s="1"/>
  <c r="B12" i="11"/>
  <c r="J12" i="11" s="1"/>
  <c r="K12" i="11" s="1"/>
  <c r="P12" i="11" s="1"/>
  <c r="F11" i="11"/>
  <c r="H11" i="11" s="1"/>
  <c r="B11" i="11"/>
  <c r="F10" i="11"/>
  <c r="H10" i="11" s="1"/>
  <c r="B10" i="11"/>
  <c r="F9" i="11"/>
  <c r="H9" i="11" s="1"/>
  <c r="B9" i="11"/>
  <c r="J9" i="11" s="1"/>
  <c r="K9" i="11" s="1"/>
  <c r="P9" i="11" s="1"/>
  <c r="F8" i="11"/>
  <c r="H8" i="11" s="1"/>
  <c r="B8" i="11"/>
  <c r="J8" i="11" s="1"/>
  <c r="K8" i="11" s="1"/>
  <c r="P8" i="11" s="1"/>
  <c r="F7" i="11"/>
  <c r="H7" i="11" s="1"/>
  <c r="B7" i="11"/>
  <c r="F6" i="11"/>
  <c r="H6" i="11" s="1"/>
  <c r="B6" i="11"/>
  <c r="F5" i="11"/>
  <c r="H5" i="11" s="1"/>
  <c r="B5" i="11"/>
  <c r="J5" i="11" s="1"/>
  <c r="K5" i="11" s="1"/>
  <c r="P5" i="11" s="1"/>
  <c r="F4" i="11"/>
  <c r="H4" i="11" s="1"/>
  <c r="B4" i="11"/>
  <c r="J4" i="11" s="1"/>
  <c r="K4" i="11" s="1"/>
  <c r="P4" i="11" s="1"/>
  <c r="F3" i="11"/>
  <c r="H3" i="11" s="1"/>
  <c r="B3" i="11"/>
  <c r="F3" i="4"/>
  <c r="H3" i="4" s="1"/>
  <c r="B3" i="4"/>
  <c r="I8" i="5"/>
  <c r="I4" i="5"/>
  <c r="I3" i="5"/>
  <c r="B15" i="5"/>
  <c r="B13" i="5"/>
  <c r="F9" i="5"/>
  <c r="G9" i="5" s="1"/>
  <c r="I9" i="5" s="1"/>
  <c r="F8" i="5"/>
  <c r="G8" i="5" s="1"/>
  <c r="F7" i="5"/>
  <c r="G7" i="5" s="1"/>
  <c r="I7" i="5" s="1"/>
  <c r="F6" i="5"/>
  <c r="G6" i="5" s="1"/>
  <c r="I6" i="5" s="1"/>
  <c r="F5" i="5"/>
  <c r="G5" i="5" s="1"/>
  <c r="I5" i="5" s="1"/>
  <c r="F4" i="5"/>
  <c r="G4" i="5" s="1"/>
  <c r="F3" i="5"/>
  <c r="G3" i="5" s="1"/>
  <c r="B18" i="4"/>
  <c r="B17" i="4"/>
  <c r="F12" i="4"/>
  <c r="G12" i="4" s="1"/>
  <c r="I12" i="4" s="1"/>
  <c r="L12" i="4" s="1"/>
  <c r="B12" i="4"/>
  <c r="F11" i="4"/>
  <c r="G11" i="4" s="1"/>
  <c r="I11" i="4" s="1"/>
  <c r="L11" i="4" s="1"/>
  <c r="B11" i="4"/>
  <c r="F10" i="4"/>
  <c r="H10" i="4" s="1"/>
  <c r="B10" i="4"/>
  <c r="F9" i="4"/>
  <c r="G9" i="4" s="1"/>
  <c r="I9" i="4" s="1"/>
  <c r="L9" i="4" s="1"/>
  <c r="B9" i="4"/>
  <c r="F8" i="4"/>
  <c r="H8" i="4" s="1"/>
  <c r="B8" i="4"/>
  <c r="F7" i="4"/>
  <c r="H7" i="4" s="1"/>
  <c r="J7" i="4" s="1"/>
  <c r="K7" i="4" s="1"/>
  <c r="B7" i="4"/>
  <c r="F6" i="4"/>
  <c r="H6" i="4" s="1"/>
  <c r="J6" i="4" s="1"/>
  <c r="K6" i="4" s="1"/>
  <c r="B6" i="4"/>
  <c r="F5" i="4"/>
  <c r="H5" i="4" s="1"/>
  <c r="J5" i="4" s="1"/>
  <c r="K5" i="4" s="1"/>
  <c r="B5" i="4"/>
  <c r="H4" i="4"/>
  <c r="J4" i="4" s="1"/>
  <c r="K4" i="4" s="1"/>
  <c r="F4" i="4"/>
  <c r="G4" i="4" s="1"/>
  <c r="I4" i="4" s="1"/>
  <c r="L4" i="4" s="1"/>
  <c r="B4" i="4"/>
  <c r="B11" i="2"/>
  <c r="B9" i="2"/>
  <c r="L5" i="2"/>
  <c r="F5" i="2"/>
  <c r="G5" i="2" s="1"/>
  <c r="D5" i="2"/>
  <c r="L4" i="2"/>
  <c r="F4" i="2"/>
  <c r="G4" i="2" s="1"/>
  <c r="D4" i="2"/>
  <c r="L3" i="2"/>
  <c r="F3" i="2"/>
  <c r="G3" i="2" s="1"/>
  <c r="I3" i="2" s="1"/>
  <c r="D3" i="2"/>
  <c r="B12" i="1"/>
  <c r="G8" i="1"/>
  <c r="H8" i="1" s="1"/>
  <c r="I8" i="1" s="1"/>
  <c r="D8" i="1"/>
  <c r="C8" i="1"/>
  <c r="G7" i="1"/>
  <c r="H7" i="1" s="1"/>
  <c r="I7" i="1" s="1"/>
  <c r="D7" i="1"/>
  <c r="C7" i="1"/>
  <c r="G6" i="1"/>
  <c r="H6" i="1" s="1"/>
  <c r="I6" i="1" s="1"/>
  <c r="D6" i="1"/>
  <c r="C6" i="1"/>
  <c r="H5" i="1"/>
  <c r="I5" i="1" s="1"/>
  <c r="G5" i="1"/>
  <c r="D5" i="1"/>
  <c r="C5" i="1"/>
  <c r="G4" i="1"/>
  <c r="H4" i="1" s="1"/>
  <c r="I4" i="1" s="1"/>
  <c r="J4" i="1" s="1"/>
  <c r="D4" i="1"/>
  <c r="C4" i="1"/>
  <c r="G3" i="1"/>
  <c r="H3" i="1" s="1"/>
  <c r="D3" i="1"/>
  <c r="C3" i="1"/>
  <c r="I3" i="1" l="1"/>
  <c r="J3" i="1" s="1"/>
  <c r="J3" i="11"/>
  <c r="K3" i="11" s="1"/>
  <c r="P3" i="11" s="1"/>
  <c r="J7" i="11"/>
  <c r="K7" i="11" s="1"/>
  <c r="P7" i="11" s="1"/>
  <c r="J11" i="11"/>
  <c r="K11" i="11" s="1"/>
  <c r="P11" i="11" s="1"/>
  <c r="J6" i="11"/>
  <c r="K6" i="11" s="1"/>
  <c r="P6" i="11" s="1"/>
  <c r="J10" i="11"/>
  <c r="K10" i="11" s="1"/>
  <c r="P10" i="11" s="1"/>
  <c r="G3" i="11"/>
  <c r="I3" i="11" s="1"/>
  <c r="L3" i="11" s="1"/>
  <c r="G4" i="11"/>
  <c r="I4" i="11" s="1"/>
  <c r="L4" i="11" s="1"/>
  <c r="G5" i="11"/>
  <c r="I5" i="11" s="1"/>
  <c r="L5" i="11" s="1"/>
  <c r="G6" i="11"/>
  <c r="I6" i="11" s="1"/>
  <c r="L6" i="11" s="1"/>
  <c r="G7" i="11"/>
  <c r="I7" i="11" s="1"/>
  <c r="L7" i="11" s="1"/>
  <c r="G8" i="11"/>
  <c r="I8" i="11" s="1"/>
  <c r="L8" i="11" s="1"/>
  <c r="G9" i="11"/>
  <c r="I9" i="11" s="1"/>
  <c r="L9" i="11" s="1"/>
  <c r="G10" i="11"/>
  <c r="I10" i="11" s="1"/>
  <c r="L10" i="11" s="1"/>
  <c r="G11" i="11"/>
  <c r="I11" i="11" s="1"/>
  <c r="L11" i="11" s="1"/>
  <c r="G12" i="11"/>
  <c r="I12" i="11" s="1"/>
  <c r="L12" i="11" s="1"/>
  <c r="H11" i="4"/>
  <c r="J11" i="4" s="1"/>
  <c r="K11" i="4" s="1"/>
  <c r="G6" i="4"/>
  <c r="I6" i="4" s="1"/>
  <c r="L6" i="4" s="1"/>
  <c r="K6" i="1"/>
  <c r="G5" i="4"/>
  <c r="I5" i="4" s="1"/>
  <c r="L5" i="4" s="1"/>
  <c r="G7" i="4"/>
  <c r="I7" i="4" s="1"/>
  <c r="L7" i="4" s="1"/>
  <c r="H9" i="4"/>
  <c r="J9" i="4" s="1"/>
  <c r="K9" i="4" s="1"/>
  <c r="J10" i="4"/>
  <c r="K10" i="4" s="1"/>
  <c r="J8" i="4"/>
  <c r="K8" i="4" s="1"/>
  <c r="G10" i="4"/>
  <c r="I10" i="4" s="1"/>
  <c r="L10" i="4" s="1"/>
  <c r="G8" i="4"/>
  <c r="I8" i="4" s="1"/>
  <c r="L8" i="4" s="1"/>
  <c r="J3" i="4"/>
  <c r="K3" i="4" s="1"/>
  <c r="G3" i="4"/>
  <c r="H12" i="4"/>
  <c r="J12" i="4" s="1"/>
  <c r="K12" i="4" s="1"/>
  <c r="K5" i="5"/>
  <c r="J5" i="5"/>
  <c r="K6" i="5"/>
  <c r="J6" i="5"/>
  <c r="K7" i="5"/>
  <c r="J7" i="5"/>
  <c r="J8" i="5"/>
  <c r="K8" i="5"/>
  <c r="J9" i="5"/>
  <c r="K9" i="5"/>
  <c r="K3" i="5"/>
  <c r="J3" i="5"/>
  <c r="K4" i="5"/>
  <c r="J4" i="5"/>
  <c r="I4" i="2"/>
  <c r="H4" i="2"/>
  <c r="J4" i="2" s="1"/>
  <c r="H5" i="2"/>
  <c r="J5" i="2" s="1"/>
  <c r="I5" i="2"/>
  <c r="H3" i="2"/>
  <c r="J3" i="2" s="1"/>
  <c r="K5" i="1"/>
  <c r="K3" i="1"/>
  <c r="K7" i="1"/>
  <c r="K4" i="1"/>
  <c r="K8" i="1"/>
  <c r="I3" i="4" l="1"/>
  <c r="L3" i="4" s="1"/>
  <c r="M3" i="2"/>
  <c r="H13" i="2" s="1"/>
  <c r="K3" i="2"/>
  <c r="K5" i="2"/>
  <c r="M5" i="2"/>
  <c r="M4" i="2"/>
  <c r="K4" i="2"/>
  <c r="H12" i="2" l="1"/>
  <c r="H16" i="2"/>
  <c r="H15" i="2"/>
  <c r="H18" i="2" l="1"/>
</calcChain>
</file>

<file path=xl/sharedStrings.xml><?xml version="1.0" encoding="utf-8"?>
<sst xmlns="http://schemas.openxmlformats.org/spreadsheetml/2006/main" count="225" uniqueCount="99">
  <si>
    <t>Time (min)</t>
  </si>
  <si>
    <t>Absorbance</t>
  </si>
  <si>
    <t>Adsorbent dosage (g)</t>
  </si>
  <si>
    <t>Initial concentration (mol/L)</t>
  </si>
  <si>
    <t>Intial concentration (ppm or mg/L) (Co)</t>
  </si>
  <si>
    <t>DF</t>
  </si>
  <si>
    <t>Final concentration (mol/L)</t>
  </si>
  <si>
    <t xml:space="preserve">Final concentration (Ce) ppm or mg/L)  </t>
  </si>
  <si>
    <t>Final concentration (Ce) ppm or mg/L) * DF</t>
  </si>
  <si>
    <t>Removal Efficiency (%)</t>
  </si>
  <si>
    <t>N/A</t>
  </si>
  <si>
    <t xml:space="preserve"> </t>
  </si>
  <si>
    <t>M.W. of RhB (g/mol)</t>
  </si>
  <si>
    <t>Molar absorptivity  𝛆 (L/ mol cm)</t>
  </si>
  <si>
    <t>Volume (L)</t>
  </si>
  <si>
    <t>Optical path length l (cm)</t>
  </si>
  <si>
    <t>Temperature (K)</t>
  </si>
  <si>
    <t>kd</t>
  </si>
  <si>
    <t>lnkd</t>
  </si>
  <si>
    <t>1/T</t>
  </si>
  <si>
    <t>Intercept</t>
  </si>
  <si>
    <t>Slope</t>
  </si>
  <si>
    <t>R</t>
  </si>
  <si>
    <t>S</t>
  </si>
  <si>
    <t>H</t>
  </si>
  <si>
    <t>G</t>
  </si>
  <si>
    <t>Final concentration* DF (Ce) (ppm)</t>
  </si>
  <si>
    <t>Concentration (mg/L or ppm)</t>
  </si>
  <si>
    <r>
      <t>Initial concentration (C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) (mol/L)</t>
    </r>
  </si>
  <si>
    <t>Absorbance at 554 nm</t>
  </si>
  <si>
    <t>Dilution factor</t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</si>
  <si>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(mol/L)</t>
    </r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</si>
  <si>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(mg/L or ppm)</t>
    </r>
  </si>
  <si>
    <t>Final concentration*DF (mol/L)</t>
  </si>
  <si>
    <t>Final concentration*DF (ppm)</t>
  </si>
  <si>
    <r>
      <t>Adsorption capacity at time t (q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(mol/g)</t>
    </r>
  </si>
  <si>
    <r>
      <t>Adsorption capacity at time t (q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(mg/g)</t>
    </r>
  </si>
  <si>
    <t>Removal efficiency (%)</t>
  </si>
  <si>
    <t>pH</t>
  </si>
  <si>
    <t>Final concentration*DF</t>
  </si>
  <si>
    <t>Adsorption capacity (mg/g)</t>
  </si>
  <si>
    <t>time</t>
  </si>
  <si>
    <t>t/qt</t>
  </si>
  <si>
    <t>Ce</t>
  </si>
  <si>
    <t>Ce/qe</t>
  </si>
  <si>
    <t>qe</t>
  </si>
  <si>
    <t>lnqe</t>
  </si>
  <si>
    <t>lnCe</t>
  </si>
  <si>
    <t>(Correct values)</t>
  </si>
  <si>
    <t>Contact Time (min)</t>
  </si>
  <si>
    <t>∆H</t>
  </si>
  <si>
    <t>∆S</t>
  </si>
  <si>
    <t>∆G</t>
  </si>
  <si>
    <t>T</t>
  </si>
  <si>
    <t>∆G (KJ/mol)</t>
  </si>
  <si>
    <t>∆H (KJ/mol)</t>
  </si>
  <si>
    <t>∆S (J/mol K)</t>
  </si>
  <si>
    <t>qt</t>
  </si>
  <si>
    <t>t</t>
  </si>
  <si>
    <t>ln(qe-qt)</t>
  </si>
  <si>
    <t>ln(t)</t>
  </si>
  <si>
    <t>t1/2</t>
  </si>
  <si>
    <t>PFO</t>
  </si>
  <si>
    <t>Elovich</t>
  </si>
  <si>
    <t>IPD</t>
  </si>
  <si>
    <t>PSO</t>
  </si>
  <si>
    <t>k1</t>
  </si>
  <si>
    <t>qe (calc)</t>
  </si>
  <si>
    <t>k2</t>
  </si>
  <si>
    <t>B</t>
  </si>
  <si>
    <t>A</t>
  </si>
  <si>
    <t>C</t>
  </si>
  <si>
    <t>kip</t>
  </si>
  <si>
    <t>Langmuir</t>
  </si>
  <si>
    <t>Freundlich</t>
  </si>
  <si>
    <t>Temkin</t>
  </si>
  <si>
    <t>E2</t>
  </si>
  <si>
    <t>D-R isotherm</t>
  </si>
  <si>
    <t>Sips isotherm</t>
  </si>
  <si>
    <t>ln(qe/qm-qe)</t>
  </si>
  <si>
    <t>qm</t>
  </si>
  <si>
    <t>Ks</t>
  </si>
  <si>
    <t>qmax</t>
  </si>
  <si>
    <t>KL</t>
  </si>
  <si>
    <t>n</t>
  </si>
  <si>
    <t>KF</t>
  </si>
  <si>
    <t>b</t>
  </si>
  <si>
    <t>KT</t>
  </si>
  <si>
    <t>kD</t>
  </si>
  <si>
    <t>qs</t>
  </si>
  <si>
    <t>Equilibrium</t>
  </si>
  <si>
    <t>Initial concentration (Co) (mol/L)</t>
  </si>
  <si>
    <t>Regeneration cycle</t>
  </si>
  <si>
    <t>Final concentration (Ct) (mol/L)</t>
  </si>
  <si>
    <t>Final concentration (Ct) (mg/L or ppm)</t>
  </si>
  <si>
    <t>Final concentration</t>
  </si>
  <si>
    <t>Adsorption capacity at time t (qt) (mol/g)</t>
  </si>
  <si>
    <t>Adsorption capacity at time t (qt) (mg/g)</t>
  </si>
  <si>
    <t>Initial adsorption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</si>
</sst>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" xfId="0" applyFont="1" applyBorder="1"/>
    <xf numFmtId="0" fontId="0" fillId="3" borderId="0" xfId="0" applyFill="1"/>
    <xf numFmtId="0" fontId="5" fillId="3" borderId="0" xfId="0" applyFont="1" applyFill="1"/>
    <xf numFmtId="0" fontId="7" fillId="0" borderId="0" xfId="0" applyFont="1"/>
    <xf numFmtId="2" fontId="3" fillId="0" borderId="1" xfId="0" applyNumberFormat="1" applyFont="1" applyBorder="1"/>
    <xf numFmtId="0" fontId="5" fillId="0" borderId="0" xfId="0" applyFont="1"/>
    <xf numFmtId="0" fontId="0" fillId="0" borderId="1" xfId="0" applyBorder="1"/>
    <xf numFmtId="0" fontId="1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5" fillId="0" borderId="1" xfId="0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2F92"/>
      <color rgb="FF945200"/>
      <color rgb="FF941651"/>
      <color rgb="FF521B93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'Contact time'!$L$1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'Contact time'!$C$2:$C$12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'Contact time'!$L$2:$L$12</c:f>
              <c:numCache>
                <c:formatCode>0.00</c:formatCode>
                <c:ptCount val="11"/>
                <c:pt idx="1">
                  <c:v>30.3107662120347</c:v>
                </c:pt>
                <c:pt idx="2">
                  <c:v>34.880552034196363</c:v>
                </c:pt>
                <c:pt idx="3">
                  <c:v>42.347255654335498</c:v>
                </c:pt>
                <c:pt idx="4">
                  <c:v>44.46894192891056</c:v>
                </c:pt>
                <c:pt idx="5">
                  <c:v>53.445306936728102</c:v>
                </c:pt>
                <c:pt idx="6">
                  <c:v>55.403786574797387</c:v>
                </c:pt>
                <c:pt idx="7">
                  <c:v>58.341506031901304</c:v>
                </c:pt>
                <c:pt idx="8">
                  <c:v>59.075935896177278</c:v>
                </c:pt>
                <c:pt idx="9">
                  <c:v>60.589677449768331</c:v>
                </c:pt>
                <c:pt idx="10">
                  <c:v>60.626398942982142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1-B843-BF30-7F7E5BAE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37184"/>
        <c:axId val="756516080"/>
      </c:scatterChart>
      <c:scatterChart>
        <c:scatterStyle val="lineMarker"/>
        <c:varyColors val="0"/>
        <c:ser>
          <c:idx val="0"/>
          <c:order val="0"/>
          <c:tx>
            <c:strRef>
              <c:f>'Contact time'!$K$1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'Contact time'!$C$2:$C$12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'Contact time'!$K$2:$K$12</c:f>
              <c:numCache>
                <c:formatCode>0.00</c:formatCode>
                <c:ptCount val="11"/>
                <c:pt idx="1">
                  <c:v>4.5466149318052036</c:v>
                </c:pt>
                <c:pt idx="2">
                  <c:v>5.2320828051294521</c:v>
                </c:pt>
                <c:pt idx="3">
                  <c:v>6.3520883481503239</c:v>
                </c:pt>
                <c:pt idx="4">
                  <c:v>6.670341289336581</c:v>
                </c:pt>
                <c:pt idx="5">
                  <c:v>8.0167960405092149</c:v>
                </c:pt>
                <c:pt idx="6">
                  <c:v>8.3105679862196062</c:v>
                </c:pt>
                <c:pt idx="7">
                  <c:v>8.7512259047851941</c:v>
                </c:pt>
                <c:pt idx="8">
                  <c:v>8.861390384426592</c:v>
                </c:pt>
                <c:pt idx="9">
                  <c:v>9.0884516174652497</c:v>
                </c:pt>
                <c:pt idx="10">
                  <c:v>9.0939598414473206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1-B843-BF30-7F7E5BAE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12431"/>
        <c:axId val="903527695"/>
      </c:scatterChart>
      <c:valAx>
        <c:axId val="6778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Contact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516080"/>
        <c:crosses val="autoZero"/>
        <c:crossBetween val="midCat"/>
      </c:valAx>
      <c:valAx>
        <c:axId val="7565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837184"/>
        <c:crosses val="autoZero"/>
        <c:crossBetween val="midCat"/>
      </c:valAx>
      <c:valAx>
        <c:axId val="903527695"/>
        <c:scaling>
          <c:orientation val="minMax"/>
          <c:max val="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612431"/>
        <c:crosses val="max"/>
        <c:crossBetween val="midCat"/>
      </c:valAx>
      <c:valAx>
        <c:axId val="1171612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5276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93274237357938E-2"/>
          <c:y val="0.61828696412948392"/>
          <c:w val="0.78700367844354024"/>
          <c:h val="7.5396325459317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Temperature!$M$1</c:f>
              <c:strCache>
                <c:ptCount val="1"/>
                <c:pt idx="0">
                  <c:v>lnkd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89778218757341E-2"/>
                  <c:y val="-0.127252534544130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-1751.2x + 7.3231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0.9833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Temperature!$L$2:$L$5</c:f>
              <c:numCache>
                <c:formatCode>General</c:formatCode>
                <c:ptCount val="4"/>
                <c:pt idx="1">
                  <c:v>3.3540164346805303E-3</c:v>
                </c:pt>
                <c:pt idx="2">
                  <c:v>3.2451728054518907E-3</c:v>
                </c:pt>
                <c:pt idx="3">
                  <c:v>3.1431714600031434E-3</c:v>
                </c:pt>
              </c:numCache>
            </c:numRef>
          </c:xVal>
          <c:yVal>
            <c:numRef>
              <c:f>Temperature!$M$2:$M$5</c:f>
              <c:numCache>
                <c:formatCode>General</c:formatCode>
                <c:ptCount val="4"/>
                <c:pt idx="1">
                  <c:v>1.4629663740597203</c:v>
                </c:pt>
                <c:pt idx="2">
                  <c:v>1.6123200018110371</c:v>
                </c:pt>
                <c:pt idx="3">
                  <c:v>1.8331049029010082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9-1C40-A40C-9BCE34B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6192"/>
        <c:axId val="504034752"/>
      </c:scatterChart>
      <c:valAx>
        <c:axId val="6280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1/T (K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034752"/>
        <c:crosses val="autoZero"/>
        <c:crossBetween val="midCat"/>
      </c:valAx>
      <c:valAx>
        <c:axId val="50403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ln(K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096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pH!$K$1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0091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193"/>
              </a:solidFill>
              <a:ln w="9525">
                <a:solidFill>
                  <a:srgbClr val="00919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pH!$C$2:$C$9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pH!$K$2:$K$9</c:f>
              <c:numCache>
                <c:formatCode>0.00</c:formatCode>
                <c:ptCount val="8"/>
                <c:pt idx="1">
                  <c:v>83.703817344898511</c:v>
                </c:pt>
                <c:pt idx="2">
                  <c:v>80.411123453394524</c:v>
                </c:pt>
                <c:pt idx="3">
                  <c:v>64.212864780196497</c:v>
                </c:pt>
                <c:pt idx="4">
                  <c:v>58.886208181239333</c:v>
                </c:pt>
                <c:pt idx="5">
                  <c:v>58.178299395395541</c:v>
                </c:pt>
                <c:pt idx="6">
                  <c:v>59.528834312480804</c:v>
                </c:pt>
                <c:pt idx="7">
                  <c:v>40.103164402381104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3-F747-AAD1-57D3633D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4400"/>
        <c:axId val="1001237007"/>
      </c:scatterChart>
      <c:scatterChart>
        <c:scatterStyle val="lineMarker"/>
        <c:varyColors val="0"/>
        <c:ser>
          <c:idx val="0"/>
          <c:order val="0"/>
          <c:tx>
            <c:strRef>
              <c:f>pH!$J$1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pH!$C$2:$C$9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pH!$J$2:$J$9</c:f>
              <c:numCache>
                <c:formatCode>0.00</c:formatCode>
                <c:ptCount val="8"/>
                <c:pt idx="1">
                  <c:v>12.555572601734777</c:v>
                </c:pt>
                <c:pt idx="2">
                  <c:v>12.06166851800918</c:v>
                </c:pt>
                <c:pt idx="3">
                  <c:v>9.6319297170294753</c:v>
                </c:pt>
                <c:pt idx="4">
                  <c:v>8.8329312271858988</c:v>
                </c:pt>
                <c:pt idx="5">
                  <c:v>8.7267449093093301</c:v>
                </c:pt>
                <c:pt idx="6">
                  <c:v>8.9293251468721202</c:v>
                </c:pt>
                <c:pt idx="7">
                  <c:v>6.0154746603571656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3-F747-AAD1-57D3633D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29360"/>
        <c:axId val="466685120"/>
      </c:scatterChart>
      <c:valAx>
        <c:axId val="3936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1237007"/>
        <c:crosses val="autoZero"/>
        <c:crossBetween val="midCat"/>
      </c:valAx>
      <c:valAx>
        <c:axId val="100123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664400"/>
        <c:crosses val="autoZero"/>
        <c:crossBetween val="midCat"/>
      </c:valAx>
      <c:valAx>
        <c:axId val="466685120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529360"/>
        <c:crosses val="max"/>
        <c:crossBetween val="midCat"/>
      </c:valAx>
      <c:valAx>
        <c:axId val="75552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685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279085250042693E-2"/>
          <c:y val="0.61837042226791439"/>
          <c:w val="0.80899575496518239"/>
          <c:h val="7.3678125067419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ADSORPTION ISOTHERM: LANGMUIR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concentration 12.6.24'!$T$1</c:f>
              <c:strCache>
                <c:ptCount val="1"/>
                <c:pt idx="0">
                  <c:v>Ce/qe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0.086x + 0.0391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0.9965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concentration 12.6.24'!$S$2:$S$10</c:f>
              <c:numCache>
                <c:formatCode>General</c:formatCode>
                <c:ptCount val="9"/>
                <c:pt idx="1">
                  <c:v>3.9518357691720697E-3</c:v>
                </c:pt>
                <c:pt idx="2">
                  <c:v>6.4564837103077942E-3</c:v>
                </c:pt>
                <c:pt idx="3">
                  <c:v>1.3999999999999927E-2</c:v>
                </c:pt>
                <c:pt idx="4">
                  <c:v>3.2100592929821557E-2</c:v>
                </c:pt>
                <c:pt idx="5">
                  <c:v>4.8798204187558918E-2</c:v>
                </c:pt>
                <c:pt idx="6">
                  <c:v>0.34487411178296823</c:v>
                </c:pt>
                <c:pt idx="7">
                  <c:v>0.91096121148198039</c:v>
                </c:pt>
                <c:pt idx="8">
                  <c:v>1.0583454377946599</c:v>
                </c:pt>
              </c:numCache>
            </c:numRef>
          </c:xVal>
          <c:yVal>
            <c:numRef>
              <c:f>'Low concentration 12.6.24'!$T$2:$T$10</c:f>
              <c:numCache>
                <c:formatCode>General</c:formatCode>
                <c:ptCount val="9"/>
                <c:pt idx="1">
                  <c:v>3.7079082563108802E-2</c:v>
                </c:pt>
                <c:pt idx="2">
                  <c:v>4.1949164582358603E-2</c:v>
                </c:pt>
                <c:pt idx="3">
                  <c:v>3.7812215056765797E-2</c:v>
                </c:pt>
                <c:pt idx="4">
                  <c:v>4.5670474518595391E-2</c:v>
                </c:pt>
                <c:pt idx="5">
                  <c:v>5.28406806362847E-2</c:v>
                </c:pt>
                <c:pt idx="6">
                  <c:v>7.6323303818632199E-2</c:v>
                </c:pt>
                <c:pt idx="7">
                  <c:v>0.10835446930274199</c:v>
                </c:pt>
                <c:pt idx="8">
                  <c:v>0.11672521240067799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E-7744-BAEA-94EA7165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44207"/>
        <c:axId val="363692176"/>
      </c:scatterChart>
      <c:valAx>
        <c:axId val="102494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tx1"/>
                    </a:solidFill>
                  </a:rPr>
                  <a:t>C</a:t>
                </a:r>
                <a:r>
                  <a:rPr lang="en-GB" b="0" baseline="-25000">
                    <a:solidFill>
                      <a:schemeClr val="tx1"/>
                    </a:solidFill>
                  </a:rPr>
                  <a:t>e</a:t>
                </a:r>
                <a:r>
                  <a:rPr lang="en-GB" b="0">
                    <a:solidFill>
                      <a:schemeClr val="tx1"/>
                    </a:solidFill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2176"/>
        <c:crosses val="autoZero"/>
        <c:crossBetween val="midCat"/>
      </c:valAx>
      <c:valAx>
        <c:axId val="36369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</a:t>
                </a:r>
                <a:r>
                  <a:rPr lang="en-GB" baseline="-25000">
                    <a:solidFill>
                      <a:schemeClr val="tx1"/>
                    </a:solidFill>
                  </a:rPr>
                  <a:t>e</a:t>
                </a:r>
                <a:r>
                  <a:rPr lang="en-GB">
                    <a:solidFill>
                      <a:schemeClr val="tx1"/>
                    </a:solidFill>
                  </a:rPr>
                  <a:t>/q</a:t>
                </a:r>
                <a:r>
                  <a:rPr lang="en-GB" baseline="-25000">
                    <a:solidFill>
                      <a:schemeClr val="tx1"/>
                    </a:solidFill>
                  </a:rPr>
                  <a:t>e</a:t>
                </a:r>
                <a:r>
                  <a:rPr lang="en-GB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/>
                </a:pPr>
                <a:r>
                  <a:rPr lang="en-GB" baseline="0">
                    <a:solidFill>
                      <a:schemeClr val="tx1"/>
                    </a:solidFill>
                  </a:rPr>
                  <a:t>(L/g)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concentration 12.6.24'!$W$1</c:f>
              <c:strCache>
                <c:ptCount val="1"/>
                <c:pt idx="0">
                  <c:v>lnCe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concentration 12.6.24'!$V$2:$V$10</c:f>
              <c:numCache>
                <c:formatCode>General</c:formatCode>
                <c:ptCount val="9"/>
                <c:pt idx="1">
                  <c:v>-2.2388727756577866</c:v>
                </c:pt>
                <c:pt idx="2">
                  <c:v>-1.8713736658005706</c:v>
                </c:pt>
                <c:pt idx="3">
                  <c:v>-0.99357487045857495</c:v>
                </c:pt>
                <c:pt idx="4">
                  <c:v>-0.35257751600328963</c:v>
                </c:pt>
                <c:pt idx="5">
                  <c:v>-7.9587847904777714E-2</c:v>
                </c:pt>
                <c:pt idx="6">
                  <c:v>1.5082011418275816</c:v>
                </c:pt>
                <c:pt idx="7">
                  <c:v>2.1290923425094448</c:v>
                </c:pt>
                <c:pt idx="8">
                  <c:v>2.2046394993568188</c:v>
                </c:pt>
              </c:numCache>
            </c:numRef>
          </c:xVal>
          <c:yVal>
            <c:numRef>
              <c:f>'Low concentration 12.6.24'!$W$2:$W$10</c:f>
              <c:numCache>
                <c:formatCode>General</c:formatCode>
                <c:ptCount val="9"/>
                <c:pt idx="1">
                  <c:v>-5.5335750563435919</c:v>
                </c:pt>
                <c:pt idx="2">
                  <c:v>-5.0426704266718767</c:v>
                </c:pt>
                <c:pt idx="3">
                  <c:v>-4.2686979493668833</c:v>
                </c:pt>
                <c:pt idx="4">
                  <c:v>-3.4388807776827548</c:v>
                </c:pt>
                <c:pt idx="5">
                  <c:v>-3.0200617662354197</c:v>
                </c:pt>
                <c:pt idx="6">
                  <c:v>-1.0645758219232677</c:v>
                </c:pt>
                <c:pt idx="7">
                  <c:v>-9.3254960584759364E-2</c:v>
                </c:pt>
                <c:pt idx="8">
                  <c:v>5.6706780897432883E-2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E-AF43-909F-0FAF31EA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83312"/>
        <c:axId val="665266960"/>
      </c:scatterChart>
      <c:valAx>
        <c:axId val="2171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6960"/>
        <c:crosses val="autoZero"/>
        <c:crossBetween val="midCat"/>
      </c:valAx>
      <c:valAx>
        <c:axId val="665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'Low concentration 12.6.24'!$J$1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solidFill>
                  <a:srgbClr val="FF7E79"/>
                </a:solidFill>
              </a:ln>
              <a:effectLst/>
            </c:spPr>
          </c:marker>
          <c:xVal>
            <c:numRef>
              <c:f>'Low concentration 12.6.24'!$D$2:$D$10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'Low concentration 12.6.24'!$J$2:$J$10</c:f>
              <c:numCache>
                <c:formatCode>General</c:formatCode>
                <c:ptCount val="9"/>
                <c:pt idx="1">
                  <c:v>99.491943433933628</c:v>
                </c:pt>
                <c:pt idx="2">
                  <c:v>90.000000000000028</c:v>
                </c:pt>
                <c:pt idx="3">
                  <c:v>88.860173754850479</c:v>
                </c:pt>
                <c:pt idx="4">
                  <c:v>91.874330889891169</c:v>
                </c:pt>
                <c:pt idx="5">
                  <c:v>90.965577064496856</c:v>
                </c:pt>
                <c:pt idx="6">
                  <c:v>90.478448848509856</c:v>
                </c:pt>
                <c:pt idx="7">
                  <c:v>76.196042128225486</c:v>
                </c:pt>
                <c:pt idx="8">
                  <c:v>34.445090015715444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1-BA4F-A6D8-7CC3EEB7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32287"/>
        <c:axId val="377637119"/>
      </c:scatterChart>
      <c:scatterChart>
        <c:scatterStyle val="lineMarker"/>
        <c:varyColors val="0"/>
        <c:ser>
          <c:idx val="0"/>
          <c:order val="0"/>
          <c:tx>
            <c:strRef>
              <c:f>'Low concentration 12.6.24'!$I$1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'Low concentration 12.6.24'!$D$2:$D$10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'Low concentration 12.6.24'!$I$2:$I$10</c:f>
              <c:numCache>
                <c:formatCode>General</c:formatCode>
                <c:ptCount val="9"/>
                <c:pt idx="1">
                  <c:v>6.5785746571817303E-3</c:v>
                </c:pt>
                <c:pt idx="2">
                  <c:v>0.15391209275769507</c:v>
                </c:pt>
                <c:pt idx="3">
                  <c:v>0.37025072397854369</c:v>
                </c:pt>
                <c:pt idx="4">
                  <c:v>0.70287408370918802</c:v>
                </c:pt>
                <c:pt idx="5">
                  <c:v>0.92349688913829231</c:v>
                </c:pt>
                <c:pt idx="6">
                  <c:v>4.9314532126679103</c:v>
                </c:pt>
                <c:pt idx="7">
                  <c:v>9.2135480203416442</c:v>
                </c:pt>
                <c:pt idx="8">
                  <c:v>10.416545622053366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1-BA4F-A6D8-7CC3EEB7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69919"/>
        <c:axId val="627379312"/>
      </c:scatterChart>
      <c:valAx>
        <c:axId val="88143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Initial dye concentration</a:t>
                </a:r>
                <a:r>
                  <a:rPr lang="en-GB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  L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 sz="105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637119"/>
        <c:crosses val="autoZero"/>
        <c:crossBetween val="midCat"/>
      </c:valAx>
      <c:valAx>
        <c:axId val="377637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432287"/>
        <c:crosses val="autoZero"/>
        <c:crossBetween val="midCat"/>
      </c:valAx>
      <c:valAx>
        <c:axId val="627379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169919"/>
        <c:crosses val="max"/>
        <c:crossBetween val="midCat"/>
      </c:valAx>
      <c:valAx>
        <c:axId val="88116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379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35910895753415"/>
          <c:y val="0.69414167925978953"/>
          <c:w val="0.68632495704418606"/>
          <c:h val="5.895198706222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14.6.24'!$D$2</c:f>
              <c:strCache>
                <c:ptCount val="1"/>
                <c:pt idx="0">
                  <c:v>Ce/qe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523168093757662E-2"/>
                  <c:y val="4.550599622121074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0.0863x + 0.0862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0.9957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isotherm 14.6.24'!$C$3:$C$10</c:f>
              <c:numCache>
                <c:formatCode>General</c:formatCode>
                <c:ptCount val="8"/>
                <c:pt idx="0">
                  <c:v>7.1127919249292448E-4</c:v>
                </c:pt>
                <c:pt idx="1">
                  <c:v>1.6999999999999901E-2</c:v>
                </c:pt>
                <c:pt idx="2">
                  <c:v>3.5699131225747603E-2</c:v>
                </c:pt>
                <c:pt idx="3">
                  <c:v>6.0942518325816188E-2</c:v>
                </c:pt>
                <c:pt idx="4">
                  <c:v>8.2903442293550303E-2</c:v>
                </c:pt>
                <c:pt idx="5">
                  <c:v>0.57607755757450696</c:v>
                </c:pt>
                <c:pt idx="6">
                  <c:v>2.3803957871774526</c:v>
                </c:pt>
                <c:pt idx="7">
                  <c:v>9.8332364976426838</c:v>
                </c:pt>
              </c:numCache>
            </c:numRef>
          </c:xVal>
          <c:yVal>
            <c:numRef>
              <c:f>'Adsorption isotherm 14.6.24'!$D$3:$D$10</c:f>
              <c:numCache>
                <c:formatCode>General</c:formatCode>
                <c:ptCount val="8"/>
                <c:pt idx="0">
                  <c:v>0.10812056251675001</c:v>
                </c:pt>
                <c:pt idx="1">
                  <c:v>0.11045265966699007</c:v>
                </c:pt>
                <c:pt idx="2">
                  <c:v>9.6418801946262761E-2</c:v>
                </c:pt>
                <c:pt idx="3">
                  <c:v>8.6704745185954196E-2</c:v>
                </c:pt>
                <c:pt idx="4">
                  <c:v>8.9771219880238964E-2</c:v>
                </c:pt>
                <c:pt idx="5">
                  <c:v>0.11681699749166832</c:v>
                </c:pt>
                <c:pt idx="6">
                  <c:v>0.258358211399346</c:v>
                </c:pt>
                <c:pt idx="7">
                  <c:v>0.94400167334017804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3-1B44-A4F8-841C5A21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46416"/>
        <c:axId val="881950287"/>
      </c:scatterChart>
      <c:valAx>
        <c:axId val="15310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950287"/>
        <c:crosses val="autoZero"/>
        <c:crossBetween val="midCat"/>
      </c:valAx>
      <c:valAx>
        <c:axId val="881950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 </a:t>
                </a:r>
                <a:r>
                  <a:rPr lang="en-GB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(L/g)</a:t>
                </a:r>
                <a:endParaRPr lang="en-GB" b="1" baseline="-25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1046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14.6.24'!$B$33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1295994650999"/>
                  <c:y val="0.15135678861475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1.2837x + 6.1225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0.7982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isotherm 14.6.24'!$A$34:$A$41</c:f>
              <c:numCache>
                <c:formatCode>General</c:formatCode>
                <c:ptCount val="8"/>
                <c:pt idx="0">
                  <c:v>-7.2484455294392296</c:v>
                </c:pt>
                <c:pt idx="1">
                  <c:v>-4.0745419349259269</c:v>
                </c:pt>
                <c:pt idx="2">
                  <c:v>-3.3326289259058872</c:v>
                </c:pt>
                <c:pt idx="3">
                  <c:v>-2.7978241816014182</c:v>
                </c:pt>
                <c:pt idx="4">
                  <c:v>-2.4900786942584472</c:v>
                </c:pt>
                <c:pt idx="5">
                  <c:v>-0.55151297878369809</c:v>
                </c:pt>
                <c:pt idx="6">
                  <c:v>0.8672667709909313</c:v>
                </c:pt>
                <c:pt idx="7">
                  <c:v>2.2857681269318215</c:v>
                </c:pt>
              </c:numCache>
            </c:numRef>
          </c:xVal>
          <c:yVal>
            <c:numRef>
              <c:f>'Adsorption isotherm 14.6.24'!$B$34:$B$41</c:f>
              <c:numCache>
                <c:formatCode>General</c:formatCode>
                <c:ptCount val="8"/>
                <c:pt idx="0">
                  <c:v>6.5785746571817303E-3</c:v>
                </c:pt>
                <c:pt idx="1">
                  <c:v>0.15391209275769507</c:v>
                </c:pt>
                <c:pt idx="2">
                  <c:v>0.37025072397854369</c:v>
                </c:pt>
                <c:pt idx="3">
                  <c:v>0.70287408370918802</c:v>
                </c:pt>
                <c:pt idx="4">
                  <c:v>0.92349688913829231</c:v>
                </c:pt>
                <c:pt idx="5">
                  <c:v>4.9314532126679103</c:v>
                </c:pt>
                <c:pt idx="6">
                  <c:v>9.2135480203416442</c:v>
                </c:pt>
                <c:pt idx="7">
                  <c:v>10.416545622053366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0-F643-A2B2-B7C5FA96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70287"/>
        <c:axId val="994392752"/>
      </c:scatterChart>
      <c:valAx>
        <c:axId val="27157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4392752"/>
        <c:crosses val="autoZero"/>
        <c:crossBetween val="midCat"/>
      </c:valAx>
      <c:valAx>
        <c:axId val="99439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157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14.6.24'!$B$48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515748031496061E-2"/>
                  <c:y val="-3.831291921843103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-2E-08x + 1.3377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0.8895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isotherm 14.6.24'!$A$49:$A$57</c:f>
              <c:numCache>
                <c:formatCode>General</c:formatCode>
                <c:ptCount val="9"/>
                <c:pt idx="1">
                  <c:v>322897457.81969118</c:v>
                </c:pt>
                <c:pt idx="2">
                  <c:v>102856880.36710441</c:v>
                </c:pt>
                <c:pt idx="3">
                  <c:v>69687985.345647782</c:v>
                </c:pt>
                <c:pt idx="4">
                  <c:v>50153891.302802637</c:v>
                </c:pt>
                <c:pt idx="5">
                  <c:v>40575398.910906292</c:v>
                </c:pt>
                <c:pt idx="6">
                  <c:v>6224091.3494999288</c:v>
                </c:pt>
                <c:pt idx="7">
                  <c:v>755832.67456664576</c:v>
                </c:pt>
                <c:pt idx="8">
                  <c:v>57636.222560992806</c:v>
                </c:pt>
              </c:numCache>
            </c:numRef>
          </c:xVal>
          <c:yVal>
            <c:numRef>
              <c:f>'Adsorption isotherm 14.6.24'!$B$49:$B$57</c:f>
              <c:numCache>
                <c:formatCode>General</c:formatCode>
                <c:ptCount val="9"/>
                <c:pt idx="1">
                  <c:v>-5.0239371745594443</c:v>
                </c:pt>
                <c:pt idx="2">
                  <c:v>-1.8713736658005706</c:v>
                </c:pt>
                <c:pt idx="3">
                  <c:v>-0.99357487045857495</c:v>
                </c:pt>
                <c:pt idx="4">
                  <c:v>-0.35257751600328963</c:v>
                </c:pt>
                <c:pt idx="5">
                  <c:v>-7.9587847904777714E-2</c:v>
                </c:pt>
                <c:pt idx="6">
                  <c:v>1.5956337139224988</c:v>
                </c:pt>
                <c:pt idx="7">
                  <c:v>2.2206750117335723</c:v>
                </c:pt>
                <c:pt idx="8">
                  <c:v>2.3433954671639081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A-7E44-A793-ECF38072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55808"/>
        <c:axId val="2111951680"/>
      </c:scatterChart>
      <c:valAx>
        <c:axId val="21118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ℇ</a:t>
                </a:r>
                <a:r>
                  <a:rPr lang="en-GB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1951680"/>
        <c:crosses val="autoZero"/>
        <c:crossBetween val="midCat"/>
      </c:valAx>
      <c:valAx>
        <c:axId val="211195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18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14.6.24'!$B$17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53368328958879"/>
                  <c:y val="0.16666666666666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0.7981x + 1.46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0.9494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isotherm 14.6.24'!$A$18:$A$25</c:f>
              <c:numCache>
                <c:formatCode>General</c:formatCode>
                <c:ptCount val="8"/>
                <c:pt idx="0">
                  <c:v>-7.2484455294392296</c:v>
                </c:pt>
                <c:pt idx="1">
                  <c:v>-4.0745419349259269</c:v>
                </c:pt>
                <c:pt idx="2">
                  <c:v>-3.3326289259058872</c:v>
                </c:pt>
                <c:pt idx="3">
                  <c:v>-2.7978241816014182</c:v>
                </c:pt>
                <c:pt idx="4">
                  <c:v>-2.4900786942584472</c:v>
                </c:pt>
                <c:pt idx="5">
                  <c:v>-0.55151297878369809</c:v>
                </c:pt>
                <c:pt idx="6">
                  <c:v>0.8672667709909313</c:v>
                </c:pt>
                <c:pt idx="7">
                  <c:v>2.2857681269318215</c:v>
                </c:pt>
              </c:numCache>
            </c:numRef>
          </c:xVal>
          <c:yVal>
            <c:numRef>
              <c:f>'Adsorption isotherm 14.6.24'!$B$18:$B$25</c:f>
              <c:numCache>
                <c:formatCode>General</c:formatCode>
                <c:ptCount val="8"/>
                <c:pt idx="0">
                  <c:v>-5.0239371745594443</c:v>
                </c:pt>
                <c:pt idx="1">
                  <c:v>-1.8713736658005706</c:v>
                </c:pt>
                <c:pt idx="2">
                  <c:v>-0.99357487045857495</c:v>
                </c:pt>
                <c:pt idx="3">
                  <c:v>-0.35257751600328963</c:v>
                </c:pt>
                <c:pt idx="4">
                  <c:v>-7.9587847904777714E-2</c:v>
                </c:pt>
                <c:pt idx="5">
                  <c:v>1.5956337139224988</c:v>
                </c:pt>
                <c:pt idx="6">
                  <c:v>2.2206750117335723</c:v>
                </c:pt>
                <c:pt idx="7">
                  <c:v>2.3433954671639081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A-CD4E-85A2-93880E87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73456"/>
        <c:axId val="1161287727"/>
      </c:scatterChart>
      <c:valAx>
        <c:axId val="42937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1287727"/>
        <c:crosses val="autoZero"/>
        <c:crossBetween val="midCat"/>
      </c:valAx>
      <c:valAx>
        <c:axId val="1161287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6742873841786434E-2"/>
              <c:y val="0.37803261838751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14.6.24'!$B$63</c:f>
              <c:strCache>
                <c:ptCount val="1"/>
                <c:pt idx="0">
                  <c:v>ln(qe/qm-qe)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45200"/>
              </a:solidFill>
              <a:ln w="9525">
                <a:solidFill>
                  <a:srgbClr val="9452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452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61014463768091"/>
                  <c:y val="-0.103563711751209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1.2284x + 0.9616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0.9883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isotherm 14.6.24'!$A$64:$A$72</c:f>
              <c:numCache>
                <c:formatCode>General</c:formatCode>
                <c:ptCount val="9"/>
                <c:pt idx="1">
                  <c:v>-7.2484455294392296</c:v>
                </c:pt>
                <c:pt idx="2">
                  <c:v>-4.0745419349259269</c:v>
                </c:pt>
                <c:pt idx="3">
                  <c:v>-3.3326289259058872</c:v>
                </c:pt>
                <c:pt idx="4">
                  <c:v>-2.7978241816014182</c:v>
                </c:pt>
                <c:pt idx="5">
                  <c:v>-2.4900786942584472</c:v>
                </c:pt>
                <c:pt idx="6">
                  <c:v>-0.55151297878369809</c:v>
                </c:pt>
                <c:pt idx="7">
                  <c:v>0.8672667709909313</c:v>
                </c:pt>
                <c:pt idx="8">
                  <c:v>2.2857681269318215</c:v>
                </c:pt>
              </c:numCache>
            </c:numRef>
          </c:xVal>
          <c:yVal>
            <c:numRef>
              <c:f>'Adsorption isotherm 14.6.24'!$B$64:$B$72</c:f>
              <c:numCache>
                <c:formatCode>General</c:formatCode>
                <c:ptCount val="9"/>
                <c:pt idx="1">
                  <c:v>-7.3781908399230174</c:v>
                </c:pt>
                <c:pt idx="2">
                  <c:v>-4.2115370958365279</c:v>
                </c:pt>
                <c:pt idx="3">
                  <c:v>-3.3126821843316909</c:v>
                </c:pt>
                <c:pt idx="4">
                  <c:v>-2.6384203681991569</c:v>
                </c:pt>
                <c:pt idx="5">
                  <c:v>-2.3427404504519318</c:v>
                </c:pt>
                <c:pt idx="6">
                  <c:v>-0.12809531113184117</c:v>
                </c:pt>
                <c:pt idx="7">
                  <c:v>1.9405483750955796</c:v>
                </c:pt>
                <c:pt idx="8">
                  <c:v>4.4611639689972531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6-8B43-AC89-2C5771C5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05520"/>
        <c:axId val="688881200"/>
      </c:scatterChart>
      <c:valAx>
        <c:axId val="10821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lnC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881200"/>
        <c:crosses val="autoZero"/>
        <c:crossBetween val="midCat"/>
      </c:valAx>
      <c:valAx>
        <c:axId val="68888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3864640929817406E-2"/>
              <c:y val="0.29717127678398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210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ADSORPTION KINETICS: PSO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kinetic'!$P$1</c:f>
              <c:strCache>
                <c:ptCount val="1"/>
                <c:pt idx="0">
                  <c:v>t/qt</c:v>
                </c:pt>
              </c:strCache>
            </c:strRef>
          </c:tx>
          <c:spPr>
            <a:ln w="9525" cap="flat" cmpd="sng" algn="ctr">
              <a:noFill/>
              <a:prstDash val="sysDot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FF7E79"/>
              </a:solidFill>
              <a:ln w="9525" cap="flat" cmpd="sng" algn="ctr">
                <a:solidFill>
                  <a:srgbClr val="941651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9525" cap="rnd">
                <a:solidFill>
                  <a:srgbClr val="941651"/>
                </a:solidFill>
                <a:prstDash val="dash"/>
              </a:ln>
              <a:effectLst>
                <a:outerShdw blurRad="50800" dist="50800" dir="5400000" algn="ctr" rotWithShape="0">
                  <a:schemeClr val="accent2">
                    <a:lumMod val="20000"/>
                    <a:lumOff val="80000"/>
                  </a:scheme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3.1240157480314959E-2"/>
                  <c:y val="-1.43055555555555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y = 0.1031x + 2.2616</a:t>
                    </a:r>
                    <a:br>
                      <a:rPr lang="en-US" b="1">
                        <a:solidFill>
                          <a:schemeClr val="tx1"/>
                        </a:solidFill>
                      </a:rPr>
                    </a:br>
                    <a:r>
                      <a:rPr lang="en-US" b="1">
                        <a:solidFill>
                          <a:schemeClr val="tx1"/>
                        </a:solidFill>
                      </a:rPr>
                      <a:t>R² = 0.9993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kinetic'!$O$2:$O$12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kinetic'!$P$2:$P$12</c:f>
              <c:numCache>
                <c:formatCode>General</c:formatCode>
                <c:ptCount val="11"/>
                <c:pt idx="1">
                  <c:v>3.299157774516952</c:v>
                </c:pt>
                <c:pt idx="2">
                  <c:v>5.7338542063188429</c:v>
                </c:pt>
                <c:pt idx="3">
                  <c:v>7.0842843382528882</c:v>
                </c:pt>
                <c:pt idx="4">
                  <c:v>8.9950419922167857</c:v>
                </c:pt>
                <c:pt idx="5">
                  <c:v>11.226430053256454</c:v>
                </c:pt>
                <c:pt idx="6">
                  <c:v>14.439446280805507</c:v>
                </c:pt>
                <c:pt idx="7">
                  <c:v>20.568546847999375</c:v>
                </c:pt>
                <c:pt idx="8">
                  <c:v>27.083785905853652</c:v>
                </c:pt>
                <c:pt idx="9">
                  <c:v>33.008923040696054</c:v>
                </c:pt>
                <c:pt idx="10">
                  <c:v>39.586715388739314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6-A846-9AC7-AAEEFD4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27327"/>
        <c:axId val="145197999"/>
      </c:scatterChart>
      <c:valAx>
        <c:axId val="75822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999"/>
        <c:crosses val="autoZero"/>
        <c:crossBetween val="midCat"/>
      </c:valAx>
      <c:valAx>
        <c:axId val="14519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t/q</a:t>
                </a:r>
                <a:r>
                  <a:rPr lang="en-GB" b="1" baseline="-25000">
                    <a:solidFill>
                      <a:schemeClr val="tx1"/>
                    </a:solidFill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273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kinetic'!$P$1</c:f>
              <c:strCache>
                <c:ptCount val="1"/>
                <c:pt idx="0">
                  <c:v>t/qt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C0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240157480314959E-2"/>
                  <c:y val="-1.43055555555555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y = 0.1031x + 2.2616</a:t>
                    </a:r>
                    <a:br>
                      <a:rPr lang="en-US" b="1">
                        <a:solidFill>
                          <a:schemeClr val="tx1"/>
                        </a:solidFill>
                      </a:rPr>
                    </a:br>
                    <a:r>
                      <a:rPr lang="en-US" b="1">
                        <a:solidFill>
                          <a:schemeClr val="tx1"/>
                        </a:solidFill>
                      </a:rPr>
                      <a:t>R² = 0.9993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kinetic'!$O$2:$O$12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kinetic'!$P$2:$P$12</c:f>
              <c:numCache>
                <c:formatCode>General</c:formatCode>
                <c:ptCount val="11"/>
                <c:pt idx="1">
                  <c:v>3.299157774516952</c:v>
                </c:pt>
                <c:pt idx="2">
                  <c:v>5.7338542063188429</c:v>
                </c:pt>
                <c:pt idx="3">
                  <c:v>7.0842843382528882</c:v>
                </c:pt>
                <c:pt idx="4">
                  <c:v>8.9950419922167857</c:v>
                </c:pt>
                <c:pt idx="5">
                  <c:v>11.226430053256454</c:v>
                </c:pt>
                <c:pt idx="6">
                  <c:v>14.439446280805507</c:v>
                </c:pt>
                <c:pt idx="7">
                  <c:v>20.568546847999375</c:v>
                </c:pt>
                <c:pt idx="8">
                  <c:v>27.083785905853652</c:v>
                </c:pt>
                <c:pt idx="9">
                  <c:v>33.008923040696054</c:v>
                </c:pt>
                <c:pt idx="10">
                  <c:v>39.586715388739314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8-8148-9350-1B9BFB60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27327"/>
        <c:axId val="145197999"/>
      </c:scatterChart>
      <c:valAx>
        <c:axId val="75822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999"/>
        <c:crosses val="autoZero"/>
        <c:crossBetween val="midCat"/>
      </c:valAx>
      <c:valAx>
        <c:axId val="14519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t/q</a:t>
                </a:r>
                <a:r>
                  <a:rPr lang="en-GB" b="1" baseline="-25000">
                    <a:solidFill>
                      <a:schemeClr val="tx1"/>
                    </a:solidFill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273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kinetic'!$E$21</c:f>
              <c:strCache>
                <c:ptCount val="1"/>
                <c:pt idx="0">
                  <c:v>ln(qe-qt)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633738164183505E-2"/>
                  <c:y val="2.91928922102079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-0.0221x + 2.2263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0.9346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kinetic'!$D$22:$D$32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kinetic'!$E$22:$E$32</c:f>
              <c:numCache>
                <c:formatCode>General</c:formatCode>
                <c:ptCount val="11"/>
                <c:pt idx="1">
                  <c:v>1.5148463117927722</c:v>
                </c:pt>
                <c:pt idx="2">
                  <c:v>1.3515098632629312</c:v>
                </c:pt>
                <c:pt idx="3">
                  <c:v>1.0091428282833961</c:v>
                </c:pt>
                <c:pt idx="4">
                  <c:v>0.88582972259954218</c:v>
                </c:pt>
                <c:pt idx="5">
                  <c:v>7.560909015356955E-2</c:v>
                </c:pt>
                <c:pt idx="6">
                  <c:v>-0.24236595640185463</c:v>
                </c:pt>
                <c:pt idx="7">
                  <c:v>-1.0667909550235111</c:v>
                </c:pt>
                <c:pt idx="8">
                  <c:v>-1.4526626701855954</c:v>
                </c:pt>
                <c:pt idx="9">
                  <c:v>-4.9783662066267826</c:v>
                </c:pt>
                <c:pt idx="10">
                  <c:v>-6.5877910146181282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E-BC44-BB59-B4D6C8B3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07104"/>
        <c:axId val="429019504"/>
      </c:scatterChart>
      <c:valAx>
        <c:axId val="4290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019504"/>
        <c:crosses val="autoZero"/>
        <c:crossBetween val="midCat"/>
      </c:valAx>
      <c:valAx>
        <c:axId val="42901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0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kinetic'!$P$1</c:f>
              <c:strCache>
                <c:ptCount val="1"/>
                <c:pt idx="0">
                  <c:v>t/qt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41076115485564E-2"/>
                  <c:y val="-5.345217264508602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0.1031x + 2.2616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0.9993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kinetic'!$O$2:$O$12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kinetic'!$P$2:$P$12</c:f>
              <c:numCache>
                <c:formatCode>General</c:formatCode>
                <c:ptCount val="11"/>
                <c:pt idx="1">
                  <c:v>3.299157774516952</c:v>
                </c:pt>
                <c:pt idx="2">
                  <c:v>5.7338542063188429</c:v>
                </c:pt>
                <c:pt idx="3">
                  <c:v>7.0842843382528882</c:v>
                </c:pt>
                <c:pt idx="4">
                  <c:v>8.9950419922167857</c:v>
                </c:pt>
                <c:pt idx="5">
                  <c:v>11.226430053256454</c:v>
                </c:pt>
                <c:pt idx="6">
                  <c:v>14.439446280805507</c:v>
                </c:pt>
                <c:pt idx="7">
                  <c:v>20.568546847999375</c:v>
                </c:pt>
                <c:pt idx="8">
                  <c:v>27.083785905853652</c:v>
                </c:pt>
                <c:pt idx="9">
                  <c:v>33.008923040696054</c:v>
                </c:pt>
                <c:pt idx="10">
                  <c:v>39.586715388739314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6-C945-AEA5-76D588D1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80432"/>
        <c:axId val="1317481744"/>
      </c:scatterChart>
      <c:valAx>
        <c:axId val="50378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481744"/>
        <c:crosses val="autoZero"/>
        <c:crossBetween val="midCat"/>
      </c:valAx>
      <c:valAx>
        <c:axId val="131748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(min/g 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7804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kinetic'!$C$35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843832020997374E-3"/>
                  <c:y val="-6.10589822105570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1.5591x + 0.3888</a:t>
                    </a:r>
                    <a:br>
                      <a:rPr lang="en-US" sz="105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5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0.9546</a:t>
                    </a:r>
                    <a:endParaRPr lang="en-US" sz="105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kinetic'!$B$36:$B$46</c:f>
              <c:numCache>
                <c:formatCode>General</c:formatCode>
                <c:ptCount val="11"/>
                <c:pt idx="1">
                  <c:v>2.7080502011022101</c:v>
                </c:pt>
                <c:pt idx="2">
                  <c:v>3.4011973816621555</c:v>
                </c:pt>
                <c:pt idx="3">
                  <c:v>3.8066624897703196</c:v>
                </c:pt>
                <c:pt idx="4">
                  <c:v>4.0943445622221004</c:v>
                </c:pt>
                <c:pt idx="5">
                  <c:v>4.499809670330265</c:v>
                </c:pt>
                <c:pt idx="6">
                  <c:v>4.7874917427820458</c:v>
                </c:pt>
                <c:pt idx="7">
                  <c:v>5.1929568508902104</c:v>
                </c:pt>
                <c:pt idx="8">
                  <c:v>5.4806389233419912</c:v>
                </c:pt>
                <c:pt idx="9">
                  <c:v>5.7037824746562009</c:v>
                </c:pt>
                <c:pt idx="10">
                  <c:v>5.8861040314501558</c:v>
                </c:pt>
              </c:numCache>
            </c:numRef>
          </c:xVal>
          <c:yVal>
            <c:numRef>
              <c:f>'Adsorption kinetic'!$C$36:$C$46</c:f>
              <c:numCache>
                <c:formatCode>General</c:formatCode>
                <c:ptCount val="11"/>
                <c:pt idx="1">
                  <c:v>4.5466149318052036</c:v>
                </c:pt>
                <c:pt idx="2">
                  <c:v>5.2320828051294521</c:v>
                </c:pt>
                <c:pt idx="3">
                  <c:v>6.3520883481503239</c:v>
                </c:pt>
                <c:pt idx="4">
                  <c:v>6.670341289336581</c:v>
                </c:pt>
                <c:pt idx="5">
                  <c:v>8.0167960405092149</c:v>
                </c:pt>
                <c:pt idx="6">
                  <c:v>8.3105679862196062</c:v>
                </c:pt>
                <c:pt idx="7">
                  <c:v>8.7512259047851941</c:v>
                </c:pt>
                <c:pt idx="8">
                  <c:v>8.861390384426592</c:v>
                </c:pt>
                <c:pt idx="9">
                  <c:v>9.0884516174652497</c:v>
                </c:pt>
                <c:pt idx="10">
                  <c:v>9.0939598414473206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2-4140-8271-E1147401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67264"/>
        <c:axId val="938007456"/>
      </c:scatterChart>
      <c:valAx>
        <c:axId val="122306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8007456"/>
        <c:crosses val="autoZero"/>
        <c:crossBetween val="midCat"/>
      </c:valAx>
      <c:valAx>
        <c:axId val="93800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GB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67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kinetic'!$C$50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97639985816976E-2"/>
                  <c:y val="-4.2785625902618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0.2985x + 4.2255</a:t>
                    </a:r>
                    <a:br>
                      <a:rPr lang="en-US" sz="105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5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0.8533</a:t>
                    </a:r>
                    <a:endParaRPr lang="en-US" sz="105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'Adsorption kinetic'!$B$51:$B$61</c:f>
              <c:numCache>
                <c:formatCode>General</c:formatCode>
                <c:ptCount val="11"/>
                <c:pt idx="1">
                  <c:v>3.872983346207417</c:v>
                </c:pt>
                <c:pt idx="2">
                  <c:v>5.4772255750516612</c:v>
                </c:pt>
                <c:pt idx="3">
                  <c:v>6.7082039324993694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13.416407864998739</c:v>
                </c:pt>
                <c:pt idx="8">
                  <c:v>15.491933384829668</c:v>
                </c:pt>
                <c:pt idx="9">
                  <c:v>17.320508075688775</c:v>
                </c:pt>
                <c:pt idx="10">
                  <c:v>18.973665961010276</c:v>
                </c:pt>
              </c:numCache>
            </c:numRef>
          </c:xVal>
          <c:yVal>
            <c:numRef>
              <c:f>'Adsorption kinetic'!$C$51:$C$61</c:f>
              <c:numCache>
                <c:formatCode>General</c:formatCode>
                <c:ptCount val="11"/>
                <c:pt idx="1">
                  <c:v>4.5466149318052036</c:v>
                </c:pt>
                <c:pt idx="2">
                  <c:v>5.2320828051294521</c:v>
                </c:pt>
                <c:pt idx="3">
                  <c:v>6.3520883481503239</c:v>
                </c:pt>
                <c:pt idx="4">
                  <c:v>6.670341289336581</c:v>
                </c:pt>
                <c:pt idx="5">
                  <c:v>8.0167960405092149</c:v>
                </c:pt>
                <c:pt idx="6">
                  <c:v>8.3105679862196062</c:v>
                </c:pt>
                <c:pt idx="7">
                  <c:v>8.7512259047851941</c:v>
                </c:pt>
                <c:pt idx="8">
                  <c:v>8.861390384426592</c:v>
                </c:pt>
                <c:pt idx="9">
                  <c:v>9.0884516174652497</c:v>
                </c:pt>
                <c:pt idx="10">
                  <c:v>9.0939598414473206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C-D648-BD08-6A0655D0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75376"/>
        <c:axId val="1064267056"/>
      </c:scatterChart>
      <c:valAx>
        <c:axId val="10641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267056"/>
        <c:crosses val="autoZero"/>
        <c:crossBetween val="midCat"/>
      </c:valAx>
      <c:valAx>
        <c:axId val="106426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175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'Adsorbent dosage'!$K$1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'Adsorbent dosage'!$C$2:$C$8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'Adsorbent dosage'!$K$2:$K$8</c:f>
              <c:numCache>
                <c:formatCode>0.00</c:formatCode>
                <c:ptCount val="7"/>
                <c:pt idx="1">
                  <c:v>33.546337780761654</c:v>
                </c:pt>
                <c:pt idx="2">
                  <c:v>63.131620813345755</c:v>
                </c:pt>
                <c:pt idx="3">
                  <c:v>95.51589766200388</c:v>
                </c:pt>
                <c:pt idx="4">
                  <c:v>98.967718024100975</c:v>
                </c:pt>
                <c:pt idx="5">
                  <c:v>99.445097435880371</c:v>
                </c:pt>
                <c:pt idx="6">
                  <c:v>99.718468552027545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0-D646-8A66-43FF21F4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89407"/>
        <c:axId val="602692992"/>
      </c:scatterChart>
      <c:scatterChart>
        <c:scatterStyle val="lineMarker"/>
        <c:varyColors val="0"/>
        <c:ser>
          <c:idx val="0"/>
          <c:order val="0"/>
          <c:tx>
            <c:strRef>
              <c:f>'Adsorbent dosage'!$J$1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xVal>
            <c:numRef>
              <c:f>'Adsorbent dosage'!$C$2:$C$8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'Adsorbent dosage'!$J$2:$J$8</c:f>
              <c:numCache>
                <c:formatCode>0.00</c:formatCode>
                <c:ptCount val="7"/>
                <c:pt idx="1">
                  <c:v>10.063901334228497</c:v>
                </c:pt>
                <c:pt idx="2">
                  <c:v>9.469743122001864</c:v>
                </c:pt>
                <c:pt idx="3">
                  <c:v>7.1636923246502908</c:v>
                </c:pt>
                <c:pt idx="4">
                  <c:v>4.9483859012050493</c:v>
                </c:pt>
                <c:pt idx="5">
                  <c:v>3.7291911538455138</c:v>
                </c:pt>
                <c:pt idx="6">
                  <c:v>2.9915540565608261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D646-8A66-43FF21F4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18272"/>
        <c:axId val="1010689887"/>
      </c:scatterChart>
      <c:valAx>
        <c:axId val="119558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Adsorbent dosage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692992"/>
        <c:crosses val="autoZero"/>
        <c:crossBetween val="midCat"/>
      </c:valAx>
      <c:valAx>
        <c:axId val="60269299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</a:t>
                </a:r>
                <a:r>
                  <a:rPr lang="en-GB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efficiency (%)</a:t>
                </a:r>
                <a:endParaRPr lang="en-GB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5589407"/>
        <c:crosses val="autoZero"/>
        <c:crossBetween val="midCat"/>
      </c:valAx>
      <c:valAx>
        <c:axId val="1010689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818272"/>
        <c:crosses val="max"/>
        <c:crossBetween val="midCat"/>
      </c:valAx>
      <c:valAx>
        <c:axId val="6888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689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884556347667235"/>
          <c:y val="0.60840691557958826"/>
          <c:w val="0.78602393394450876"/>
          <c:h val="7.7936467914716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Temperature!$I$1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FF7E79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solidFill>
                  <a:srgbClr val="FF7E79"/>
                </a:solidFill>
              </a:ln>
              <a:effectLst/>
            </c:spPr>
          </c:marker>
          <c:xVal>
            <c:numRef>
              <c:f>Temperature!$C$2:$C$5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Temperature!$I$2:$I$5</c:f>
              <c:numCache>
                <c:formatCode>0.00</c:formatCode>
                <c:ptCount val="4"/>
                <c:pt idx="1">
                  <c:v>81.198595474534898</c:v>
                </c:pt>
                <c:pt idx="2">
                  <c:v>83.373323905974317</c:v>
                </c:pt>
                <c:pt idx="3">
                  <c:v>86.213119381174792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3-AD4F-A2E0-9E3A023A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58944"/>
        <c:axId val="755730720"/>
      </c:scatterChart>
      <c:scatterChart>
        <c:scatterStyle val="lineMarker"/>
        <c:varyColors val="0"/>
        <c:ser>
          <c:idx val="0"/>
          <c:order val="0"/>
          <c:tx>
            <c:strRef>
              <c:f>Temperature!$H$1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521B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21B93"/>
              </a:solidFill>
              <a:ln w="9525">
                <a:solidFill>
                  <a:srgbClr val="521B93"/>
                </a:solidFill>
              </a:ln>
              <a:effectLst/>
            </c:spPr>
          </c:marker>
          <c:xVal>
            <c:numRef>
              <c:f>Temperature!$C$2:$C$5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Temperature!$H$2:$H$5</c:f>
              <c:numCache>
                <c:formatCode>0.00</c:formatCode>
                <c:ptCount val="4"/>
                <c:pt idx="1">
                  <c:v>12.179789321180234</c:v>
                </c:pt>
                <c:pt idx="2">
                  <c:v>12.505998585896148</c:v>
                </c:pt>
                <c:pt idx="3">
                  <c:v>12.931967907176217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AD4F-A2E0-9E3A023A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64112"/>
        <c:axId val="936536848"/>
      </c:scatterChart>
      <c:valAx>
        <c:axId val="91455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730720"/>
        <c:crosses val="autoZero"/>
        <c:crossBetween val="midCat"/>
      </c:valAx>
      <c:valAx>
        <c:axId val="75573072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4558944"/>
        <c:crosses val="autoZero"/>
        <c:crossBetween val="midCat"/>
      </c:valAx>
      <c:valAx>
        <c:axId val="936536848"/>
        <c:scaling>
          <c:orientation val="minMax"/>
          <c:max val="1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064112"/>
        <c:crosses val="max"/>
        <c:crossBetween val="midCat"/>
      </c:valAx>
      <c:valAx>
        <c:axId val="91506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536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8135213165963691E-2"/>
          <c:y val="0.60484590152354634"/>
          <c:w val="0.82762012810272634"/>
          <c:h val="7.847401737650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738869</xdr:colOff>
      <xdr:row>14</xdr:row>
      <xdr:rowOff>634533</xdr:rowOff>
    </xdr:from>
    <xdr:to>
      <xdr:col>10</xdr:col>
      <xdr:colOff>398309</xdr:colOff>
      <xdr:row>24</xdr:row>
      <xdr:rowOff>96856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8496A-8CE1-84C0-C977-13D4FCCB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462441</xdr:colOff>
      <xdr:row>0</xdr:row>
      <xdr:rowOff>895719</xdr:rowOff>
    </xdr:from>
    <xdr:to>
      <xdr:col>28</xdr:col>
      <xdr:colOff>779941</xdr:colOff>
      <xdr:row>13</xdr:row>
      <xdr:rowOff>95619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C7F89-A85D-734B-A60C-DB43BE653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803585</xdr:colOff>
      <xdr:row>13</xdr:row>
      <xdr:rowOff>292213</xdr:rowOff>
    </xdr:from>
    <xdr:to>
      <xdr:col>26</xdr:col>
      <xdr:colOff>272545</xdr:colOff>
      <xdr:row>19</xdr:row>
      <xdr:rowOff>20343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907D4E-976D-5142-9D85-70C7C4C7B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411909</xdr:colOff>
      <xdr:row>18</xdr:row>
      <xdr:rowOff>86547</xdr:rowOff>
    </xdr:from>
    <xdr:to>
      <xdr:col>10</xdr:col>
      <xdr:colOff>414597</xdr:colOff>
      <xdr:row>31</xdr:row>
      <xdr:rowOff>195673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BF6B53-E61E-EC56-C736-B30FE3FF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408551</xdr:colOff>
      <xdr:row>0</xdr:row>
      <xdr:rowOff>503162</xdr:rowOff>
    </xdr:from>
    <xdr:to>
      <xdr:col>21</xdr:col>
      <xdr:colOff>713620</xdr:colOff>
      <xdr:row>11</xdr:row>
      <xdr:rowOff>128478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3ED52-9567-7F11-2B09-6BBA27A54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715403</xdr:colOff>
      <xdr:row>34</xdr:row>
      <xdr:rowOff>131386</xdr:rowOff>
    </xdr:from>
    <xdr:to>
      <xdr:col>8</xdr:col>
      <xdr:colOff>837835</xdr:colOff>
      <xdr:row>48</xdr:row>
      <xdr:rowOff>60485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7F4E93-14AF-2031-C855-049E9031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738245</xdr:colOff>
      <xdr:row>50</xdr:row>
      <xdr:rowOff>167933</xdr:rowOff>
    </xdr:from>
    <xdr:to>
      <xdr:col>9</xdr:col>
      <xdr:colOff>860677</xdr:colOff>
      <xdr:row>64</xdr:row>
      <xdr:rowOff>97032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162DF6-B869-B349-8DF0-22D1274B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9</xdr:row>
      <xdr:rowOff>368299</xdr:rowOff>
    </xdr:from>
    <xdr:to>
      <xdr:col>17</xdr:col>
      <xdr:colOff>348074</xdr:colOff>
      <xdr:row>15</xdr:row>
      <xdr:rowOff>122296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1B77F-3C63-B4E1-5C55-84BE3C86F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199047</xdr:colOff>
      <xdr:row>9</xdr:row>
      <xdr:rowOff>258640</xdr:rowOff>
    </xdr:from>
    <xdr:to>
      <xdr:col>19</xdr:col>
      <xdr:colOff>846666</xdr:colOff>
      <xdr:row>19</xdr:row>
      <xdr:rowOff>67196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3851D-4EC9-1782-701B-A2CD4FAC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40461</xdr:colOff>
      <xdr:row>0</xdr:row>
      <xdr:rowOff>836851</xdr:rowOff>
    </xdr:from>
    <xdr:to>
      <xdr:col>19</xdr:col>
      <xdr:colOff>341664</xdr:colOff>
      <xdr:row>7</xdr:row>
      <xdr:rowOff>837750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5E3FC-5F6D-4398-2E55-09D634DD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12741</xdr:colOff>
      <xdr:row>11</xdr:row>
      <xdr:rowOff>19860</xdr:rowOff>
    </xdr:from>
    <xdr:to>
      <xdr:col>10</xdr:col>
      <xdr:colOff>188088</xdr:colOff>
      <xdr:row>16</xdr:row>
      <xdr:rowOff>169411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788AC-617C-8530-3E83-B8542DD05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272704</xdr:colOff>
      <xdr:row>0</xdr:row>
      <xdr:rowOff>684901</xdr:rowOff>
    </xdr:from>
    <xdr:to>
      <xdr:col>16</xdr:col>
      <xdr:colOff>589549</xdr:colOff>
      <xdr:row>11</xdr:row>
      <xdr:rowOff>56442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40010-02F4-9F46-AF12-663D3181D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475108</xdr:colOff>
      <xdr:row>11</xdr:row>
      <xdr:rowOff>400335</xdr:rowOff>
    </xdr:from>
    <xdr:to>
      <xdr:col>26</xdr:col>
      <xdr:colOff>791953</xdr:colOff>
      <xdr:row>16</xdr:row>
      <xdr:rowOff>121640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9F60D-0F31-EF47-A0B3-D13BCC8BE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1033386</xdr:colOff>
      <xdr:row>11</xdr:row>
      <xdr:rowOff>619716</xdr:rowOff>
    </xdr:from>
    <xdr:to>
      <xdr:col>9</xdr:col>
      <xdr:colOff>817486</xdr:colOff>
      <xdr:row>22</xdr:row>
      <xdr:rowOff>141736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94C90-9909-F94C-89D7-7BC580AF0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343448</xdr:colOff>
      <xdr:row>0</xdr:row>
      <xdr:rowOff>0</xdr:rowOff>
    </xdr:from>
    <xdr:to>
      <xdr:col>9</xdr:col>
      <xdr:colOff>780941</xdr:colOff>
      <xdr:row>13</xdr:row>
      <xdr:rowOff>110797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B47C7-DBD2-7747-EDF9-29A474B4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30</xdr:row>
      <xdr:rowOff>148166</xdr:rowOff>
    </xdr:from>
    <xdr:to>
      <xdr:col>8</xdr:col>
      <xdr:colOff>127000</xdr:colOff>
      <xdr:row>44</xdr:row>
      <xdr:rowOff>46566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5353F-A67F-A98B-5137-602CDDBD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760588</xdr:colOff>
      <xdr:row>44</xdr:row>
      <xdr:rowOff>104422</xdr:rowOff>
    </xdr:from>
    <xdr:to>
      <xdr:col>9</xdr:col>
      <xdr:colOff>379588</xdr:colOff>
      <xdr:row>57</xdr:row>
      <xdr:rowOff>187677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BB029-D938-7D39-1A36-D1565AED9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423333</xdr:colOff>
      <xdr:row>29</xdr:row>
      <xdr:rowOff>104966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798D80-7B0B-5945-A275-B692D119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819738</xdr:colOff>
      <xdr:row>64</xdr:row>
      <xdr:rowOff>148402</xdr:rowOff>
    </xdr:from>
    <xdr:to>
      <xdr:col>11</xdr:col>
      <xdr:colOff>446734</xdr:colOff>
      <xdr:row>78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1D415D-C9FE-F2D3-B862-9F7D7BB5B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3BD2-FFD4-0841-AE83-298B3E11BDD9}">
  <dimension ref="A1:L18"/>
  <sheetViews>
    <sheetView zoomScale="114" workbookViewId="0">
      <selection activeCell="R12" sqref="R12"/>
    </sheetView>
  </sheetViews>
  <sheetFormatPr baseColWidth="10" defaultColWidth="11.1640625" defaultRowHeight="16" x14ac:dyDescent="0.2"/>
  <cols>
    <col min="6" max="6" width="12.5" bestFit="1" customWidth="1"/>
    <col min="8" max="8" width="12.5" bestFit="1" customWidth="1"/>
    <col min="10" max="10" width="12.5" bestFit="1" customWidth="1"/>
  </cols>
  <sheetData>
    <row r="1" spans="1:12" ht="87" x14ac:dyDescent="0.2">
      <c r="A1" s="1" t="s">
        <v>27</v>
      </c>
      <c r="B1" s="1" t="s">
        <v>28</v>
      </c>
      <c r="C1" s="1" t="s">
        <v>49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0" t="s">
        <v>35</v>
      </c>
      <c r="K1" s="10" t="s">
        <v>40</v>
      </c>
      <c r="L1" s="1" t="s">
        <v>37</v>
      </c>
    </row>
    <row r="2" spans="1:12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7">
        <v>15</v>
      </c>
      <c r="B3" s="7">
        <f t="shared" ref="B3:B12" si="0" xml:space="preserve"> $B$14/(1000*$B$15)</f>
        <v>3.1314586334314521E-5</v>
      </c>
      <c r="C3" s="7">
        <v>15</v>
      </c>
      <c r="D3" s="7">
        <v>0.17080000000000001</v>
      </c>
      <c r="E3" s="7">
        <v>10</v>
      </c>
      <c r="F3" s="7">
        <f xml:space="preserve"> D3/$B$16/1</f>
        <v>2.1822895280254681E-6</v>
      </c>
      <c r="G3" s="7">
        <f xml:space="preserve"> (F3*1000*B15)</f>
        <v>1.0453385068194794</v>
      </c>
      <c r="H3" s="7">
        <f xml:space="preserve"> F3*E3</f>
        <v>2.1822895280254681E-5</v>
      </c>
      <c r="I3" s="7">
        <f xml:space="preserve"> G3*E3</f>
        <v>10.453385068194795</v>
      </c>
      <c r="J3" s="7">
        <f>((B3-H3)*B17)/B18</f>
        <v>9.4916910540598395E-6</v>
      </c>
      <c r="K3" s="16">
        <f xml:space="preserve"> J3*B15*1000</f>
        <v>4.5466149318052036</v>
      </c>
      <c r="L3" s="16">
        <f xml:space="preserve"> ((A3-I3)/A3)*100</f>
        <v>30.3107662120347</v>
      </c>
    </row>
    <row r="4" spans="1:12" x14ac:dyDescent="0.2">
      <c r="A4" s="7">
        <v>15</v>
      </c>
      <c r="B4" s="7">
        <f t="shared" si="0"/>
        <v>3.1314586334314521E-5</v>
      </c>
      <c r="C4" s="7">
        <v>30</v>
      </c>
      <c r="D4" s="7">
        <v>0.15959999999999999</v>
      </c>
      <c r="E4" s="7">
        <v>10</v>
      </c>
      <c r="F4" s="7">
        <f t="shared" ref="F4:F12" si="1">D4/ $B$16/1</f>
        <v>2.0391885753680604E-6</v>
      </c>
      <c r="G4" s="7">
        <f t="shared" ref="G4:G12" si="2" xml:space="preserve"> (F4*1000*$B$15)</f>
        <v>0.97679171948705457</v>
      </c>
      <c r="H4" s="7">
        <f t="shared" ref="H4:H9" si="3" xml:space="preserve"> F4*E4</f>
        <v>2.0391885753680605E-5</v>
      </c>
      <c r="I4" s="7">
        <f t="shared" ref="I4:I12" si="4" xml:space="preserve"> G4*E4</f>
        <v>9.7679171948705452</v>
      </c>
      <c r="J4" s="7">
        <f t="shared" ref="J4:J12" si="5">((B4-H4)*$B$17)/$B$18</f>
        <v>1.0922700580633916E-5</v>
      </c>
      <c r="K4" s="16">
        <f t="shared" ref="K4:K12" si="6" xml:space="preserve"> J4*$B$15*1000</f>
        <v>5.2320828051294521</v>
      </c>
      <c r="L4" s="16">
        <f t="shared" ref="L4:L12" si="7" xml:space="preserve"> ((A4-I4)/A4)*100</f>
        <v>34.880552034196363</v>
      </c>
    </row>
    <row r="5" spans="1:12" x14ac:dyDescent="0.2">
      <c r="A5" s="7">
        <v>15</v>
      </c>
      <c r="B5" s="7">
        <f t="shared" si="0"/>
        <v>3.1314586334314521E-5</v>
      </c>
      <c r="C5" s="7">
        <v>45</v>
      </c>
      <c r="D5" s="7">
        <v>0.14130000000000001</v>
      </c>
      <c r="E5" s="7">
        <v>10</v>
      </c>
      <c r="F5" s="7">
        <f t="shared" si="1"/>
        <v>1.8053718402224745E-6</v>
      </c>
      <c r="G5" s="7">
        <f t="shared" si="2"/>
        <v>0.86479116518496757</v>
      </c>
      <c r="H5" s="7">
        <f t="shared" si="3"/>
        <v>1.8053718402224744E-5</v>
      </c>
      <c r="I5" s="7">
        <f t="shared" si="4"/>
        <v>8.6479116518496753</v>
      </c>
      <c r="J5" s="7">
        <f t="shared" si="5"/>
        <v>1.3260867932089777E-5</v>
      </c>
      <c r="K5" s="16">
        <f t="shared" si="6"/>
        <v>6.3520883481503239</v>
      </c>
      <c r="L5" s="16">
        <f t="shared" si="7"/>
        <v>42.347255654335498</v>
      </c>
    </row>
    <row r="6" spans="1:12" x14ac:dyDescent="0.2">
      <c r="A6" s="7">
        <v>15</v>
      </c>
      <c r="B6" s="7">
        <f t="shared" si="0"/>
        <v>3.1314586334314521E-5</v>
      </c>
      <c r="C6" s="7">
        <v>60</v>
      </c>
      <c r="D6" s="7">
        <v>0.1361</v>
      </c>
      <c r="E6" s="7">
        <v>10</v>
      </c>
      <c r="F6" s="7">
        <f t="shared" si="1"/>
        <v>1.7389321122029637E-6</v>
      </c>
      <c r="G6" s="7">
        <f t="shared" si="2"/>
        <v>0.83296587106634157</v>
      </c>
      <c r="H6" s="7">
        <f t="shared" si="3"/>
        <v>1.7389321122029638E-5</v>
      </c>
      <c r="I6" s="7">
        <f t="shared" si="4"/>
        <v>8.3296587106634163</v>
      </c>
      <c r="J6" s="7">
        <f t="shared" si="5"/>
        <v>1.3925265212284883E-5</v>
      </c>
      <c r="K6" s="16">
        <f t="shared" si="6"/>
        <v>6.670341289336581</v>
      </c>
      <c r="L6" s="16">
        <f t="shared" si="7"/>
        <v>44.46894192891056</v>
      </c>
    </row>
    <row r="7" spans="1:12" x14ac:dyDescent="0.2">
      <c r="A7" s="7">
        <v>15</v>
      </c>
      <c r="B7" s="7">
        <f t="shared" si="0"/>
        <v>3.1314586334314521E-5</v>
      </c>
      <c r="C7" s="7">
        <v>90</v>
      </c>
      <c r="D7" s="7">
        <v>0.11409999999999999</v>
      </c>
      <c r="E7" s="7">
        <v>10</v>
      </c>
      <c r="F7" s="7">
        <f t="shared" si="1"/>
        <v>1.4578409551973414E-6</v>
      </c>
      <c r="G7" s="7">
        <f t="shared" si="2"/>
        <v>0.69832039594907847</v>
      </c>
      <c r="H7" s="7">
        <f t="shared" si="3"/>
        <v>1.4578409551973413E-5</v>
      </c>
      <c r="I7" s="7">
        <f t="shared" si="4"/>
        <v>6.9832039594907851</v>
      </c>
      <c r="J7" s="7">
        <f t="shared" si="5"/>
        <v>1.6736176782341109E-5</v>
      </c>
      <c r="K7" s="16">
        <f t="shared" si="6"/>
        <v>8.0167960405092149</v>
      </c>
      <c r="L7" s="16">
        <f t="shared" si="7"/>
        <v>53.445306936728102</v>
      </c>
    </row>
    <row r="8" spans="1:12" x14ac:dyDescent="0.2">
      <c r="A8" s="7">
        <v>15</v>
      </c>
      <c r="B8" s="7">
        <f t="shared" si="0"/>
        <v>3.1314586334314521E-5</v>
      </c>
      <c r="C8" s="7">
        <v>120</v>
      </c>
      <c r="D8" s="7">
        <v>0.10929999999999999</v>
      </c>
      <c r="E8" s="7">
        <v>10</v>
      </c>
      <c r="F8" s="7">
        <f t="shared" si="1"/>
        <v>1.3965119754870236E-6</v>
      </c>
      <c r="G8" s="7">
        <f t="shared" si="2"/>
        <v>0.6689432013780392</v>
      </c>
      <c r="H8" s="7">
        <f t="shared" si="3"/>
        <v>1.3965119754870236E-5</v>
      </c>
      <c r="I8" s="7">
        <f t="shared" si="4"/>
        <v>6.689432013780392</v>
      </c>
      <c r="J8" s="7">
        <f t="shared" si="5"/>
        <v>1.7349466579444283E-5</v>
      </c>
      <c r="K8" s="16">
        <f t="shared" si="6"/>
        <v>8.3105679862196062</v>
      </c>
      <c r="L8" s="16">
        <f t="shared" si="7"/>
        <v>55.403786574797387</v>
      </c>
    </row>
    <row r="9" spans="1:12" x14ac:dyDescent="0.2">
      <c r="A9" s="7">
        <v>15</v>
      </c>
      <c r="B9" s="7">
        <f t="shared" si="0"/>
        <v>3.1314586334314521E-5</v>
      </c>
      <c r="C9" s="7">
        <v>180</v>
      </c>
      <c r="D9" s="7">
        <v>0.1021</v>
      </c>
      <c r="E9" s="7">
        <v>10</v>
      </c>
      <c r="F9" s="7">
        <f t="shared" si="1"/>
        <v>1.3045185059215473E-6</v>
      </c>
      <c r="G9" s="7">
        <f t="shared" si="2"/>
        <v>0.62487740952148041</v>
      </c>
      <c r="H9" s="7">
        <f t="shared" si="3"/>
        <v>1.3045185059215474E-5</v>
      </c>
      <c r="I9" s="7">
        <f t="shared" si="4"/>
        <v>6.2487740952148041</v>
      </c>
      <c r="J9" s="7">
        <f t="shared" si="5"/>
        <v>1.8269401275099047E-5</v>
      </c>
      <c r="K9" s="16">
        <f t="shared" si="6"/>
        <v>8.7512259047851941</v>
      </c>
      <c r="L9" s="16">
        <f t="shared" si="7"/>
        <v>58.341506031901304</v>
      </c>
    </row>
    <row r="10" spans="1:12" x14ac:dyDescent="0.2">
      <c r="A10" s="7">
        <v>15</v>
      </c>
      <c r="B10" s="7">
        <f t="shared" si="0"/>
        <v>3.1314586334314521E-5</v>
      </c>
      <c r="C10" s="7">
        <v>240</v>
      </c>
      <c r="D10" s="7">
        <v>0.1003</v>
      </c>
      <c r="E10" s="7">
        <v>10</v>
      </c>
      <c r="F10" s="7">
        <f t="shared" si="1"/>
        <v>1.2815201385301784E-6</v>
      </c>
      <c r="G10" s="7">
        <f t="shared" si="2"/>
        <v>0.61386096155734071</v>
      </c>
      <c r="H10" s="7">
        <f xml:space="preserve"> F10*E10</f>
        <v>1.2815201385301784E-5</v>
      </c>
      <c r="I10" s="7">
        <f t="shared" si="4"/>
        <v>6.1386096155734071</v>
      </c>
      <c r="J10" s="7">
        <f t="shared" si="5"/>
        <v>1.8499384949012737E-5</v>
      </c>
      <c r="K10" s="16">
        <f t="shared" si="6"/>
        <v>8.861390384426592</v>
      </c>
      <c r="L10" s="16">
        <f t="shared" si="7"/>
        <v>59.075935896177278</v>
      </c>
    </row>
    <row r="11" spans="1:12" x14ac:dyDescent="0.2">
      <c r="A11" s="7">
        <v>15</v>
      </c>
      <c r="B11" s="7">
        <f t="shared" si="0"/>
        <v>3.1314586334314521E-5</v>
      </c>
      <c r="C11" s="7">
        <v>300</v>
      </c>
      <c r="D11" s="7">
        <v>9.6589999999999995E-2</v>
      </c>
      <c r="E11" s="7">
        <v>10</v>
      </c>
      <c r="F11" s="7">
        <f t="shared" si="1"/>
        <v>1.2341179479624119E-6</v>
      </c>
      <c r="G11" s="7">
        <f t="shared" si="2"/>
        <v>0.59115483825347492</v>
      </c>
      <c r="H11" s="7">
        <f t="shared" ref="H11:H12" si="8" xml:space="preserve"> F11*E11</f>
        <v>1.234117947962412E-5</v>
      </c>
      <c r="I11" s="7">
        <f t="shared" si="4"/>
        <v>5.9115483825347495</v>
      </c>
      <c r="J11" s="7">
        <f t="shared" si="5"/>
        <v>1.8973406854690403E-5</v>
      </c>
      <c r="K11" s="16">
        <f t="shared" si="6"/>
        <v>9.0884516174652497</v>
      </c>
      <c r="L11" s="16">
        <f t="shared" si="7"/>
        <v>60.589677449768331</v>
      </c>
    </row>
    <row r="12" spans="1:12" x14ac:dyDescent="0.2">
      <c r="A12" s="7">
        <v>15</v>
      </c>
      <c r="B12" s="7">
        <f t="shared" si="0"/>
        <v>3.1314586334314521E-5</v>
      </c>
      <c r="C12" s="7">
        <v>360</v>
      </c>
      <c r="D12" s="7">
        <v>9.6500000000000002E-2</v>
      </c>
      <c r="E12" s="7">
        <v>10</v>
      </c>
      <c r="F12" s="7">
        <f t="shared" si="1"/>
        <v>1.2329680295928435E-6</v>
      </c>
      <c r="G12" s="7">
        <f t="shared" si="2"/>
        <v>0.59060401585526789</v>
      </c>
      <c r="H12" s="7">
        <f t="shared" si="8"/>
        <v>1.2329680295928435E-5</v>
      </c>
      <c r="I12" s="7">
        <f t="shared" si="4"/>
        <v>5.9060401585526794</v>
      </c>
      <c r="J12" s="7">
        <f t="shared" si="5"/>
        <v>1.8984906038386088E-5</v>
      </c>
      <c r="K12" s="16">
        <f t="shared" si="6"/>
        <v>9.0939598414473206</v>
      </c>
      <c r="L12" s="16">
        <f t="shared" si="7"/>
        <v>60.626398942982142</v>
      </c>
    </row>
    <row r="13" spans="1:12" x14ac:dyDescent="0.2">
      <c r="L13" s="8"/>
    </row>
    <row r="14" spans="1:12" ht="51" x14ac:dyDescent="0.2">
      <c r="A14" s="1" t="s">
        <v>27</v>
      </c>
      <c r="B14" s="7">
        <v>15</v>
      </c>
      <c r="L14" s="8"/>
    </row>
    <row r="15" spans="1:12" ht="51" x14ac:dyDescent="0.2">
      <c r="A15" s="3" t="s">
        <v>12</v>
      </c>
      <c r="B15" s="7">
        <v>479.01</v>
      </c>
      <c r="L15" s="8"/>
    </row>
    <row r="16" spans="1:12" ht="68" x14ac:dyDescent="0.2">
      <c r="A16" s="10" t="s">
        <v>13</v>
      </c>
      <c r="B16" s="7">
        <v>78266.425149617775</v>
      </c>
      <c r="L16" s="8"/>
    </row>
    <row r="17" spans="1:12" ht="17" x14ac:dyDescent="0.2">
      <c r="A17" s="10" t="s">
        <v>14</v>
      </c>
      <c r="B17" s="7">
        <f xml:space="preserve"> 20/1000</f>
        <v>0.02</v>
      </c>
      <c r="L17" s="8"/>
    </row>
    <row r="18" spans="1:12" ht="34" x14ac:dyDescent="0.2">
      <c r="A18" s="10" t="s">
        <v>2</v>
      </c>
      <c r="B18" s="7">
        <f xml:space="preserve"> 20/1000</f>
        <v>0.02</v>
      </c>
      <c r="L1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394-B954-B143-9514-E55B52DBC491}">
  <dimension ref="A1:AG63"/>
  <sheetViews>
    <sheetView workbookViewId="0">
      <selection activeCell="A80" sqref="A80"/>
    </sheetView>
  </sheetViews>
  <sheetFormatPr baseColWidth="10" defaultColWidth="11.1640625" defaultRowHeight="16" x14ac:dyDescent="0.2"/>
  <cols>
    <col min="6" max="6" width="12.5" bestFit="1" customWidth="1"/>
    <col min="8" max="8" width="12.5" bestFit="1" customWidth="1"/>
    <col min="10" max="10" width="12.5" bestFit="1" customWidth="1"/>
  </cols>
  <sheetData>
    <row r="1" spans="1:33" ht="87" x14ac:dyDescent="0.2">
      <c r="A1" s="1" t="s">
        <v>27</v>
      </c>
      <c r="B1" s="1" t="s">
        <v>28</v>
      </c>
      <c r="C1" s="1" t="s">
        <v>0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0" t="s">
        <v>35</v>
      </c>
      <c r="K1" s="10" t="s">
        <v>36</v>
      </c>
      <c r="L1" s="1" t="s">
        <v>37</v>
      </c>
      <c r="O1" s="18" t="s">
        <v>41</v>
      </c>
      <c r="P1" s="18" t="s">
        <v>42</v>
      </c>
    </row>
    <row r="2" spans="1:3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O2" s="18"/>
      <c r="P2" s="18"/>
    </row>
    <row r="3" spans="1:33" x14ac:dyDescent="0.2">
      <c r="A3" s="7">
        <v>15</v>
      </c>
      <c r="B3" s="7">
        <f t="shared" ref="B3:B12" si="0" xml:space="preserve"> $B$14/(1000*$B$15)</f>
        <v>3.1314586334314521E-5</v>
      </c>
      <c r="C3" s="7">
        <v>15</v>
      </c>
      <c r="D3" s="7">
        <v>0.17080000000000001</v>
      </c>
      <c r="E3" s="7">
        <v>10</v>
      </c>
      <c r="F3" s="7">
        <f xml:space="preserve"> D3/$B$16/1</f>
        <v>2.1822895280254681E-6</v>
      </c>
      <c r="G3" s="7">
        <f xml:space="preserve"> (F3*1000*B15)</f>
        <v>1.0453385068194794</v>
      </c>
      <c r="H3" s="7">
        <f xml:space="preserve"> F3*E3</f>
        <v>2.1822895280254681E-5</v>
      </c>
      <c r="I3" s="7">
        <f xml:space="preserve"> G3*E3</f>
        <v>10.453385068194795</v>
      </c>
      <c r="J3" s="7">
        <f>((B3-H3)*B17)/B18</f>
        <v>9.4916910540598395E-6</v>
      </c>
      <c r="K3" s="7">
        <f xml:space="preserve"> J3*B15*1000</f>
        <v>4.5466149318052036</v>
      </c>
      <c r="L3" s="7">
        <f xml:space="preserve"> ((A3-I3)/A3)*100</f>
        <v>30.3107662120347</v>
      </c>
      <c r="O3" s="12">
        <v>15</v>
      </c>
      <c r="P3" s="18">
        <f xml:space="preserve"> O3/K3</f>
        <v>3.299157774516952</v>
      </c>
      <c r="AD3" t="s">
        <v>45</v>
      </c>
      <c r="AE3">
        <f xml:space="preserve"> 1/0.1031</f>
        <v>9.6993210475266736</v>
      </c>
      <c r="AG3">
        <f xml:space="preserve"> AE3^2</f>
        <v>94.076828782993928</v>
      </c>
    </row>
    <row r="4" spans="1:33" x14ac:dyDescent="0.2">
      <c r="A4" s="7">
        <v>15</v>
      </c>
      <c r="B4" s="7">
        <f t="shared" si="0"/>
        <v>3.1314586334314521E-5</v>
      </c>
      <c r="C4" s="7">
        <v>30</v>
      </c>
      <c r="D4" s="7">
        <v>0.15959999999999999</v>
      </c>
      <c r="E4" s="7">
        <v>10</v>
      </c>
      <c r="F4" s="7">
        <f t="shared" ref="F4:F12" si="1">D4/ $B$16/1</f>
        <v>2.0391885753680604E-6</v>
      </c>
      <c r="G4" s="7">
        <f t="shared" ref="G4:G12" si="2" xml:space="preserve"> (F4*1000*$B$15)</f>
        <v>0.97679171948705457</v>
      </c>
      <c r="H4" s="7">
        <f t="shared" ref="H4:H9" si="3" xml:space="preserve"> F4*E4</f>
        <v>2.0391885753680605E-5</v>
      </c>
      <c r="I4" s="7">
        <f t="shared" ref="I4:I12" si="4" xml:space="preserve"> G4*E4</f>
        <v>9.7679171948705452</v>
      </c>
      <c r="J4" s="7">
        <f t="shared" ref="J4:J12" si="5">((B4-H4)*$B$17)/$B$18</f>
        <v>1.0922700580633916E-5</v>
      </c>
      <c r="K4" s="7">
        <f t="shared" ref="K4:K12" si="6" xml:space="preserve"> J4*$B$15*1000</f>
        <v>5.2320828051294521</v>
      </c>
      <c r="L4" s="7">
        <f t="shared" ref="L4:L12" si="7" xml:space="preserve"> ((A4-I4)/A4)*100</f>
        <v>34.880552034196363</v>
      </c>
      <c r="O4" s="12">
        <v>30</v>
      </c>
      <c r="P4" s="18">
        <f t="shared" ref="P4:P12" si="8" xml:space="preserve"> O4/K4</f>
        <v>5.7338542063188429</v>
      </c>
    </row>
    <row r="5" spans="1:33" x14ac:dyDescent="0.2">
      <c r="A5" s="7">
        <v>15</v>
      </c>
      <c r="B5" s="7">
        <f t="shared" si="0"/>
        <v>3.1314586334314521E-5</v>
      </c>
      <c r="C5" s="7">
        <v>45</v>
      </c>
      <c r="D5" s="7">
        <v>0.14130000000000001</v>
      </c>
      <c r="E5" s="7">
        <v>10</v>
      </c>
      <c r="F5" s="7">
        <f t="shared" si="1"/>
        <v>1.8053718402224745E-6</v>
      </c>
      <c r="G5" s="7">
        <f t="shared" si="2"/>
        <v>0.86479116518496757</v>
      </c>
      <c r="H5" s="7">
        <f t="shared" si="3"/>
        <v>1.8053718402224744E-5</v>
      </c>
      <c r="I5" s="7">
        <f t="shared" si="4"/>
        <v>8.6479116518496753</v>
      </c>
      <c r="J5" s="7">
        <f t="shared" si="5"/>
        <v>1.3260867932089777E-5</v>
      </c>
      <c r="K5" s="7">
        <f t="shared" si="6"/>
        <v>6.3520883481503239</v>
      </c>
      <c r="L5" s="7">
        <f t="shared" si="7"/>
        <v>42.347255654335498</v>
      </c>
      <c r="O5" s="12">
        <v>45</v>
      </c>
      <c r="P5" s="18">
        <f t="shared" si="8"/>
        <v>7.0842843382528882</v>
      </c>
      <c r="AD5" t="s">
        <v>68</v>
      </c>
      <c r="AE5">
        <f xml:space="preserve"> 1/(2.2616*AG3)</f>
        <v>4.7000397948355139E-3</v>
      </c>
    </row>
    <row r="6" spans="1:33" x14ac:dyDescent="0.2">
      <c r="A6" s="7">
        <v>15</v>
      </c>
      <c r="B6" s="7">
        <f t="shared" si="0"/>
        <v>3.1314586334314521E-5</v>
      </c>
      <c r="C6" s="7">
        <v>60</v>
      </c>
      <c r="D6" s="7">
        <v>0.1361</v>
      </c>
      <c r="E6" s="7">
        <v>10</v>
      </c>
      <c r="F6" s="7">
        <f t="shared" si="1"/>
        <v>1.7389321122029637E-6</v>
      </c>
      <c r="G6" s="7">
        <f t="shared" si="2"/>
        <v>0.83296587106634157</v>
      </c>
      <c r="H6" s="7">
        <f t="shared" si="3"/>
        <v>1.7389321122029638E-5</v>
      </c>
      <c r="I6" s="7">
        <f t="shared" si="4"/>
        <v>8.3296587106634163</v>
      </c>
      <c r="J6" s="7">
        <f t="shared" si="5"/>
        <v>1.3925265212284883E-5</v>
      </c>
      <c r="K6" s="7">
        <f t="shared" si="6"/>
        <v>6.670341289336581</v>
      </c>
      <c r="L6" s="7">
        <f t="shared" si="7"/>
        <v>44.46894192891056</v>
      </c>
      <c r="O6" s="12">
        <v>60</v>
      </c>
      <c r="P6" s="18">
        <f t="shared" si="8"/>
        <v>8.9950419922167857</v>
      </c>
    </row>
    <row r="7" spans="1:33" x14ac:dyDescent="0.2">
      <c r="A7" s="7">
        <v>15</v>
      </c>
      <c r="B7" s="7">
        <f t="shared" si="0"/>
        <v>3.1314586334314521E-5</v>
      </c>
      <c r="C7" s="7">
        <v>90</v>
      </c>
      <c r="D7" s="7">
        <v>0.11409999999999999</v>
      </c>
      <c r="E7" s="7">
        <v>10</v>
      </c>
      <c r="F7" s="7">
        <f t="shared" si="1"/>
        <v>1.4578409551973414E-6</v>
      </c>
      <c r="G7" s="7">
        <f t="shared" si="2"/>
        <v>0.69832039594907847</v>
      </c>
      <c r="H7" s="7">
        <f t="shared" si="3"/>
        <v>1.4578409551973413E-5</v>
      </c>
      <c r="I7" s="7">
        <f t="shared" si="4"/>
        <v>6.9832039594907851</v>
      </c>
      <c r="J7" s="7">
        <f t="shared" si="5"/>
        <v>1.6736176782341109E-5</v>
      </c>
      <c r="K7" s="7">
        <f t="shared" si="6"/>
        <v>8.0167960405092149</v>
      </c>
      <c r="L7" s="7">
        <f t="shared" si="7"/>
        <v>53.445306936728102</v>
      </c>
      <c r="O7" s="12">
        <v>90</v>
      </c>
      <c r="P7" s="18">
        <f t="shared" si="8"/>
        <v>11.226430053256454</v>
      </c>
    </row>
    <row r="8" spans="1:33" x14ac:dyDescent="0.2">
      <c r="A8" s="7">
        <v>15</v>
      </c>
      <c r="B8" s="7">
        <f t="shared" si="0"/>
        <v>3.1314586334314521E-5</v>
      </c>
      <c r="C8" s="7">
        <v>120</v>
      </c>
      <c r="D8" s="7">
        <v>0.10929999999999999</v>
      </c>
      <c r="E8" s="7">
        <v>10</v>
      </c>
      <c r="F8" s="7">
        <f t="shared" si="1"/>
        <v>1.3965119754870236E-6</v>
      </c>
      <c r="G8" s="7">
        <f t="shared" si="2"/>
        <v>0.6689432013780392</v>
      </c>
      <c r="H8" s="7">
        <f t="shared" si="3"/>
        <v>1.3965119754870236E-5</v>
      </c>
      <c r="I8" s="7">
        <f t="shared" si="4"/>
        <v>6.689432013780392</v>
      </c>
      <c r="J8" s="7">
        <f t="shared" si="5"/>
        <v>1.7349466579444283E-5</v>
      </c>
      <c r="K8" s="7">
        <f t="shared" si="6"/>
        <v>8.3105679862196062</v>
      </c>
      <c r="L8" s="7">
        <f t="shared" si="7"/>
        <v>55.403786574797387</v>
      </c>
      <c r="O8" s="12">
        <v>120</v>
      </c>
      <c r="P8" s="18">
        <f t="shared" si="8"/>
        <v>14.439446280805507</v>
      </c>
    </row>
    <row r="9" spans="1:33" x14ac:dyDescent="0.2">
      <c r="A9" s="7">
        <v>15</v>
      </c>
      <c r="B9" s="7">
        <f t="shared" si="0"/>
        <v>3.1314586334314521E-5</v>
      </c>
      <c r="C9" s="7">
        <v>180</v>
      </c>
      <c r="D9" s="7">
        <v>0.1021</v>
      </c>
      <c r="E9" s="7">
        <v>10</v>
      </c>
      <c r="F9" s="7">
        <f t="shared" si="1"/>
        <v>1.3045185059215473E-6</v>
      </c>
      <c r="G9" s="7">
        <f t="shared" si="2"/>
        <v>0.62487740952148041</v>
      </c>
      <c r="H9" s="7">
        <f t="shared" si="3"/>
        <v>1.3045185059215474E-5</v>
      </c>
      <c r="I9" s="7">
        <f t="shared" si="4"/>
        <v>6.2487740952148041</v>
      </c>
      <c r="J9" s="7">
        <f t="shared" si="5"/>
        <v>1.8269401275099047E-5</v>
      </c>
      <c r="K9" s="7">
        <f t="shared" si="6"/>
        <v>8.7512259047851941</v>
      </c>
      <c r="L9" s="7">
        <f t="shared" si="7"/>
        <v>58.341506031901304</v>
      </c>
      <c r="O9" s="12">
        <v>180</v>
      </c>
      <c r="P9" s="18">
        <f t="shared" si="8"/>
        <v>20.568546847999375</v>
      </c>
    </row>
    <row r="10" spans="1:33" x14ac:dyDescent="0.2">
      <c r="A10" s="7">
        <v>15</v>
      </c>
      <c r="B10" s="7">
        <f t="shared" si="0"/>
        <v>3.1314586334314521E-5</v>
      </c>
      <c r="C10" s="7">
        <v>240</v>
      </c>
      <c r="D10" s="7">
        <v>0.1003</v>
      </c>
      <c r="E10" s="7">
        <v>10</v>
      </c>
      <c r="F10" s="7">
        <f t="shared" si="1"/>
        <v>1.2815201385301784E-6</v>
      </c>
      <c r="G10" s="7">
        <f t="shared" si="2"/>
        <v>0.61386096155734071</v>
      </c>
      <c r="H10" s="7">
        <f xml:space="preserve"> F10*E10</f>
        <v>1.2815201385301784E-5</v>
      </c>
      <c r="I10" s="7">
        <f t="shared" si="4"/>
        <v>6.1386096155734071</v>
      </c>
      <c r="J10" s="7">
        <f t="shared" si="5"/>
        <v>1.8499384949012737E-5</v>
      </c>
      <c r="K10" s="7">
        <f t="shared" si="6"/>
        <v>8.861390384426592</v>
      </c>
      <c r="L10" s="7">
        <f t="shared" si="7"/>
        <v>59.075935896177278</v>
      </c>
      <c r="O10" s="12">
        <v>240</v>
      </c>
      <c r="P10" s="18">
        <f t="shared" si="8"/>
        <v>27.083785905853652</v>
      </c>
    </row>
    <row r="11" spans="1:33" x14ac:dyDescent="0.2">
      <c r="A11" s="7">
        <v>15</v>
      </c>
      <c r="B11" s="7">
        <f t="shared" si="0"/>
        <v>3.1314586334314521E-5</v>
      </c>
      <c r="C11" s="7">
        <v>300</v>
      </c>
      <c r="D11" s="7">
        <v>9.6589999999999995E-2</v>
      </c>
      <c r="E11" s="7">
        <v>10</v>
      </c>
      <c r="F11" s="7">
        <f t="shared" si="1"/>
        <v>1.2341179479624119E-6</v>
      </c>
      <c r="G11" s="7">
        <f t="shared" si="2"/>
        <v>0.59115483825347492</v>
      </c>
      <c r="H11" s="7">
        <f t="shared" ref="H11:H12" si="9" xml:space="preserve"> F11*E11</f>
        <v>1.234117947962412E-5</v>
      </c>
      <c r="I11" s="7">
        <f t="shared" si="4"/>
        <v>5.9115483825347495</v>
      </c>
      <c r="J11" s="7">
        <f t="shared" si="5"/>
        <v>1.8973406854690403E-5</v>
      </c>
      <c r="K11" s="7">
        <f t="shared" si="6"/>
        <v>9.0884516174652497</v>
      </c>
      <c r="L11" s="7">
        <f t="shared" si="7"/>
        <v>60.589677449768331</v>
      </c>
      <c r="O11" s="12">
        <v>300</v>
      </c>
      <c r="P11" s="18">
        <f t="shared" si="8"/>
        <v>33.008923040696054</v>
      </c>
    </row>
    <row r="12" spans="1:33" x14ac:dyDescent="0.2">
      <c r="A12" s="7">
        <v>15</v>
      </c>
      <c r="B12" s="7">
        <f t="shared" si="0"/>
        <v>3.1314586334314521E-5</v>
      </c>
      <c r="C12" s="7">
        <v>360</v>
      </c>
      <c r="D12" s="7">
        <v>9.6500000000000002E-2</v>
      </c>
      <c r="E12" s="7">
        <v>10</v>
      </c>
      <c r="F12" s="7">
        <f t="shared" si="1"/>
        <v>1.2329680295928435E-6</v>
      </c>
      <c r="G12" s="7">
        <f t="shared" si="2"/>
        <v>0.59060401585526789</v>
      </c>
      <c r="H12" s="7">
        <f t="shared" si="9"/>
        <v>1.2329680295928435E-5</v>
      </c>
      <c r="I12" s="7">
        <f t="shared" si="4"/>
        <v>5.9060401585526794</v>
      </c>
      <c r="J12" s="7">
        <f t="shared" si="5"/>
        <v>1.8984906038386088E-5</v>
      </c>
      <c r="K12" s="7">
        <f t="shared" si="6"/>
        <v>9.0939598414473206</v>
      </c>
      <c r="L12" s="7">
        <f t="shared" si="7"/>
        <v>60.626398942982142</v>
      </c>
      <c r="O12" s="12">
        <v>360</v>
      </c>
      <c r="P12" s="18">
        <f t="shared" si="8"/>
        <v>39.586715388739314</v>
      </c>
    </row>
    <row r="13" spans="1:33" x14ac:dyDescent="0.2">
      <c r="L13" s="8"/>
      <c r="S13" s="17" t="s">
        <v>65</v>
      </c>
    </row>
    <row r="14" spans="1:33" ht="51" x14ac:dyDescent="0.2">
      <c r="A14" s="1" t="s">
        <v>27</v>
      </c>
      <c r="B14" s="7">
        <v>15</v>
      </c>
      <c r="L14" s="8"/>
    </row>
    <row r="15" spans="1:33" ht="51" x14ac:dyDescent="0.2">
      <c r="A15" s="3" t="s">
        <v>12</v>
      </c>
      <c r="B15" s="7">
        <v>479.01</v>
      </c>
      <c r="L15" s="8"/>
    </row>
    <row r="16" spans="1:33" ht="68" x14ac:dyDescent="0.2">
      <c r="A16" s="10" t="s">
        <v>13</v>
      </c>
      <c r="B16" s="7">
        <v>78266.425149617775</v>
      </c>
      <c r="L16" s="8"/>
    </row>
    <row r="17" spans="1:13" ht="17" x14ac:dyDescent="0.2">
      <c r="A17" s="10" t="s">
        <v>14</v>
      </c>
      <c r="B17" s="7">
        <f xml:space="preserve"> 20/1000</f>
        <v>0.02</v>
      </c>
      <c r="L17" s="8"/>
    </row>
    <row r="18" spans="1:13" ht="34" x14ac:dyDescent="0.2">
      <c r="A18" s="10" t="s">
        <v>2</v>
      </c>
      <c r="B18" s="7">
        <f xml:space="preserve"> 20/1000</f>
        <v>0.02</v>
      </c>
      <c r="L18" s="8"/>
    </row>
    <row r="21" spans="1:13" ht="17" x14ac:dyDescent="0.2">
      <c r="A21" s="1" t="s">
        <v>0</v>
      </c>
      <c r="B21" s="7" t="s">
        <v>57</v>
      </c>
      <c r="C21" s="7" t="s">
        <v>45</v>
      </c>
      <c r="D21" s="7" t="s">
        <v>58</v>
      </c>
      <c r="E21" s="7" t="s">
        <v>59</v>
      </c>
    </row>
    <row r="22" spans="1:13" x14ac:dyDescent="0.2">
      <c r="A22" s="7"/>
      <c r="B22" s="7"/>
      <c r="C22" s="7"/>
      <c r="D22" s="7"/>
      <c r="E22" s="7"/>
    </row>
    <row r="23" spans="1:13" x14ac:dyDescent="0.2">
      <c r="A23" s="7">
        <v>15</v>
      </c>
      <c r="B23" s="7">
        <v>4.5466149318052036</v>
      </c>
      <c r="C23" s="7">
        <f xml:space="preserve"> 9.09533692</f>
        <v>9.0953369199999994</v>
      </c>
      <c r="D23" s="7">
        <v>15</v>
      </c>
      <c r="E23" s="7">
        <f xml:space="preserve"> LN(C23-B23)</f>
        <v>1.5148463117927722</v>
      </c>
      <c r="L23" t="s">
        <v>66</v>
      </c>
      <c r="M23">
        <f xml:space="preserve"> 0.0221</f>
        <v>2.2100000000000002E-2</v>
      </c>
    </row>
    <row r="24" spans="1:13" x14ac:dyDescent="0.2">
      <c r="A24" s="7">
        <v>30</v>
      </c>
      <c r="B24" s="7">
        <v>5.2320828051294521</v>
      </c>
      <c r="C24" s="7">
        <f t="shared" ref="C24:C32" si="10" xml:space="preserve"> 9.09533692</f>
        <v>9.0953369199999994</v>
      </c>
      <c r="D24" s="7">
        <v>30</v>
      </c>
      <c r="E24" s="7">
        <f t="shared" ref="E24:E32" si="11" xml:space="preserve"> LN(C24-B24)</f>
        <v>1.3515098632629312</v>
      </c>
      <c r="L24" t="s">
        <v>67</v>
      </c>
      <c r="M24">
        <f xml:space="preserve"> EXP(2.2263)</f>
        <v>9.2655201541343608</v>
      </c>
    </row>
    <row r="25" spans="1:13" x14ac:dyDescent="0.2">
      <c r="A25" s="7">
        <v>45</v>
      </c>
      <c r="B25" s="7">
        <v>6.3520883481503239</v>
      </c>
      <c r="C25" s="7">
        <f t="shared" si="10"/>
        <v>9.0953369199999994</v>
      </c>
      <c r="D25" s="7">
        <v>45</v>
      </c>
      <c r="E25" s="7">
        <f t="shared" si="11"/>
        <v>1.0091428282833961</v>
      </c>
    </row>
    <row r="26" spans="1:13" x14ac:dyDescent="0.2">
      <c r="A26" s="7">
        <v>60</v>
      </c>
      <c r="B26" s="7">
        <v>6.670341289336581</v>
      </c>
      <c r="C26" s="7">
        <f t="shared" si="10"/>
        <v>9.0953369199999994</v>
      </c>
      <c r="D26" s="7">
        <v>60</v>
      </c>
      <c r="E26" s="7">
        <f t="shared" si="11"/>
        <v>0.88582972259954218</v>
      </c>
    </row>
    <row r="27" spans="1:13" x14ac:dyDescent="0.2">
      <c r="A27" s="7">
        <v>90</v>
      </c>
      <c r="B27" s="7">
        <v>8.0167960405092149</v>
      </c>
      <c r="C27" s="7">
        <f t="shared" si="10"/>
        <v>9.0953369199999994</v>
      </c>
      <c r="D27" s="7">
        <v>90</v>
      </c>
      <c r="E27" s="7">
        <f t="shared" si="11"/>
        <v>7.560909015356955E-2</v>
      </c>
    </row>
    <row r="28" spans="1:13" x14ac:dyDescent="0.2">
      <c r="A28" s="7">
        <v>120</v>
      </c>
      <c r="B28" s="7">
        <v>8.3105679862196062</v>
      </c>
      <c r="C28" s="7">
        <f t="shared" si="10"/>
        <v>9.0953369199999994</v>
      </c>
      <c r="D28" s="7">
        <v>120</v>
      </c>
      <c r="E28" s="7">
        <f t="shared" si="11"/>
        <v>-0.24236595640185463</v>
      </c>
    </row>
    <row r="29" spans="1:13" x14ac:dyDescent="0.2">
      <c r="A29" s="7">
        <v>180</v>
      </c>
      <c r="B29" s="7">
        <v>8.7512259047851941</v>
      </c>
      <c r="C29" s="7">
        <f t="shared" si="10"/>
        <v>9.0953369199999994</v>
      </c>
      <c r="D29" s="7">
        <v>180</v>
      </c>
      <c r="E29" s="7">
        <f t="shared" si="11"/>
        <v>-1.0667909550235111</v>
      </c>
    </row>
    <row r="30" spans="1:13" x14ac:dyDescent="0.2">
      <c r="A30" s="7">
        <v>240</v>
      </c>
      <c r="B30" s="7">
        <v>8.861390384426592</v>
      </c>
      <c r="C30" s="7">
        <f t="shared" si="10"/>
        <v>9.0953369199999994</v>
      </c>
      <c r="D30" s="7">
        <v>240</v>
      </c>
      <c r="E30" s="7">
        <f t="shared" si="11"/>
        <v>-1.4526626701855954</v>
      </c>
    </row>
    <row r="31" spans="1:13" x14ac:dyDescent="0.2">
      <c r="A31" s="7">
        <v>300</v>
      </c>
      <c r="B31" s="7">
        <v>9.0884516174652497</v>
      </c>
      <c r="C31" s="7">
        <f t="shared" si="10"/>
        <v>9.0953369199999994</v>
      </c>
      <c r="D31" s="7">
        <v>300</v>
      </c>
      <c r="E31" s="7">
        <f t="shared" si="11"/>
        <v>-4.9783662066267826</v>
      </c>
    </row>
    <row r="32" spans="1:13" x14ac:dyDescent="0.2">
      <c r="A32" s="7">
        <v>360</v>
      </c>
      <c r="B32" s="7">
        <v>9.0939598414473206</v>
      </c>
      <c r="C32" s="7">
        <f t="shared" si="10"/>
        <v>9.0953369199999994</v>
      </c>
      <c r="D32" s="7">
        <v>360</v>
      </c>
      <c r="E32" s="7">
        <f t="shared" si="11"/>
        <v>-6.5877910146181282</v>
      </c>
    </row>
    <row r="33" spans="1:12" x14ac:dyDescent="0.2">
      <c r="B33" s="17" t="s">
        <v>62</v>
      </c>
    </row>
    <row r="35" spans="1:12" x14ac:dyDescent="0.2">
      <c r="A35" s="18" t="s">
        <v>58</v>
      </c>
      <c r="B35" s="18" t="s">
        <v>60</v>
      </c>
      <c r="C35" s="18" t="s">
        <v>57</v>
      </c>
    </row>
    <row r="36" spans="1:12" x14ac:dyDescent="0.2">
      <c r="A36" s="18"/>
      <c r="B36" s="18"/>
      <c r="C36" s="18"/>
    </row>
    <row r="37" spans="1:12" x14ac:dyDescent="0.2">
      <c r="A37" s="7">
        <v>15</v>
      </c>
      <c r="B37" s="18">
        <f xml:space="preserve"> LN(A37)</f>
        <v>2.7080502011022101</v>
      </c>
      <c r="C37" s="18">
        <v>4.5466149318052036</v>
      </c>
    </row>
    <row r="38" spans="1:12" x14ac:dyDescent="0.2">
      <c r="A38" s="7">
        <v>30</v>
      </c>
      <c r="B38" s="18">
        <f t="shared" ref="B38:B46" si="12" xml:space="preserve"> LN(A38)</f>
        <v>3.4011973816621555</v>
      </c>
      <c r="C38" s="18">
        <v>5.2320828051294521</v>
      </c>
    </row>
    <row r="39" spans="1:12" x14ac:dyDescent="0.2">
      <c r="A39" s="7">
        <v>45</v>
      </c>
      <c r="B39" s="18">
        <f t="shared" si="12"/>
        <v>3.8066624897703196</v>
      </c>
      <c r="C39" s="18">
        <v>6.3520883481503239</v>
      </c>
      <c r="K39" t="s">
        <v>69</v>
      </c>
      <c r="L39">
        <f xml:space="preserve"> 1/1.5591</f>
        <v>0.64139567699313704</v>
      </c>
    </row>
    <row r="40" spans="1:12" x14ac:dyDescent="0.2">
      <c r="A40" s="7">
        <v>60</v>
      </c>
      <c r="B40" s="18">
        <f t="shared" si="12"/>
        <v>4.0943445622221004</v>
      </c>
      <c r="C40" s="18">
        <v>6.670341289336581</v>
      </c>
      <c r="K40" t="s">
        <v>70</v>
      </c>
      <c r="L40">
        <f xml:space="preserve"> (1/L39)*EXP((0.3888*L39/1.5591))</f>
        <v>1.8295253236887656</v>
      </c>
    </row>
    <row r="41" spans="1:12" x14ac:dyDescent="0.2">
      <c r="A41" s="7">
        <v>90</v>
      </c>
      <c r="B41" s="18">
        <f t="shared" si="12"/>
        <v>4.499809670330265</v>
      </c>
      <c r="C41" s="18">
        <v>8.0167960405092149</v>
      </c>
    </row>
    <row r="42" spans="1:12" x14ac:dyDescent="0.2">
      <c r="A42" s="7">
        <v>120</v>
      </c>
      <c r="B42" s="18">
        <f t="shared" si="12"/>
        <v>4.7874917427820458</v>
      </c>
      <c r="C42" s="18">
        <v>8.3105679862196062</v>
      </c>
    </row>
    <row r="43" spans="1:12" x14ac:dyDescent="0.2">
      <c r="A43" s="7">
        <v>180</v>
      </c>
      <c r="B43" s="18">
        <f t="shared" si="12"/>
        <v>5.1929568508902104</v>
      </c>
      <c r="C43" s="18">
        <v>8.7512259047851941</v>
      </c>
    </row>
    <row r="44" spans="1:12" x14ac:dyDescent="0.2">
      <c r="A44" s="7">
        <v>240</v>
      </c>
      <c r="B44" s="18">
        <f t="shared" si="12"/>
        <v>5.4806389233419912</v>
      </c>
      <c r="C44" s="18">
        <v>8.861390384426592</v>
      </c>
    </row>
    <row r="45" spans="1:12" x14ac:dyDescent="0.2">
      <c r="A45" s="7">
        <v>300</v>
      </c>
      <c r="B45" s="18">
        <f t="shared" si="12"/>
        <v>5.7037824746562009</v>
      </c>
      <c r="C45" s="18">
        <v>9.0884516174652497</v>
      </c>
    </row>
    <row r="46" spans="1:12" x14ac:dyDescent="0.2">
      <c r="A46" s="7">
        <v>360</v>
      </c>
      <c r="B46" s="18">
        <f t="shared" si="12"/>
        <v>5.8861040314501558</v>
      </c>
      <c r="C46" s="18">
        <v>9.0939598414473206</v>
      </c>
    </row>
    <row r="47" spans="1:12" x14ac:dyDescent="0.2">
      <c r="B47" s="17" t="s">
        <v>63</v>
      </c>
    </row>
    <row r="50" spans="1:12" x14ac:dyDescent="0.2">
      <c r="A50" s="18" t="s">
        <v>58</v>
      </c>
      <c r="B50" s="18" t="s">
        <v>61</v>
      </c>
      <c r="C50" s="18" t="s">
        <v>57</v>
      </c>
    </row>
    <row r="51" spans="1:12" x14ac:dyDescent="0.2">
      <c r="A51" s="18"/>
      <c r="B51" s="18"/>
      <c r="C51" s="18"/>
    </row>
    <row r="52" spans="1:12" x14ac:dyDescent="0.2">
      <c r="A52" s="7">
        <v>15</v>
      </c>
      <c r="B52" s="18">
        <f xml:space="preserve"> A52^(1/2)</f>
        <v>3.872983346207417</v>
      </c>
      <c r="C52" s="18">
        <v>4.5466149318052036</v>
      </c>
    </row>
    <row r="53" spans="1:12" x14ac:dyDescent="0.2">
      <c r="A53" s="7">
        <v>30</v>
      </c>
      <c r="B53" s="18">
        <f t="shared" ref="B53:B61" si="13" xml:space="preserve"> A53^(1/2)</f>
        <v>5.4772255750516612</v>
      </c>
      <c r="C53" s="18">
        <v>5.2320828051294521</v>
      </c>
    </row>
    <row r="54" spans="1:12" x14ac:dyDescent="0.2">
      <c r="A54" s="7">
        <v>45</v>
      </c>
      <c r="B54" s="18">
        <f t="shared" si="13"/>
        <v>6.7082039324993694</v>
      </c>
      <c r="C54" s="18">
        <v>6.3520883481503239</v>
      </c>
    </row>
    <row r="55" spans="1:12" x14ac:dyDescent="0.2">
      <c r="A55" s="7">
        <v>60</v>
      </c>
      <c r="B55" s="18">
        <f t="shared" si="13"/>
        <v>7.745966692414834</v>
      </c>
      <c r="C55" s="18">
        <v>6.670341289336581</v>
      </c>
    </row>
    <row r="56" spans="1:12" x14ac:dyDescent="0.2">
      <c r="A56" s="7">
        <v>90</v>
      </c>
      <c r="B56" s="18">
        <f t="shared" si="13"/>
        <v>9.4868329805051381</v>
      </c>
      <c r="C56" s="18">
        <v>8.0167960405092149</v>
      </c>
      <c r="K56" t="s">
        <v>72</v>
      </c>
      <c r="L56">
        <v>0.29849999999999999</v>
      </c>
    </row>
    <row r="57" spans="1:12" x14ac:dyDescent="0.2">
      <c r="A57" s="7">
        <v>120</v>
      </c>
      <c r="B57" s="18">
        <f t="shared" si="13"/>
        <v>10.954451150103322</v>
      </c>
      <c r="C57" s="18">
        <v>8.3105679862196062</v>
      </c>
      <c r="K57" t="s">
        <v>71</v>
      </c>
      <c r="L57">
        <v>4.2255000000000003</v>
      </c>
    </row>
    <row r="58" spans="1:12" x14ac:dyDescent="0.2">
      <c r="A58" s="7">
        <v>180</v>
      </c>
      <c r="B58" s="18">
        <f t="shared" si="13"/>
        <v>13.416407864998739</v>
      </c>
      <c r="C58" s="18">
        <v>8.7512259047851941</v>
      </c>
    </row>
    <row r="59" spans="1:12" x14ac:dyDescent="0.2">
      <c r="A59" s="7">
        <v>240</v>
      </c>
      <c r="B59" s="18">
        <f t="shared" si="13"/>
        <v>15.491933384829668</v>
      </c>
      <c r="C59" s="18">
        <v>8.861390384426592</v>
      </c>
    </row>
    <row r="60" spans="1:12" x14ac:dyDescent="0.2">
      <c r="A60" s="7">
        <v>300</v>
      </c>
      <c r="B60" s="18">
        <f t="shared" si="13"/>
        <v>17.320508075688775</v>
      </c>
      <c r="C60" s="18">
        <v>9.0884516174652497</v>
      </c>
    </row>
    <row r="61" spans="1:12" x14ac:dyDescent="0.2">
      <c r="A61" s="7">
        <v>360</v>
      </c>
      <c r="B61" s="18">
        <f t="shared" si="13"/>
        <v>18.973665961010276</v>
      </c>
      <c r="C61" s="18">
        <v>9.0939598414473206</v>
      </c>
    </row>
    <row r="63" spans="1:12" x14ac:dyDescent="0.2">
      <c r="B63" s="17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0E29-4663-D944-A6E4-146C4877809A}">
  <dimension ref="A1:N13"/>
  <sheetViews>
    <sheetView topLeftCell="A9" zoomScale="125" workbookViewId="0">
      <selection activeCell="A26" sqref="A26"/>
    </sheetView>
  </sheetViews>
  <sheetFormatPr baseColWidth="10" defaultColWidth="11.1640625" defaultRowHeight="16" x14ac:dyDescent="0.2"/>
  <sheetData>
    <row r="1" spans="1:14" ht="8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40</v>
      </c>
      <c r="K1" s="3" t="s">
        <v>9</v>
      </c>
      <c r="L1" s="5"/>
      <c r="M1" s="5"/>
      <c r="N1" s="6"/>
    </row>
    <row r="2" spans="1:14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</row>
    <row r="3" spans="1:14" x14ac:dyDescent="0.2">
      <c r="A3" s="7" t="s">
        <v>90</v>
      </c>
      <c r="B3" s="7">
        <v>1.6287</v>
      </c>
      <c r="C3" s="7">
        <f xml:space="preserve"> 10/1000</f>
        <v>0.01</v>
      </c>
      <c r="D3" s="7">
        <f t="shared" ref="D3:D8" si="0" xml:space="preserve"> E3/(1000*$B$10)</f>
        <v>3.1314586334314521E-5</v>
      </c>
      <c r="E3" s="7">
        <v>15</v>
      </c>
      <c r="F3" s="7" t="s">
        <v>10</v>
      </c>
      <c r="G3" s="7">
        <f xml:space="preserve"> B3/($B$11*$B$13)</f>
        <v>2.0809689427957144E-5</v>
      </c>
      <c r="H3" s="7">
        <f t="shared" ref="H3:H8" si="1" xml:space="preserve"> G3*1000*$B$10</f>
        <v>9.9680493328857516</v>
      </c>
      <c r="I3" s="7">
        <f xml:space="preserve"> H3</f>
        <v>9.9680493328857516</v>
      </c>
      <c r="J3" s="16">
        <f xml:space="preserve"> ((E3-I3)*$B$12)/C3</f>
        <v>10.063901334228497</v>
      </c>
      <c r="K3" s="16">
        <f xml:space="preserve"> ((E3-I3)/E3)*100</f>
        <v>33.546337780761654</v>
      </c>
      <c r="L3" s="8"/>
      <c r="M3" s="8"/>
      <c r="N3" s="8"/>
    </row>
    <row r="4" spans="1:14" x14ac:dyDescent="0.2">
      <c r="A4" s="7" t="s">
        <v>90</v>
      </c>
      <c r="B4" s="7">
        <v>0.90359999999999996</v>
      </c>
      <c r="C4" s="7">
        <f xml:space="preserve"> 20/1000</f>
        <v>0.02</v>
      </c>
      <c r="D4" s="7">
        <f t="shared" si="0"/>
        <v>3.1314586334314521E-5</v>
      </c>
      <c r="E4" s="7">
        <v>15</v>
      </c>
      <c r="F4" s="7" t="s">
        <v>10</v>
      </c>
      <c r="G4" s="7">
        <f t="shared" ref="G4:G8" si="2" xml:space="preserve"> B4/($B$11*$B$13)</f>
        <v>1.1545180430467288E-5</v>
      </c>
      <c r="H4" s="7">
        <f t="shared" si="1"/>
        <v>5.530256877998136</v>
      </c>
      <c r="I4" s="7">
        <f xml:space="preserve"> H4</f>
        <v>5.530256877998136</v>
      </c>
      <c r="J4" s="16">
        <f t="shared" ref="J4:J8" si="3" xml:space="preserve"> ((E4-I4)*$B$12)/C4</f>
        <v>9.469743122001864</v>
      </c>
      <c r="K4" s="16">
        <f t="shared" ref="K4:K8" si="4" xml:space="preserve"> ((E4-I4)/E4)*100</f>
        <v>63.131620813345755</v>
      </c>
      <c r="L4" s="8"/>
      <c r="M4" s="8"/>
      <c r="N4" s="8"/>
    </row>
    <row r="5" spans="1:14" x14ac:dyDescent="0.2">
      <c r="A5" s="7" t="s">
        <v>90</v>
      </c>
      <c r="B5" s="9">
        <v>0.1099</v>
      </c>
      <c r="C5" s="7">
        <f xml:space="preserve"> 40/1000</f>
        <v>0.04</v>
      </c>
      <c r="D5" s="7">
        <f t="shared" si="0"/>
        <v>3.1314586334314521E-5</v>
      </c>
      <c r="E5" s="7">
        <v>15</v>
      </c>
      <c r="F5" s="7" t="s">
        <v>10</v>
      </c>
      <c r="G5" s="7">
        <f t="shared" si="2"/>
        <v>1.4041780979508134E-6</v>
      </c>
      <c r="H5" s="7">
        <f t="shared" si="1"/>
        <v>0.67261535069941902</v>
      </c>
      <c r="I5" s="7">
        <f xml:space="preserve"> H5</f>
        <v>0.67261535069941902</v>
      </c>
      <c r="J5" s="16">
        <f t="shared" si="3"/>
        <v>7.1636923246502908</v>
      </c>
      <c r="K5" s="16">
        <f t="shared" si="4"/>
        <v>95.51589766200388</v>
      </c>
      <c r="L5" s="8"/>
      <c r="M5" s="8"/>
      <c r="N5" s="8"/>
    </row>
    <row r="6" spans="1:14" x14ac:dyDescent="0.2">
      <c r="A6" s="7" t="s">
        <v>90</v>
      </c>
      <c r="B6" s="9">
        <v>2.53E-2</v>
      </c>
      <c r="C6" s="7">
        <f xml:space="preserve"> 60/1000</f>
        <v>0.06</v>
      </c>
      <c r="D6" s="7">
        <f t="shared" si="0"/>
        <v>3.1314586334314521E-5</v>
      </c>
      <c r="E6" s="7">
        <v>15</v>
      </c>
      <c r="F6" s="7" t="s">
        <v>10</v>
      </c>
      <c r="G6" s="7">
        <f t="shared" si="2"/>
        <v>3.2325483055646569E-7</v>
      </c>
      <c r="H6" s="7">
        <f t="shared" si="1"/>
        <v>0.15484229638485264</v>
      </c>
      <c r="I6" s="7">
        <f xml:space="preserve"> H6</f>
        <v>0.15484229638485264</v>
      </c>
      <c r="J6" s="16">
        <f t="shared" si="3"/>
        <v>4.9483859012050493</v>
      </c>
      <c r="K6" s="16">
        <f t="shared" si="4"/>
        <v>98.967718024100975</v>
      </c>
      <c r="L6" s="8"/>
      <c r="M6" s="8"/>
      <c r="N6" s="8"/>
    </row>
    <row r="7" spans="1:14" x14ac:dyDescent="0.2">
      <c r="A7" s="7" t="s">
        <v>90</v>
      </c>
      <c r="B7" s="9">
        <v>1.3599999999999999E-2</v>
      </c>
      <c r="C7" s="7">
        <f xml:space="preserve"> 80/1000</f>
        <v>0.08</v>
      </c>
      <c r="D7" s="7">
        <f t="shared" si="0"/>
        <v>3.1314586334314521E-5</v>
      </c>
      <c r="E7" s="7">
        <v>15</v>
      </c>
      <c r="F7" s="7" t="s">
        <v>10</v>
      </c>
      <c r="G7" s="7">
        <f t="shared" si="2"/>
        <v>1.7376544251256654E-7</v>
      </c>
      <c r="H7" s="7">
        <f t="shared" si="1"/>
        <v>8.3235384617944497E-2</v>
      </c>
      <c r="I7" s="7">
        <f xml:space="preserve"> H7</f>
        <v>8.3235384617944497E-2</v>
      </c>
      <c r="J7" s="16">
        <f t="shared" si="3"/>
        <v>3.7291911538455138</v>
      </c>
      <c r="K7" s="16">
        <f t="shared" si="4"/>
        <v>99.445097435880371</v>
      </c>
      <c r="L7" s="8"/>
      <c r="M7" s="8"/>
      <c r="N7" s="8"/>
    </row>
    <row r="8" spans="1:14" x14ac:dyDescent="0.2">
      <c r="A8" s="7" t="s">
        <v>90</v>
      </c>
      <c r="B8" s="9">
        <v>6.8999999999999999E-3</v>
      </c>
      <c r="C8" s="7">
        <f xml:space="preserve"> 100/1000</f>
        <v>0.1</v>
      </c>
      <c r="D8" s="7">
        <f t="shared" si="0"/>
        <v>3.1314586334314521E-5</v>
      </c>
      <c r="E8" s="7">
        <v>15</v>
      </c>
      <c r="F8" s="7" t="s">
        <v>10</v>
      </c>
      <c r="G8" s="7">
        <f t="shared" si="2"/>
        <v>8.816040833358156E-8</v>
      </c>
      <c r="H8" s="7">
        <f t="shared" si="1"/>
        <v>4.2229717195868897E-2</v>
      </c>
      <c r="I8" s="7">
        <f xml:space="preserve"> H8</f>
        <v>4.2229717195868897E-2</v>
      </c>
      <c r="J8" s="16">
        <f t="shared" si="3"/>
        <v>2.9915540565608261</v>
      </c>
      <c r="K8" s="16">
        <f t="shared" si="4"/>
        <v>99.718468552027545</v>
      </c>
      <c r="L8" s="8"/>
      <c r="M8" s="8"/>
      <c r="N8" s="8"/>
    </row>
    <row r="9" spans="1:14" x14ac:dyDescent="0.2">
      <c r="M9" t="s">
        <v>11</v>
      </c>
    </row>
    <row r="10" spans="1:14" ht="51" x14ac:dyDescent="0.2">
      <c r="A10" s="3" t="s">
        <v>12</v>
      </c>
      <c r="B10" s="7">
        <v>479.01</v>
      </c>
      <c r="C10" s="8"/>
      <c r="H10" s="8"/>
      <c r="I10" s="8"/>
      <c r="J10" s="8"/>
    </row>
    <row r="11" spans="1:14" ht="68" x14ac:dyDescent="0.2">
      <c r="A11" s="10" t="s">
        <v>13</v>
      </c>
      <c r="B11" s="7">
        <v>78266.425149617775</v>
      </c>
      <c r="C11" s="8"/>
    </row>
    <row r="12" spans="1:14" ht="17" x14ac:dyDescent="0.2">
      <c r="A12" s="10" t="s">
        <v>14</v>
      </c>
      <c r="B12" s="7">
        <f xml:space="preserve"> 20/1000</f>
        <v>0.02</v>
      </c>
      <c r="C12" s="8"/>
    </row>
    <row r="13" spans="1:14" ht="68" x14ac:dyDescent="0.2">
      <c r="A13" s="10" t="s">
        <v>15</v>
      </c>
      <c r="B13" s="7">
        <v>1</v>
      </c>
      <c r="C13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D92-BDA6-034E-B60C-7CFBD403E31D}">
  <dimension ref="A1:AB18"/>
  <sheetViews>
    <sheetView workbookViewId="0">
      <selection activeCell="A3" sqref="A3:A5"/>
    </sheetView>
  </sheetViews>
  <sheetFormatPr baseColWidth="10" defaultColWidth="11.1640625" defaultRowHeight="16" x14ac:dyDescent="0.2"/>
  <sheetData>
    <row r="1" spans="1:28" ht="85" x14ac:dyDescent="0.2">
      <c r="A1" s="1" t="s">
        <v>0</v>
      </c>
      <c r="B1" s="2" t="s">
        <v>1</v>
      </c>
      <c r="C1" s="3" t="s">
        <v>16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40</v>
      </c>
      <c r="I1" s="3" t="s">
        <v>9</v>
      </c>
      <c r="J1" s="3" t="s">
        <v>17</v>
      </c>
      <c r="K1" s="3" t="s">
        <v>18</v>
      </c>
      <c r="L1" s="3" t="s">
        <v>19</v>
      </c>
      <c r="M1" s="3" t="s">
        <v>18</v>
      </c>
      <c r="O1" s="5"/>
    </row>
    <row r="2" spans="1:28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8"/>
      <c r="X2" t="s">
        <v>53</v>
      </c>
      <c r="Y2" s="15" t="s">
        <v>52</v>
      </c>
      <c r="Z2" s="15" t="s">
        <v>54</v>
      </c>
      <c r="AA2" t="s">
        <v>55</v>
      </c>
      <c r="AB2" t="s">
        <v>56</v>
      </c>
    </row>
    <row r="3" spans="1:28" x14ac:dyDescent="0.2">
      <c r="A3" s="7" t="s">
        <v>90</v>
      </c>
      <c r="B3" s="7">
        <v>0.46079999999999999</v>
      </c>
      <c r="C3" s="7">
        <v>298.14999999999998</v>
      </c>
      <c r="D3" s="7">
        <f xml:space="preserve"> E3/(1000*$B$7)</f>
        <v>3.1314586334314521E-5</v>
      </c>
      <c r="E3" s="7">
        <v>15</v>
      </c>
      <c r="F3" s="7">
        <f xml:space="preserve"> B3/($B$8*$B$10)</f>
        <v>5.88758205219049E-6</v>
      </c>
      <c r="G3" s="7">
        <f xml:space="preserve"> F3*1000*$B$7</f>
        <v>2.8202106788197669</v>
      </c>
      <c r="H3" s="16">
        <f xml:space="preserve"> (E3-G3)*$B$9/$B$11</f>
        <v>12.179789321180234</v>
      </c>
      <c r="I3" s="16">
        <f xml:space="preserve"> ((E3-G3)/E3)*100</f>
        <v>81.198595474534898</v>
      </c>
      <c r="J3" s="7">
        <f xml:space="preserve"> H3/G3</f>
        <v>4.3187515786151716</v>
      </c>
      <c r="K3" s="7">
        <f xml:space="preserve"> LN(J3)</f>
        <v>1.4629663740597203</v>
      </c>
      <c r="L3" s="7">
        <f xml:space="preserve"> 1/C3</f>
        <v>3.3540164346805303E-3</v>
      </c>
      <c r="M3" s="7">
        <f xml:space="preserve"> LN(J3)</f>
        <v>1.4629663740597203</v>
      </c>
      <c r="O3" s="8"/>
      <c r="V3" t="s">
        <v>50</v>
      </c>
      <c r="W3">
        <f xml:space="preserve"> -(-1751.2*W4)</f>
        <v>14559.4768</v>
      </c>
      <c r="X3">
        <v>298.14999999999998</v>
      </c>
      <c r="Y3">
        <f xml:space="preserve"> W3-X3*W5</f>
        <v>-3593.1633512099979</v>
      </c>
      <c r="Z3">
        <f xml:space="preserve"> Y3/1000</f>
        <v>-3.5931633512099981</v>
      </c>
      <c r="AA3">
        <f xml:space="preserve"> W3/1000</f>
        <v>14.559476800000001</v>
      </c>
      <c r="AB3">
        <v>60.884253399999999</v>
      </c>
    </row>
    <row r="4" spans="1:28" x14ac:dyDescent="0.2">
      <c r="A4" s="7" t="s">
        <v>90</v>
      </c>
      <c r="B4" s="7">
        <v>0.40749999999999997</v>
      </c>
      <c r="C4" s="7">
        <v>308.14999999999998</v>
      </c>
      <c r="D4" s="7">
        <f xml:space="preserve"> E4/(1000*$B$7)</f>
        <v>3.1314586334314521E-5</v>
      </c>
      <c r="E4" s="7">
        <v>15</v>
      </c>
      <c r="F4" s="7">
        <f xml:space="preserve"> B4/($B$8*$B$10)</f>
        <v>5.2065748399905044E-6</v>
      </c>
      <c r="G4" s="7">
        <f xml:space="preserve"> F4*1000*$B$7</f>
        <v>2.4940014141038516</v>
      </c>
      <c r="H4" s="16">
        <f t="shared" ref="H4:H5" si="0" xml:space="preserve"> (E4-G4)*$B$9/$B$11</f>
        <v>12.505998585896148</v>
      </c>
      <c r="I4" s="16">
        <f t="shared" ref="I4:I5" si="1" xml:space="preserve"> ((E4-G4)/E4)*100</f>
        <v>83.373323905974317</v>
      </c>
      <c r="J4" s="7">
        <f xml:space="preserve"> H4/G4</f>
        <v>5.0144312329469241</v>
      </c>
      <c r="K4" s="7">
        <f xml:space="preserve"> LN(J4)</f>
        <v>1.6123200018110371</v>
      </c>
      <c r="L4" s="7">
        <f xml:space="preserve"> 1/C4</f>
        <v>3.2451728054518907E-3</v>
      </c>
      <c r="M4" s="7">
        <f xml:space="preserve"> LN(J4)</f>
        <v>1.6123200018110371</v>
      </c>
      <c r="O4" s="8"/>
      <c r="V4" t="s">
        <v>22</v>
      </c>
      <c r="W4">
        <v>8.3140000000000001</v>
      </c>
      <c r="X4">
        <v>308.14999999999998</v>
      </c>
      <c r="Y4">
        <f xml:space="preserve"> W3-X4*W5</f>
        <v>-4202.0058852099974</v>
      </c>
      <c r="Z4">
        <f t="shared" ref="Z4:Z5" si="2" xml:space="preserve"> Y4/1000</f>
        <v>-4.2020058852099975</v>
      </c>
    </row>
    <row r="5" spans="1:28" x14ac:dyDescent="0.2">
      <c r="A5" s="7" t="s">
        <v>90</v>
      </c>
      <c r="B5" s="7">
        <v>0.33789999999999998</v>
      </c>
      <c r="C5" s="7">
        <v>318.14999999999998</v>
      </c>
      <c r="D5" s="7">
        <f t="shared" ref="D5" si="3" xml:space="preserve"> E5/(1000*$B$7)</f>
        <v>3.1314586334314521E-5</v>
      </c>
      <c r="E5" s="7">
        <v>15</v>
      </c>
      <c r="F5" s="7">
        <f xml:space="preserve"> B5/($B$8*$B$10)</f>
        <v>4.317304634190899E-6</v>
      </c>
      <c r="G5" s="7">
        <f xml:space="preserve"> F5*1000*$B$7</f>
        <v>2.0680320928237825</v>
      </c>
      <c r="H5" s="16">
        <f t="shared" si="0"/>
        <v>12.931967907176217</v>
      </c>
      <c r="I5" s="16">
        <f t="shared" si="1"/>
        <v>86.213119381174792</v>
      </c>
      <c r="J5" s="7">
        <f xml:space="preserve"> H5/G5</f>
        <v>6.2532723510679835</v>
      </c>
      <c r="K5" s="7">
        <f t="shared" ref="K5" si="4" xml:space="preserve"> LN(J5)</f>
        <v>1.8331049029010082</v>
      </c>
      <c r="L5" s="7">
        <f xml:space="preserve"> 1/C5</f>
        <v>3.1431714600031434E-3</v>
      </c>
      <c r="M5" s="7">
        <f t="shared" ref="M5" si="5" xml:space="preserve"> LN(J5)</f>
        <v>1.8331049029010082</v>
      </c>
      <c r="O5" s="8"/>
      <c r="V5" t="s">
        <v>51</v>
      </c>
      <c r="W5">
        <f xml:space="preserve"> 7.3231*W4</f>
        <v>60.884253399999999</v>
      </c>
      <c r="X5">
        <v>318.14999999999998</v>
      </c>
      <c r="Y5">
        <f xml:space="preserve"> W3-X5*W5</f>
        <v>-4810.8484192099968</v>
      </c>
      <c r="Z5">
        <f t="shared" si="2"/>
        <v>-4.8108484192099965</v>
      </c>
    </row>
    <row r="7" spans="1:28" ht="51" x14ac:dyDescent="0.2">
      <c r="A7" s="3" t="s">
        <v>12</v>
      </c>
      <c r="B7" s="7">
        <v>479.01</v>
      </c>
      <c r="C7" s="8"/>
      <c r="G7" s="8"/>
      <c r="H7" s="8"/>
    </row>
    <row r="8" spans="1:28" ht="68" x14ac:dyDescent="0.2">
      <c r="A8" s="10" t="s">
        <v>13</v>
      </c>
      <c r="B8" s="7">
        <v>78266.425149617775</v>
      </c>
      <c r="C8" s="8"/>
    </row>
    <row r="9" spans="1:28" ht="17" x14ac:dyDescent="0.2">
      <c r="A9" s="10" t="s">
        <v>14</v>
      </c>
      <c r="B9" s="7">
        <f xml:space="preserve"> 20/1000</f>
        <v>0.02</v>
      </c>
      <c r="C9" s="8"/>
    </row>
    <row r="10" spans="1:28" ht="68" x14ac:dyDescent="0.2">
      <c r="A10" s="10" t="s">
        <v>15</v>
      </c>
      <c r="B10" s="7">
        <v>1</v>
      </c>
      <c r="C10" s="8"/>
    </row>
    <row r="11" spans="1:28" ht="34" x14ac:dyDescent="0.2">
      <c r="A11" s="10" t="s">
        <v>2</v>
      </c>
      <c r="B11" s="7">
        <f xml:space="preserve"> 20/1000</f>
        <v>0.02</v>
      </c>
    </row>
    <row r="12" spans="1:28" x14ac:dyDescent="0.2">
      <c r="G12" s="8" t="s">
        <v>20</v>
      </c>
      <c r="H12" s="8">
        <f xml:space="preserve"> INTERCEPT(K3:K5,L3:L5)</f>
        <v>7.3231404793197727</v>
      </c>
    </row>
    <row r="13" spans="1:28" x14ac:dyDescent="0.2">
      <c r="G13" s="8" t="s">
        <v>21</v>
      </c>
      <c r="H13" s="8">
        <f xml:space="preserve"> SLOPE(M3:M5,L3:L5)</f>
        <v>-1751.221360439893</v>
      </c>
    </row>
    <row r="14" spans="1:28" x14ac:dyDescent="0.2">
      <c r="G14" s="8" t="s">
        <v>22</v>
      </c>
      <c r="H14" s="8">
        <v>8.3145000000000007</v>
      </c>
    </row>
    <row r="15" spans="1:28" x14ac:dyDescent="0.2">
      <c r="G15" s="8" t="s">
        <v>23</v>
      </c>
      <c r="H15" s="8">
        <f xml:space="preserve"> H13*H14</f>
        <v>-14560.530001377492</v>
      </c>
    </row>
    <row r="16" spans="1:28" x14ac:dyDescent="0.2">
      <c r="G16" s="8" t="s">
        <v>24</v>
      </c>
      <c r="H16" s="8">
        <f xml:space="preserve"> -H13*H14</f>
        <v>14560.530001377492</v>
      </c>
    </row>
    <row r="17" spans="7:8" x14ac:dyDescent="0.2">
      <c r="G17" s="8"/>
      <c r="H17" s="8"/>
    </row>
    <row r="18" spans="7:8" x14ac:dyDescent="0.2">
      <c r="G18" s="8" t="s">
        <v>25</v>
      </c>
      <c r="H18" s="8">
        <f xml:space="preserve"> ($H$16)-(C3*$H$15)</f>
        <v>4355782.5499120764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241C-2A1F-1A44-801A-C24D889705DD}">
  <dimension ref="A1:L15"/>
  <sheetViews>
    <sheetView zoomScale="107" workbookViewId="0">
      <selection activeCell="S10" sqref="S10"/>
    </sheetView>
  </sheetViews>
  <sheetFormatPr baseColWidth="10" defaultColWidth="11.1640625" defaultRowHeight="16" x14ac:dyDescent="0.2"/>
  <cols>
    <col min="1" max="1" width="11.33203125" bestFit="1" customWidth="1"/>
    <col min="2" max="2" width="12.6640625" customWidth="1"/>
    <col min="3" max="3" width="11.33203125" bestFit="1" customWidth="1"/>
    <col min="4" max="4" width="12.5" bestFit="1" customWidth="1"/>
    <col min="5" max="5" width="11.33203125" bestFit="1" customWidth="1"/>
    <col min="6" max="6" width="12.5" bestFit="1" customWidth="1"/>
    <col min="7" max="11" width="11.33203125" bestFit="1" customWidth="1"/>
  </cols>
  <sheetData>
    <row r="1" spans="1:12" ht="85" x14ac:dyDescent="0.2">
      <c r="A1" s="3" t="s">
        <v>0</v>
      </c>
      <c r="B1" s="3" t="s">
        <v>1</v>
      </c>
      <c r="C1" s="3" t="s">
        <v>38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5</v>
      </c>
      <c r="I1" s="3" t="s">
        <v>39</v>
      </c>
      <c r="J1" s="3" t="s">
        <v>40</v>
      </c>
      <c r="K1" s="3" t="s">
        <v>9</v>
      </c>
      <c r="L1" s="5"/>
    </row>
    <row r="2" spans="1:12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x14ac:dyDescent="0.2">
      <c r="A3" s="7">
        <v>300</v>
      </c>
      <c r="B3" s="7">
        <v>0.39939999999999998</v>
      </c>
      <c r="C3" s="7">
        <v>2</v>
      </c>
      <c r="D3" s="7">
        <v>3.1314586334314521E-5</v>
      </c>
      <c r="E3" s="7">
        <v>15</v>
      </c>
      <c r="F3" s="7">
        <f xml:space="preserve"> B3/($B$12*$B$14)</f>
        <v>5.1030821867293435E-6</v>
      </c>
      <c r="G3" s="7">
        <f xml:space="preserve"> F3*1000*$B$11</f>
        <v>2.4444273982652232</v>
      </c>
      <c r="H3" s="7" t="s">
        <v>10</v>
      </c>
      <c r="I3" s="7">
        <f xml:space="preserve"> G3</f>
        <v>2.4444273982652232</v>
      </c>
      <c r="J3" s="16">
        <f xml:space="preserve"> ((E3-I3)*$B$13)/$B$15</f>
        <v>12.555572601734777</v>
      </c>
      <c r="K3" s="16">
        <f xml:space="preserve"> ((E3-I3)/E3)*100</f>
        <v>83.703817344898511</v>
      </c>
      <c r="L3" s="8"/>
    </row>
    <row r="4" spans="1:12" x14ac:dyDescent="0.2">
      <c r="A4" s="7">
        <v>300</v>
      </c>
      <c r="B4" s="7">
        <v>0.48010000000000003</v>
      </c>
      <c r="C4" s="7">
        <v>4</v>
      </c>
      <c r="D4" s="7">
        <v>3.1314586334314521E-5</v>
      </c>
      <c r="E4" s="7">
        <v>15</v>
      </c>
      <c r="F4" s="7">
        <f t="shared" ref="F4:F9" si="0" xml:space="preserve"> B4/($B$12*$B$14)</f>
        <v>6.134175658109059E-6</v>
      </c>
      <c r="G4" s="7">
        <f t="shared" ref="G4:G9" si="1" xml:space="preserve"> F4*1000*$B$11</f>
        <v>2.9383314819908204</v>
      </c>
      <c r="H4" s="7" t="s">
        <v>10</v>
      </c>
      <c r="I4" s="7">
        <f xml:space="preserve"> G4</f>
        <v>2.9383314819908204</v>
      </c>
      <c r="J4" s="16">
        <f t="shared" ref="J4:J9" si="2" xml:space="preserve"> ((E4-I4)*$B$13)/$B$15</f>
        <v>12.06166851800918</v>
      </c>
      <c r="K4" s="16">
        <f t="shared" ref="K4:K9" si="3" xml:space="preserve"> ((E4-I4)/E4)*100</f>
        <v>80.411123453394524</v>
      </c>
      <c r="L4" s="8"/>
    </row>
    <row r="5" spans="1:12" x14ac:dyDescent="0.2">
      <c r="A5" s="7">
        <v>300</v>
      </c>
      <c r="B5" s="7">
        <v>0.87709999999999999</v>
      </c>
      <c r="C5" s="7">
        <v>6</v>
      </c>
      <c r="D5" s="7">
        <v>3.1314586334314521E-5</v>
      </c>
      <c r="E5" s="7">
        <v>15</v>
      </c>
      <c r="F5" s="7">
        <f t="shared" si="0"/>
        <v>1.1206593354983244E-5</v>
      </c>
      <c r="G5" s="7">
        <f t="shared" si="1"/>
        <v>5.3680702829705238</v>
      </c>
      <c r="H5" s="7" t="s">
        <v>10</v>
      </c>
      <c r="I5" s="7">
        <f xml:space="preserve"> G5</f>
        <v>5.3680702829705238</v>
      </c>
      <c r="J5" s="16">
        <f t="shared" si="2"/>
        <v>9.6319297170294753</v>
      </c>
      <c r="K5" s="16">
        <f t="shared" si="3"/>
        <v>64.212864780196497</v>
      </c>
      <c r="L5" s="8"/>
    </row>
    <row r="6" spans="1:12" x14ac:dyDescent="0.2">
      <c r="A6" s="7">
        <v>300</v>
      </c>
      <c r="B6" s="7">
        <v>1.0076499999999999</v>
      </c>
      <c r="C6" s="7">
        <v>7</v>
      </c>
      <c r="D6" s="7">
        <v>3.1314586334314521E-5</v>
      </c>
      <c r="E6" s="7">
        <v>15</v>
      </c>
      <c r="F6" s="7">
        <f t="shared" si="0"/>
        <v>1.2874613834396152E-5</v>
      </c>
      <c r="G6" s="7">
        <f t="shared" si="1"/>
        <v>6.1670687728141003</v>
      </c>
      <c r="H6" s="7" t="s">
        <v>10</v>
      </c>
      <c r="I6" s="7">
        <f xml:space="preserve"> G6</f>
        <v>6.1670687728141003</v>
      </c>
      <c r="J6" s="16">
        <f t="shared" si="2"/>
        <v>8.8329312271858988</v>
      </c>
      <c r="K6" s="16">
        <f t="shared" si="3"/>
        <v>58.886208181239333</v>
      </c>
      <c r="L6" s="8"/>
    </row>
    <row r="7" spans="1:12" x14ac:dyDescent="0.2">
      <c r="A7" s="7">
        <v>300</v>
      </c>
      <c r="B7" s="7">
        <v>0.10249999999999999</v>
      </c>
      <c r="C7" s="7">
        <v>8</v>
      </c>
      <c r="D7" s="7">
        <v>3.1314586334314521E-5</v>
      </c>
      <c r="E7" s="7">
        <v>15</v>
      </c>
      <c r="F7" s="7">
        <f t="shared" si="0"/>
        <v>1.3096292542307404E-6</v>
      </c>
      <c r="G7" s="7">
        <f t="shared" si="1"/>
        <v>0.62732550906906703</v>
      </c>
      <c r="H7" s="7">
        <v>10</v>
      </c>
      <c r="I7" s="7">
        <f xml:space="preserve"> G7*H7</f>
        <v>6.2732550906906699</v>
      </c>
      <c r="J7" s="16">
        <f t="shared" si="2"/>
        <v>8.7267449093093301</v>
      </c>
      <c r="K7" s="16">
        <f t="shared" si="3"/>
        <v>58.178299395395541</v>
      </c>
      <c r="L7" s="8"/>
    </row>
    <row r="8" spans="1:12" x14ac:dyDescent="0.2">
      <c r="A8" s="7">
        <v>300</v>
      </c>
      <c r="B8" s="7">
        <v>0.9919</v>
      </c>
      <c r="C8" s="7">
        <v>10</v>
      </c>
      <c r="D8" s="7">
        <v>3.1314586334314521E-5</v>
      </c>
      <c r="E8" s="7">
        <v>15</v>
      </c>
      <c r="F8" s="7">
        <f t="shared" si="0"/>
        <v>1.2673378119721674E-5</v>
      </c>
      <c r="G8" s="7">
        <f t="shared" si="1"/>
        <v>6.0706748531278789</v>
      </c>
      <c r="H8" s="7" t="s">
        <v>10</v>
      </c>
      <c r="I8" s="7">
        <f xml:space="preserve"> G8</f>
        <v>6.0706748531278789</v>
      </c>
      <c r="J8" s="16">
        <f t="shared" si="2"/>
        <v>8.9293251468721202</v>
      </c>
      <c r="K8" s="16">
        <f t="shared" si="3"/>
        <v>59.528834312480804</v>
      </c>
      <c r="L8" s="8"/>
    </row>
    <row r="9" spans="1:12" x14ac:dyDescent="0.2">
      <c r="A9" s="7">
        <v>300</v>
      </c>
      <c r="B9" s="7">
        <v>0.14680000000000001</v>
      </c>
      <c r="C9" s="7">
        <v>12</v>
      </c>
      <c r="D9" s="7">
        <v>3.1314586334314521E-5</v>
      </c>
      <c r="E9" s="7">
        <v>15</v>
      </c>
      <c r="F9" s="7">
        <f t="shared" si="0"/>
        <v>1.8756446294738803E-6</v>
      </c>
      <c r="G9" s="7">
        <f t="shared" si="1"/>
        <v>0.89845253396428337</v>
      </c>
      <c r="H9" s="7">
        <v>10</v>
      </c>
      <c r="I9" s="7">
        <f t="shared" ref="I9" si="4" xml:space="preserve"> G9*H9</f>
        <v>8.9845253396428344</v>
      </c>
      <c r="J9" s="16">
        <f t="shared" si="2"/>
        <v>6.0154746603571656</v>
      </c>
      <c r="K9" s="16">
        <f t="shared" si="3"/>
        <v>40.103164402381104</v>
      </c>
      <c r="L9" s="8"/>
    </row>
    <row r="11" spans="1:12" ht="51" x14ac:dyDescent="0.2">
      <c r="A11" s="3" t="s">
        <v>12</v>
      </c>
      <c r="B11" s="7">
        <v>479.01</v>
      </c>
    </row>
    <row r="12" spans="1:12" ht="68" x14ac:dyDescent="0.2">
      <c r="A12" s="10" t="s">
        <v>13</v>
      </c>
      <c r="B12" s="7">
        <v>78266.425149617775</v>
      </c>
    </row>
    <row r="13" spans="1:12" ht="17" x14ac:dyDescent="0.2">
      <c r="A13" s="10" t="s">
        <v>14</v>
      </c>
      <c r="B13" s="7">
        <f xml:space="preserve"> 20/1000</f>
        <v>0.02</v>
      </c>
    </row>
    <row r="14" spans="1:12" ht="68" x14ac:dyDescent="0.2">
      <c r="A14" s="10" t="s">
        <v>15</v>
      </c>
      <c r="B14" s="7">
        <v>1</v>
      </c>
    </row>
    <row r="15" spans="1:12" ht="34" x14ac:dyDescent="0.2">
      <c r="A15" s="10" t="s">
        <v>2</v>
      </c>
      <c r="B15" s="7">
        <f xml:space="preserve"> 20/1000</f>
        <v>0.02</v>
      </c>
    </row>
  </sheetData>
  <pageMargins left="0.7" right="0.7" top="0.75" bottom="0.75" header="0.3" footer="0.3"/>
  <ignoredErrors>
    <ignoredError sqref="I7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B7C1-60C4-E645-A0EF-57783945EBE8}">
  <dimension ref="A1:Z34"/>
  <sheetViews>
    <sheetView zoomScale="75" zoomScaleNormal="125" workbookViewId="0">
      <selection activeCell="Q26" sqref="Q26"/>
    </sheetView>
  </sheetViews>
  <sheetFormatPr baseColWidth="10" defaultColWidth="11.1640625" defaultRowHeight="16" x14ac:dyDescent="0.2"/>
  <cols>
    <col min="1" max="2" width="11.5" bestFit="1" customWidth="1"/>
    <col min="3" max="3" width="13.6640625" bestFit="1" customWidth="1"/>
    <col min="4" max="4" width="11.5" bestFit="1" customWidth="1"/>
    <col min="5" max="5" width="12.6640625" bestFit="1" customWidth="1"/>
    <col min="6" max="6" width="11.5" bestFit="1" customWidth="1"/>
    <col min="8" max="9" width="11.5" bestFit="1" customWidth="1"/>
    <col min="10" max="10" width="11.33203125" bestFit="1" customWidth="1"/>
    <col min="12" max="12" width="11.33203125" bestFit="1" customWidth="1"/>
    <col min="19" max="23" width="11.33203125" bestFit="1" customWidth="1"/>
    <col min="24" max="24" width="15.5" customWidth="1"/>
    <col min="26" max="26" width="11.33203125" bestFit="1" customWidth="1"/>
  </cols>
  <sheetData>
    <row r="1" spans="1:26" ht="85" x14ac:dyDescent="0.2">
      <c r="A1" s="1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5</v>
      </c>
      <c r="H1" s="3" t="s">
        <v>26</v>
      </c>
      <c r="I1" s="4" t="s">
        <v>40</v>
      </c>
      <c r="J1" s="3" t="s">
        <v>9</v>
      </c>
      <c r="K1" s="11"/>
      <c r="L1" s="11"/>
      <c r="M1" s="11"/>
      <c r="N1" s="11"/>
      <c r="O1" s="11"/>
      <c r="P1" s="11"/>
      <c r="Q1" s="11"/>
      <c r="S1" s="14" t="s">
        <v>43</v>
      </c>
      <c r="T1" s="14" t="s">
        <v>44</v>
      </c>
      <c r="U1" s="14" t="s">
        <v>45</v>
      </c>
      <c r="V1" s="14" t="s">
        <v>46</v>
      </c>
      <c r="W1" s="14" t="s">
        <v>47</v>
      </c>
      <c r="X1" s="14" t="s">
        <v>48</v>
      </c>
    </row>
    <row r="2" spans="1:26" x14ac:dyDescent="0.2">
      <c r="A2" s="7"/>
      <c r="B2" s="7"/>
      <c r="C2" s="7"/>
      <c r="D2" s="7"/>
      <c r="E2" s="7"/>
      <c r="F2" s="7"/>
      <c r="G2" s="7"/>
      <c r="H2" s="7"/>
      <c r="I2" s="7"/>
      <c r="J2" s="7"/>
      <c r="S2" s="13"/>
      <c r="T2" s="13"/>
      <c r="U2" s="13"/>
      <c r="V2" s="13"/>
      <c r="W2" s="13"/>
    </row>
    <row r="3" spans="1:26" x14ac:dyDescent="0.2">
      <c r="A3" s="7">
        <v>300</v>
      </c>
      <c r="B3" s="7">
        <v>2.18E-2</v>
      </c>
      <c r="C3" s="7">
        <f t="shared" ref="C3:C10" si="0" xml:space="preserve"> D3/(1000*$B$12)</f>
        <v>2.9226947245360224E-7</v>
      </c>
      <c r="D3" s="7">
        <v>0.14000000000000001</v>
      </c>
      <c r="E3" s="7">
        <f t="shared" ref="E3:E10" si="1" xml:space="preserve"> B3/($B$13*$B$16)</f>
        <v>2.7853578284966553E-7</v>
      </c>
      <c r="F3" s="7">
        <f t="shared" ref="F3:F10" si="2" xml:space="preserve"> E3*1000*$B$12</f>
        <v>0.13342142534281828</v>
      </c>
      <c r="G3" s="7" t="s">
        <v>10</v>
      </c>
      <c r="H3" s="7">
        <v>7.1127919249292448E-4</v>
      </c>
      <c r="I3" s="7">
        <v>6.5785746571817303E-3</v>
      </c>
      <c r="J3" s="7">
        <f xml:space="preserve"> ((D3-H3)/D3)*100</f>
        <v>99.491943433933628</v>
      </c>
      <c r="N3" s="8"/>
      <c r="S3" s="13">
        <v>3.9518357691720697E-3</v>
      </c>
      <c r="T3" s="13">
        <v>3.7079082563108802E-2</v>
      </c>
      <c r="U3" s="13">
        <v>0.106578574657181</v>
      </c>
      <c r="V3" s="13">
        <f xml:space="preserve"> LN(U3)</f>
        <v>-2.2388727756577866</v>
      </c>
      <c r="W3" s="13">
        <f xml:space="preserve"> LN(S3)</f>
        <v>-5.5335750563435919</v>
      </c>
    </row>
    <row r="4" spans="1:26" x14ac:dyDescent="0.2">
      <c r="A4" s="7">
        <v>300</v>
      </c>
      <c r="B4" s="7">
        <v>1.5699999999999999E-2</v>
      </c>
      <c r="C4" s="7">
        <f t="shared" si="0"/>
        <v>5.2190977223857542E-7</v>
      </c>
      <c r="D4" s="7">
        <v>0.25</v>
      </c>
      <c r="E4" s="7">
        <f t="shared" si="1"/>
        <v>2.0059687113485086E-7</v>
      </c>
      <c r="F4" s="7">
        <f t="shared" si="2"/>
        <v>9.6087907242304912E-2</v>
      </c>
      <c r="G4" s="7" t="s">
        <v>10</v>
      </c>
      <c r="H4" s="7">
        <v>2.4999999999999904E-2</v>
      </c>
      <c r="I4" s="7">
        <v>0.15391209275769507</v>
      </c>
      <c r="J4" s="7">
        <f t="shared" ref="J4:J10" si="3" xml:space="preserve"> ((D4-H4)/D4)*100</f>
        <v>90.000000000000028</v>
      </c>
      <c r="N4" s="8"/>
      <c r="S4" s="13">
        <v>6.4564837103077942E-3</v>
      </c>
      <c r="T4" s="13">
        <v>4.1949164582358603E-2</v>
      </c>
      <c r="U4" s="13">
        <v>0.15391209275769507</v>
      </c>
      <c r="V4" s="13">
        <f t="shared" ref="V4:V10" si="4" xml:space="preserve"> LN(U4)</f>
        <v>-1.8713736658005706</v>
      </c>
      <c r="W4" s="13">
        <f t="shared" ref="W4:W10" si="5" xml:space="preserve"> LN(S4)</f>
        <v>-5.0426704266718767</v>
      </c>
    </row>
    <row r="5" spans="1:26" x14ac:dyDescent="0.2">
      <c r="A5" s="7">
        <v>300</v>
      </c>
      <c r="B5" s="7">
        <v>2.12E-2</v>
      </c>
      <c r="C5" s="7">
        <f t="shared" si="0"/>
        <v>1.0438195444771508E-6</v>
      </c>
      <c r="D5" s="7">
        <v>0.5</v>
      </c>
      <c r="E5" s="7">
        <f t="shared" si="1"/>
        <v>2.7086966038591327E-7</v>
      </c>
      <c r="F5" s="7">
        <f t="shared" si="2"/>
        <v>0.12974927602145631</v>
      </c>
      <c r="G5" s="7" t="s">
        <v>10</v>
      </c>
      <c r="H5" s="7">
        <v>5.5699131225747593E-2</v>
      </c>
      <c r="I5" s="7">
        <v>0.37025072397854369</v>
      </c>
      <c r="J5" s="7">
        <f t="shared" si="3"/>
        <v>88.860173754850479</v>
      </c>
      <c r="N5" s="8"/>
      <c r="S5" s="13">
        <v>1.3999999999999927E-2</v>
      </c>
      <c r="T5" s="13">
        <v>3.7812215056765797E-2</v>
      </c>
      <c r="U5" s="13">
        <v>0.37025072397854369</v>
      </c>
      <c r="V5" s="13">
        <f t="shared" si="4"/>
        <v>-0.99357487045857495</v>
      </c>
      <c r="W5" s="13">
        <f t="shared" si="5"/>
        <v>-4.2686979493668833</v>
      </c>
    </row>
    <row r="6" spans="1:26" x14ac:dyDescent="0.2">
      <c r="A6" s="7">
        <v>300</v>
      </c>
      <c r="B6" s="7">
        <v>7.7000000000000002E-3</v>
      </c>
      <c r="C6" s="7">
        <f t="shared" si="0"/>
        <v>1.5657293167157263E-6</v>
      </c>
      <c r="D6" s="7">
        <v>0.75</v>
      </c>
      <c r="E6" s="7">
        <f t="shared" si="1"/>
        <v>9.8381904951487366E-8</v>
      </c>
      <c r="F6" s="7">
        <f t="shared" si="2"/>
        <v>4.7125916290811962E-2</v>
      </c>
      <c r="G6" s="7" t="s">
        <v>10</v>
      </c>
      <c r="H6" s="7">
        <v>6.0942518325816188E-2</v>
      </c>
      <c r="I6" s="7">
        <v>0.70287408370918802</v>
      </c>
      <c r="J6" s="7">
        <f t="shared" si="3"/>
        <v>91.874330889891169</v>
      </c>
      <c r="N6" s="8"/>
      <c r="S6" s="13">
        <v>3.2100592929821557E-2</v>
      </c>
      <c r="T6" s="13">
        <v>4.5670474518595391E-2</v>
      </c>
      <c r="U6" s="13">
        <v>0.70287408370918802</v>
      </c>
      <c r="V6" s="13">
        <f t="shared" si="4"/>
        <v>-0.35257751600328963</v>
      </c>
      <c r="W6" s="13">
        <f t="shared" si="5"/>
        <v>-3.4388807776827548</v>
      </c>
    </row>
    <row r="7" spans="1:26" x14ac:dyDescent="0.2">
      <c r="A7" s="7">
        <v>300</v>
      </c>
      <c r="B7" s="7">
        <v>1.2500000000000001E-2</v>
      </c>
      <c r="C7" s="7">
        <f t="shared" si="0"/>
        <v>2.0876390889543017E-6</v>
      </c>
      <c r="D7" s="7">
        <v>1</v>
      </c>
      <c r="E7" s="7">
        <f t="shared" si="1"/>
        <v>1.5971088466150546E-7</v>
      </c>
      <c r="F7" s="7">
        <f t="shared" si="2"/>
        <v>7.6503110861707732E-2</v>
      </c>
      <c r="G7" s="7" t="s">
        <v>10</v>
      </c>
      <c r="H7" s="7">
        <v>9.0344229355031391E-2</v>
      </c>
      <c r="I7" s="7">
        <v>0.92349688913829231</v>
      </c>
      <c r="J7" s="7">
        <f t="shared" si="3"/>
        <v>90.965577064496856</v>
      </c>
      <c r="N7" s="8"/>
      <c r="S7" s="13">
        <v>4.8798204187558918E-2</v>
      </c>
      <c r="T7" s="13">
        <v>5.28406806362847E-2</v>
      </c>
      <c r="U7" s="13">
        <v>0.92349688913829231</v>
      </c>
      <c r="V7" s="13">
        <f t="shared" si="4"/>
        <v>-7.9587847904777714E-2</v>
      </c>
      <c r="W7" s="13">
        <f t="shared" si="5"/>
        <v>-3.0200617662354197</v>
      </c>
    </row>
    <row r="8" spans="1:26" x14ac:dyDescent="0.2">
      <c r="A8" s="7">
        <v>300</v>
      </c>
      <c r="B8" s="7">
        <v>1.12E-2</v>
      </c>
      <c r="C8" s="7">
        <f t="shared" si="0"/>
        <v>1.0438195444771508E-5</v>
      </c>
      <c r="D8" s="7">
        <v>5</v>
      </c>
      <c r="E8" s="7">
        <f t="shared" si="1"/>
        <v>1.431009526567089E-7</v>
      </c>
      <c r="F8" s="7">
        <f t="shared" si="2"/>
        <v>6.8546787332090131E-2</v>
      </c>
      <c r="G8" s="7" t="s">
        <v>10</v>
      </c>
      <c r="H8" s="7">
        <v>0.47607755757450709</v>
      </c>
      <c r="I8" s="7">
        <v>4.9314532126679103</v>
      </c>
      <c r="J8" s="7">
        <f t="shared" si="3"/>
        <v>90.478448848509856</v>
      </c>
      <c r="N8" s="8"/>
      <c r="S8" s="13">
        <v>0.34487411178296823</v>
      </c>
      <c r="T8" s="13">
        <v>7.6323303818632199E-2</v>
      </c>
      <c r="U8" s="13">
        <v>4.5185951672440163</v>
      </c>
      <c r="V8" s="13">
        <f t="shared" si="4"/>
        <v>1.5082011418275816</v>
      </c>
      <c r="W8" s="13">
        <f t="shared" si="5"/>
        <v>-1.0645758219232677</v>
      </c>
    </row>
    <row r="9" spans="1:26" x14ac:dyDescent="0.2">
      <c r="A9" s="7">
        <v>300</v>
      </c>
      <c r="B9" s="7">
        <v>0.1285</v>
      </c>
      <c r="C9" s="7">
        <f t="shared" si="0"/>
        <v>2.0876390889543015E-5</v>
      </c>
      <c r="D9" s="7">
        <v>10</v>
      </c>
      <c r="E9" s="7">
        <f t="shared" si="1"/>
        <v>1.6418278943202761E-6</v>
      </c>
      <c r="F9" s="7">
        <f t="shared" si="2"/>
        <v>0.78645197965835545</v>
      </c>
      <c r="G9" s="7" t="s">
        <v>10</v>
      </c>
      <c r="H9" s="7">
        <v>2.3803957871774526</v>
      </c>
      <c r="I9" s="7">
        <v>9.2135480203416442</v>
      </c>
      <c r="J9" s="7">
        <f t="shared" si="3"/>
        <v>76.196042128225486</v>
      </c>
      <c r="N9" s="8"/>
      <c r="S9" s="13">
        <v>0.91096121148198039</v>
      </c>
      <c r="T9" s="13">
        <v>0.10835446930274199</v>
      </c>
      <c r="U9" s="13">
        <v>8.4072324597590722</v>
      </c>
      <c r="V9" s="13">
        <f t="shared" si="4"/>
        <v>2.1290923425094448</v>
      </c>
      <c r="W9" s="13">
        <f t="shared" si="5"/>
        <v>-9.3254960584759364E-2</v>
      </c>
    </row>
    <row r="10" spans="1:26" x14ac:dyDescent="0.2">
      <c r="A10" s="7">
        <v>300</v>
      </c>
      <c r="B10" s="7">
        <v>0.74890000000000001</v>
      </c>
      <c r="C10" s="7">
        <f t="shared" si="0"/>
        <v>3.1314586334314521E-5</v>
      </c>
      <c r="D10" s="7">
        <v>15</v>
      </c>
      <c r="E10" s="7">
        <f t="shared" si="1"/>
        <v>9.5685985218401154E-6</v>
      </c>
      <c r="F10" s="7">
        <f t="shared" si="2"/>
        <v>4.5834543779466337</v>
      </c>
      <c r="G10" s="7" t="s">
        <v>10</v>
      </c>
      <c r="H10" s="7">
        <v>9.8332364976426838</v>
      </c>
      <c r="I10" s="7">
        <v>10.416545622053366</v>
      </c>
      <c r="J10" s="7">
        <f t="shared" si="3"/>
        <v>34.445090015715444</v>
      </c>
      <c r="N10" s="8"/>
      <c r="S10" s="13">
        <v>1.0583454377946599</v>
      </c>
      <c r="T10" s="13">
        <v>0.11672521240067799</v>
      </c>
      <c r="U10" s="13">
        <v>9.0669823256497466</v>
      </c>
      <c r="V10" s="13">
        <f t="shared" si="4"/>
        <v>2.2046394993568188</v>
      </c>
      <c r="W10" s="13">
        <f t="shared" si="5"/>
        <v>5.6706780897432883E-2</v>
      </c>
      <c r="Y10" t="s">
        <v>21</v>
      </c>
      <c r="Z10">
        <f xml:space="preserve"> SLOPE(T3:T10,S3:S10)</f>
        <v>7.2546075063015678E-2</v>
      </c>
    </row>
    <row r="12" spans="1:26" ht="51" x14ac:dyDescent="0.2">
      <c r="A12" s="3" t="s">
        <v>12</v>
      </c>
      <c r="B12" s="7">
        <v>479.01</v>
      </c>
      <c r="F12" s="8"/>
      <c r="G12" s="8"/>
      <c r="H12" s="8"/>
      <c r="I12" s="8"/>
    </row>
    <row r="13" spans="1:26" ht="68" x14ac:dyDescent="0.2">
      <c r="A13" s="10" t="s">
        <v>13</v>
      </c>
      <c r="B13" s="7">
        <v>78266.425149999995</v>
      </c>
    </row>
    <row r="14" spans="1:26" ht="17" x14ac:dyDescent="0.2">
      <c r="A14" s="10" t="s">
        <v>14</v>
      </c>
      <c r="B14" s="7">
        <f xml:space="preserve"> 20/1000</f>
        <v>0.02</v>
      </c>
    </row>
    <row r="15" spans="1:26" ht="34" x14ac:dyDescent="0.2">
      <c r="A15" s="10" t="s">
        <v>2</v>
      </c>
      <c r="B15" s="7">
        <f xml:space="preserve"> 20/1000</f>
        <v>0.02</v>
      </c>
    </row>
    <row r="16" spans="1:26" ht="68" x14ac:dyDescent="0.2">
      <c r="A16" s="10" t="s">
        <v>15</v>
      </c>
      <c r="B16" s="7">
        <v>1</v>
      </c>
    </row>
    <row r="24" spans="12:13" x14ac:dyDescent="0.2">
      <c r="L24" s="19"/>
      <c r="M24" s="20"/>
    </row>
    <row r="25" spans="12:13" x14ac:dyDescent="0.2">
      <c r="L25" s="21"/>
      <c r="M25" s="20"/>
    </row>
    <row r="26" spans="12:13" x14ac:dyDescent="0.2">
      <c r="L26" s="21"/>
      <c r="M26" s="20"/>
    </row>
    <row r="27" spans="12:13" x14ac:dyDescent="0.2">
      <c r="L27" s="21"/>
      <c r="M27" s="20"/>
    </row>
    <row r="28" spans="12:13" x14ac:dyDescent="0.2">
      <c r="L28" s="21"/>
      <c r="M28" s="20"/>
    </row>
    <row r="29" spans="12:13" x14ac:dyDescent="0.2">
      <c r="L29" s="21"/>
      <c r="M29" s="20"/>
    </row>
    <row r="30" spans="12:13" x14ac:dyDescent="0.2">
      <c r="L30" s="21"/>
      <c r="M30" s="20"/>
    </row>
    <row r="31" spans="12:13" x14ac:dyDescent="0.2">
      <c r="L31" s="21"/>
      <c r="M31" s="20"/>
    </row>
    <row r="32" spans="12:13" x14ac:dyDescent="0.2">
      <c r="L32" s="21"/>
      <c r="M32" s="20"/>
    </row>
    <row r="33" spans="12:13" x14ac:dyDescent="0.2">
      <c r="L33" s="21"/>
      <c r="M33" s="20"/>
    </row>
    <row r="34" spans="12:13" x14ac:dyDescent="0.2">
      <c r="L34" s="20"/>
      <c r="M34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FF18-A5D5-B94A-8759-9EB4D3432A4C}">
  <dimension ref="A1:R135"/>
  <sheetViews>
    <sheetView zoomScale="75" zoomScaleNormal="289" workbookViewId="0">
      <selection activeCell="S39" sqref="S39"/>
    </sheetView>
  </sheetViews>
  <sheetFormatPr baseColWidth="10" defaultRowHeight="16" x14ac:dyDescent="0.2"/>
  <cols>
    <col min="1" max="1" width="17.1640625" customWidth="1"/>
    <col min="2" max="2" width="13.5" customWidth="1"/>
    <col min="7" max="7" width="15.83203125" customWidth="1"/>
    <col min="12" max="12" width="11.5" bestFit="1" customWidth="1"/>
  </cols>
  <sheetData>
    <row r="1" spans="1:13" x14ac:dyDescent="0.2">
      <c r="A1" s="18"/>
      <c r="B1" s="18"/>
      <c r="C1" s="22" t="s">
        <v>73</v>
      </c>
      <c r="D1" s="18"/>
    </row>
    <row r="2" spans="1:13" x14ac:dyDescent="0.2">
      <c r="A2" s="7" t="s">
        <v>43</v>
      </c>
      <c r="B2" s="7" t="s">
        <v>45</v>
      </c>
      <c r="C2" s="7" t="s">
        <v>43</v>
      </c>
      <c r="D2" s="7" t="s">
        <v>44</v>
      </c>
      <c r="L2" t="s">
        <v>82</v>
      </c>
      <c r="M2">
        <f xml:space="preserve"> 1/0.0863</f>
        <v>11.587485515643106</v>
      </c>
    </row>
    <row r="3" spans="1:13" x14ac:dyDescent="0.2">
      <c r="A3" s="7">
        <v>7.1127919249292448E-4</v>
      </c>
      <c r="B3" s="7">
        <v>6.5785746571817303E-3</v>
      </c>
      <c r="C3" s="7">
        <v>7.1127919249292448E-4</v>
      </c>
      <c r="D3" s="18">
        <f xml:space="preserve"> C3/B3</f>
        <v>0.10812056251675001</v>
      </c>
      <c r="L3" t="s">
        <v>83</v>
      </c>
      <c r="M3">
        <f xml:space="preserve"> 1/(M2*0.0862)</f>
        <v>1.0011600928074245</v>
      </c>
    </row>
    <row r="4" spans="1:13" x14ac:dyDescent="0.2">
      <c r="A4" s="7">
        <v>1.6999999999999901E-2</v>
      </c>
      <c r="B4" s="7">
        <v>0.15391209275769507</v>
      </c>
      <c r="C4" s="7">
        <v>1.6999999999999901E-2</v>
      </c>
      <c r="D4" s="18">
        <f t="shared" ref="D4:D10" si="0" xml:space="preserve"> C4/B4</f>
        <v>0.11045265966699007</v>
      </c>
    </row>
    <row r="5" spans="1:13" x14ac:dyDescent="0.2">
      <c r="A5" s="7">
        <v>3.5699131225747603E-2</v>
      </c>
      <c r="B5" s="7">
        <v>0.37025072397854369</v>
      </c>
      <c r="C5" s="7">
        <v>3.5699131225747603E-2</v>
      </c>
      <c r="D5" s="18">
        <f t="shared" si="0"/>
        <v>9.6418801946262761E-2</v>
      </c>
    </row>
    <row r="6" spans="1:13" x14ac:dyDescent="0.2">
      <c r="A6" s="7">
        <v>6.0942518325816188E-2</v>
      </c>
      <c r="B6" s="7">
        <v>0.70287408370918802</v>
      </c>
      <c r="C6" s="7">
        <v>6.0942518325816188E-2</v>
      </c>
      <c r="D6" s="18">
        <f t="shared" si="0"/>
        <v>8.6704745185954196E-2</v>
      </c>
    </row>
    <row r="7" spans="1:13" x14ac:dyDescent="0.2">
      <c r="A7" s="7">
        <v>8.2903442293550303E-2</v>
      </c>
      <c r="B7" s="7">
        <v>0.92349688913829231</v>
      </c>
      <c r="C7" s="7">
        <v>8.2903442293550303E-2</v>
      </c>
      <c r="D7" s="18">
        <f t="shared" si="0"/>
        <v>8.9771219880238964E-2</v>
      </c>
    </row>
    <row r="8" spans="1:13" x14ac:dyDescent="0.2">
      <c r="A8" s="7">
        <v>0.57607755757450696</v>
      </c>
      <c r="B8" s="7">
        <v>4.9314532126679103</v>
      </c>
      <c r="C8" s="7">
        <v>0.57607755757450696</v>
      </c>
      <c r="D8" s="18">
        <f t="shared" si="0"/>
        <v>0.11681699749166832</v>
      </c>
    </row>
    <row r="9" spans="1:13" x14ac:dyDescent="0.2">
      <c r="A9" s="7">
        <v>2.3803957871774526</v>
      </c>
      <c r="B9" s="7">
        <v>9.2135480203416442</v>
      </c>
      <c r="C9" s="7">
        <v>2.3803957871774526</v>
      </c>
      <c r="D9" s="18">
        <f t="shared" si="0"/>
        <v>0.258358211399346</v>
      </c>
    </row>
    <row r="10" spans="1:13" x14ac:dyDescent="0.2">
      <c r="A10" s="7">
        <v>9.8332364976426838</v>
      </c>
      <c r="B10" s="7">
        <v>10.416545622053366</v>
      </c>
      <c r="C10" s="7">
        <v>9.8332364976426838</v>
      </c>
      <c r="D10" s="18">
        <f t="shared" si="0"/>
        <v>0.94400167334017804</v>
      </c>
    </row>
    <row r="16" spans="1:13" x14ac:dyDescent="0.2">
      <c r="A16" s="22" t="s">
        <v>74</v>
      </c>
      <c r="B16" s="18"/>
    </row>
    <row r="17" spans="1:18" x14ac:dyDescent="0.2">
      <c r="A17" s="18" t="s">
        <v>47</v>
      </c>
      <c r="B17" s="18" t="s">
        <v>46</v>
      </c>
    </row>
    <row r="18" spans="1:18" x14ac:dyDescent="0.2">
      <c r="A18" s="18">
        <f xml:space="preserve"> LN(A3)</f>
        <v>-7.2484455294392296</v>
      </c>
      <c r="B18" s="18">
        <f xml:space="preserve"> LN(B3)</f>
        <v>-5.0239371745594443</v>
      </c>
    </row>
    <row r="19" spans="1:18" x14ac:dyDescent="0.2">
      <c r="A19" s="18">
        <f t="shared" ref="A19:B25" si="1" xml:space="preserve"> LN(A4)</f>
        <v>-4.0745419349259269</v>
      </c>
      <c r="B19" s="18">
        <f t="shared" si="1"/>
        <v>-1.8713736658005706</v>
      </c>
      <c r="Q19" t="s">
        <v>84</v>
      </c>
      <c r="R19">
        <f xml:space="preserve"> 1/0.7981</f>
        <v>1.2529758175667209</v>
      </c>
    </row>
    <row r="20" spans="1:18" x14ac:dyDescent="0.2">
      <c r="A20" s="18">
        <f t="shared" si="1"/>
        <v>-3.3326289259058872</v>
      </c>
      <c r="B20" s="18">
        <f t="shared" si="1"/>
        <v>-0.99357487045857495</v>
      </c>
      <c r="Q20" t="s">
        <v>85</v>
      </c>
      <c r="R20">
        <f xml:space="preserve"> EXP(1.46)</f>
        <v>4.3059595283452063</v>
      </c>
    </row>
    <row r="21" spans="1:18" x14ac:dyDescent="0.2">
      <c r="A21" s="18">
        <f t="shared" si="1"/>
        <v>-2.7978241816014182</v>
      </c>
      <c r="B21" s="18">
        <f t="shared" si="1"/>
        <v>-0.35257751600328963</v>
      </c>
      <c r="Q21" t="s">
        <v>74</v>
      </c>
    </row>
    <row r="22" spans="1:18" x14ac:dyDescent="0.2">
      <c r="A22" s="18">
        <f t="shared" si="1"/>
        <v>-2.4900786942584472</v>
      </c>
      <c r="B22" s="18">
        <f t="shared" si="1"/>
        <v>-7.9587847904777714E-2</v>
      </c>
    </row>
    <row r="23" spans="1:18" x14ac:dyDescent="0.2">
      <c r="A23" s="18">
        <f t="shared" si="1"/>
        <v>-0.55151297878369809</v>
      </c>
      <c r="B23" s="18">
        <f t="shared" si="1"/>
        <v>1.5956337139224988</v>
      </c>
    </row>
    <row r="24" spans="1:18" x14ac:dyDescent="0.2">
      <c r="A24" s="18">
        <f t="shared" si="1"/>
        <v>0.8672667709909313</v>
      </c>
      <c r="B24" s="18">
        <f t="shared" si="1"/>
        <v>2.2206750117335723</v>
      </c>
    </row>
    <row r="25" spans="1:18" x14ac:dyDescent="0.2">
      <c r="A25" s="18">
        <f t="shared" si="1"/>
        <v>2.2857681269318215</v>
      </c>
      <c r="B25" s="18">
        <f t="shared" si="1"/>
        <v>2.3433954671639081</v>
      </c>
    </row>
    <row r="31" spans="1:18" x14ac:dyDescent="0.2">
      <c r="A31" s="22" t="s">
        <v>75</v>
      </c>
      <c r="B31" s="18"/>
    </row>
    <row r="32" spans="1:18" x14ac:dyDescent="0.2">
      <c r="A32" s="18"/>
      <c r="B32" s="18"/>
    </row>
    <row r="33" spans="1:11" x14ac:dyDescent="0.2">
      <c r="A33" s="18" t="s">
        <v>47</v>
      </c>
      <c r="B33" s="18" t="s">
        <v>45</v>
      </c>
      <c r="J33" t="s">
        <v>22</v>
      </c>
      <c r="K33">
        <v>8.3140000000000001</v>
      </c>
    </row>
    <row r="34" spans="1:11" x14ac:dyDescent="0.2">
      <c r="A34" s="18">
        <v>-7.2484455294392296</v>
      </c>
      <c r="B34" s="7">
        <v>6.5785746571817303E-3</v>
      </c>
      <c r="J34" t="s">
        <v>53</v>
      </c>
      <c r="K34">
        <v>298.14999999999998</v>
      </c>
    </row>
    <row r="35" spans="1:11" x14ac:dyDescent="0.2">
      <c r="A35" s="18">
        <v>-4.0745419349259269</v>
      </c>
      <c r="B35" s="7">
        <v>0.15391209275769507</v>
      </c>
      <c r="J35" t="s">
        <v>86</v>
      </c>
      <c r="K35">
        <f xml:space="preserve"> (K33*K34)/1.2837</f>
        <v>1930.9956376100331</v>
      </c>
    </row>
    <row r="36" spans="1:11" x14ac:dyDescent="0.2">
      <c r="A36" s="18">
        <v>-3.3326289259058872</v>
      </c>
      <c r="B36" s="7">
        <v>0.37025072397854369</v>
      </c>
      <c r="J36" t="s">
        <v>87</v>
      </c>
      <c r="K36">
        <f xml:space="preserve"> EXP(6.1225/1.2837)</f>
        <v>117.85045972901379</v>
      </c>
    </row>
    <row r="37" spans="1:11" x14ac:dyDescent="0.2">
      <c r="A37" s="18">
        <v>-2.7978241816014182</v>
      </c>
      <c r="B37" s="7">
        <v>0.70287408370918802</v>
      </c>
    </row>
    <row r="38" spans="1:11" x14ac:dyDescent="0.2">
      <c r="A38" s="18">
        <v>-2.4900786942584472</v>
      </c>
      <c r="B38" s="7">
        <v>0.92349688913829231</v>
      </c>
    </row>
    <row r="39" spans="1:11" x14ac:dyDescent="0.2">
      <c r="A39" s="18">
        <v>-0.55151297878369809</v>
      </c>
      <c r="B39" s="7">
        <v>4.9314532126679103</v>
      </c>
    </row>
    <row r="40" spans="1:11" x14ac:dyDescent="0.2">
      <c r="A40" s="18">
        <v>0.8672667709909313</v>
      </c>
      <c r="B40" s="7">
        <v>9.2135480203416442</v>
      </c>
    </row>
    <row r="41" spans="1:11" x14ac:dyDescent="0.2">
      <c r="A41" s="18">
        <v>2.2857681269318215</v>
      </c>
      <c r="B41" s="7">
        <v>10.416545622053366</v>
      </c>
    </row>
    <row r="47" spans="1:11" x14ac:dyDescent="0.2">
      <c r="A47" s="22" t="s">
        <v>77</v>
      </c>
      <c r="B47" s="18"/>
      <c r="C47" s="18"/>
    </row>
    <row r="48" spans="1:11" x14ac:dyDescent="0.2">
      <c r="A48" s="18" t="s">
        <v>76</v>
      </c>
      <c r="B48" s="18" t="s">
        <v>46</v>
      </c>
      <c r="C48" s="7" t="s">
        <v>43</v>
      </c>
      <c r="G48" s="7"/>
    </row>
    <row r="49" spans="1:12" x14ac:dyDescent="0.2">
      <c r="A49" s="18"/>
      <c r="B49" s="18"/>
      <c r="C49" s="18"/>
      <c r="K49" t="s">
        <v>88</v>
      </c>
      <c r="L49">
        <f xml:space="preserve"> 2*10^-8</f>
        <v>2E-8</v>
      </c>
    </row>
    <row r="50" spans="1:12" x14ac:dyDescent="0.2">
      <c r="A50" s="18">
        <f xml:space="preserve"> (($E$50*$E$51*LN((1/C50)+1))^2)</f>
        <v>322897457.81969118</v>
      </c>
      <c r="B50" s="18">
        <f xml:space="preserve"> LN(B34)</f>
        <v>-5.0239371745594443</v>
      </c>
      <c r="C50" s="7">
        <v>7.1127919249292448E-4</v>
      </c>
      <c r="D50" t="s">
        <v>22</v>
      </c>
      <c r="E50">
        <v>8.3140000000000001</v>
      </c>
      <c r="K50" t="s">
        <v>89</v>
      </c>
      <c r="L50">
        <f xml:space="preserve"> EXP(1.3377)</f>
        <v>3.8102697989341316</v>
      </c>
    </row>
    <row r="51" spans="1:12" x14ac:dyDescent="0.2">
      <c r="A51" s="18">
        <f t="shared" ref="A51:A57" si="2" xml:space="preserve"> (($E$50*$E$51*LN((1/C51)+1))^2)</f>
        <v>102856880.36710441</v>
      </c>
      <c r="B51" s="18">
        <f t="shared" ref="B51:B57" si="3" xml:space="preserve"> LN(B35)</f>
        <v>-1.8713736658005706</v>
      </c>
      <c r="C51" s="7">
        <v>1.6999999999999901E-2</v>
      </c>
      <c r="D51" t="s">
        <v>53</v>
      </c>
      <c r="E51">
        <v>298.14999999999998</v>
      </c>
    </row>
    <row r="52" spans="1:12" x14ac:dyDescent="0.2">
      <c r="A52" s="18">
        <f t="shared" si="2"/>
        <v>69687985.345647782</v>
      </c>
      <c r="B52" s="18">
        <f t="shared" si="3"/>
        <v>-0.99357487045857495</v>
      </c>
      <c r="C52" s="7">
        <v>3.5699131225747603E-2</v>
      </c>
    </row>
    <row r="53" spans="1:12" x14ac:dyDescent="0.2">
      <c r="A53" s="18">
        <f t="shared" si="2"/>
        <v>50153891.302802637</v>
      </c>
      <c r="B53" s="18">
        <f t="shared" si="3"/>
        <v>-0.35257751600328963</v>
      </c>
      <c r="C53" s="7">
        <v>6.0942518325816188E-2</v>
      </c>
    </row>
    <row r="54" spans="1:12" x14ac:dyDescent="0.2">
      <c r="A54" s="18">
        <f t="shared" si="2"/>
        <v>40575398.910906292</v>
      </c>
      <c r="B54" s="18">
        <f t="shared" si="3"/>
        <v>-7.9587847904777714E-2</v>
      </c>
      <c r="C54" s="7">
        <v>8.2903442293550303E-2</v>
      </c>
    </row>
    <row r="55" spans="1:12" x14ac:dyDescent="0.2">
      <c r="A55" s="18">
        <f t="shared" si="2"/>
        <v>6224091.3494999288</v>
      </c>
      <c r="B55" s="18">
        <f t="shared" si="3"/>
        <v>1.5956337139224988</v>
      </c>
      <c r="C55" s="7">
        <v>0.57607755757450696</v>
      </c>
    </row>
    <row r="56" spans="1:12" x14ac:dyDescent="0.2">
      <c r="A56" s="18">
        <f t="shared" si="2"/>
        <v>755832.67456664576</v>
      </c>
      <c r="B56" s="18">
        <f t="shared" si="3"/>
        <v>2.2206750117335723</v>
      </c>
      <c r="C56" s="7">
        <v>2.3803957871774526</v>
      </c>
    </row>
    <row r="57" spans="1:12" x14ac:dyDescent="0.2">
      <c r="A57" s="18">
        <f t="shared" si="2"/>
        <v>57636.222560992806</v>
      </c>
      <c r="B57" s="18">
        <f t="shared" si="3"/>
        <v>2.3433954671639081</v>
      </c>
      <c r="C57" s="7">
        <v>9.8332364976426838</v>
      </c>
    </row>
    <row r="61" spans="1:12" x14ac:dyDescent="0.2">
      <c r="A61" s="22" t="s">
        <v>78</v>
      </c>
      <c r="B61" s="18"/>
      <c r="C61" s="18"/>
      <c r="D61" s="18"/>
      <c r="E61" s="18"/>
    </row>
    <row r="62" spans="1:12" x14ac:dyDescent="0.2">
      <c r="A62" s="18"/>
      <c r="B62" s="18"/>
      <c r="C62" s="18"/>
      <c r="D62" s="18"/>
      <c r="E62" s="18"/>
    </row>
    <row r="63" spans="1:12" x14ac:dyDescent="0.2">
      <c r="A63" s="18" t="s">
        <v>47</v>
      </c>
      <c r="B63" s="18" t="s">
        <v>79</v>
      </c>
      <c r="C63" s="18" t="s">
        <v>80</v>
      </c>
      <c r="D63" s="18" t="s">
        <v>45</v>
      </c>
      <c r="E63" s="18"/>
    </row>
    <row r="64" spans="1:12" x14ac:dyDescent="0.2">
      <c r="A64" s="18"/>
      <c r="B64" s="18"/>
      <c r="C64" s="18"/>
      <c r="D64" s="18"/>
      <c r="E64" s="18"/>
    </row>
    <row r="65" spans="1:14" x14ac:dyDescent="0.2">
      <c r="A65" s="18">
        <v>-7.2484455294392296</v>
      </c>
      <c r="B65" s="18">
        <f xml:space="preserve"> LN(E65)</f>
        <v>-7.3781908399230174</v>
      </c>
      <c r="C65" s="18">
        <v>10.536845400000001</v>
      </c>
      <c r="D65" s="7">
        <v>6.5785746571817303E-3</v>
      </c>
      <c r="E65" s="18">
        <f xml:space="preserve"> D65/(C65-D65)</f>
        <v>6.2473010098370045E-4</v>
      </c>
    </row>
    <row r="66" spans="1:14" x14ac:dyDescent="0.2">
      <c r="A66" s="18">
        <v>-4.0745419349259269</v>
      </c>
      <c r="B66" s="18">
        <f t="shared" ref="B66:B72" si="4" xml:space="preserve"> LN(E66)</f>
        <v>-4.2115370958365279</v>
      </c>
      <c r="C66" s="18">
        <v>10.536845400000001</v>
      </c>
      <c r="D66" s="7">
        <v>0.15391209275769507</v>
      </c>
      <c r="E66" s="18">
        <f t="shared" ref="E66:E72" si="5" xml:space="preserve"> D66/(C66-D66)</f>
        <v>1.4823565576631247E-2</v>
      </c>
    </row>
    <row r="67" spans="1:14" x14ac:dyDescent="0.2">
      <c r="A67" s="18">
        <v>-3.3326289259058872</v>
      </c>
      <c r="B67" s="18">
        <f t="shared" si="4"/>
        <v>-3.3126821843316909</v>
      </c>
      <c r="C67" s="18">
        <v>10.536845400000001</v>
      </c>
      <c r="D67" s="7">
        <v>0.37025072397854369</v>
      </c>
      <c r="E67" s="18">
        <f t="shared" si="5"/>
        <v>3.6418361878024205E-2</v>
      </c>
      <c r="M67" t="s">
        <v>84</v>
      </c>
      <c r="N67">
        <f xml:space="preserve"> 1/1.2284</f>
        <v>0.81406707912732013</v>
      </c>
    </row>
    <row r="68" spans="1:14" x14ac:dyDescent="0.2">
      <c r="A68" s="18">
        <v>-2.7978241816014182</v>
      </c>
      <c r="B68" s="18">
        <f t="shared" si="4"/>
        <v>-2.6384203681991569</v>
      </c>
      <c r="C68" s="18">
        <v>10.536845400000001</v>
      </c>
      <c r="D68" s="7">
        <v>0.70287408370918802</v>
      </c>
      <c r="E68" s="18">
        <f t="shared" si="5"/>
        <v>7.1474083165650196E-2</v>
      </c>
      <c r="M68" t="s">
        <v>81</v>
      </c>
      <c r="N68">
        <f xml:space="preserve"> EXP(N67*0.9616)</f>
        <v>2.1876040488102184</v>
      </c>
    </row>
    <row r="69" spans="1:14" x14ac:dyDescent="0.2">
      <c r="A69" s="18">
        <v>-2.4900786942584472</v>
      </c>
      <c r="B69" s="18">
        <f t="shared" si="4"/>
        <v>-2.3427404504519318</v>
      </c>
      <c r="C69" s="18">
        <v>10.536845400000001</v>
      </c>
      <c r="D69" s="7">
        <v>0.92349688913829231</v>
      </c>
      <c r="E69" s="18">
        <f t="shared" si="5"/>
        <v>9.6064018494167042E-2</v>
      </c>
      <c r="M69" t="s">
        <v>80</v>
      </c>
      <c r="N69">
        <v>10.716336999999999</v>
      </c>
    </row>
    <row r="70" spans="1:14" x14ac:dyDescent="0.2">
      <c r="A70" s="18">
        <v>-0.55151297878369809</v>
      </c>
      <c r="B70" s="18">
        <f t="shared" si="4"/>
        <v>-0.12809531113184117</v>
      </c>
      <c r="C70" s="18">
        <v>10.536845400000001</v>
      </c>
      <c r="D70" s="7">
        <v>4.9314532126679103</v>
      </c>
      <c r="E70" s="18">
        <f t="shared" si="5"/>
        <v>0.87976952331948355</v>
      </c>
    </row>
    <row r="71" spans="1:14" x14ac:dyDescent="0.2">
      <c r="A71" s="18">
        <v>0.8672667709909313</v>
      </c>
      <c r="B71" s="18">
        <f t="shared" si="4"/>
        <v>1.9405483750955796</v>
      </c>
      <c r="C71" s="18">
        <v>10.536845400000001</v>
      </c>
      <c r="D71" s="7">
        <v>9.2135480203416442</v>
      </c>
      <c r="E71" s="18">
        <f t="shared" si="5"/>
        <v>6.962568022858445</v>
      </c>
    </row>
    <row r="72" spans="1:14" x14ac:dyDescent="0.2">
      <c r="A72" s="18">
        <v>2.2857681269318215</v>
      </c>
      <c r="B72" s="18">
        <f t="shared" si="4"/>
        <v>4.4611639689972531</v>
      </c>
      <c r="C72" s="18">
        <v>10.536845400000001</v>
      </c>
      <c r="D72" s="7">
        <v>10.416545622053366</v>
      </c>
      <c r="E72" s="18">
        <f t="shared" si="5"/>
        <v>86.588236485974235</v>
      </c>
    </row>
    <row r="81" spans="1:3" x14ac:dyDescent="0.2">
      <c r="A81" s="20"/>
      <c r="B81" s="20"/>
      <c r="C81" s="20"/>
    </row>
    <row r="82" spans="1:3" x14ac:dyDescent="0.2">
      <c r="A82" s="21"/>
      <c r="B82" s="20"/>
      <c r="C82" s="20"/>
    </row>
    <row r="83" spans="1:3" x14ac:dyDescent="0.2">
      <c r="A83" s="20"/>
      <c r="B83" s="20"/>
      <c r="C83" s="20"/>
    </row>
    <row r="84" spans="1:3" x14ac:dyDescent="0.2">
      <c r="A84" s="21"/>
      <c r="B84" s="21"/>
      <c r="C84" s="21"/>
    </row>
    <row r="85" spans="1:3" x14ac:dyDescent="0.2">
      <c r="A85" s="21"/>
      <c r="B85" s="21"/>
      <c r="C85" s="21"/>
    </row>
    <row r="86" spans="1:3" x14ac:dyDescent="0.2">
      <c r="A86" s="21"/>
      <c r="B86" s="21"/>
      <c r="C86" s="21"/>
    </row>
    <row r="87" spans="1:3" x14ac:dyDescent="0.2">
      <c r="A87" s="21"/>
      <c r="B87" s="21"/>
      <c r="C87" s="21"/>
    </row>
    <row r="88" spans="1:3" x14ac:dyDescent="0.2">
      <c r="A88" s="21"/>
      <c r="B88" s="21"/>
      <c r="C88" s="21"/>
    </row>
    <row r="89" spans="1:3" x14ac:dyDescent="0.2">
      <c r="A89" s="21"/>
      <c r="B89" s="21"/>
      <c r="C89" s="21"/>
    </row>
    <row r="90" spans="1:3" x14ac:dyDescent="0.2">
      <c r="A90" s="21"/>
      <c r="B90" s="21"/>
      <c r="C90" s="21"/>
    </row>
    <row r="91" spans="1:3" x14ac:dyDescent="0.2">
      <c r="A91" s="21"/>
      <c r="B91" s="21"/>
      <c r="C91" s="21"/>
    </row>
    <row r="92" spans="1:3" x14ac:dyDescent="0.2">
      <c r="A92" s="21"/>
      <c r="B92" s="21"/>
      <c r="C92" s="21"/>
    </row>
    <row r="93" spans="1:3" x14ac:dyDescent="0.2">
      <c r="A93" s="20"/>
      <c r="B93" s="20"/>
      <c r="C93" s="20"/>
    </row>
    <row r="94" spans="1:3" x14ac:dyDescent="0.2">
      <c r="A94" s="20"/>
      <c r="B94" s="21"/>
      <c r="C94" s="20"/>
    </row>
    <row r="95" spans="1:3" x14ac:dyDescent="0.2">
      <c r="B95" s="8"/>
    </row>
    <row r="96" spans="1:3" x14ac:dyDescent="0.2">
      <c r="B96" s="8"/>
    </row>
    <row r="135" spans="2:2" x14ac:dyDescent="0.2">
      <c r="B135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F810-B311-9445-86A4-8EF239841529}">
  <dimension ref="A1:J14"/>
  <sheetViews>
    <sheetView tabSelected="1" workbookViewId="0">
      <selection activeCell="R17" sqref="R17"/>
    </sheetView>
  </sheetViews>
  <sheetFormatPr baseColWidth="10" defaultColWidth="11.1640625" defaultRowHeight="16" x14ac:dyDescent="0.2"/>
  <sheetData>
    <row r="1" spans="1:10" ht="85" x14ac:dyDescent="0.2">
      <c r="A1" s="3" t="s">
        <v>27</v>
      </c>
      <c r="B1" s="3" t="s">
        <v>91</v>
      </c>
      <c r="C1" s="3" t="s">
        <v>92</v>
      </c>
      <c r="D1" s="1" t="s">
        <v>29</v>
      </c>
      <c r="E1" s="1" t="s">
        <v>93</v>
      </c>
      <c r="F1" s="1" t="s">
        <v>94</v>
      </c>
      <c r="G1" s="1" t="s">
        <v>95</v>
      </c>
      <c r="H1" s="10" t="s">
        <v>96</v>
      </c>
      <c r="I1" s="10" t="s">
        <v>97</v>
      </c>
      <c r="J1" s="1" t="s">
        <v>37</v>
      </c>
    </row>
    <row r="2" spans="1:10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34" x14ac:dyDescent="0.2">
      <c r="A3" s="7">
        <v>15</v>
      </c>
      <c r="B3" s="7">
        <v>3.1314586334314521E-5</v>
      </c>
      <c r="C3" s="23" t="s">
        <v>98</v>
      </c>
      <c r="D3" s="7">
        <v>1.7000000000000001E-2</v>
      </c>
      <c r="E3" s="7">
        <f xml:space="preserve"> D3/$B$11/$B$13</f>
        <v>1.9616846174544804E-7</v>
      </c>
      <c r="F3" s="7">
        <f xml:space="preserve"> E3*1000*$B$10</f>
        <v>9.396665486068706E-2</v>
      </c>
      <c r="G3" s="7">
        <f xml:space="preserve"> F3</f>
        <v>9.396665486068706E-2</v>
      </c>
      <c r="H3" s="7">
        <f xml:space="preserve"> ((B3-E3)*$B$12)/$B$14</f>
        <v>1.5559208936284538E-5</v>
      </c>
      <c r="I3" s="16">
        <f xml:space="preserve"> H3*1000*$B$10</f>
        <v>7.4530166725696558</v>
      </c>
      <c r="J3" s="16">
        <f xml:space="preserve"> ((A3-G3)/A3)*100</f>
        <v>99.37355563426209</v>
      </c>
    </row>
    <row r="4" spans="1:10" x14ac:dyDescent="0.2">
      <c r="A4" s="7">
        <v>15</v>
      </c>
      <c r="B4" s="7">
        <v>3.1314586334314521E-5</v>
      </c>
      <c r="C4" s="7">
        <v>1</v>
      </c>
      <c r="D4" s="7">
        <v>2.5000000000000001E-2</v>
      </c>
      <c r="E4" s="7">
        <f t="shared" ref="E4:E6" si="0" xml:space="preserve"> D4/$B$11/$B$13</f>
        <v>2.8848303197860007E-7</v>
      </c>
      <c r="F4" s="7">
        <f t="shared" ref="F4:F6" si="1" xml:space="preserve"> E4*1000*$B$10</f>
        <v>0.13818625714806923</v>
      </c>
      <c r="G4" s="7">
        <f t="shared" ref="G4:G6" si="2" xml:space="preserve"> F4</f>
        <v>0.13818625714806923</v>
      </c>
      <c r="H4" s="7">
        <f t="shared" ref="H4:H6" si="3" xml:space="preserve"> ((B4-E4)*$B$12)/$B$14</f>
        <v>1.5513051651167961E-5</v>
      </c>
      <c r="I4" s="16">
        <f t="shared" ref="I4:I6" si="4" xml:space="preserve"> H4*1000*$B$10</f>
        <v>7.4309068714259645</v>
      </c>
      <c r="J4" s="16">
        <f t="shared" ref="J4:J6" si="5" xml:space="preserve"> ((A4-G4)/A4)*100</f>
        <v>99.078758285679541</v>
      </c>
    </row>
    <row r="5" spans="1:10" x14ac:dyDescent="0.2">
      <c r="A5" s="7">
        <v>15</v>
      </c>
      <c r="B5" s="7">
        <v>3.1314586334314521E-5</v>
      </c>
      <c r="C5" s="7">
        <v>2</v>
      </c>
      <c r="D5" s="7">
        <v>3.3000000000000002E-2</v>
      </c>
      <c r="E5" s="7">
        <f t="shared" si="0"/>
        <v>3.807976022117521E-7</v>
      </c>
      <c r="F5" s="7">
        <f t="shared" si="1"/>
        <v>0.18240585943545137</v>
      </c>
      <c r="G5" s="7">
        <f t="shared" si="2"/>
        <v>0.18240585943545137</v>
      </c>
      <c r="H5" s="7">
        <f t="shared" si="3"/>
        <v>1.5466894366051383E-5</v>
      </c>
      <c r="I5" s="16">
        <f t="shared" si="4"/>
        <v>7.4087970702822723</v>
      </c>
      <c r="J5" s="16">
        <f t="shared" si="5"/>
        <v>98.783960937096992</v>
      </c>
    </row>
    <row r="6" spans="1:10" x14ac:dyDescent="0.2">
      <c r="A6" s="7">
        <v>15</v>
      </c>
      <c r="B6" s="7">
        <v>3.1314586334314521E-5</v>
      </c>
      <c r="C6" s="7">
        <v>3</v>
      </c>
      <c r="D6" s="18">
        <v>5.7000000000000002E-2</v>
      </c>
      <c r="E6" s="7">
        <f t="shared" si="0"/>
        <v>6.5774131291120809E-7</v>
      </c>
      <c r="F6" s="7">
        <f t="shared" si="1"/>
        <v>0.31506466629759777</v>
      </c>
      <c r="G6" s="7">
        <f t="shared" si="2"/>
        <v>0.31506466629759777</v>
      </c>
      <c r="H6" s="7">
        <f t="shared" si="3"/>
        <v>1.5328422510701657E-5</v>
      </c>
      <c r="I6" s="16">
        <f t="shared" si="4"/>
        <v>7.342467666851201</v>
      </c>
      <c r="J6" s="16">
        <f t="shared" si="5"/>
        <v>97.899568891349347</v>
      </c>
    </row>
    <row r="10" spans="1:10" ht="51" x14ac:dyDescent="0.2">
      <c r="A10" s="3" t="s">
        <v>12</v>
      </c>
      <c r="B10" s="7">
        <v>479.01</v>
      </c>
    </row>
    <row r="11" spans="1:10" ht="68" x14ac:dyDescent="0.2">
      <c r="A11" s="10" t="s">
        <v>13</v>
      </c>
      <c r="B11" s="7">
        <v>86660.209539999996</v>
      </c>
    </row>
    <row r="12" spans="1:10" ht="17" x14ac:dyDescent="0.2">
      <c r="A12" s="10" t="s">
        <v>14</v>
      </c>
      <c r="B12" s="7">
        <f xml:space="preserve"> 20/1000</f>
        <v>0.02</v>
      </c>
    </row>
    <row r="13" spans="1:10" ht="68" x14ac:dyDescent="0.2">
      <c r="A13" s="10" t="s">
        <v>15</v>
      </c>
      <c r="B13" s="7">
        <v>1</v>
      </c>
    </row>
    <row r="14" spans="1:10" ht="34" x14ac:dyDescent="0.2">
      <c r="A14" s="10" t="s">
        <v>2</v>
      </c>
      <c r="B14" s="7">
        <f xml:space="preserve"> 40/1000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time</vt:lpstr>
      <vt:lpstr>Adsorption kinetic</vt:lpstr>
      <vt:lpstr>Adsorbent dosage</vt:lpstr>
      <vt:lpstr>Temperature</vt:lpstr>
      <vt:lpstr>pH</vt:lpstr>
      <vt:lpstr>Low concentration 12.6.24</vt:lpstr>
      <vt:lpstr>Adsorption isotherm 14.6.24</vt:lpstr>
      <vt:lpstr>Regeneration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mayilswamy b</dc:creator>
  <cp:lastModifiedBy>mayilswamy b</cp:lastModifiedBy>
  <dcterms:created xsi:type="dcterms:W3CDTF">2024-01-09T14:43:10Z</dcterms:created>
  <dcterms:modified xsi:type="dcterms:W3CDTF">2025-08-17T16:37:18Z</dcterms:modified>
</cp:coreProperties>
</file>