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a\Downloads\"/>
    </mc:Choice>
  </mc:AlternateContent>
  <xr:revisionPtr revIDLastSave="0" documentId="13_ncr:1_{B56BAE18-B187-4DD9-A21F-B63BDE5F2A74}" xr6:coauthVersionLast="47" xr6:coauthVersionMax="47" xr10:uidLastSave="{00000000-0000-0000-0000-000000000000}"/>
  <bookViews>
    <workbookView xWindow="-108" yWindow="-108" windowWidth="23256" windowHeight="12456" tabRatio="863" activeTab="5" xr2:uid="{FEBA82DF-A2B6-3F42-875E-2F8692A31326}"/>
  </bookViews>
  <sheets>
    <sheet name="Hemp Processing + Products" sheetId="12" r:id="rId1"/>
    <sheet name="Curent Expected Cash Flow- 2025" sheetId="33" r:id="rId2"/>
    <sheet name="Model" sheetId="37" r:id="rId3"/>
    <sheet name="2025 LBS Sold" sheetId="34" r:id="rId4"/>
    <sheet name="Rolls" sheetId="36" r:id="rId5"/>
    <sheet name="Expenditures" sheetId="30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A10" i="33" l="1"/>
  <c r="EA4" i="33"/>
  <c r="EA5" i="33"/>
  <c r="EA6" i="33"/>
  <c r="EA7" i="33"/>
  <c r="EA8" i="33"/>
  <c r="EA9" i="33"/>
  <c r="DC42" i="33"/>
  <c r="DG8" i="33"/>
  <c r="BY42" i="33"/>
  <c r="CC9" i="33"/>
  <c r="AK42" i="33"/>
  <c r="AO7" i="33"/>
  <c r="BE42" i="33"/>
  <c r="BI8" i="33"/>
  <c r="EG42" i="33"/>
  <c r="EK9" i="33"/>
  <c r="DM42" i="33"/>
  <c r="DQ8" i="33"/>
  <c r="CS42" i="33"/>
  <c r="CW9" i="33"/>
  <c r="BO41" i="33"/>
  <c r="AU42" i="33"/>
  <c r="AY7" i="33"/>
  <c r="F120" i="37"/>
  <c r="CB18" i="33"/>
  <c r="G79" i="37"/>
  <c r="H79" i="37" s="1"/>
  <c r="I79" i="37" s="1"/>
  <c r="J79" i="37" s="1"/>
  <c r="K79" i="37" s="1"/>
  <c r="L79" i="37" s="1"/>
  <c r="M79" i="37" s="1"/>
  <c r="N79" i="37" s="1"/>
  <c r="O79" i="37" s="1"/>
  <c r="P79" i="37" s="1"/>
  <c r="F79" i="37"/>
  <c r="E79" i="37"/>
  <c r="P41" i="37"/>
  <c r="O41" i="37"/>
  <c r="N41" i="37"/>
  <c r="M41" i="37"/>
  <c r="L41" i="37"/>
  <c r="K41" i="37"/>
  <c r="J41" i="37"/>
  <c r="I41" i="37"/>
  <c r="H41" i="37"/>
  <c r="G41" i="37"/>
  <c r="F41" i="37"/>
  <c r="E41" i="37"/>
  <c r="P65" i="37"/>
  <c r="P43" i="37"/>
  <c r="O43" i="37"/>
  <c r="N43" i="37"/>
  <c r="M43" i="37"/>
  <c r="L43" i="37"/>
  <c r="J43" i="37"/>
  <c r="I43" i="37"/>
  <c r="H43" i="37"/>
  <c r="G43" i="37"/>
  <c r="E43" i="37"/>
  <c r="P14" i="37"/>
  <c r="O14" i="37"/>
  <c r="N14" i="37"/>
  <c r="M14" i="37"/>
  <c r="L14" i="37"/>
  <c r="J14" i="37"/>
  <c r="I14" i="37"/>
  <c r="H14" i="37"/>
  <c r="G14" i="37"/>
  <c r="E14" i="37"/>
  <c r="D83" i="37"/>
  <c r="D85" i="37" s="1"/>
  <c r="D76" i="37"/>
  <c r="D69" i="37"/>
  <c r="E65" i="37"/>
  <c r="F65" i="37" s="1"/>
  <c r="G65" i="37" s="1"/>
  <c r="H65" i="37" s="1"/>
  <c r="I65" i="37" s="1"/>
  <c r="J65" i="37" s="1"/>
  <c r="K65" i="37" s="1"/>
  <c r="L65" i="37" s="1"/>
  <c r="M65" i="37" s="1"/>
  <c r="N65" i="37" s="1"/>
  <c r="O65" i="37" s="1"/>
  <c r="R15" i="37"/>
  <c r="F56" i="37"/>
  <c r="G56" i="37" s="1"/>
  <c r="H56" i="37" s="1"/>
  <c r="I56" i="37" s="1"/>
  <c r="J56" i="37" s="1"/>
  <c r="K56" i="37" s="1"/>
  <c r="L56" i="37" s="1"/>
  <c r="M56" i="37" s="1"/>
  <c r="N56" i="37" s="1"/>
  <c r="O56" i="37" s="1"/>
  <c r="P56" i="37" s="1"/>
  <c r="R28" i="37"/>
  <c r="P44" i="37"/>
  <c r="O44" i="37"/>
  <c r="N44" i="37"/>
  <c r="M44" i="37"/>
  <c r="L44" i="37"/>
  <c r="K44" i="37"/>
  <c r="J44" i="37"/>
  <c r="I44" i="37"/>
  <c r="H44" i="37"/>
  <c r="G44" i="37"/>
  <c r="F44" i="37"/>
  <c r="E44" i="37"/>
  <c r="P42" i="37"/>
  <c r="O42" i="37"/>
  <c r="N42" i="37"/>
  <c r="M42" i="37"/>
  <c r="L42" i="37"/>
  <c r="K42" i="37"/>
  <c r="J42" i="37"/>
  <c r="I42" i="37"/>
  <c r="H42" i="37"/>
  <c r="G40" i="37"/>
  <c r="F40" i="37"/>
  <c r="E40" i="37"/>
  <c r="E39" i="37"/>
  <c r="R34" i="37"/>
  <c r="R33" i="37"/>
  <c r="P32" i="37"/>
  <c r="O32" i="37"/>
  <c r="N32" i="37"/>
  <c r="M32" i="37"/>
  <c r="L32" i="37"/>
  <c r="K32" i="37"/>
  <c r="J32" i="37"/>
  <c r="I32" i="37"/>
  <c r="H32" i="37"/>
  <c r="G32" i="37"/>
  <c r="F32" i="37"/>
  <c r="E32" i="37"/>
  <c r="E31" i="37"/>
  <c r="F27" i="37"/>
  <c r="G27" i="37" s="1"/>
  <c r="H27" i="37" s="1"/>
  <c r="I27" i="37" s="1"/>
  <c r="J27" i="37" s="1"/>
  <c r="K27" i="37" s="1"/>
  <c r="L27" i="37" s="1"/>
  <c r="M27" i="37" s="1"/>
  <c r="N27" i="37" s="1"/>
  <c r="O27" i="37" s="1"/>
  <c r="P27" i="37" s="1"/>
  <c r="G137" i="37"/>
  <c r="G42" i="37" s="1"/>
  <c r="F137" i="37"/>
  <c r="F42" i="37" s="1"/>
  <c r="E137" i="37"/>
  <c r="E42" i="37" s="1"/>
  <c r="Q131" i="37"/>
  <c r="Q107" i="37"/>
  <c r="Q119" i="37" s="1"/>
  <c r="R121" i="37"/>
  <c r="R120" i="37"/>
  <c r="E125" i="37"/>
  <c r="F123" i="37" s="1"/>
  <c r="E123" i="37"/>
  <c r="E16" i="37" s="1"/>
  <c r="R108" i="37"/>
  <c r="R95" i="37"/>
  <c r="R107" i="37" s="1"/>
  <c r="R119" i="37" s="1"/>
  <c r="R131" i="37" s="1"/>
  <c r="E95" i="37"/>
  <c r="E107" i="37" s="1"/>
  <c r="E119" i="37" s="1"/>
  <c r="E131" i="37" s="1"/>
  <c r="R96" i="37"/>
  <c r="C16" i="36"/>
  <c r="CI43" i="33"/>
  <c r="BY44" i="33"/>
  <c r="BO43" i="33"/>
  <c r="BE44" i="33"/>
  <c r="AU44" i="33"/>
  <c r="AA43" i="33"/>
  <c r="Q42" i="33"/>
  <c r="Q43" i="33"/>
  <c r="C15" i="36" s="1"/>
  <c r="G42" i="33"/>
  <c r="C7" i="36"/>
  <c r="D87" i="37" l="1"/>
  <c r="E74" i="37"/>
  <c r="E64" i="37"/>
  <c r="F64" i="37" s="1"/>
  <c r="G64" i="37" s="1"/>
  <c r="H64" i="37" s="1"/>
  <c r="I64" i="37" s="1"/>
  <c r="J64" i="37" s="1"/>
  <c r="K64" i="37" s="1"/>
  <c r="L64" i="37" s="1"/>
  <c r="M64" i="37" s="1"/>
  <c r="N64" i="37" s="1"/>
  <c r="O64" i="37" s="1"/>
  <c r="P64" i="37" s="1"/>
  <c r="E46" i="37"/>
  <c r="F16" i="37"/>
  <c r="R44" i="37"/>
  <c r="R42" i="37"/>
  <c r="R32" i="37"/>
  <c r="E36" i="37"/>
  <c r="F125" i="37"/>
  <c r="Y4" i="34"/>
  <c r="Z4" i="34" s="1"/>
  <c r="AA4" i="34" s="1"/>
  <c r="AB4" i="34" s="1"/>
  <c r="AC4" i="34" s="1"/>
  <c r="AD4" i="34" s="1"/>
  <c r="AE4" i="34" s="1"/>
  <c r="AF4" i="34" s="1"/>
  <c r="AG4" i="34" s="1"/>
  <c r="AH4" i="34" s="1"/>
  <c r="AI4" i="34" s="1"/>
  <c r="AK33" i="34"/>
  <c r="E39" i="34"/>
  <c r="O38" i="34"/>
  <c r="N38" i="34"/>
  <c r="M38" i="34"/>
  <c r="L38" i="34"/>
  <c r="K38" i="34"/>
  <c r="J38" i="34"/>
  <c r="H38" i="34"/>
  <c r="G38" i="34"/>
  <c r="E38" i="34"/>
  <c r="D39" i="34"/>
  <c r="C109" i="36"/>
  <c r="D85" i="36"/>
  <c r="L69" i="36"/>
  <c r="P69" i="36"/>
  <c r="C55" i="36"/>
  <c r="C39" i="36"/>
  <c r="C47" i="36"/>
  <c r="C24" i="36"/>
  <c r="C23" i="36"/>
  <c r="A12" i="36"/>
  <c r="A20" i="36" s="1"/>
  <c r="A28" i="36" s="1"/>
  <c r="A36" i="36" s="1"/>
  <c r="A44" i="36" s="1"/>
  <c r="A52" i="36" s="1"/>
  <c r="A60" i="36" s="1"/>
  <c r="A76" i="36" s="1"/>
  <c r="A84" i="36" s="1"/>
  <c r="A92" i="36" s="1"/>
  <c r="A100" i="36" s="1"/>
  <c r="A108" i="36" s="1"/>
  <c r="C14" i="36"/>
  <c r="C8" i="36"/>
  <c r="C6" i="36"/>
  <c r="U15" i="33"/>
  <c r="Q41" i="33"/>
  <c r="C13" i="36" s="1"/>
  <c r="G120" i="37" l="1"/>
  <c r="G123" i="37" s="1"/>
  <c r="F74" i="37"/>
  <c r="E48" i="37"/>
  <c r="E50" i="37" s="1"/>
  <c r="G16" i="37"/>
  <c r="G125" i="37"/>
  <c r="A68" i="36"/>
  <c r="D69" i="36"/>
  <c r="C71" i="36"/>
  <c r="C63" i="36"/>
  <c r="P6" i="37"/>
  <c r="F3" i="37"/>
  <c r="Q33" i="34"/>
  <c r="C14" i="34"/>
  <c r="C13" i="34"/>
  <c r="C12" i="34"/>
  <c r="C9" i="34"/>
  <c r="C11" i="34"/>
  <c r="C10" i="34"/>
  <c r="C8" i="34"/>
  <c r="C7" i="34"/>
  <c r="C6" i="34"/>
  <c r="O32" i="34"/>
  <c r="O31" i="34"/>
  <c r="O40" i="34" s="1"/>
  <c r="O30" i="34"/>
  <c r="O29" i="34"/>
  <c r="O28" i="34"/>
  <c r="O26" i="34"/>
  <c r="O25" i="34"/>
  <c r="N32" i="34"/>
  <c r="N31" i="34"/>
  <c r="N40" i="34" s="1"/>
  <c r="N30" i="34"/>
  <c r="N29" i="34"/>
  <c r="N28" i="34"/>
  <c r="N26" i="34"/>
  <c r="N25" i="34"/>
  <c r="M32" i="34"/>
  <c r="M31" i="34"/>
  <c r="M40" i="34" s="1"/>
  <c r="M30" i="34"/>
  <c r="M29" i="34"/>
  <c r="M28" i="34"/>
  <c r="M26" i="34"/>
  <c r="M25" i="34"/>
  <c r="L32" i="34"/>
  <c r="L31" i="34"/>
  <c r="L40" i="34" s="1"/>
  <c r="L30" i="34"/>
  <c r="L29" i="34"/>
  <c r="L28" i="34"/>
  <c r="L26" i="34"/>
  <c r="L25" i="34"/>
  <c r="K32" i="34"/>
  <c r="K31" i="34"/>
  <c r="K40" i="34" s="1"/>
  <c r="K30" i="34"/>
  <c r="K29" i="34"/>
  <c r="K28" i="34"/>
  <c r="K26" i="34"/>
  <c r="K25" i="34"/>
  <c r="J32" i="34"/>
  <c r="J31" i="34"/>
  <c r="J40" i="34" s="1"/>
  <c r="J30" i="34"/>
  <c r="J29" i="34"/>
  <c r="J28" i="34"/>
  <c r="J26" i="34"/>
  <c r="J25" i="34"/>
  <c r="I27" i="34"/>
  <c r="I31" i="34"/>
  <c r="I40" i="34" s="1"/>
  <c r="I32" i="34"/>
  <c r="I28" i="34"/>
  <c r="I26" i="34"/>
  <c r="I25" i="34"/>
  <c r="G29" i="34"/>
  <c r="G30" i="34"/>
  <c r="G31" i="34"/>
  <c r="G40" i="34" s="1"/>
  <c r="G32" i="34"/>
  <c r="H31" i="34"/>
  <c r="H40" i="34" s="1"/>
  <c r="H32" i="34"/>
  <c r="H29" i="34"/>
  <c r="H30" i="34"/>
  <c r="H28" i="34"/>
  <c r="H26" i="34"/>
  <c r="H25" i="34"/>
  <c r="F32" i="34"/>
  <c r="F31" i="34"/>
  <c r="F40" i="34" s="1"/>
  <c r="F30" i="34"/>
  <c r="F29" i="34"/>
  <c r="F28" i="34"/>
  <c r="G28" i="34"/>
  <c r="G26" i="34"/>
  <c r="G25" i="34"/>
  <c r="I39" i="34" l="1"/>
  <c r="G37" i="34"/>
  <c r="O39" i="34"/>
  <c r="AB13" i="34"/>
  <c r="AH13" i="34"/>
  <c r="AG13" i="34"/>
  <c r="AE13" i="34"/>
  <c r="AA13" i="34"/>
  <c r="X13" i="34"/>
  <c r="AD13" i="34"/>
  <c r="Z13" i="34"/>
  <c r="AF13" i="34"/>
  <c r="Y13" i="34"/>
  <c r="AI13" i="34"/>
  <c r="L39" i="34"/>
  <c r="N39" i="34"/>
  <c r="K39" i="34"/>
  <c r="I38" i="34"/>
  <c r="M39" i="34"/>
  <c r="Z12" i="34"/>
  <c r="X12" i="34"/>
  <c r="AC12" i="34"/>
  <c r="AB14" i="34"/>
  <c r="X14" i="34"/>
  <c r="AA14" i="34"/>
  <c r="AF14" i="34"/>
  <c r="Z14" i="34"/>
  <c r="AH14" i="34"/>
  <c r="AG14" i="34"/>
  <c r="AC14" i="34"/>
  <c r="Y14" i="34"/>
  <c r="AI14" i="34"/>
  <c r="H39" i="34"/>
  <c r="M37" i="34"/>
  <c r="AB11" i="34"/>
  <c r="AG11" i="34"/>
  <c r="AD11" i="34"/>
  <c r="AA11" i="34"/>
  <c r="AF11" i="34"/>
  <c r="AC11" i="34"/>
  <c r="Z11" i="34"/>
  <c r="AH11" i="34"/>
  <c r="AE11" i="34"/>
  <c r="Y11" i="34"/>
  <c r="AI11" i="34"/>
  <c r="AB9" i="34"/>
  <c r="X9" i="34"/>
  <c r="AF9" i="34"/>
  <c r="AE9" i="34"/>
  <c r="AA9" i="34"/>
  <c r="AH9" i="34"/>
  <c r="Z9" i="34"/>
  <c r="AG9" i="34"/>
  <c r="AD9" i="34"/>
  <c r="AC9" i="34"/>
  <c r="AI9" i="34"/>
  <c r="G39" i="34"/>
  <c r="F39" i="34"/>
  <c r="J39" i="34"/>
  <c r="H120" i="37"/>
  <c r="H123" i="37" s="1"/>
  <c r="G74" i="37"/>
  <c r="F28" i="37"/>
  <c r="E59" i="37"/>
  <c r="H122" i="37"/>
  <c r="H40" i="37" s="1"/>
  <c r="H16" i="37"/>
  <c r="G3" i="37"/>
  <c r="F95" i="37"/>
  <c r="F107" i="37" s="1"/>
  <c r="F119" i="37" s="1"/>
  <c r="F131" i="37" s="1"/>
  <c r="J37" i="34"/>
  <c r="H37" i="34"/>
  <c r="L37" i="34"/>
  <c r="I37" i="34"/>
  <c r="K37" i="34"/>
  <c r="K42" i="34" s="1"/>
  <c r="O37" i="34"/>
  <c r="N37" i="34"/>
  <c r="C17" i="36"/>
  <c r="R17" i="37"/>
  <c r="Q28" i="34"/>
  <c r="F27" i="34"/>
  <c r="F26" i="34"/>
  <c r="F25" i="34"/>
  <c r="E32" i="34"/>
  <c r="E30" i="34"/>
  <c r="E31" i="34"/>
  <c r="E40" i="34" s="1"/>
  <c r="E29" i="34"/>
  <c r="E26" i="34"/>
  <c r="E25" i="34"/>
  <c r="D32" i="34"/>
  <c r="D31" i="34"/>
  <c r="D40" i="34" s="1"/>
  <c r="D27" i="34"/>
  <c r="D26" i="34"/>
  <c r="D25" i="34"/>
  <c r="O12" i="34"/>
  <c r="AI12" i="34" s="1"/>
  <c r="O10" i="34"/>
  <c r="O8" i="34"/>
  <c r="AI8" i="34" s="1"/>
  <c r="O7" i="34"/>
  <c r="AI7" i="34" s="1"/>
  <c r="O6" i="34"/>
  <c r="AI6" i="34" s="1"/>
  <c r="N12" i="34"/>
  <c r="AH12" i="34" s="1"/>
  <c r="N10" i="34"/>
  <c r="N8" i="34"/>
  <c r="AH8" i="34" s="1"/>
  <c r="N7" i="34"/>
  <c r="AH7" i="34" s="1"/>
  <c r="N6" i="34"/>
  <c r="M12" i="34"/>
  <c r="AG12" i="34" s="1"/>
  <c r="M10" i="34"/>
  <c r="M8" i="34"/>
  <c r="AG8" i="34" s="1"/>
  <c r="M7" i="34"/>
  <c r="AG7" i="34" s="1"/>
  <c r="M6" i="34"/>
  <c r="AG6" i="34" s="1"/>
  <c r="L12" i="34"/>
  <c r="AF12" i="34" s="1"/>
  <c r="L10" i="34"/>
  <c r="L8" i="34"/>
  <c r="AF8" i="34" s="1"/>
  <c r="L7" i="34"/>
  <c r="AF7" i="34" s="1"/>
  <c r="L6" i="34"/>
  <c r="K14" i="34"/>
  <c r="AE14" i="34" s="1"/>
  <c r="K12" i="34"/>
  <c r="AE12" i="34" s="1"/>
  <c r="K10" i="34"/>
  <c r="K8" i="34"/>
  <c r="AE8" i="34" s="1"/>
  <c r="K7" i="34"/>
  <c r="AE7" i="34" s="1"/>
  <c r="K6" i="34"/>
  <c r="AE6" i="34" s="1"/>
  <c r="J14" i="34"/>
  <c r="AD14" i="34" s="1"/>
  <c r="J12" i="34"/>
  <c r="AD12" i="34" s="1"/>
  <c r="J10" i="34"/>
  <c r="J8" i="34"/>
  <c r="AD8" i="34" s="1"/>
  <c r="J7" i="34"/>
  <c r="AD7" i="34" s="1"/>
  <c r="J6" i="34"/>
  <c r="AD6" i="34" s="1"/>
  <c r="I13" i="34"/>
  <c r="I10" i="34"/>
  <c r="I8" i="34"/>
  <c r="AC8" i="34" s="1"/>
  <c r="I7" i="34"/>
  <c r="AC7" i="34" s="1"/>
  <c r="I6" i="34"/>
  <c r="AC6" i="34" s="1"/>
  <c r="H12" i="34"/>
  <c r="AB12" i="34" s="1"/>
  <c r="H10" i="34"/>
  <c r="H8" i="34"/>
  <c r="AB8" i="34" s="1"/>
  <c r="H7" i="34"/>
  <c r="AB7" i="34" s="1"/>
  <c r="H6" i="34"/>
  <c r="G12" i="34"/>
  <c r="AA12" i="34" s="1"/>
  <c r="G10" i="34"/>
  <c r="G8" i="34"/>
  <c r="AA8" i="34" s="1"/>
  <c r="G7" i="34"/>
  <c r="AA7" i="34" s="1"/>
  <c r="G6" i="34"/>
  <c r="AA6" i="34" s="1"/>
  <c r="F10" i="34"/>
  <c r="F8" i="34"/>
  <c r="Z8" i="34" s="1"/>
  <c r="F7" i="34"/>
  <c r="Z7" i="34" s="1"/>
  <c r="F6" i="34"/>
  <c r="Z6" i="34" s="1"/>
  <c r="E12" i="34"/>
  <c r="Y12" i="34" s="1"/>
  <c r="E10" i="34"/>
  <c r="Y10" i="34" s="1"/>
  <c r="E9" i="34"/>
  <c r="Y9" i="34" s="1"/>
  <c r="E8" i="34"/>
  <c r="Y8" i="34" s="1"/>
  <c r="E7" i="34"/>
  <c r="Y7" i="34" s="1"/>
  <c r="E6" i="34"/>
  <c r="Y6" i="34" s="1"/>
  <c r="D11" i="34"/>
  <c r="D10" i="34"/>
  <c r="D8" i="34"/>
  <c r="X8" i="34" s="1"/>
  <c r="D7" i="34"/>
  <c r="X7" i="34" s="1"/>
  <c r="D6" i="34"/>
  <c r="X6" i="34" s="1"/>
  <c r="E4" i="34"/>
  <c r="F4" i="34" s="1"/>
  <c r="G4" i="34" s="1"/>
  <c r="H4" i="34" s="1"/>
  <c r="I4" i="34" s="1"/>
  <c r="J4" i="34" s="1"/>
  <c r="K4" i="34" s="1"/>
  <c r="L4" i="34" s="1"/>
  <c r="M4" i="34" s="1"/>
  <c r="N4" i="34" s="1"/>
  <c r="O4" i="34" s="1"/>
  <c r="U12" i="12"/>
  <c r="W17" i="12"/>
  <c r="K86" i="12"/>
  <c r="W16" i="12"/>
  <c r="U14" i="12"/>
  <c r="C38" i="30"/>
  <c r="B38" i="30"/>
  <c r="C23" i="30"/>
  <c r="C33" i="30"/>
  <c r="B33" i="30"/>
  <c r="J70" i="12"/>
  <c r="D70" i="12" s="1"/>
  <c r="C70" i="12"/>
  <c r="Q67" i="12"/>
  <c r="S67" i="12" s="1"/>
  <c r="T68" i="12" s="1"/>
  <c r="J69" i="12"/>
  <c r="D69" i="12" s="1"/>
  <c r="C69" i="12"/>
  <c r="P58" i="12"/>
  <c r="P59" i="12"/>
  <c r="L58" i="12"/>
  <c r="L59" i="12"/>
  <c r="C58" i="12"/>
  <c r="J58" i="12"/>
  <c r="C59" i="12"/>
  <c r="J59" i="12"/>
  <c r="B47" i="12"/>
  <c r="J60" i="12" s="1"/>
  <c r="C68" i="12"/>
  <c r="J68" i="12"/>
  <c r="D68" i="12" s="1"/>
  <c r="E68" i="12" s="1"/>
  <c r="DW23" i="33"/>
  <c r="O6" i="37" s="1"/>
  <c r="DW28" i="33"/>
  <c r="G28" i="33"/>
  <c r="Q55" i="12"/>
  <c r="S55" i="12" s="1"/>
  <c r="T56" i="12" s="1"/>
  <c r="Q57" i="12"/>
  <c r="S57" i="12" s="1"/>
  <c r="T58" i="12" s="1"/>
  <c r="Q61" i="12"/>
  <c r="S61" i="12" s="1"/>
  <c r="T62" i="12" s="1"/>
  <c r="Q64" i="12"/>
  <c r="R64" i="12" s="1"/>
  <c r="P53" i="12"/>
  <c r="P52" i="12"/>
  <c r="P54" i="12"/>
  <c r="P56" i="12"/>
  <c r="P60" i="12"/>
  <c r="P63" i="12"/>
  <c r="P65" i="12"/>
  <c r="P66" i="12"/>
  <c r="K12" i="12"/>
  <c r="I12" i="12"/>
  <c r="B31" i="12" s="1"/>
  <c r="AD15" i="33"/>
  <c r="AE15" i="33" s="1"/>
  <c r="M10" i="33"/>
  <c r="C12" i="33"/>
  <c r="C13" i="33"/>
  <c r="C14" i="33"/>
  <c r="C11" i="33"/>
  <c r="CK41" i="33" s="1"/>
  <c r="E69" i="36" s="1"/>
  <c r="J66" i="12"/>
  <c r="J65" i="12"/>
  <c r="J63" i="12"/>
  <c r="J62" i="12"/>
  <c r="J56" i="12"/>
  <c r="J53" i="12"/>
  <c r="D53" i="12" s="1"/>
  <c r="E53" i="12" s="1"/>
  <c r="J54" i="12"/>
  <c r="D54" i="12" s="1"/>
  <c r="E54" i="12" s="1"/>
  <c r="J52" i="12"/>
  <c r="C54" i="12"/>
  <c r="C53" i="12"/>
  <c r="C60" i="12"/>
  <c r="K60" i="12"/>
  <c r="L60" i="12"/>
  <c r="C63" i="12"/>
  <c r="C66" i="12"/>
  <c r="C11" i="30"/>
  <c r="B11" i="30"/>
  <c r="AK45" i="33"/>
  <c r="C32" i="36" s="1"/>
  <c r="AG16" i="33"/>
  <c r="D79" i="33"/>
  <c r="D74" i="33"/>
  <c r="DM44" i="33"/>
  <c r="C95" i="36" s="1"/>
  <c r="EC14" i="33"/>
  <c r="EC15" i="33"/>
  <c r="EC16" i="33"/>
  <c r="EC17" i="33"/>
  <c r="EC18" i="33"/>
  <c r="EC19" i="33"/>
  <c r="EC13" i="33"/>
  <c r="EK4" i="33"/>
  <c r="EK5" i="33"/>
  <c r="EK6" i="33"/>
  <c r="EK7" i="33"/>
  <c r="EK8" i="33"/>
  <c r="EK3" i="33"/>
  <c r="EK10" i="33" s="1"/>
  <c r="EA3" i="33"/>
  <c r="EA14" i="33"/>
  <c r="EA15" i="33"/>
  <c r="EA16" i="33"/>
  <c r="EA17" i="33"/>
  <c r="EA18" i="33"/>
  <c r="EA19" i="33"/>
  <c r="EA13" i="33"/>
  <c r="EK14" i="33"/>
  <c r="EK15" i="33"/>
  <c r="EK16" i="33"/>
  <c r="EK17" i="33"/>
  <c r="EK18" i="33"/>
  <c r="EK19" i="33"/>
  <c r="EK13" i="33"/>
  <c r="EM14" i="33"/>
  <c r="EM15" i="33"/>
  <c r="EM16" i="33"/>
  <c r="EM17" i="33"/>
  <c r="EM18" i="33"/>
  <c r="EM19" i="33"/>
  <c r="EM13" i="33"/>
  <c r="CS44" i="33"/>
  <c r="C79" i="36" s="1"/>
  <c r="DC44" i="33"/>
  <c r="DW45" i="33"/>
  <c r="C104" i="36" s="1"/>
  <c r="DW44" i="33"/>
  <c r="C103" i="36" s="1"/>
  <c r="DW43" i="33"/>
  <c r="C102" i="36" s="1"/>
  <c r="DW42" i="33"/>
  <c r="C101" i="36" s="1"/>
  <c r="EG45" i="33"/>
  <c r="C112" i="36" s="1"/>
  <c r="EG44" i="33"/>
  <c r="C111" i="36" s="1"/>
  <c r="EG43" i="33"/>
  <c r="C110" i="36" s="1"/>
  <c r="AO12" i="33"/>
  <c r="AO13" i="33"/>
  <c r="AO14" i="33"/>
  <c r="C28" i="34" s="1"/>
  <c r="AC28" i="34" s="1"/>
  <c r="AC39" i="34" s="1"/>
  <c r="AO15" i="33"/>
  <c r="C29" i="34" s="1"/>
  <c r="AG29" i="34" s="1"/>
  <c r="AO16" i="33"/>
  <c r="C30" i="34" s="1"/>
  <c r="AD30" i="34" s="1"/>
  <c r="AO18" i="33"/>
  <c r="C32" i="34" s="1"/>
  <c r="AI32" i="34" s="1"/>
  <c r="AO11" i="33"/>
  <c r="AK44" i="33"/>
  <c r="C31" i="36" s="1"/>
  <c r="DP18" i="33"/>
  <c r="DQ18" i="33" s="1"/>
  <c r="DM45" i="33"/>
  <c r="C96" i="36" s="1"/>
  <c r="DM43" i="33"/>
  <c r="C94" i="36" s="1"/>
  <c r="C93" i="36"/>
  <c r="DS18" i="33"/>
  <c r="DQ19" i="33"/>
  <c r="DS16" i="33"/>
  <c r="DQ17" i="33"/>
  <c r="DS15" i="33"/>
  <c r="DQ16" i="33"/>
  <c r="DS14" i="33"/>
  <c r="DQ15" i="33"/>
  <c r="DS13" i="33"/>
  <c r="DQ14" i="33"/>
  <c r="DS12" i="33"/>
  <c r="DQ13" i="33"/>
  <c r="DQ9" i="33"/>
  <c r="DQ7" i="33"/>
  <c r="DQ6" i="33"/>
  <c r="DQ5" i="33"/>
  <c r="DQ4" i="33"/>
  <c r="DQ3" i="33"/>
  <c r="DC43" i="33"/>
  <c r="C86" i="36" s="1"/>
  <c r="C85" i="36"/>
  <c r="DF17" i="33"/>
  <c r="DG17" i="33" s="1"/>
  <c r="DC45" i="33"/>
  <c r="C88" i="36" s="1"/>
  <c r="DI18" i="33"/>
  <c r="DG18" i="33"/>
  <c r="DI16" i="33"/>
  <c r="DG16" i="33"/>
  <c r="DI15" i="33"/>
  <c r="DG15" i="33"/>
  <c r="DI14" i="33"/>
  <c r="DG14" i="33"/>
  <c r="DI13" i="33"/>
  <c r="DG13" i="33"/>
  <c r="DI12" i="33"/>
  <c r="DG12" i="33"/>
  <c r="DG7" i="33"/>
  <c r="DG6" i="33"/>
  <c r="DG5" i="33"/>
  <c r="DG4" i="33"/>
  <c r="DG3" i="33"/>
  <c r="DG9" i="33" s="1"/>
  <c r="CS45" i="33"/>
  <c r="C80" i="36" s="1"/>
  <c r="CS43" i="33"/>
  <c r="C78" i="36" s="1"/>
  <c r="C77" i="36"/>
  <c r="CY19" i="33"/>
  <c r="CW19" i="33"/>
  <c r="CY18" i="33"/>
  <c r="CW18" i="33"/>
  <c r="CY17" i="33"/>
  <c r="CW17" i="33"/>
  <c r="CY16" i="33"/>
  <c r="CW16" i="33"/>
  <c r="CY15" i="33"/>
  <c r="CW15" i="33"/>
  <c r="CY14" i="33"/>
  <c r="CW14" i="33"/>
  <c r="CY13" i="33"/>
  <c r="CW13" i="33"/>
  <c r="CW8" i="33"/>
  <c r="CW7" i="33"/>
  <c r="CW6" i="33"/>
  <c r="CW5" i="33"/>
  <c r="CW4" i="33"/>
  <c r="CW3" i="33"/>
  <c r="CL17" i="33"/>
  <c r="CM17" i="33" s="1"/>
  <c r="CC18" i="33"/>
  <c r="BR17" i="33"/>
  <c r="BS17" i="33" s="1"/>
  <c r="BH17" i="33"/>
  <c r="BI17" i="33" s="1"/>
  <c r="AX17" i="33"/>
  <c r="AY17" i="33" s="1"/>
  <c r="AN17" i="33"/>
  <c r="AO17" i="33" s="1"/>
  <c r="C31" i="34" s="1"/>
  <c r="AE16" i="33"/>
  <c r="T14" i="33"/>
  <c r="U14" i="33" s="1"/>
  <c r="C62" i="12"/>
  <c r="CN17" i="33" s="1"/>
  <c r="CO17" i="33" s="1"/>
  <c r="B78" i="30"/>
  <c r="CI42" i="33"/>
  <c r="C70" i="36" s="1"/>
  <c r="CI41" i="33"/>
  <c r="C69" i="36" s="1"/>
  <c r="CI44" i="33"/>
  <c r="C72" i="36" s="1"/>
  <c r="CO18" i="33"/>
  <c r="CM18" i="33"/>
  <c r="CO16" i="33"/>
  <c r="CM16" i="33"/>
  <c r="CO15" i="33"/>
  <c r="CM15" i="33"/>
  <c r="CO14" i="33"/>
  <c r="CM14" i="33"/>
  <c r="CO13" i="33"/>
  <c r="CM13" i="33"/>
  <c r="CO12" i="33"/>
  <c r="CM12" i="33"/>
  <c r="CM8" i="33"/>
  <c r="CM7" i="33"/>
  <c r="CM6" i="33"/>
  <c r="CM5" i="33"/>
  <c r="CM4" i="33"/>
  <c r="CM3" i="33"/>
  <c r="AA41" i="33"/>
  <c r="C21" i="36" s="1"/>
  <c r="AE6" i="33"/>
  <c r="BE43" i="33"/>
  <c r="C46" i="36" s="1"/>
  <c r="G41" i="33"/>
  <c r="C5" i="36" s="1"/>
  <c r="C9" i="36" s="1"/>
  <c r="AK43" i="33"/>
  <c r="C30" i="36" s="1"/>
  <c r="B73" i="30"/>
  <c r="B75" i="30" s="1"/>
  <c r="DW29" i="33" s="1"/>
  <c r="B4" i="33"/>
  <c r="CC17" i="33"/>
  <c r="CC19" i="33"/>
  <c r="CE17" i="33"/>
  <c r="BS15" i="33"/>
  <c r="BS16" i="33"/>
  <c r="BU15" i="33"/>
  <c r="BU16" i="33"/>
  <c r="BK16" i="33"/>
  <c r="BI16" i="33"/>
  <c r="BA16" i="33"/>
  <c r="AY16" i="33"/>
  <c r="AQ18" i="33"/>
  <c r="CC16" i="33"/>
  <c r="CE16" i="33"/>
  <c r="AQ16" i="33"/>
  <c r="BA18" i="33"/>
  <c r="BA15" i="33"/>
  <c r="BA14" i="33"/>
  <c r="BK14" i="33"/>
  <c r="BL14" i="33" s="1"/>
  <c r="BK15" i="33"/>
  <c r="AY15" i="33"/>
  <c r="AG14" i="33"/>
  <c r="AE14" i="33"/>
  <c r="BU18" i="33"/>
  <c r="BS18" i="33"/>
  <c r="BY45" i="33"/>
  <c r="C64" i="36" s="1"/>
  <c r="BO44" i="33"/>
  <c r="C56" i="36" s="1"/>
  <c r="BE45" i="33"/>
  <c r="C48" i="36" s="1"/>
  <c r="CE19" i="33"/>
  <c r="CE15" i="33"/>
  <c r="CC15" i="33"/>
  <c r="BU14" i="33"/>
  <c r="BS14" i="33"/>
  <c r="BK18" i="33"/>
  <c r="BI15" i="33"/>
  <c r="BI18" i="33"/>
  <c r="AY18" i="33"/>
  <c r="AG17" i="33"/>
  <c r="AE17" i="33"/>
  <c r="W15" i="33"/>
  <c r="AU45" i="33"/>
  <c r="C40" i="36" s="1"/>
  <c r="AY14" i="33"/>
  <c r="AQ15" i="33"/>
  <c r="AA36" i="33"/>
  <c r="F140" i="37" s="1"/>
  <c r="F14" i="37" s="1"/>
  <c r="G34" i="33"/>
  <c r="AK34" i="33"/>
  <c r="AQ14" i="33"/>
  <c r="AA33" i="33"/>
  <c r="Q34" i="33"/>
  <c r="M12" i="33"/>
  <c r="K12" i="33"/>
  <c r="W13" i="33"/>
  <c r="U13" i="33"/>
  <c r="C27" i="34" s="1"/>
  <c r="AY13" i="33"/>
  <c r="BA13" i="33"/>
  <c r="CC14" i="33"/>
  <c r="CE14" i="33"/>
  <c r="BS13" i="33"/>
  <c r="BU13" i="33"/>
  <c r="BI13" i="33"/>
  <c r="BK13" i="33"/>
  <c r="AQ13" i="33"/>
  <c r="C29" i="36"/>
  <c r="AE12" i="33"/>
  <c r="AG13" i="33"/>
  <c r="AE13" i="33"/>
  <c r="U12" i="33"/>
  <c r="C26" i="34" s="1"/>
  <c r="AH26" i="34" s="1"/>
  <c r="W12" i="33"/>
  <c r="M11" i="33"/>
  <c r="K11" i="33"/>
  <c r="CC13" i="33"/>
  <c r="CE13" i="33"/>
  <c r="BU12" i="33"/>
  <c r="BS12" i="33"/>
  <c r="BI12" i="33"/>
  <c r="BK12" i="33"/>
  <c r="BA12" i="33"/>
  <c r="AY12" i="33"/>
  <c r="C25" i="34" s="1"/>
  <c r="AB25" i="34" s="1"/>
  <c r="AQ12" i="33"/>
  <c r="AG12" i="33"/>
  <c r="W11" i="33"/>
  <c r="U11" i="33"/>
  <c r="K10" i="33"/>
  <c r="C53" i="36"/>
  <c r="BO42" i="33"/>
  <c r="C54" i="36" s="1"/>
  <c r="AA42" i="33"/>
  <c r="C22" i="36" s="1"/>
  <c r="U7" i="33"/>
  <c r="CC8" i="33"/>
  <c r="CC6" i="33"/>
  <c r="CC4" i="33"/>
  <c r="CC5" i="33"/>
  <c r="CC7" i="33"/>
  <c r="CC3" i="33"/>
  <c r="CC10" i="33" s="1"/>
  <c r="BS4" i="33"/>
  <c r="BS5" i="33"/>
  <c r="BS6" i="33"/>
  <c r="BS7" i="33"/>
  <c r="BS8" i="33"/>
  <c r="BS3" i="33"/>
  <c r="BY43" i="33"/>
  <c r="C62" i="36" s="1"/>
  <c r="C61" i="36"/>
  <c r="U6" i="33"/>
  <c r="U5" i="33"/>
  <c r="U4" i="33"/>
  <c r="U3" i="33"/>
  <c r="C45" i="36"/>
  <c r="BI7" i="33"/>
  <c r="BI6" i="33"/>
  <c r="BI5" i="33"/>
  <c r="BI4" i="33"/>
  <c r="BI3" i="33"/>
  <c r="AU43" i="33"/>
  <c r="C38" i="36" s="1"/>
  <c r="AY8" i="33"/>
  <c r="AY6" i="33"/>
  <c r="AY5" i="33"/>
  <c r="AY4" i="33"/>
  <c r="AY3" i="33"/>
  <c r="AO6" i="33"/>
  <c r="AO5" i="33"/>
  <c r="AO4" i="33"/>
  <c r="AO3" i="33"/>
  <c r="AO8" i="33" s="1"/>
  <c r="AE8" i="33"/>
  <c r="AE7" i="33"/>
  <c r="AE5" i="33"/>
  <c r="AE4" i="33"/>
  <c r="AE3" i="33"/>
  <c r="K5" i="33"/>
  <c r="K4" i="33"/>
  <c r="K6" i="33"/>
  <c r="K3" i="33"/>
  <c r="B3" i="33"/>
  <c r="B2" i="33"/>
  <c r="C18" i="30"/>
  <c r="B68" i="30"/>
  <c r="BI9" i="33" l="1"/>
  <c r="C81" i="36"/>
  <c r="C65" i="36"/>
  <c r="C105" i="36"/>
  <c r="CZ19" i="33"/>
  <c r="Y18" i="34"/>
  <c r="AC26" i="34"/>
  <c r="AG26" i="34"/>
  <c r="H42" i="34"/>
  <c r="EN15" i="33"/>
  <c r="J42" i="34"/>
  <c r="AB32" i="34"/>
  <c r="AE30" i="34"/>
  <c r="G42" i="34"/>
  <c r="CW10" i="33"/>
  <c r="AB29" i="34"/>
  <c r="AE29" i="34"/>
  <c r="O42" i="34"/>
  <c r="AK14" i="34"/>
  <c r="N42" i="34"/>
  <c r="Y32" i="34"/>
  <c r="AD29" i="34"/>
  <c r="AH29" i="34"/>
  <c r="AA29" i="34"/>
  <c r="AF30" i="34"/>
  <c r="AI30" i="34"/>
  <c r="Z29" i="34"/>
  <c r="C73" i="36"/>
  <c r="AA32" i="34"/>
  <c r="AF29" i="34"/>
  <c r="AI29" i="34"/>
  <c r="AH32" i="34"/>
  <c r="Q39" i="34"/>
  <c r="Z30" i="34"/>
  <c r="AB30" i="34"/>
  <c r="C49" i="36"/>
  <c r="AH30" i="34"/>
  <c r="AD32" i="34"/>
  <c r="H18" i="34"/>
  <c r="AB10" i="34"/>
  <c r="AB18" i="34" s="1"/>
  <c r="Q30" i="34"/>
  <c r="AK30" i="34" s="1"/>
  <c r="Y30" i="34"/>
  <c r="Z28" i="34"/>
  <c r="Z39" i="34" s="1"/>
  <c r="Z19" i="34"/>
  <c r="C97" i="36"/>
  <c r="C113" i="36"/>
  <c r="AK7" i="34"/>
  <c r="AK8" i="34"/>
  <c r="Z25" i="34"/>
  <c r="AA28" i="34"/>
  <c r="AA39" i="34" s="1"/>
  <c r="AF32" i="34"/>
  <c r="F18" i="34"/>
  <c r="Z10" i="34"/>
  <c r="Z16" i="34" s="1"/>
  <c r="M18" i="34"/>
  <c r="AG10" i="34"/>
  <c r="AG16" i="34" s="1"/>
  <c r="X25" i="34"/>
  <c r="Z26" i="34"/>
  <c r="AK9" i="34"/>
  <c r="Z32" i="34"/>
  <c r="AC32" i="34"/>
  <c r="AG30" i="34"/>
  <c r="AD27" i="34"/>
  <c r="AD38" i="34" s="1"/>
  <c r="Y27" i="34"/>
  <c r="Y38" i="34" s="1"/>
  <c r="AA27" i="34"/>
  <c r="AA38" i="34" s="1"/>
  <c r="AI27" i="34"/>
  <c r="AI38" i="34" s="1"/>
  <c r="AB27" i="34"/>
  <c r="AB38" i="34" s="1"/>
  <c r="AH27" i="34"/>
  <c r="AH38" i="34" s="1"/>
  <c r="AG27" i="34"/>
  <c r="AG38" i="34" s="1"/>
  <c r="AF27" i="34"/>
  <c r="AF38" i="34" s="1"/>
  <c r="AE27" i="34"/>
  <c r="AE38" i="34" s="1"/>
  <c r="D18" i="34"/>
  <c r="X10" i="34"/>
  <c r="AA19" i="34"/>
  <c r="K18" i="34"/>
  <c r="AE10" i="34"/>
  <c r="AE18" i="34" s="1"/>
  <c r="X26" i="34"/>
  <c r="F38" i="34"/>
  <c r="Z27" i="34"/>
  <c r="Z38" i="34" s="1"/>
  <c r="I42" i="34"/>
  <c r="AG32" i="34"/>
  <c r="AE26" i="34"/>
  <c r="AE32" i="34"/>
  <c r="Y28" i="34"/>
  <c r="Y39" i="34" s="1"/>
  <c r="X28" i="34"/>
  <c r="X39" i="34" s="1"/>
  <c r="AG19" i="34"/>
  <c r="O18" i="34"/>
  <c r="AI10" i="34"/>
  <c r="AI16" i="34" s="1"/>
  <c r="Y19" i="34"/>
  <c r="Y16" i="34"/>
  <c r="Q13" i="34"/>
  <c r="AC13" i="34"/>
  <c r="AC19" i="34" s="1"/>
  <c r="Q40" i="34"/>
  <c r="AI18" i="34"/>
  <c r="AI21" i="34" s="1"/>
  <c r="AK12" i="34"/>
  <c r="AE25" i="34"/>
  <c r="AI26" i="34"/>
  <c r="L42" i="34"/>
  <c r="AB26" i="34"/>
  <c r="G18" i="34"/>
  <c r="AA10" i="34"/>
  <c r="AA18" i="34" s="1"/>
  <c r="L19" i="34"/>
  <c r="AF6" i="34"/>
  <c r="X32" i="34"/>
  <c r="AG25" i="34"/>
  <c r="AH28" i="34"/>
  <c r="AH39" i="34" s="1"/>
  <c r="AD25" i="34"/>
  <c r="AD37" i="34" s="1"/>
  <c r="M29" i="36"/>
  <c r="C37" i="36"/>
  <c r="C41" i="36" s="1"/>
  <c r="AE28" i="34"/>
  <c r="AE39" i="34" s="1"/>
  <c r="Q11" i="34"/>
  <c r="X11" i="34"/>
  <c r="AK11" i="34" s="1"/>
  <c r="D38" i="34"/>
  <c r="X27" i="34"/>
  <c r="X38" i="34" s="1"/>
  <c r="C74" i="33"/>
  <c r="DW22" i="33"/>
  <c r="AD19" i="34"/>
  <c r="N18" i="34"/>
  <c r="N21" i="34" s="1"/>
  <c r="AH10" i="34"/>
  <c r="AH18" i="34" s="1"/>
  <c r="Y25" i="34"/>
  <c r="AF25" i="34"/>
  <c r="M42" i="34"/>
  <c r="AG28" i="34"/>
  <c r="AG39" i="34" s="1"/>
  <c r="AA26" i="34"/>
  <c r="AH25" i="34"/>
  <c r="F43" i="37"/>
  <c r="AK28" i="34"/>
  <c r="AF26" i="34"/>
  <c r="C33" i="36"/>
  <c r="C25" i="36"/>
  <c r="X30" i="34"/>
  <c r="AC30" i="34"/>
  <c r="DD44" i="33"/>
  <c r="D87" i="36" s="1"/>
  <c r="C87" i="36"/>
  <c r="C89" i="36" s="1"/>
  <c r="H19" i="34"/>
  <c r="AB6" i="34"/>
  <c r="Y26" i="34"/>
  <c r="AD28" i="34"/>
  <c r="AD39" i="34" s="1"/>
  <c r="AB28" i="34"/>
  <c r="AB39" i="34" s="1"/>
  <c r="AC25" i="34"/>
  <c r="AE19" i="34"/>
  <c r="AI25" i="34"/>
  <c r="AA30" i="34"/>
  <c r="AF28" i="34"/>
  <c r="AF39" i="34" s="1"/>
  <c r="AI28" i="34"/>
  <c r="AI39" i="34" s="1"/>
  <c r="I18" i="34"/>
  <c r="AC10" i="34"/>
  <c r="N19" i="34"/>
  <c r="AH6" i="34"/>
  <c r="AD26" i="34"/>
  <c r="D75" i="33"/>
  <c r="D76" i="33" s="1"/>
  <c r="O13" i="37"/>
  <c r="C57" i="36"/>
  <c r="X29" i="34"/>
  <c r="AC29" i="34"/>
  <c r="J18" i="34"/>
  <c r="AD10" i="34"/>
  <c r="AD16" i="34" s="1"/>
  <c r="L18" i="34"/>
  <c r="AF10" i="34"/>
  <c r="AF18" i="34" s="1"/>
  <c r="AI19" i="34"/>
  <c r="Q29" i="34"/>
  <c r="AK29" i="34" s="1"/>
  <c r="Y29" i="34"/>
  <c r="K140" i="37"/>
  <c r="K14" i="37" s="1"/>
  <c r="K43" i="37" s="1"/>
  <c r="AC27" i="34"/>
  <c r="AC38" i="34" s="1"/>
  <c r="AA25" i="34"/>
  <c r="AE31" i="34"/>
  <c r="AD31" i="34"/>
  <c r="AC31" i="34"/>
  <c r="AB31" i="34"/>
  <c r="AI31" i="34"/>
  <c r="AA31" i="34"/>
  <c r="AH31" i="34"/>
  <c r="Z31" i="34"/>
  <c r="AG31" i="34"/>
  <c r="Y31" i="34"/>
  <c r="AF31" i="34"/>
  <c r="X31" i="34"/>
  <c r="R43" i="37"/>
  <c r="H125" i="37"/>
  <c r="H3" i="37"/>
  <c r="G95" i="37"/>
  <c r="G107" i="37" s="1"/>
  <c r="G119" i="37" s="1"/>
  <c r="G131" i="37" s="1"/>
  <c r="G19" i="34"/>
  <c r="M19" i="34"/>
  <c r="I19" i="34"/>
  <c r="O19" i="34"/>
  <c r="F37" i="34"/>
  <c r="F42" i="34" s="1"/>
  <c r="D19" i="34"/>
  <c r="Q9" i="34"/>
  <c r="E18" i="34"/>
  <c r="F19" i="34"/>
  <c r="E37" i="34"/>
  <c r="E42" i="34" s="1"/>
  <c r="K19" i="34"/>
  <c r="E19" i="34"/>
  <c r="J19" i="34"/>
  <c r="D37" i="34"/>
  <c r="DT18" i="33"/>
  <c r="CP14" i="33"/>
  <c r="EM20" i="33"/>
  <c r="EG28" i="33" s="1"/>
  <c r="EN17" i="33"/>
  <c r="EN16" i="33"/>
  <c r="EN14" i="33"/>
  <c r="Q32" i="34"/>
  <c r="AK32" i="34" s="1"/>
  <c r="Q14" i="34"/>
  <c r="Q25" i="34"/>
  <c r="AK25" i="34" s="1"/>
  <c r="Q26" i="34"/>
  <c r="AK26" i="34" s="1"/>
  <c r="Q8" i="34"/>
  <c r="Q12" i="34"/>
  <c r="Q10" i="34"/>
  <c r="Q6" i="34"/>
  <c r="Q27" i="34"/>
  <c r="AK27" i="34" s="1"/>
  <c r="Q7" i="34"/>
  <c r="Q31" i="34"/>
  <c r="AK31" i="34" s="1"/>
  <c r="G35" i="34"/>
  <c r="O35" i="34"/>
  <c r="N16" i="34"/>
  <c r="I35" i="34"/>
  <c r="K16" i="34"/>
  <c r="L16" i="34"/>
  <c r="K35" i="34"/>
  <c r="J16" i="34"/>
  <c r="D35" i="34"/>
  <c r="L35" i="34"/>
  <c r="J35" i="34"/>
  <c r="G16" i="34"/>
  <c r="M16" i="34"/>
  <c r="E35" i="34"/>
  <c r="M35" i="34"/>
  <c r="O16" i="34"/>
  <c r="H16" i="34"/>
  <c r="F35" i="34"/>
  <c r="N35" i="34"/>
  <c r="I16" i="34"/>
  <c r="H35" i="34"/>
  <c r="F16" i="34"/>
  <c r="D16" i="34"/>
  <c r="E16" i="34"/>
  <c r="D59" i="12"/>
  <c r="E59" i="12" s="1"/>
  <c r="C25" i="30"/>
  <c r="B40" i="30"/>
  <c r="AU29" i="33"/>
  <c r="EG29" i="33"/>
  <c r="AA28" i="33"/>
  <c r="AK29" i="33"/>
  <c r="BO28" i="33"/>
  <c r="BY29" i="33"/>
  <c r="CI28" i="33"/>
  <c r="CS29" i="33"/>
  <c r="DC29" i="33"/>
  <c r="BE29" i="33"/>
  <c r="DM29" i="33"/>
  <c r="Q28" i="33"/>
  <c r="F70" i="12"/>
  <c r="G70" i="12" s="1"/>
  <c r="E70" i="12"/>
  <c r="R67" i="12"/>
  <c r="U68" i="12" s="1"/>
  <c r="W68" i="12" s="1"/>
  <c r="F69" i="12"/>
  <c r="G69" i="12" s="1"/>
  <c r="E69" i="12"/>
  <c r="DJ13" i="33"/>
  <c r="F68" i="12"/>
  <c r="G68" i="12" s="1"/>
  <c r="CZ14" i="33"/>
  <c r="DT13" i="33"/>
  <c r="R57" i="12"/>
  <c r="U58" i="12" s="1"/>
  <c r="W58" i="12" s="1"/>
  <c r="S64" i="12"/>
  <c r="T65" i="12" s="1"/>
  <c r="U65" i="12" s="1"/>
  <c r="W65" i="12" s="1"/>
  <c r="R55" i="12"/>
  <c r="U56" i="12" s="1"/>
  <c r="W56" i="12" s="1"/>
  <c r="R61" i="12"/>
  <c r="U62" i="12" s="1"/>
  <c r="W62" i="12" s="1"/>
  <c r="F53" i="12"/>
  <c r="G53" i="12" s="1"/>
  <c r="F54" i="12"/>
  <c r="D60" i="12"/>
  <c r="E60" i="12" s="1"/>
  <c r="DH17" i="33"/>
  <c r="DI17" i="33" s="1"/>
  <c r="DJ17" i="33" s="1"/>
  <c r="DR17" i="33"/>
  <c r="DS17" i="33" s="1"/>
  <c r="DT17" i="33" s="1"/>
  <c r="CD18" i="33"/>
  <c r="CE18" i="33" s="1"/>
  <c r="CF18" i="33" s="1"/>
  <c r="CP17" i="33"/>
  <c r="DJ16" i="33"/>
  <c r="EN18" i="33"/>
  <c r="DJ18" i="33"/>
  <c r="CZ17" i="33"/>
  <c r="AO19" i="33"/>
  <c r="AK23" i="33" s="1"/>
  <c r="G6" i="37" s="1"/>
  <c r="DJ15" i="33"/>
  <c r="DJ14" i="33"/>
  <c r="EN19" i="33"/>
  <c r="EN13" i="33"/>
  <c r="DT16" i="33"/>
  <c r="CZ16" i="33"/>
  <c r="DE42" i="33"/>
  <c r="E85" i="36" s="1"/>
  <c r="CS23" i="33"/>
  <c r="L6" i="37" s="1"/>
  <c r="DM23" i="33"/>
  <c r="N6" i="37" s="1"/>
  <c r="DQ20" i="33"/>
  <c r="D69" i="33" s="1"/>
  <c r="DT14" i="33"/>
  <c r="DQ10" i="33"/>
  <c r="DT15" i="33"/>
  <c r="DT12" i="33"/>
  <c r="DC23" i="33"/>
  <c r="M6" i="37" s="1"/>
  <c r="DJ12" i="33"/>
  <c r="DG19" i="33"/>
  <c r="D64" i="33" s="1"/>
  <c r="CY20" i="33"/>
  <c r="CS28" i="33" s="1"/>
  <c r="L13" i="37" s="1"/>
  <c r="CW20" i="33"/>
  <c r="D59" i="33" s="1"/>
  <c r="CZ18" i="33"/>
  <c r="CZ13" i="33"/>
  <c r="CZ15" i="33"/>
  <c r="CP16" i="33"/>
  <c r="AH16" i="33"/>
  <c r="CM9" i="33"/>
  <c r="CI21" i="33" s="1"/>
  <c r="CP15" i="33"/>
  <c r="CP12" i="33"/>
  <c r="CO19" i="33"/>
  <c r="CI27" i="33" s="1"/>
  <c r="CI22" i="33"/>
  <c r="CP18" i="33"/>
  <c r="CP13" i="33"/>
  <c r="CM19" i="33"/>
  <c r="BV14" i="33"/>
  <c r="AR15" i="33"/>
  <c r="CF16" i="33"/>
  <c r="BL16" i="33"/>
  <c r="X11" i="33"/>
  <c r="BV16" i="33"/>
  <c r="X15" i="33"/>
  <c r="BB16" i="33"/>
  <c r="CF17" i="33"/>
  <c r="BV15" i="33"/>
  <c r="BL18" i="33"/>
  <c r="BV18" i="33"/>
  <c r="AR18" i="33"/>
  <c r="BS9" i="33"/>
  <c r="BL15" i="33"/>
  <c r="AH17" i="33"/>
  <c r="K13" i="33"/>
  <c r="BB15" i="33"/>
  <c r="BB12" i="33"/>
  <c r="AR16" i="33"/>
  <c r="M13" i="33"/>
  <c r="G27" i="33" s="1"/>
  <c r="D20" i="33" s="1"/>
  <c r="N11" i="33"/>
  <c r="AH14" i="33"/>
  <c r="X13" i="33"/>
  <c r="AY19" i="33"/>
  <c r="BV12" i="33"/>
  <c r="CF15" i="33"/>
  <c r="CF13" i="33"/>
  <c r="CF19" i="33"/>
  <c r="BV13" i="33"/>
  <c r="BS19" i="33"/>
  <c r="D49" i="33" s="1"/>
  <c r="CC20" i="33"/>
  <c r="D54" i="33" s="1"/>
  <c r="CF14" i="33"/>
  <c r="U16" i="33"/>
  <c r="BB13" i="33"/>
  <c r="X12" i="33"/>
  <c r="BL12" i="33"/>
  <c r="AK22" i="33"/>
  <c r="G5" i="37" s="1"/>
  <c r="AR13" i="33"/>
  <c r="AH13" i="33"/>
  <c r="N10" i="33"/>
  <c r="N12" i="33"/>
  <c r="BO22" i="33"/>
  <c r="J6" i="37" s="1"/>
  <c r="AH12" i="33"/>
  <c r="AR14" i="33"/>
  <c r="BL13" i="33"/>
  <c r="AE9" i="33"/>
  <c r="BI19" i="33"/>
  <c r="AY9" i="33"/>
  <c r="U8" i="33"/>
  <c r="BB14" i="33"/>
  <c r="AR12" i="33"/>
  <c r="AE18" i="33"/>
  <c r="K7" i="33"/>
  <c r="BY23" i="33"/>
  <c r="K6" i="37" s="1"/>
  <c r="B18" i="30"/>
  <c r="AK6" i="34" l="1"/>
  <c r="Q38" i="34"/>
  <c r="D42" i="34"/>
  <c r="Y21" i="34"/>
  <c r="AE16" i="34"/>
  <c r="AA16" i="34"/>
  <c r="I21" i="34"/>
  <c r="AI37" i="34"/>
  <c r="AK38" i="34"/>
  <c r="G8" i="37"/>
  <c r="G97" i="37" s="1"/>
  <c r="AB16" i="34"/>
  <c r="AH37" i="34"/>
  <c r="K21" i="34"/>
  <c r="G21" i="34"/>
  <c r="L21" i="34"/>
  <c r="AB37" i="34"/>
  <c r="AK35" i="34"/>
  <c r="AC16" i="34"/>
  <c r="H21" i="34"/>
  <c r="J21" i="34"/>
  <c r="AF37" i="34"/>
  <c r="C49" i="33"/>
  <c r="BO21" i="33"/>
  <c r="J5" i="37" s="1"/>
  <c r="J8" i="37" s="1"/>
  <c r="J97" i="37" s="1"/>
  <c r="AK10" i="34"/>
  <c r="X16" i="34"/>
  <c r="Z18" i="34"/>
  <c r="Z21" i="34" s="1"/>
  <c r="AC37" i="34"/>
  <c r="AD18" i="34"/>
  <c r="AD21" i="34" s="1"/>
  <c r="AB19" i="34"/>
  <c r="AB21" i="34" s="1"/>
  <c r="DE44" i="33"/>
  <c r="E87" i="36" s="1"/>
  <c r="F21" i="34"/>
  <c r="AE21" i="34"/>
  <c r="AA37" i="34"/>
  <c r="C64" i="33"/>
  <c r="DC22" i="33"/>
  <c r="M5" i="37" s="1"/>
  <c r="M8" i="37" s="1"/>
  <c r="M97" i="37" s="1"/>
  <c r="Y37" i="34"/>
  <c r="AF16" i="34"/>
  <c r="AF19" i="34"/>
  <c r="AF21" i="34" s="1"/>
  <c r="AK39" i="34"/>
  <c r="D21" i="34"/>
  <c r="AG18" i="34"/>
  <c r="AG21" i="34" s="1"/>
  <c r="AK13" i="34"/>
  <c r="X18" i="34"/>
  <c r="Z37" i="34"/>
  <c r="AA21" i="34"/>
  <c r="X19" i="34"/>
  <c r="C54" i="33"/>
  <c r="BY22" i="33"/>
  <c r="K5" i="37" s="1"/>
  <c r="K8" i="37" s="1"/>
  <c r="K97" i="37" s="1"/>
  <c r="D80" i="33"/>
  <c r="D81" i="33" s="1"/>
  <c r="P13" i="37"/>
  <c r="AH16" i="34"/>
  <c r="AH19" i="34"/>
  <c r="AH21" i="34" s="1"/>
  <c r="AG37" i="34"/>
  <c r="AE37" i="34"/>
  <c r="C69" i="33"/>
  <c r="DM22" i="33"/>
  <c r="N5" i="37" s="1"/>
  <c r="N8" i="37" s="1"/>
  <c r="N97" i="37" s="1"/>
  <c r="C59" i="33"/>
  <c r="CS22" i="33"/>
  <c r="L5" i="37" s="1"/>
  <c r="L8" i="37" s="1"/>
  <c r="L97" i="37" s="1"/>
  <c r="C79" i="33"/>
  <c r="EG22" i="33"/>
  <c r="M21" i="34"/>
  <c r="O21" i="34"/>
  <c r="R14" i="37"/>
  <c r="O5" i="37"/>
  <c r="O8" i="37" s="1"/>
  <c r="O97" i="37" s="1"/>
  <c r="DW24" i="33"/>
  <c r="B74" i="33" s="1"/>
  <c r="AC18" i="34"/>
  <c r="AC21" i="34" s="1"/>
  <c r="X37" i="34"/>
  <c r="AI40" i="34"/>
  <c r="AI42" i="34" s="1"/>
  <c r="AI44" i="34" s="1"/>
  <c r="AI35" i="34"/>
  <c r="X40" i="34"/>
  <c r="X35" i="34"/>
  <c r="AB40" i="34"/>
  <c r="AB35" i="34"/>
  <c r="AF40" i="34"/>
  <c r="AF35" i="34"/>
  <c r="Y40" i="34"/>
  <c r="Y35" i="34"/>
  <c r="AC40" i="34"/>
  <c r="AC35" i="34"/>
  <c r="AH40" i="34"/>
  <c r="AH35" i="34"/>
  <c r="AA40" i="34"/>
  <c r="AA42" i="34" s="1"/>
  <c r="AA44" i="34" s="1"/>
  <c r="AA35" i="34"/>
  <c r="AG40" i="34"/>
  <c r="AG35" i="34"/>
  <c r="AD40" i="34"/>
  <c r="AD42" i="34" s="1"/>
  <c r="AD35" i="34"/>
  <c r="Z40" i="34"/>
  <c r="Z35" i="34"/>
  <c r="AE40" i="34"/>
  <c r="AE35" i="34"/>
  <c r="I120" i="37"/>
  <c r="I123" i="37" s="1"/>
  <c r="H74" i="37"/>
  <c r="I16" i="37"/>
  <c r="I122" i="37"/>
  <c r="I3" i="37"/>
  <c r="H95" i="37"/>
  <c r="H107" i="37" s="1"/>
  <c r="H119" i="37" s="1"/>
  <c r="H131" i="37" s="1"/>
  <c r="Q18" i="34"/>
  <c r="E21" i="34"/>
  <c r="Q37" i="34"/>
  <c r="Q42" i="34" s="1"/>
  <c r="Q19" i="34"/>
  <c r="Q35" i="34"/>
  <c r="Q16" i="34"/>
  <c r="F59" i="12"/>
  <c r="G59" i="12" s="1"/>
  <c r="EN20" i="33"/>
  <c r="DS19" i="33"/>
  <c r="DM28" i="33" s="1"/>
  <c r="DI19" i="33"/>
  <c r="DC28" i="33" s="1"/>
  <c r="G54" i="12"/>
  <c r="F60" i="12"/>
  <c r="G60" i="12" s="1"/>
  <c r="CE20" i="33"/>
  <c r="BY28" i="33" s="1"/>
  <c r="G21" i="33"/>
  <c r="C19" i="33"/>
  <c r="G22" i="33"/>
  <c r="D19" i="33"/>
  <c r="D21" i="33" s="1"/>
  <c r="DJ19" i="33"/>
  <c r="BE22" i="33"/>
  <c r="I5" i="37" s="1"/>
  <c r="C44" i="33"/>
  <c r="CF20" i="33"/>
  <c r="Q22" i="33"/>
  <c r="E6" i="37" s="1"/>
  <c r="D24" i="33"/>
  <c r="AU22" i="33"/>
  <c r="H5" i="37" s="1"/>
  <c r="C39" i="33"/>
  <c r="BE23" i="33"/>
  <c r="I6" i="37" s="1"/>
  <c r="D44" i="33"/>
  <c r="D60" i="33"/>
  <c r="D61" i="33" s="1"/>
  <c r="AA21" i="33"/>
  <c r="F5" i="37" s="1"/>
  <c r="C34" i="33"/>
  <c r="C29" i="33"/>
  <c r="CP19" i="33"/>
  <c r="Q21" i="33"/>
  <c r="E5" i="37" s="1"/>
  <c r="C24" i="33"/>
  <c r="AU23" i="33"/>
  <c r="H6" i="37" s="1"/>
  <c r="D39" i="33"/>
  <c r="AA22" i="33"/>
  <c r="F6" i="37" s="1"/>
  <c r="D29" i="33"/>
  <c r="D34" i="33"/>
  <c r="DT19" i="33"/>
  <c r="CZ20" i="33"/>
  <c r="CI23" i="33"/>
  <c r="B59" i="33" s="1"/>
  <c r="AR19" i="33"/>
  <c r="BB18" i="33"/>
  <c r="N13" i="33"/>
  <c r="AK24" i="33"/>
  <c r="DM24" i="33" l="1"/>
  <c r="B69" i="33" s="1"/>
  <c r="AE42" i="34"/>
  <c r="AE44" i="34" s="1"/>
  <c r="BO23" i="33"/>
  <c r="AF42" i="34"/>
  <c r="AF44" i="34" s="1"/>
  <c r="Y42" i="34"/>
  <c r="Y44" i="34" s="1"/>
  <c r="AH42" i="34"/>
  <c r="CS24" i="33"/>
  <c r="DC24" i="33"/>
  <c r="B64" i="33" s="1"/>
  <c r="M100" i="37"/>
  <c r="Z42" i="34"/>
  <c r="Z44" i="34" s="1"/>
  <c r="AK16" i="34"/>
  <c r="AB42" i="34"/>
  <c r="AB44" i="34" s="1"/>
  <c r="AG42" i="34"/>
  <c r="AG44" i="34" s="1"/>
  <c r="F8" i="37"/>
  <c r="F97" i="37" s="1"/>
  <c r="O100" i="37"/>
  <c r="N100" i="37"/>
  <c r="P5" i="37"/>
  <c r="P8" i="37" s="1"/>
  <c r="P97" i="37" s="1"/>
  <c r="P100" i="37" s="1"/>
  <c r="EG24" i="33"/>
  <c r="B79" i="33" s="1"/>
  <c r="I8" i="37"/>
  <c r="I97" i="37" s="1"/>
  <c r="J100" i="37" s="1"/>
  <c r="AH44" i="34"/>
  <c r="AC42" i="34"/>
  <c r="AC44" i="34" s="1"/>
  <c r="E8" i="37"/>
  <c r="E97" i="37" s="1"/>
  <c r="H8" i="37"/>
  <c r="H97" i="37" s="1"/>
  <c r="AK37" i="34"/>
  <c r="AK19" i="34"/>
  <c r="BY24" i="33"/>
  <c r="B54" i="33" s="1"/>
  <c r="AD44" i="34"/>
  <c r="X21" i="34"/>
  <c r="AK18" i="34"/>
  <c r="D70" i="33"/>
  <c r="D71" i="33" s="1"/>
  <c r="N13" i="37"/>
  <c r="D65" i="33"/>
  <c r="D66" i="33" s="1"/>
  <c r="M13" i="37"/>
  <c r="AK40" i="34"/>
  <c r="X42" i="34"/>
  <c r="R6" i="37"/>
  <c r="D55" i="33"/>
  <c r="D56" i="33" s="1"/>
  <c r="K13" i="37"/>
  <c r="L100" i="37"/>
  <c r="K100" i="37"/>
  <c r="I125" i="37"/>
  <c r="I40" i="37"/>
  <c r="J3" i="37"/>
  <c r="I95" i="37"/>
  <c r="I107" i="37" s="1"/>
  <c r="I119" i="37" s="1"/>
  <c r="I131" i="37" s="1"/>
  <c r="Q21" i="34"/>
  <c r="G23" i="33"/>
  <c r="B19" i="33" s="1"/>
  <c r="AA23" i="33"/>
  <c r="B29" i="33" s="1"/>
  <c r="D84" i="33"/>
  <c r="C84" i="33"/>
  <c r="BE24" i="33"/>
  <c r="B44" i="33" s="1"/>
  <c r="Q23" i="33"/>
  <c r="B24" i="33" s="1"/>
  <c r="AU24" i="33"/>
  <c r="B39" i="33" s="1"/>
  <c r="B34" i="33"/>
  <c r="B38" i="12"/>
  <c r="B21" i="30" s="1"/>
  <c r="C40" i="30"/>
  <c r="C43" i="30" s="1"/>
  <c r="AK21" i="34" l="1"/>
  <c r="AK42" i="34"/>
  <c r="B49" i="33"/>
  <c r="H100" i="37"/>
  <c r="I100" i="37"/>
  <c r="AK44" i="34"/>
  <c r="R5" i="37"/>
  <c r="R8" i="37" s="1"/>
  <c r="X44" i="34"/>
  <c r="F100" i="37"/>
  <c r="G100" i="37"/>
  <c r="H96" i="37" s="1"/>
  <c r="H98" i="37" s="1"/>
  <c r="H31" i="37" s="1"/>
  <c r="H36" i="37" s="1"/>
  <c r="E100" i="37"/>
  <c r="R97" i="37"/>
  <c r="J120" i="37"/>
  <c r="J123" i="37" s="1"/>
  <c r="I74" i="37"/>
  <c r="J122" i="37"/>
  <c r="J16" i="37"/>
  <c r="K3" i="37"/>
  <c r="J95" i="37"/>
  <c r="J107" i="37" s="1"/>
  <c r="J119" i="37" s="1"/>
  <c r="J131" i="37" s="1"/>
  <c r="B84" i="33"/>
  <c r="B79" i="30"/>
  <c r="B39" i="12"/>
  <c r="U13" i="12" s="1"/>
  <c r="B8" i="33"/>
  <c r="G60" i="37" l="1"/>
  <c r="F96" i="37"/>
  <c r="F98" i="37" s="1"/>
  <c r="F31" i="37" s="1"/>
  <c r="F36" i="37" s="1"/>
  <c r="E60" i="37"/>
  <c r="E69" i="37" s="1"/>
  <c r="G96" i="37"/>
  <c r="G98" i="37" s="1"/>
  <c r="G31" i="37" s="1"/>
  <c r="G36" i="37" s="1"/>
  <c r="F60" i="37"/>
  <c r="I96" i="37"/>
  <c r="I98" i="37" s="1"/>
  <c r="H60" i="37"/>
  <c r="J125" i="37"/>
  <c r="J40" i="37"/>
  <c r="L3" i="37"/>
  <c r="K95" i="37"/>
  <c r="K107" i="37" s="1"/>
  <c r="K119" i="37" s="1"/>
  <c r="K131" i="37" s="1"/>
  <c r="CI25" i="33"/>
  <c r="EG26" i="33"/>
  <c r="P11" i="37" s="1"/>
  <c r="CS26" i="33"/>
  <c r="L11" i="37" s="1"/>
  <c r="DC26" i="33"/>
  <c r="M11" i="37" s="1"/>
  <c r="DM26" i="33"/>
  <c r="N11" i="37" s="1"/>
  <c r="DW26" i="33"/>
  <c r="O11" i="37" s="1"/>
  <c r="G25" i="33"/>
  <c r="BY26" i="33"/>
  <c r="K11" i="37" s="1"/>
  <c r="BO25" i="33"/>
  <c r="J11" i="37" s="1"/>
  <c r="BE26" i="33"/>
  <c r="I11" i="37" s="1"/>
  <c r="AU26" i="33"/>
  <c r="H11" i="37" s="1"/>
  <c r="AK26" i="33"/>
  <c r="G11" i="37" s="1"/>
  <c r="AA25" i="33"/>
  <c r="F11" i="37" s="1"/>
  <c r="Q25" i="33"/>
  <c r="E11" i="37" s="1"/>
  <c r="C37" i="12"/>
  <c r="C30" i="12"/>
  <c r="C31" i="12"/>
  <c r="C32" i="12"/>
  <c r="C33" i="12"/>
  <c r="C34" i="12"/>
  <c r="C35" i="12"/>
  <c r="C29" i="12"/>
  <c r="B119" i="12"/>
  <c r="B105" i="12"/>
  <c r="C56" i="12"/>
  <c r="C65" i="12"/>
  <c r="D65" i="12"/>
  <c r="D52" i="12"/>
  <c r="C52" i="12"/>
  <c r="B113" i="12"/>
  <c r="M60" i="12" s="1"/>
  <c r="B95" i="12"/>
  <c r="B96" i="12" s="1"/>
  <c r="B87" i="12"/>
  <c r="B122" i="12"/>
  <c r="B127" i="12"/>
  <c r="R11" i="37" l="1"/>
  <c r="I31" i="37"/>
  <c r="K120" i="37"/>
  <c r="K123" i="37" s="1"/>
  <c r="J74" i="37"/>
  <c r="K122" i="37"/>
  <c r="M3" i="37"/>
  <c r="L95" i="37"/>
  <c r="L107" i="37" s="1"/>
  <c r="L119" i="37" s="1"/>
  <c r="L131" i="37" s="1"/>
  <c r="L56" i="12"/>
  <c r="K58" i="12"/>
  <c r="D58" i="12" s="1"/>
  <c r="M63" i="12"/>
  <c r="D63" i="12" s="1"/>
  <c r="E63" i="12" s="1"/>
  <c r="M66" i="12"/>
  <c r="D66" i="12" s="1"/>
  <c r="D56" i="12"/>
  <c r="F56" i="12" s="1"/>
  <c r="G56" i="12" s="1"/>
  <c r="M62" i="12"/>
  <c r="D62" i="12" s="1"/>
  <c r="AF15" i="33" s="1"/>
  <c r="E52" i="12"/>
  <c r="B129" i="12"/>
  <c r="H7" i="12" s="1"/>
  <c r="I36" i="37" l="1"/>
  <c r="J96" i="37"/>
  <c r="J98" i="37" s="1"/>
  <c r="I60" i="37"/>
  <c r="K16" i="37"/>
  <c r="K125" i="37"/>
  <c r="K40" i="37"/>
  <c r="N3" i="37"/>
  <c r="M95" i="37"/>
  <c r="M107" i="37" s="1"/>
  <c r="M119" i="37" s="1"/>
  <c r="M131" i="37" s="1"/>
  <c r="E58" i="12"/>
  <c r="F58" i="12"/>
  <c r="G58" i="12" s="1"/>
  <c r="F63" i="12"/>
  <c r="G63" i="12" s="1"/>
  <c r="E66" i="12"/>
  <c r="F66" i="12"/>
  <c r="BJ17" i="33"/>
  <c r="BK17" i="33" s="1"/>
  <c r="F62" i="12"/>
  <c r="G62" i="12" s="1"/>
  <c r="AP17" i="33"/>
  <c r="AQ17" i="33" s="1"/>
  <c r="AZ17" i="33"/>
  <c r="BA17" i="33" s="1"/>
  <c r="E62" i="12"/>
  <c r="V14" i="33"/>
  <c r="AG15" i="33"/>
  <c r="BT17" i="33"/>
  <c r="BU17" i="33" s="1"/>
  <c r="E65" i="12"/>
  <c r="E56" i="12"/>
  <c r="F52" i="12"/>
  <c r="G52" i="12" s="1"/>
  <c r="J31" i="37" l="1"/>
  <c r="J36" i="37" s="1"/>
  <c r="K96" i="37"/>
  <c r="K98" i="37" s="1"/>
  <c r="K31" i="37" s="1"/>
  <c r="K36" i="37" s="1"/>
  <c r="J60" i="37"/>
  <c r="L120" i="37"/>
  <c r="L123" i="37" s="1"/>
  <c r="K74" i="37"/>
  <c r="L16" i="37"/>
  <c r="L122" i="37"/>
  <c r="O3" i="37"/>
  <c r="N95" i="37"/>
  <c r="N107" i="37" s="1"/>
  <c r="N119" i="37" s="1"/>
  <c r="N131" i="37" s="1"/>
  <c r="G66" i="12"/>
  <c r="AG18" i="33"/>
  <c r="AH15" i="33"/>
  <c r="AH18" i="33" s="1"/>
  <c r="W14" i="33"/>
  <c r="DD45" i="33"/>
  <c r="BV17" i="33"/>
  <c r="BV19" i="33" s="1"/>
  <c r="BU19" i="33"/>
  <c r="BO27" i="33" s="1"/>
  <c r="BA19" i="33"/>
  <c r="AU28" i="33" s="1"/>
  <c r="BB17" i="33"/>
  <c r="BB19" i="33" s="1"/>
  <c r="AR17" i="33"/>
  <c r="AQ19" i="33"/>
  <c r="AK28" i="33" s="1"/>
  <c r="G13" i="37" s="1"/>
  <c r="BL17" i="33"/>
  <c r="BL19" i="33" s="1"/>
  <c r="BK19" i="33"/>
  <c r="BE28" i="33" s="1"/>
  <c r="F65" i="12"/>
  <c r="G65" i="12" s="1"/>
  <c r="B7" i="12"/>
  <c r="E3" i="12" s="1"/>
  <c r="W4" i="12" s="1"/>
  <c r="B19" i="12"/>
  <c r="D45" i="33" l="1"/>
  <c r="D46" i="33" s="1"/>
  <c r="I13" i="37"/>
  <c r="D50" i="33"/>
  <c r="D51" i="33" s="1"/>
  <c r="J13" i="37"/>
  <c r="D40" i="33"/>
  <c r="D41" i="33" s="1"/>
  <c r="H13" i="37"/>
  <c r="L96" i="37"/>
  <c r="L98" i="37" s="1"/>
  <c r="K60" i="37"/>
  <c r="L125" i="37"/>
  <c r="L40" i="37"/>
  <c r="P3" i="37"/>
  <c r="P95" i="37" s="1"/>
  <c r="P107" i="37" s="1"/>
  <c r="P119" i="37" s="1"/>
  <c r="P131" i="37" s="1"/>
  <c r="O95" i="37"/>
  <c r="O107" i="37" s="1"/>
  <c r="O119" i="37" s="1"/>
  <c r="O131" i="37" s="1"/>
  <c r="DE45" i="33"/>
  <c r="E88" i="36" s="1"/>
  <c r="D88" i="36"/>
  <c r="X14" i="33"/>
  <c r="X16" i="33" s="1"/>
  <c r="W16" i="33"/>
  <c r="Q27" i="33" s="1"/>
  <c r="AA27" i="33"/>
  <c r="D35" i="33"/>
  <c r="D36" i="33" s="1"/>
  <c r="B6" i="12"/>
  <c r="B8" i="12" s="1"/>
  <c r="C7" i="12"/>
  <c r="C18" i="12"/>
  <c r="C14" i="12"/>
  <c r="C26" i="12"/>
  <c r="U7" i="12" s="1"/>
  <c r="G5" i="12"/>
  <c r="H5" i="12" s="1"/>
  <c r="G4" i="12"/>
  <c r="H4" i="12" s="1"/>
  <c r="B23" i="12"/>
  <c r="D25" i="33" l="1"/>
  <c r="D26" i="33" s="1"/>
  <c r="E13" i="37"/>
  <c r="D30" i="33"/>
  <c r="D31" i="33" s="1"/>
  <c r="F13" i="37"/>
  <c r="L31" i="37"/>
  <c r="M120" i="37"/>
  <c r="M123" i="37" s="1"/>
  <c r="L74" i="37"/>
  <c r="M122" i="37"/>
  <c r="D85" i="33"/>
  <c r="D86" i="33" s="1"/>
  <c r="D7" i="12"/>
  <c r="B22" i="30" s="1"/>
  <c r="B6" i="33"/>
  <c r="B7" i="33" s="1"/>
  <c r="B130" i="12"/>
  <c r="D23" i="12"/>
  <c r="F23" i="12" s="1"/>
  <c r="C15" i="12"/>
  <c r="C16" i="12"/>
  <c r="C17" i="12"/>
  <c r="H6" i="12"/>
  <c r="I5" i="12"/>
  <c r="I4" i="12"/>
  <c r="R13" i="37" l="1"/>
  <c r="L36" i="37"/>
  <c r="M96" i="37"/>
  <c r="M98" i="37" s="1"/>
  <c r="L60" i="37"/>
  <c r="M16" i="37"/>
  <c r="M125" i="37"/>
  <c r="M40" i="37"/>
  <c r="B23" i="30"/>
  <c r="B25" i="30" s="1"/>
  <c r="O60" i="12"/>
  <c r="AB60" i="12" s="1"/>
  <c r="O59" i="12"/>
  <c r="AB59" i="12" s="1"/>
  <c r="O58" i="12"/>
  <c r="AB58" i="12" s="1"/>
  <c r="Q60" i="12"/>
  <c r="R60" i="12" s="1"/>
  <c r="V61" i="12"/>
  <c r="CI26" i="33"/>
  <c r="CS27" i="33"/>
  <c r="L12" i="37" s="1"/>
  <c r="DC27" i="33"/>
  <c r="M12" i="37" s="1"/>
  <c r="EG27" i="33"/>
  <c r="P12" i="37" s="1"/>
  <c r="DM27" i="33"/>
  <c r="N12" i="37" s="1"/>
  <c r="DW27" i="33"/>
  <c r="O12" i="37" s="1"/>
  <c r="BO26" i="33"/>
  <c r="BE27" i="33"/>
  <c r="I12" i="37" s="1"/>
  <c r="G26" i="33"/>
  <c r="BY27" i="33"/>
  <c r="AK27" i="33"/>
  <c r="G12" i="37" s="1"/>
  <c r="AU27" i="33"/>
  <c r="H12" i="37" s="1"/>
  <c r="Q26" i="33"/>
  <c r="E12" i="37" s="1"/>
  <c r="AA26" i="33"/>
  <c r="F12" i="37" s="1"/>
  <c r="J4" i="12"/>
  <c r="G14" i="12"/>
  <c r="H14" i="12" s="1"/>
  <c r="J5" i="12"/>
  <c r="E23" i="12" s="1"/>
  <c r="H8" i="12"/>
  <c r="H9" i="12" s="1"/>
  <c r="G15" i="12"/>
  <c r="G16" i="12"/>
  <c r="J16" i="12" s="1"/>
  <c r="G17" i="12"/>
  <c r="J17" i="12" s="1"/>
  <c r="O19" i="37" l="1"/>
  <c r="O109" i="37"/>
  <c r="N109" i="37"/>
  <c r="N19" i="37"/>
  <c r="M109" i="37"/>
  <c r="M19" i="37"/>
  <c r="I19" i="37"/>
  <c r="I21" i="37" s="1"/>
  <c r="I109" i="37"/>
  <c r="L19" i="37"/>
  <c r="L21" i="37" s="1"/>
  <c r="L109" i="37"/>
  <c r="H19" i="37"/>
  <c r="H21" i="37" s="1"/>
  <c r="H109" i="37"/>
  <c r="H112" i="37" s="1"/>
  <c r="G19" i="37"/>
  <c r="G21" i="37" s="1"/>
  <c r="G109" i="37"/>
  <c r="BY30" i="33"/>
  <c r="B55" i="33" s="1"/>
  <c r="B56" i="33" s="1"/>
  <c r="K12" i="37"/>
  <c r="C50" i="33"/>
  <c r="C51" i="33" s="1"/>
  <c r="J12" i="37"/>
  <c r="P19" i="37"/>
  <c r="P109" i="37"/>
  <c r="P112" i="37" s="1"/>
  <c r="M21" i="37"/>
  <c r="F19" i="37"/>
  <c r="F21" i="37" s="1"/>
  <c r="F109" i="37"/>
  <c r="F112" i="37" s="1"/>
  <c r="R12" i="37"/>
  <c r="E109" i="37"/>
  <c r="E19" i="37"/>
  <c r="E21" i="37" s="1"/>
  <c r="E81" i="37" s="1"/>
  <c r="M31" i="37"/>
  <c r="N120" i="37"/>
  <c r="N123" i="37" s="1"/>
  <c r="M74" i="37"/>
  <c r="N16" i="37"/>
  <c r="N122" i="37"/>
  <c r="B43" i="30"/>
  <c r="B9" i="12"/>
  <c r="B10" i="12" s="1"/>
  <c r="U15" i="12"/>
  <c r="V59" i="12"/>
  <c r="Q58" i="12"/>
  <c r="R58" i="12" s="1"/>
  <c r="V60" i="12"/>
  <c r="Q59" i="12"/>
  <c r="R59" i="12" s="1"/>
  <c r="C75" i="33"/>
  <c r="C76" i="33" s="1"/>
  <c r="DW30" i="33"/>
  <c r="C80" i="33"/>
  <c r="C81" i="33" s="1"/>
  <c r="EG30" i="33"/>
  <c r="S60" i="12"/>
  <c r="T61" i="12" s="1"/>
  <c r="U61" i="12" s="1"/>
  <c r="W61" i="12" s="1"/>
  <c r="J14" i="12"/>
  <c r="K14" i="12" s="1"/>
  <c r="K16" i="12"/>
  <c r="O62" i="12" s="1"/>
  <c r="AB62" i="12" s="1"/>
  <c r="M16" i="12"/>
  <c r="N16" i="12" s="1"/>
  <c r="K17" i="12"/>
  <c r="M17" i="12"/>
  <c r="N17" i="12" s="1"/>
  <c r="AU30" i="33"/>
  <c r="AU32" i="33" s="1"/>
  <c r="C40" i="33"/>
  <c r="C41" i="33" s="1"/>
  <c r="AK30" i="33"/>
  <c r="B35" i="33" s="1"/>
  <c r="B36" i="33" s="1"/>
  <c r="C35" i="33"/>
  <c r="C36" i="33" s="1"/>
  <c r="G29" i="33"/>
  <c r="G36" i="33" s="1"/>
  <c r="C20" i="33"/>
  <c r="BE30" i="33"/>
  <c r="BE32" i="33" s="1"/>
  <c r="C45" i="33"/>
  <c r="C46" i="33" s="1"/>
  <c r="DM30" i="33"/>
  <c r="B70" i="33" s="1"/>
  <c r="B71" i="33" s="1"/>
  <c r="C70" i="33"/>
  <c r="C71" i="33" s="1"/>
  <c r="DC30" i="33"/>
  <c r="B65" i="33" s="1"/>
  <c r="B66" i="33" s="1"/>
  <c r="C65" i="33"/>
  <c r="C66" i="33" s="1"/>
  <c r="AA29" i="33"/>
  <c r="AA38" i="33" s="1"/>
  <c r="C30" i="33"/>
  <c r="C31" i="33" s="1"/>
  <c r="CS30" i="33"/>
  <c r="CS32" i="33" s="1"/>
  <c r="C60" i="33"/>
  <c r="C61" i="33" s="1"/>
  <c r="Q29" i="33"/>
  <c r="B25" i="33" s="1"/>
  <c r="B26" i="33" s="1"/>
  <c r="C25" i="33"/>
  <c r="C26" i="33" s="1"/>
  <c r="CI29" i="33"/>
  <c r="CI31" i="33" s="1"/>
  <c r="C55" i="33"/>
  <c r="C56" i="33" s="1"/>
  <c r="BO29" i="33"/>
  <c r="BO31" i="33" s="1"/>
  <c r="BY32" i="33"/>
  <c r="B50" i="33"/>
  <c r="B51" i="33" s="1"/>
  <c r="G23" i="12"/>
  <c r="U8" i="12" s="1"/>
  <c r="J15" i="12"/>
  <c r="M15" i="12" s="1"/>
  <c r="H17" i="12"/>
  <c r="B14" i="33" s="1"/>
  <c r="AB44" i="33" s="1"/>
  <c r="D24" i="36" s="1"/>
  <c r="H16" i="12"/>
  <c r="B13" i="33" s="1"/>
  <c r="AB43" i="33" s="1"/>
  <c r="D23" i="36" s="1"/>
  <c r="H15" i="12"/>
  <c r="B12" i="33" s="1"/>
  <c r="AB42" i="33" s="1"/>
  <c r="D22" i="36" s="1"/>
  <c r="G19" i="12"/>
  <c r="M112" i="37" l="1"/>
  <c r="N112" i="37"/>
  <c r="N21" i="37"/>
  <c r="K19" i="37"/>
  <c r="K21" i="37" s="1"/>
  <c r="K109" i="37"/>
  <c r="K112" i="37" s="1"/>
  <c r="E15" i="12"/>
  <c r="E83" i="37"/>
  <c r="F81" i="37"/>
  <c r="G112" i="37"/>
  <c r="O112" i="37"/>
  <c r="I112" i="37"/>
  <c r="J19" i="37"/>
  <c r="J21" i="37" s="1"/>
  <c r="J109" i="37"/>
  <c r="J112" i="37" s="1"/>
  <c r="E112" i="37"/>
  <c r="M36" i="37"/>
  <c r="N96" i="37"/>
  <c r="N98" i="37" s="1"/>
  <c r="N31" i="37" s="1"/>
  <c r="N36" i="37" s="1"/>
  <c r="M60" i="37"/>
  <c r="N125" i="37"/>
  <c r="N40" i="37"/>
  <c r="U16" i="12"/>
  <c r="C85" i="33"/>
  <c r="C86" i="33" s="1"/>
  <c r="S59" i="12"/>
  <c r="T60" i="12" s="1"/>
  <c r="U60" i="12" s="1"/>
  <c r="W60" i="12" s="1"/>
  <c r="S58" i="12"/>
  <c r="T59" i="12" s="1"/>
  <c r="U59" i="12" s="1"/>
  <c r="DW32" i="33"/>
  <c r="B75" i="33"/>
  <c r="B76" i="33" s="1"/>
  <c r="B80" i="33"/>
  <c r="B81" i="33" s="1"/>
  <c r="EG32" i="33"/>
  <c r="Q62" i="12"/>
  <c r="R62" i="12" s="1"/>
  <c r="O66" i="12"/>
  <c r="AB66" i="12" s="1"/>
  <c r="O63" i="12"/>
  <c r="AB63" i="12" s="1"/>
  <c r="O65" i="12"/>
  <c r="AB65" i="12" s="1"/>
  <c r="V63" i="12"/>
  <c r="B40" i="33"/>
  <c r="B41" i="33" s="1"/>
  <c r="O16" i="12"/>
  <c r="P16" i="12" s="1"/>
  <c r="Q16" i="12" s="1"/>
  <c r="O17" i="12"/>
  <c r="P17" i="12" s="1"/>
  <c r="Q17" i="12" s="1"/>
  <c r="M14" i="12"/>
  <c r="N14" i="12" s="1"/>
  <c r="O15" i="12"/>
  <c r="P15" i="12" s="1"/>
  <c r="N15" i="12"/>
  <c r="B30" i="33"/>
  <c r="B31" i="33" s="1"/>
  <c r="K15" i="12"/>
  <c r="B20" i="33"/>
  <c r="AK36" i="33"/>
  <c r="DM32" i="33"/>
  <c r="C21" i="33"/>
  <c r="DC32" i="33"/>
  <c r="Q36" i="33"/>
  <c r="B45" i="33"/>
  <c r="B46" i="33" s="1"/>
  <c r="B60" i="33"/>
  <c r="B61" i="33" s="1"/>
  <c r="CJ44" i="33"/>
  <c r="CT45" i="33"/>
  <c r="DN45" i="33"/>
  <c r="EH45" i="33"/>
  <c r="DX45" i="33"/>
  <c r="BP44" i="33"/>
  <c r="CJ42" i="33"/>
  <c r="BP42" i="33"/>
  <c r="DN43" i="33"/>
  <c r="EH43" i="33"/>
  <c r="D110" i="36" s="1"/>
  <c r="DX43" i="33"/>
  <c r="D102" i="36" s="1"/>
  <c r="DD43" i="33"/>
  <c r="CT43" i="33"/>
  <c r="CJ43" i="33"/>
  <c r="BP43" i="33"/>
  <c r="DX44" i="33"/>
  <c r="D103" i="36" s="1"/>
  <c r="EH44" i="33"/>
  <c r="D111" i="36" s="1"/>
  <c r="CT44" i="33"/>
  <c r="DN44" i="33"/>
  <c r="AC42" i="33"/>
  <c r="E22" i="36" s="1"/>
  <c r="AC43" i="33"/>
  <c r="E23" i="36" s="1"/>
  <c r="AC44" i="33"/>
  <c r="E24" i="36" s="1"/>
  <c r="H42" i="33"/>
  <c r="D12" i="33"/>
  <c r="AL43" i="33"/>
  <c r="D30" i="36" s="1"/>
  <c r="BZ43" i="33"/>
  <c r="AV43" i="33"/>
  <c r="BF43" i="33"/>
  <c r="R42" i="33"/>
  <c r="D14" i="36" s="1"/>
  <c r="H19" i="12"/>
  <c r="B11" i="33"/>
  <c r="R44" i="33"/>
  <c r="D16" i="36" s="1"/>
  <c r="AV45" i="33"/>
  <c r="H44" i="33"/>
  <c r="D14" i="33"/>
  <c r="BZ45" i="33"/>
  <c r="D64" i="36" s="1"/>
  <c r="AL45" i="33"/>
  <c r="D32" i="36" s="1"/>
  <c r="BF45" i="33"/>
  <c r="R43" i="33"/>
  <c r="D15" i="36" s="1"/>
  <c r="AL44" i="33"/>
  <c r="D31" i="36" s="1"/>
  <c r="BZ44" i="33"/>
  <c r="D63" i="36" s="1"/>
  <c r="D13" i="33"/>
  <c r="AV44" i="33"/>
  <c r="BF44" i="33"/>
  <c r="H43" i="33"/>
  <c r="R41" i="33" l="1"/>
  <c r="D13" i="36" s="1"/>
  <c r="BZ42" i="33"/>
  <c r="L112" i="37"/>
  <c r="BG43" i="33"/>
  <c r="E46" i="36" s="1"/>
  <c r="D46" i="36"/>
  <c r="CU43" i="33"/>
  <c r="E78" i="36" s="1"/>
  <c r="D78" i="36"/>
  <c r="G81" i="37"/>
  <c r="F83" i="37"/>
  <c r="I44" i="33"/>
  <c r="E8" i="36" s="1"/>
  <c r="D8" i="36"/>
  <c r="G16" i="36" s="1"/>
  <c r="G24" i="36" s="1"/>
  <c r="G32" i="36" s="1"/>
  <c r="E85" i="37"/>
  <c r="E87" i="37" s="1"/>
  <c r="E88" i="37" s="1"/>
  <c r="R109" i="37"/>
  <c r="F108" i="37"/>
  <c r="F110" i="37" s="1"/>
  <c r="E72" i="37"/>
  <c r="E76" i="37" s="1"/>
  <c r="I43" i="33"/>
  <c r="E7" i="36" s="1"/>
  <c r="D7" i="36"/>
  <c r="G15" i="36" s="1"/>
  <c r="G23" i="36" s="1"/>
  <c r="G31" i="36" s="1"/>
  <c r="O96" i="37"/>
  <c r="O98" i="37" s="1"/>
  <c r="O31" i="37" s="1"/>
  <c r="O36" i="37" s="1"/>
  <c r="N60" i="37"/>
  <c r="O120" i="37"/>
  <c r="O123" i="37" s="1"/>
  <c r="O16" i="37" s="1"/>
  <c r="O21" i="37" s="1"/>
  <c r="N74" i="37"/>
  <c r="O122" i="37"/>
  <c r="EI45" i="33"/>
  <c r="E112" i="36" s="1"/>
  <c r="D112" i="36"/>
  <c r="DY45" i="33"/>
  <c r="E104" i="36" s="1"/>
  <c r="D104" i="36"/>
  <c r="DO45" i="33"/>
  <c r="E96" i="36" s="1"/>
  <c r="D96" i="36"/>
  <c r="DO43" i="33"/>
  <c r="E94" i="36" s="1"/>
  <c r="D94" i="36"/>
  <c r="DO44" i="33"/>
  <c r="E95" i="36" s="1"/>
  <c r="D95" i="36"/>
  <c r="DE43" i="33"/>
  <c r="D86" i="36"/>
  <c r="D89" i="36" s="1"/>
  <c r="CU45" i="33"/>
  <c r="E80" i="36" s="1"/>
  <c r="D80" i="36"/>
  <c r="CU44" i="33"/>
  <c r="E79" i="36" s="1"/>
  <c r="D79" i="36"/>
  <c r="CK42" i="33"/>
  <c r="E70" i="36" s="1"/>
  <c r="D70" i="36"/>
  <c r="CK44" i="33"/>
  <c r="E72" i="36" s="1"/>
  <c r="D72" i="36"/>
  <c r="CK43" i="33"/>
  <c r="E71" i="36" s="1"/>
  <c r="D71" i="36"/>
  <c r="CA43" i="33"/>
  <c r="E62" i="36" s="1"/>
  <c r="D62" i="36"/>
  <c r="BQ42" i="33"/>
  <c r="E54" i="36" s="1"/>
  <c r="D54" i="36"/>
  <c r="BQ44" i="33"/>
  <c r="E56" i="36" s="1"/>
  <c r="D56" i="36"/>
  <c r="BQ43" i="33"/>
  <c r="E55" i="36" s="1"/>
  <c r="D55" i="36"/>
  <c r="BG45" i="33"/>
  <c r="E48" i="36" s="1"/>
  <c r="D48" i="36"/>
  <c r="BG44" i="33"/>
  <c r="E47" i="36" s="1"/>
  <c r="D47" i="36"/>
  <c r="AW43" i="33"/>
  <c r="E38" i="36" s="1"/>
  <c r="D38" i="36"/>
  <c r="AW45" i="33"/>
  <c r="E40" i="36" s="1"/>
  <c r="D40" i="36"/>
  <c r="AW44" i="33"/>
  <c r="E39" i="36" s="1"/>
  <c r="D39" i="36"/>
  <c r="D17" i="36"/>
  <c r="I42" i="33"/>
  <c r="E6" i="36" s="1"/>
  <c r="D6" i="36"/>
  <c r="B21" i="33"/>
  <c r="B85" i="33"/>
  <c r="B86" i="33" s="1"/>
  <c r="W59" i="12"/>
  <c r="W7" i="12"/>
  <c r="Q63" i="12"/>
  <c r="R63" i="12" s="1"/>
  <c r="Q65" i="12"/>
  <c r="R65" i="12" s="1"/>
  <c r="Q66" i="12"/>
  <c r="R66" i="12" s="1"/>
  <c r="S62" i="12"/>
  <c r="T63" i="12" s="1"/>
  <c r="U63" i="12" s="1"/>
  <c r="Q15" i="12"/>
  <c r="V66" i="12"/>
  <c r="V64" i="12"/>
  <c r="V67" i="12"/>
  <c r="O54" i="12"/>
  <c r="AB54" i="12" s="1"/>
  <c r="O52" i="12"/>
  <c r="AB52" i="12" s="1"/>
  <c r="O53" i="12"/>
  <c r="AB53" i="12" s="1"/>
  <c r="O14" i="12"/>
  <c r="O70" i="12" s="1"/>
  <c r="AB70" i="12" s="1"/>
  <c r="N19" i="12"/>
  <c r="CT42" i="33"/>
  <c r="AB41" i="33"/>
  <c r="H41" i="33"/>
  <c r="EI44" i="33"/>
  <c r="E111" i="36" s="1"/>
  <c r="EI43" i="33"/>
  <c r="E110" i="36" s="1"/>
  <c r="DY43" i="33"/>
  <c r="E102" i="36" s="1"/>
  <c r="CA45" i="33"/>
  <c r="E64" i="36" s="1"/>
  <c r="DY44" i="33"/>
  <c r="E103" i="36" s="1"/>
  <c r="DX42" i="33"/>
  <c r="D101" i="36" s="1"/>
  <c r="DN42" i="33"/>
  <c r="EH42" i="33"/>
  <c r="D109" i="36" s="1"/>
  <c r="AL42" i="33"/>
  <c r="BP41" i="33"/>
  <c r="AV42" i="33"/>
  <c r="AM45" i="33"/>
  <c r="E32" i="36" s="1"/>
  <c r="CA44" i="33"/>
  <c r="E63" i="36" s="1"/>
  <c r="AM43" i="33"/>
  <c r="E30" i="36" s="1"/>
  <c r="AM44" i="33"/>
  <c r="E31" i="36" s="1"/>
  <c r="S44" i="33"/>
  <c r="E16" i="36" s="1"/>
  <c r="U44" i="33"/>
  <c r="AE44" i="33" s="1"/>
  <c r="AO45" i="33" s="1"/>
  <c r="AY45" i="33" s="1"/>
  <c r="BI45" i="33" s="1"/>
  <c r="BS44" i="33" s="1"/>
  <c r="CC45" i="33" s="1"/>
  <c r="S43" i="33"/>
  <c r="E15" i="36" s="1"/>
  <c r="U43" i="33"/>
  <c r="AE43" i="33" s="1"/>
  <c r="AO44" i="33" s="1"/>
  <c r="AY44" i="33" s="1"/>
  <c r="BI44" i="33" s="1"/>
  <c r="BS43" i="33" s="1"/>
  <c r="CC44" i="33" s="1"/>
  <c r="CM43" i="33" s="1"/>
  <c r="CW44" i="33" s="1"/>
  <c r="DG44" i="33" s="1"/>
  <c r="DQ44" i="33" s="1"/>
  <c r="S42" i="33"/>
  <c r="E14" i="36" s="1"/>
  <c r="U42" i="33"/>
  <c r="AE42" i="33" s="1"/>
  <c r="AO43" i="33" s="1"/>
  <c r="AY43" i="33" s="1"/>
  <c r="BI43" i="33" s="1"/>
  <c r="BS42" i="33" s="1"/>
  <c r="BF42" i="33"/>
  <c r="D11" i="33"/>
  <c r="D15" i="33" s="1"/>
  <c r="B15" i="33"/>
  <c r="C76" i="12"/>
  <c r="D76" i="12" s="1"/>
  <c r="D61" i="36" l="1"/>
  <c r="D65" i="36" s="1"/>
  <c r="CA42" i="33"/>
  <c r="E61" i="36" s="1"/>
  <c r="D113" i="36"/>
  <c r="D105" i="36"/>
  <c r="G40" i="36"/>
  <c r="G48" i="36" s="1"/>
  <c r="G56" i="36" s="1"/>
  <c r="G64" i="36" s="1"/>
  <c r="G72" i="36" s="1"/>
  <c r="BG42" i="33"/>
  <c r="D45" i="36"/>
  <c r="D49" i="36" s="1"/>
  <c r="D77" i="36"/>
  <c r="N69" i="36"/>
  <c r="AM42" i="33"/>
  <c r="E29" i="36" s="1"/>
  <c r="E33" i="36" s="1"/>
  <c r="D29" i="36"/>
  <c r="D33" i="36" s="1"/>
  <c r="E65" i="36"/>
  <c r="H81" i="37"/>
  <c r="G83" i="37"/>
  <c r="AC41" i="33"/>
  <c r="D21" i="36"/>
  <c r="D25" i="36" s="1"/>
  <c r="BQ41" i="33"/>
  <c r="E53" i="36" s="1"/>
  <c r="E57" i="36" s="1"/>
  <c r="D53" i="36"/>
  <c r="D57" i="36" s="1"/>
  <c r="I41" i="33"/>
  <c r="D5" i="36"/>
  <c r="G13" i="36" s="1"/>
  <c r="G21" i="36" s="1"/>
  <c r="AW42" i="33"/>
  <c r="E37" i="36" s="1"/>
  <c r="E41" i="36" s="1"/>
  <c r="D37" i="36"/>
  <c r="D41" i="36"/>
  <c r="O60" i="37"/>
  <c r="P96" i="37"/>
  <c r="P98" i="37" s="1"/>
  <c r="R98" i="37" s="1"/>
  <c r="R100" i="37" s="1"/>
  <c r="D73" i="36"/>
  <c r="E73" i="36"/>
  <c r="O125" i="37"/>
  <c r="O40" i="37"/>
  <c r="DO42" i="33"/>
  <c r="D93" i="36"/>
  <c r="DE46" i="33"/>
  <c r="E86" i="36"/>
  <c r="E89" i="36" s="1"/>
  <c r="G80" i="36"/>
  <c r="H80" i="36" s="1"/>
  <c r="D81" i="36"/>
  <c r="G39" i="36"/>
  <c r="G47" i="36" s="1"/>
  <c r="G55" i="36" s="1"/>
  <c r="G63" i="36" s="1"/>
  <c r="G71" i="36" s="1"/>
  <c r="G79" i="36" s="1"/>
  <c r="H79" i="36" s="1"/>
  <c r="G14" i="36"/>
  <c r="G22" i="36" s="1"/>
  <c r="G30" i="36" s="1"/>
  <c r="G38" i="36" s="1"/>
  <c r="G46" i="36" s="1"/>
  <c r="G54" i="36" s="1"/>
  <c r="G62" i="36" s="1"/>
  <c r="G70" i="36" s="1"/>
  <c r="G78" i="36" s="1"/>
  <c r="W63" i="12"/>
  <c r="V71" i="12"/>
  <c r="Q70" i="12"/>
  <c r="R70" i="12" s="1"/>
  <c r="O68" i="12"/>
  <c r="O69" i="12"/>
  <c r="AB69" i="12" s="1"/>
  <c r="O56" i="12"/>
  <c r="AB56" i="12" s="1"/>
  <c r="Q53" i="12"/>
  <c r="R53" i="12" s="1"/>
  <c r="Q54" i="12"/>
  <c r="R54" i="12" s="1"/>
  <c r="S65" i="12"/>
  <c r="T66" i="12" s="1"/>
  <c r="U66" i="12" s="1"/>
  <c r="Q52" i="12"/>
  <c r="R52" i="12" s="1"/>
  <c r="S66" i="12"/>
  <c r="T67" i="12" s="1"/>
  <c r="U67" i="12" s="1"/>
  <c r="W67" i="12" s="1"/>
  <c r="S63" i="12"/>
  <c r="T64" i="12" s="1"/>
  <c r="U64" i="12" s="1"/>
  <c r="W64" i="12" s="1"/>
  <c r="V55" i="12"/>
  <c r="P14" i="12"/>
  <c r="C43" i="12" a="1"/>
  <c r="V54" i="12"/>
  <c r="C75" i="12"/>
  <c r="C96" i="12" s="1"/>
  <c r="V53" i="12"/>
  <c r="S41" i="33"/>
  <c r="U41" i="33"/>
  <c r="AE41" i="33" s="1"/>
  <c r="CM44" i="33"/>
  <c r="CW45" i="33" s="1"/>
  <c r="DG45" i="33" s="1"/>
  <c r="DQ45" i="33" s="1"/>
  <c r="DY42" i="33"/>
  <c r="EI42" i="33"/>
  <c r="CD45" i="33"/>
  <c r="H64" i="36" s="1"/>
  <c r="CD44" i="33"/>
  <c r="H63" i="36" s="1"/>
  <c r="CC43" i="33"/>
  <c r="CM42" i="33" s="1"/>
  <c r="CW43" i="33" s="1"/>
  <c r="DG43" i="33" s="1"/>
  <c r="DQ43" i="33" s="1"/>
  <c r="CA46" i="33"/>
  <c r="C99" i="12"/>
  <c r="J19" i="12"/>
  <c r="D9" i="36" l="1"/>
  <c r="G88" i="36"/>
  <c r="H88" i="36" s="1"/>
  <c r="I45" i="33"/>
  <c r="E5" i="36"/>
  <c r="E9" i="36" s="1"/>
  <c r="AW46" i="33"/>
  <c r="BQ45" i="33"/>
  <c r="AM46" i="33"/>
  <c r="AC45" i="33"/>
  <c r="E21" i="36"/>
  <c r="E25" i="36" s="1"/>
  <c r="G29" i="36"/>
  <c r="G37" i="36" s="1"/>
  <c r="G45" i="36" s="1"/>
  <c r="G53" i="36" s="1"/>
  <c r="G61" i="36" s="1"/>
  <c r="G69" i="36" s="1"/>
  <c r="G77" i="36" s="1"/>
  <c r="S45" i="33"/>
  <c r="E13" i="36"/>
  <c r="E17" i="36" s="1"/>
  <c r="BG46" i="33"/>
  <c r="E45" i="36"/>
  <c r="E49" i="36" s="1"/>
  <c r="I81" i="37"/>
  <c r="H83" i="37"/>
  <c r="P31" i="37"/>
  <c r="P60" i="37"/>
  <c r="P120" i="37"/>
  <c r="O74" i="37"/>
  <c r="P123" i="37"/>
  <c r="EI46" i="33"/>
  <c r="E109" i="36"/>
  <c r="E113" i="36" s="1"/>
  <c r="DY46" i="33"/>
  <c r="E101" i="36"/>
  <c r="E105" i="36" s="1"/>
  <c r="D97" i="36"/>
  <c r="DO46" i="33"/>
  <c r="E93" i="36"/>
  <c r="E97" i="36" s="1"/>
  <c r="G87" i="36"/>
  <c r="H87" i="36" s="1"/>
  <c r="G96" i="36"/>
  <c r="H96" i="36" s="1"/>
  <c r="H78" i="36"/>
  <c r="G86" i="36"/>
  <c r="Q68" i="12"/>
  <c r="R68" i="12" s="1"/>
  <c r="AB68" i="12"/>
  <c r="AB72" i="12" s="1"/>
  <c r="W9" i="12"/>
  <c r="W66" i="12"/>
  <c r="W10" i="12"/>
  <c r="S70" i="12"/>
  <c r="T71" i="12" s="1"/>
  <c r="U71" i="12" s="1"/>
  <c r="W71" i="12" s="1"/>
  <c r="V70" i="12"/>
  <c r="Q69" i="12"/>
  <c r="R69" i="12" s="1"/>
  <c r="V69" i="12"/>
  <c r="S52" i="12"/>
  <c r="T53" i="12" s="1"/>
  <c r="Q56" i="12"/>
  <c r="R56" i="12" s="1"/>
  <c r="S54" i="12"/>
  <c r="T55" i="12" s="1"/>
  <c r="U55" i="12" s="1"/>
  <c r="W55" i="12" s="1"/>
  <c r="S53" i="12"/>
  <c r="T54" i="12" s="1"/>
  <c r="U54" i="12" s="1"/>
  <c r="W54" i="12" s="1"/>
  <c r="P19" i="12"/>
  <c r="Q14" i="12"/>
  <c r="Q19" i="12" s="1"/>
  <c r="U6" i="12" s="1"/>
  <c r="U9" i="12" s="1"/>
  <c r="U18" i="12" s="1"/>
  <c r="C43" i="12"/>
  <c r="D45" i="12"/>
  <c r="D44" i="12"/>
  <c r="D46" i="12"/>
  <c r="D75" i="12"/>
  <c r="D80" i="12" s="1"/>
  <c r="V57" i="12"/>
  <c r="V73" i="12" s="1"/>
  <c r="DH45" i="33"/>
  <c r="AO42" i="33"/>
  <c r="CN44" i="33"/>
  <c r="H72" i="36" s="1"/>
  <c r="CN43" i="33"/>
  <c r="H71" i="36" s="1"/>
  <c r="CD43" i="33"/>
  <c r="H62" i="36" s="1"/>
  <c r="CK45" i="33"/>
  <c r="C36" i="12"/>
  <c r="S68" i="12" l="1"/>
  <c r="T69" i="12" s="1"/>
  <c r="I83" i="37"/>
  <c r="J81" i="37"/>
  <c r="H77" i="36"/>
  <c r="H81" i="36" s="1"/>
  <c r="G85" i="36"/>
  <c r="P36" i="37"/>
  <c r="R31" i="37"/>
  <c r="R36" i="37" s="1"/>
  <c r="P122" i="37"/>
  <c r="R41" i="37"/>
  <c r="P16" i="37"/>
  <c r="R123" i="37"/>
  <c r="G104" i="36"/>
  <c r="H104" i="36" s="1"/>
  <c r="G95" i="36"/>
  <c r="H95" i="36" s="1"/>
  <c r="H86" i="36"/>
  <c r="G94" i="36"/>
  <c r="R72" i="12"/>
  <c r="Z51" i="12"/>
  <c r="W15" i="12"/>
  <c r="W18" i="12" s="1"/>
  <c r="U69" i="12"/>
  <c r="S69" i="12"/>
  <c r="T70" i="12" s="1"/>
  <c r="U70" i="12" s="1"/>
  <c r="W70" i="12" s="1"/>
  <c r="U53" i="12"/>
  <c r="W6" i="12" s="1"/>
  <c r="D43" i="12"/>
  <c r="D48" i="12" s="1"/>
  <c r="C48" i="12"/>
  <c r="S56" i="12"/>
  <c r="T57" i="12" s="1"/>
  <c r="AY42" i="33"/>
  <c r="BI42" i="33" s="1"/>
  <c r="CX45" i="33"/>
  <c r="CN42" i="33"/>
  <c r="H70" i="36" s="1"/>
  <c r="CX43" i="33"/>
  <c r="CX44" i="33"/>
  <c r="C38" i="12"/>
  <c r="H85" i="36" l="1"/>
  <c r="H89" i="36" s="1"/>
  <c r="G93" i="36"/>
  <c r="T73" i="12"/>
  <c r="J83" i="37"/>
  <c r="K81" i="37"/>
  <c r="P21" i="37"/>
  <c r="R16" i="37"/>
  <c r="R19" i="37" s="1"/>
  <c r="P40" i="37"/>
  <c r="R122" i="37"/>
  <c r="R125" i="37" s="1"/>
  <c r="P125" i="37"/>
  <c r="P74" i="37" s="1"/>
  <c r="G103" i="36"/>
  <c r="H103" i="36" s="1"/>
  <c r="G112" i="36"/>
  <c r="H112" i="36" s="1"/>
  <c r="H94" i="36"/>
  <c r="G102" i="36"/>
  <c r="W11" i="12"/>
  <c r="W69" i="12"/>
  <c r="W53" i="12"/>
  <c r="U57" i="12"/>
  <c r="BS41" i="33"/>
  <c r="CC42" i="33" s="1"/>
  <c r="CM41" i="33" s="1"/>
  <c r="CW42" i="33" s="1"/>
  <c r="DG42" i="33" s="1"/>
  <c r="DQ42" i="33" s="1"/>
  <c r="EA42" i="33" s="1"/>
  <c r="EK42" i="33" s="1"/>
  <c r="DH43" i="33"/>
  <c r="E14" i="12"/>
  <c r="K83" i="37" l="1"/>
  <c r="L81" i="37"/>
  <c r="H93" i="36"/>
  <c r="H97" i="36" s="1"/>
  <c r="G101" i="36"/>
  <c r="R21" i="37"/>
  <c r="R40" i="37"/>
  <c r="G111" i="36"/>
  <c r="H111" i="36" s="1"/>
  <c r="H102" i="36"/>
  <c r="G110" i="36"/>
  <c r="H110" i="36" s="1"/>
  <c r="U73" i="12"/>
  <c r="Z50" i="12" s="1"/>
  <c r="Z52" i="12" s="1"/>
  <c r="W8" i="12"/>
  <c r="W12" i="12" s="1"/>
  <c r="W20" i="12" s="1"/>
  <c r="W57" i="12"/>
  <c r="W73" i="12" s="1"/>
  <c r="F14" i="12"/>
  <c r="I14" i="12"/>
  <c r="CN41" i="33"/>
  <c r="CD42" i="33"/>
  <c r="DR44" i="33"/>
  <c r="EA45" i="33"/>
  <c r="DH44" i="33"/>
  <c r="I15" i="12"/>
  <c r="E16" i="12"/>
  <c r="F16" i="12" s="1"/>
  <c r="E17" i="12"/>
  <c r="F15" i="12"/>
  <c r="K19" i="12"/>
  <c r="CD46" i="33" l="1"/>
  <c r="H61" i="36"/>
  <c r="H65" i="36" s="1"/>
  <c r="CN45" i="33"/>
  <c r="H69" i="36"/>
  <c r="H73" i="36" s="1"/>
  <c r="L83" i="37"/>
  <c r="M81" i="37"/>
  <c r="H101" i="36"/>
  <c r="H105" i="36" s="1"/>
  <c r="G109" i="36"/>
  <c r="H109" i="36" s="1"/>
  <c r="H113" i="36" s="1"/>
  <c r="I16" i="12"/>
  <c r="DR42" i="33"/>
  <c r="EA43" i="33"/>
  <c r="EK45" i="33"/>
  <c r="EL45" i="33" s="1"/>
  <c r="EB45" i="33"/>
  <c r="I17" i="12"/>
  <c r="F17" i="12"/>
  <c r="N81" i="37" l="1"/>
  <c r="M83" i="37"/>
  <c r="I19" i="12"/>
  <c r="EB43" i="33"/>
  <c r="EK43" i="33"/>
  <c r="EL43" i="33" s="1"/>
  <c r="CU42" i="33"/>
  <c r="CU46" i="33" l="1"/>
  <c r="O69" i="36"/>
  <c r="E77" i="36"/>
  <c r="E81" i="36" s="1"/>
  <c r="N83" i="37"/>
  <c r="O81" i="37"/>
  <c r="DR43" i="33"/>
  <c r="EA44" i="33"/>
  <c r="DH42" i="33"/>
  <c r="CX42" i="33"/>
  <c r="CX46" i="33" s="1"/>
  <c r="O83" i="37" l="1"/>
  <c r="P81" i="37"/>
  <c r="P83" i="37" s="1"/>
  <c r="EB44" i="33"/>
  <c r="EK44" i="33"/>
  <c r="EL44" i="33" s="1"/>
  <c r="DH46" i="33"/>
  <c r="DR41" i="33" l="1"/>
  <c r="DR45" i="33" s="1"/>
  <c r="EB42" i="33" l="1"/>
  <c r="EB46" i="33" s="1"/>
  <c r="EL42" i="33"/>
  <c r="EL46" i="33" s="1"/>
  <c r="F72" i="37"/>
  <c r="G108" i="37"/>
  <c r="G110" i="37" s="1"/>
  <c r="F39" i="37"/>
  <c r="F76" i="37" l="1"/>
  <c r="G39" i="37"/>
  <c r="G46" i="37" s="1"/>
  <c r="G48" i="37" s="1"/>
  <c r="F46" i="37"/>
  <c r="F48" i="37" s="1"/>
  <c r="F50" i="37" s="1"/>
  <c r="G28" i="37" s="1"/>
  <c r="H108" i="37" l="1"/>
  <c r="H110" i="37" s="1"/>
  <c r="G72" i="37"/>
  <c r="G76" i="37" s="1"/>
  <c r="G85" i="37" s="1"/>
  <c r="F85" i="37"/>
  <c r="G50" i="37"/>
  <c r="F59" i="37"/>
  <c r="F69" i="37" s="1"/>
  <c r="H39" i="37" l="1"/>
  <c r="H46" i="37" s="1"/>
  <c r="H48" i="37" s="1"/>
  <c r="I108" i="37"/>
  <c r="I110" i="37" s="1"/>
  <c r="H72" i="37"/>
  <c r="H76" i="37" s="1"/>
  <c r="H85" i="37" s="1"/>
  <c r="H28" i="37"/>
  <c r="G59" i="37"/>
  <c r="G69" i="37" s="1"/>
  <c r="G87" i="37" s="1"/>
  <c r="H50" i="37" l="1"/>
  <c r="I28" i="37" s="1"/>
  <c r="I39" i="37"/>
  <c r="F87" i="37"/>
  <c r="F88" i="37" s="1"/>
  <c r="H59" i="37" l="1"/>
  <c r="H69" i="37" s="1"/>
  <c r="H87" i="37" s="1"/>
  <c r="H88" i="37" s="1"/>
  <c r="I46" i="37"/>
  <c r="I48" i="37" s="1"/>
  <c r="I50" i="37" s="1"/>
  <c r="I72" i="37"/>
  <c r="I76" i="37" s="1"/>
  <c r="I85" i="37" s="1"/>
  <c r="J108" i="37"/>
  <c r="J110" i="37" s="1"/>
  <c r="G88" i="37"/>
  <c r="J28" i="37" l="1"/>
  <c r="I59" i="37"/>
  <c r="I69" i="37" s="1"/>
  <c r="I87" i="37" s="1"/>
  <c r="I88" i="37" s="1"/>
  <c r="J39" i="37"/>
  <c r="J46" i="37" l="1"/>
  <c r="J48" i="37" s="1"/>
  <c r="J50" i="37" s="1"/>
  <c r="J72" i="37"/>
  <c r="J76" i="37" s="1"/>
  <c r="J85" i="37" s="1"/>
  <c r="K108" i="37"/>
  <c r="K110" i="37" s="1"/>
  <c r="K39" i="37" l="1"/>
  <c r="K46" i="37" s="1"/>
  <c r="K48" i="37" s="1"/>
  <c r="J59" i="37"/>
  <c r="J69" i="37" s="1"/>
  <c r="J87" i="37" s="1"/>
  <c r="J88" i="37" s="1"/>
  <c r="K28" i="37"/>
  <c r="L108" i="37"/>
  <c r="L110" i="37" s="1"/>
  <c r="K72" i="37"/>
  <c r="K76" i="37" s="1"/>
  <c r="K85" i="37" s="1"/>
  <c r="K50" i="37" l="1"/>
  <c r="K59" i="37" s="1"/>
  <c r="K69" i="37" s="1"/>
  <c r="K87" i="37" s="1"/>
  <c r="K88" i="37" s="1"/>
  <c r="L39" i="37"/>
  <c r="L28" i="37" l="1"/>
  <c r="L46" i="37"/>
  <c r="L48" i="37" s="1"/>
  <c r="L50" i="37" s="1"/>
  <c r="L72" i="37"/>
  <c r="L76" i="37" s="1"/>
  <c r="L85" i="37" s="1"/>
  <c r="M108" i="37"/>
  <c r="M110" i="37" s="1"/>
  <c r="M39" i="37" s="1"/>
  <c r="M46" i="37" s="1"/>
  <c r="M48" i="37" s="1"/>
  <c r="L59" i="37" l="1"/>
  <c r="L69" i="37" s="1"/>
  <c r="L87" i="37" s="1"/>
  <c r="L88" i="37" s="1"/>
  <c r="M28" i="37"/>
  <c r="M50" i="37" s="1"/>
  <c r="M72" i="37"/>
  <c r="M76" i="37" s="1"/>
  <c r="M85" i="37" s="1"/>
  <c r="N108" i="37"/>
  <c r="N110" i="37" s="1"/>
  <c r="M59" i="37" l="1"/>
  <c r="M69" i="37" s="1"/>
  <c r="M87" i="37" s="1"/>
  <c r="M88" i="37" s="1"/>
  <c r="N28" i="37"/>
  <c r="N39" i="37"/>
  <c r="N46" i="37" l="1"/>
  <c r="N48" i="37" s="1"/>
  <c r="N50" i="37" s="1"/>
  <c r="O108" i="37"/>
  <c r="O110" i="37" s="1"/>
  <c r="O39" i="37" s="1"/>
  <c r="O46" i="37" s="1"/>
  <c r="O48" i="37" s="1"/>
  <c r="N72" i="37"/>
  <c r="N76" i="37" s="1"/>
  <c r="N85" i="37" s="1"/>
  <c r="O28" i="37" l="1"/>
  <c r="O50" i="37" s="1"/>
  <c r="N59" i="37"/>
  <c r="N69" i="37" s="1"/>
  <c r="N87" i="37" s="1"/>
  <c r="N88" i="37" s="1"/>
  <c r="P108" i="37"/>
  <c r="P110" i="37" s="1"/>
  <c r="R110" i="37" s="1"/>
  <c r="R112" i="37" s="1"/>
  <c r="O72" i="37"/>
  <c r="O76" i="37" s="1"/>
  <c r="O85" i="37" s="1"/>
  <c r="O59" i="37" l="1"/>
  <c r="O69" i="37" s="1"/>
  <c r="O87" i="37" s="1"/>
  <c r="O88" i="37" s="1"/>
  <c r="P28" i="37"/>
  <c r="P39" i="37"/>
  <c r="P72" i="37"/>
  <c r="P76" i="37" s="1"/>
  <c r="P85" i="37" s="1"/>
  <c r="P46" i="37" l="1"/>
  <c r="P48" i="37" s="1"/>
  <c r="P50" i="37" s="1"/>
  <c r="P59" i="37" s="1"/>
  <c r="P69" i="37" s="1"/>
  <c r="P87" i="37" s="1"/>
  <c r="P88" i="37" s="1"/>
  <c r="R39" i="37"/>
  <c r="R46" i="37" s="1"/>
  <c r="R48" i="37" s="1"/>
  <c r="R5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<sst xmlns="http://schemas.openxmlformats.org/spreadsheetml/2006/main" count="1905" uniqueCount="481">
  <si>
    <t>Fiber</t>
  </si>
  <si>
    <t>Hurd</t>
  </si>
  <si>
    <t>Hempitecture</t>
  </si>
  <si>
    <t>Profit</t>
  </si>
  <si>
    <t xml:space="preserve"> </t>
  </si>
  <si>
    <t>Total</t>
  </si>
  <si>
    <t>Cost / hour</t>
  </si>
  <si>
    <t>Cost / bag</t>
  </si>
  <si>
    <t>Material / Bale</t>
  </si>
  <si>
    <t>Total COGS</t>
  </si>
  <si>
    <t>Wholesale</t>
  </si>
  <si>
    <t>Duel-Purpose Acres Cultivated</t>
  </si>
  <si>
    <t>Fines (small hurd)</t>
  </si>
  <si>
    <t>Fine fibers / small hurd / dust</t>
  </si>
  <si>
    <t>Processing time / day</t>
  </si>
  <si>
    <t>Tons processed / hour</t>
  </si>
  <si>
    <t>Days of processing / week</t>
  </si>
  <si>
    <t>Tons</t>
  </si>
  <si>
    <t>Bales Processed / hour</t>
  </si>
  <si>
    <t>Total Bale Weight</t>
  </si>
  <si>
    <t>Ground Costs</t>
  </si>
  <si>
    <t>Water Costs</t>
  </si>
  <si>
    <t>Pre-Emergent</t>
  </si>
  <si>
    <t>Seed</t>
  </si>
  <si>
    <t>Pounds of Seed / Acre</t>
  </si>
  <si>
    <t>$ / Pound</t>
  </si>
  <si>
    <t>Seed Harvest + Stalk Cutting</t>
  </si>
  <si>
    <t>Bailing</t>
  </si>
  <si>
    <t xml:space="preserve">Farming Costs / Acre </t>
  </si>
  <si>
    <t>Biomass Produced (Lbs)</t>
  </si>
  <si>
    <t>Duel Purpose Stalks Processing</t>
  </si>
  <si>
    <t>Hemp stalks / acre</t>
  </si>
  <si>
    <t>Grain harvested / acre</t>
  </si>
  <si>
    <t>Farmer Revenue / Acre</t>
  </si>
  <si>
    <t>Pounds Material / Bale</t>
  </si>
  <si>
    <t>Grain Lbs / acre</t>
  </si>
  <si>
    <t>Facility Rent</t>
  </si>
  <si>
    <t xml:space="preserve">Utilities </t>
  </si>
  <si>
    <t>Payroll</t>
  </si>
  <si>
    <t>Acres needed to meet system capacity</t>
  </si>
  <si>
    <t xml:space="preserve">Yearly Processing Capacity </t>
  </si>
  <si>
    <t>Biomass Costs (market)</t>
  </si>
  <si>
    <t>Wholesale Market Values</t>
  </si>
  <si>
    <t>Yearly Grain Revenue</t>
  </si>
  <si>
    <t xml:space="preserve">Total lbs cultivated </t>
  </si>
  <si>
    <t>Fertilizer (Nitrogen Mix)</t>
  </si>
  <si>
    <t>Wholesale $ / lb</t>
  </si>
  <si>
    <t xml:space="preserve">Biomass (lbs) / Acre </t>
  </si>
  <si>
    <t>Raw Material Cost / Acre</t>
  </si>
  <si>
    <t>Packaging</t>
  </si>
  <si>
    <t xml:space="preserve">Yellow Cells are Variables </t>
  </si>
  <si>
    <t>Carbob Credit Value</t>
  </si>
  <si>
    <t>Value / Acre Cultivated</t>
  </si>
  <si>
    <t>Monthly Revenue</t>
  </si>
  <si>
    <t>Yearly Revenue</t>
  </si>
  <si>
    <t>March</t>
  </si>
  <si>
    <t>October</t>
  </si>
  <si>
    <t>November</t>
  </si>
  <si>
    <t>December</t>
  </si>
  <si>
    <t>June</t>
  </si>
  <si>
    <t>July</t>
  </si>
  <si>
    <t>August</t>
  </si>
  <si>
    <t>September</t>
  </si>
  <si>
    <t>May</t>
  </si>
  <si>
    <t>Equipment Lease</t>
  </si>
  <si>
    <t>Supersacks</t>
  </si>
  <si>
    <t>IFA</t>
  </si>
  <si>
    <t>Utah State</t>
  </si>
  <si>
    <t>% of entire Bale</t>
  </si>
  <si>
    <t>Unaccounted Waste</t>
  </si>
  <si>
    <t>Farmer Net Revenue / Acre</t>
  </si>
  <si>
    <t>Monthly Processing lbs</t>
  </si>
  <si>
    <t>Yearly Processing lbs</t>
  </si>
  <si>
    <t>Daily Processing (Lbs)</t>
  </si>
  <si>
    <t>Bales Processed Daily</t>
  </si>
  <si>
    <t>Sales Person</t>
  </si>
  <si>
    <t>Total Weight</t>
  </si>
  <si>
    <t>MSRP</t>
  </si>
  <si>
    <t>Pounds / Acre</t>
  </si>
  <si>
    <t>DTC Net Revenue</t>
  </si>
  <si>
    <t>Wholesale Net Revenue</t>
  </si>
  <si>
    <t>Farmer $ / Acre (Costs Below)</t>
  </si>
  <si>
    <t>Hemp Dust</t>
  </si>
  <si>
    <t>Raw Material</t>
  </si>
  <si>
    <t>January</t>
  </si>
  <si>
    <t>February</t>
  </si>
  <si>
    <t>April</t>
  </si>
  <si>
    <t>Contracted Price w/ farmer</t>
  </si>
  <si>
    <t>Grain Cost from Farmer</t>
  </si>
  <si>
    <t>Grain Net Profit</t>
  </si>
  <si>
    <t>Yearly Processing Capacity (lbs)</t>
  </si>
  <si>
    <t>Total Cost to grow Expected acrage</t>
  </si>
  <si>
    <t>Grain Brokerage (Farm contract to market)</t>
  </si>
  <si>
    <t>Hemp Hurd</t>
  </si>
  <si>
    <t>Bags packed / hour</t>
  </si>
  <si>
    <t>Employees required to pack bags</t>
  </si>
  <si>
    <t>Employee hourly wage</t>
  </si>
  <si>
    <t>Employee hourly wage / hour</t>
  </si>
  <si>
    <t>Dust / manure Packing</t>
  </si>
  <si>
    <t>Pounds in Whole (lbs)</t>
  </si>
  <si>
    <t>Product  Composition</t>
  </si>
  <si>
    <t>Assorted Raw Materials for Product Mixes</t>
  </si>
  <si>
    <t>30 pound Compression Bag (Animal Bedding)</t>
  </si>
  <si>
    <t>Packing / Co Packing</t>
  </si>
  <si>
    <t>Animal Bedding Compression Bagger</t>
  </si>
  <si>
    <t>Bags Packed / Hour</t>
  </si>
  <si>
    <t>Employees required to bag</t>
  </si>
  <si>
    <t xml:space="preserve">Specialty Service </t>
  </si>
  <si>
    <t>Pelletizing</t>
  </si>
  <si>
    <t>Pounds / hour</t>
  </si>
  <si>
    <t>Cost / Pound</t>
  </si>
  <si>
    <t>Raw Materials Costs</t>
  </si>
  <si>
    <t>Hemp Dust Alone</t>
  </si>
  <si>
    <t>Hemp Dust Alone Packaging</t>
  </si>
  <si>
    <t>Carbon Credit Value</t>
  </si>
  <si>
    <t>Total Packaging $ Required</t>
  </si>
  <si>
    <t>Total Bags Required</t>
  </si>
  <si>
    <t>Cost for Packaging</t>
  </si>
  <si>
    <t>Total Cost / Packaging</t>
  </si>
  <si>
    <t>Cost of Packing / Product</t>
  </si>
  <si>
    <t>Total Revenue</t>
  </si>
  <si>
    <t>Hemp Fiber</t>
  </si>
  <si>
    <t>Nesting pad Box</t>
  </si>
  <si>
    <t>Hemp Nesting Pad Box</t>
  </si>
  <si>
    <t>Boxes / hour</t>
  </si>
  <si>
    <t>Number of employees</t>
  </si>
  <si>
    <t>Rate / hour</t>
  </si>
  <si>
    <t>Hemp Grain</t>
  </si>
  <si>
    <t>Hemp Grain Pellets</t>
  </si>
  <si>
    <t xml:space="preserve">Hemp Grain Pellets </t>
  </si>
  <si>
    <t>Hemp Grain Pellets Packing</t>
  </si>
  <si>
    <t xml:space="preserve">% increaes on Wholesale </t>
  </si>
  <si>
    <t>Revenue</t>
  </si>
  <si>
    <t>Hurd (Animal Bedding)</t>
  </si>
  <si>
    <t>Utah State Fair</t>
  </si>
  <si>
    <t>Idaho State Fair</t>
  </si>
  <si>
    <t>Trucking</t>
  </si>
  <si>
    <t>Cost / Mile</t>
  </si>
  <si>
    <t>Cost / pound</t>
  </si>
  <si>
    <t>Cost / mile</t>
  </si>
  <si>
    <t>Total miles</t>
  </si>
  <si>
    <t>Dump Truck Delivery - Utah University</t>
  </si>
  <si>
    <t>Total Costs</t>
  </si>
  <si>
    <t xml:space="preserve">Total Profit - total acrage </t>
  </si>
  <si>
    <t>Cost to Pocess 1 pound</t>
  </si>
  <si>
    <t>Total Processed $ / lb</t>
  </si>
  <si>
    <t>Total Bale Cost</t>
  </si>
  <si>
    <t>Processed Cost / lb (loss accounted for)</t>
  </si>
  <si>
    <t>Cost to process 1 lb of hemp</t>
  </si>
  <si>
    <t>% revenue increease</t>
  </si>
  <si>
    <t>Gross Profit / lb</t>
  </si>
  <si>
    <t>Post Processing</t>
  </si>
  <si>
    <t xml:space="preserve">Nesting Pads </t>
  </si>
  <si>
    <t xml:space="preserve">Administrator - Acounting / Book Keeping </t>
  </si>
  <si>
    <t xml:space="preserve">Product Packaging Materials </t>
  </si>
  <si>
    <t>Monthly Total</t>
  </si>
  <si>
    <t>Yearly Total</t>
  </si>
  <si>
    <t>Product Marketing (web &amp; instore)</t>
  </si>
  <si>
    <t>Fuel, Repairs, Maintenance</t>
  </si>
  <si>
    <t>$/lb</t>
  </si>
  <si>
    <t>Wyoming Hemp Co</t>
  </si>
  <si>
    <t>Cottrell</t>
  </si>
  <si>
    <t>Monthly Costs</t>
  </si>
  <si>
    <t>Idaho Hemp Processing Costs</t>
  </si>
  <si>
    <t xml:space="preserve"> $/lb </t>
  </si>
  <si>
    <t xml:space="preserve"> Revenue </t>
  </si>
  <si>
    <t>Hemp Processed Monthly</t>
  </si>
  <si>
    <t>Hemp Acquisition $ Monthly</t>
  </si>
  <si>
    <t>Carolina Coops</t>
  </si>
  <si>
    <t>Compression bagging system - will fit more on truck</t>
  </si>
  <si>
    <t>Packaging Total</t>
  </si>
  <si>
    <t>Compression bags (12,000 total - Printed)</t>
  </si>
  <si>
    <t>Soil bags (8000 total)</t>
  </si>
  <si>
    <t>Tiger Fiber</t>
  </si>
  <si>
    <t xml:space="preserve">Guillotine Cutter - Preps Fiber </t>
  </si>
  <si>
    <t>Equipment Total</t>
  </si>
  <si>
    <t>Bale Opener</t>
  </si>
  <si>
    <t>Decorticator</t>
  </si>
  <si>
    <t>Air Separator</t>
  </si>
  <si>
    <t>Fiber Cleaner</t>
  </si>
  <si>
    <t>Opener/Cleaner/Refiner</t>
  </si>
  <si>
    <t>Fiber Baler</t>
  </si>
  <si>
    <t>Cyclone</t>
  </si>
  <si>
    <t>Airlock</t>
  </si>
  <si>
    <t>Fan</t>
  </si>
  <si>
    <t>Hurd Cleaner/Classifier</t>
  </si>
  <si>
    <t>Aspirator</t>
  </si>
  <si>
    <t>Aspirator Cyclone</t>
  </si>
  <si>
    <t>Hurd Bagger</t>
  </si>
  <si>
    <t>Fines Collector</t>
  </si>
  <si>
    <t>System Ductwork</t>
  </si>
  <si>
    <t xml:space="preserve">Current Processing Equipment </t>
  </si>
  <si>
    <t>$ - Used Equipment</t>
  </si>
  <si>
    <t>Expected Purchase Price from NFS Leasing</t>
  </si>
  <si>
    <t>Material Produced Monthly</t>
  </si>
  <si>
    <t>Lbs</t>
  </si>
  <si>
    <t>$ / lb</t>
  </si>
  <si>
    <t>Wholesale Value</t>
  </si>
  <si>
    <t>Customers</t>
  </si>
  <si>
    <t>Shipment lbs</t>
  </si>
  <si>
    <t>Monthly shipment</t>
  </si>
  <si>
    <t>Lb Fiber sold</t>
  </si>
  <si>
    <t>Lb Fines sold</t>
  </si>
  <si>
    <t>Lb Hurd sold</t>
  </si>
  <si>
    <t>Lb Dust sold</t>
  </si>
  <si>
    <t>Remaining Value</t>
  </si>
  <si>
    <t>Unsold Inventory</t>
  </si>
  <si>
    <t>Lb Sold</t>
  </si>
  <si>
    <t>Shipment lbs / qty</t>
  </si>
  <si>
    <t>Reference &amp; Change Values on Hemp Processing Page</t>
  </si>
  <si>
    <t>Total Wholesale Revenue</t>
  </si>
  <si>
    <t>Consumer</t>
  </si>
  <si>
    <t>Grubbly Farms</t>
  </si>
  <si>
    <t>Total Volume</t>
  </si>
  <si>
    <t>Value</t>
  </si>
  <si>
    <t>Costs</t>
  </si>
  <si>
    <t>Weight Each</t>
  </si>
  <si>
    <t>Material</t>
  </si>
  <si>
    <t>Cost Each</t>
  </si>
  <si>
    <t>$ - Each</t>
  </si>
  <si>
    <t>Wholesale Revenue</t>
  </si>
  <si>
    <t>Consumer Revenue</t>
  </si>
  <si>
    <t>Facility Costs</t>
  </si>
  <si>
    <t>Hemp Stalk Costs</t>
  </si>
  <si>
    <t>Total Profit</t>
  </si>
  <si>
    <t>Brian + Frank</t>
  </si>
  <si>
    <t>Consumer Product Costs</t>
  </si>
  <si>
    <t>Raw material</t>
  </si>
  <si>
    <t xml:space="preserve">DTC </t>
  </si>
  <si>
    <t>2025 - january</t>
  </si>
  <si>
    <t>2025 February</t>
  </si>
  <si>
    <t>2025 March</t>
  </si>
  <si>
    <t>2025 April</t>
  </si>
  <si>
    <t>2025 May</t>
  </si>
  <si>
    <t>2025 June</t>
  </si>
  <si>
    <t>2025 July</t>
  </si>
  <si>
    <t xml:space="preserve">2024 December </t>
  </si>
  <si>
    <t xml:space="preserve">Nesting pads DTC </t>
  </si>
  <si>
    <t>Smart Organic Feeds</t>
  </si>
  <si>
    <t>Shaker Table</t>
  </si>
  <si>
    <t>Guillotine Cutter</t>
  </si>
  <si>
    <t>Compression Bagger</t>
  </si>
  <si>
    <t>Equipment Purchase</t>
  </si>
  <si>
    <t>Total Equipment Cost</t>
  </si>
  <si>
    <t>Low Temp Mill</t>
  </si>
  <si>
    <t>Packaging Purchase</t>
  </si>
  <si>
    <t>Compression Bags</t>
  </si>
  <si>
    <t>Nesting Pad Boxes</t>
  </si>
  <si>
    <t>Soil Bags</t>
  </si>
  <si>
    <t xml:space="preserve">Soil Bags Wholesale </t>
  </si>
  <si>
    <t>Dust</t>
  </si>
  <si>
    <t>Soil Bag Wholesale</t>
  </si>
  <si>
    <t>DTC  - Nesting Pads</t>
  </si>
  <si>
    <t>Grow Plugs - 36 pack</t>
  </si>
  <si>
    <t>Monthly Volume</t>
  </si>
  <si>
    <t xml:space="preserve">December </t>
  </si>
  <si>
    <t xml:space="preserve">Revenue </t>
  </si>
  <si>
    <t>Total Packaging Costs</t>
  </si>
  <si>
    <t>Monthly Profit</t>
  </si>
  <si>
    <t>Montlhy Profit</t>
  </si>
  <si>
    <t>Wholesale Customers</t>
  </si>
  <si>
    <t>DTC  Nesting Pads</t>
  </si>
  <si>
    <t>Wholesale Nesting Pads</t>
  </si>
  <si>
    <t>FIber</t>
  </si>
  <si>
    <t>DTC Tree Square</t>
  </si>
  <si>
    <t>DTC Tree Pads</t>
  </si>
  <si>
    <t>DTC Tree squares</t>
  </si>
  <si>
    <t>Feed master for fiber - Will improve daily efficency by 25%</t>
  </si>
  <si>
    <t>Magnet - Needed to capture any metal that may be in raw material</t>
  </si>
  <si>
    <t xml:space="preserve">Metal + Rock Trap at pickup after bale opener - Catch material </t>
  </si>
  <si>
    <t>Rigging / Installation - Installing new equipment</t>
  </si>
  <si>
    <t>Build / acquire New Aspirator - Will improve material &amp; reduce "dust"</t>
  </si>
  <si>
    <t>Bale Opener Rebuild - Needs to be done to feed material faster</t>
  </si>
  <si>
    <t>Sepirator above Baler - will pull material through faster</t>
  </si>
  <si>
    <t>Inventory to Date</t>
  </si>
  <si>
    <t xml:space="preserve">Co-Manufacturing Each </t>
  </si>
  <si>
    <t>Interest %</t>
  </si>
  <si>
    <t>Total Repayment</t>
  </si>
  <si>
    <t>Lease Duration (Months)</t>
  </si>
  <si>
    <t>Monthly Repayment</t>
  </si>
  <si>
    <t>Additioanl Loan Proposal (Expenses above)</t>
  </si>
  <si>
    <t xml:space="preserve">New NFS Loan total </t>
  </si>
  <si>
    <t>New Monthly Payment</t>
  </si>
  <si>
    <t>Total amount paid in interest</t>
  </si>
  <si>
    <t>Loan Repayment</t>
  </si>
  <si>
    <t>Raw material processed monthly</t>
  </si>
  <si>
    <t>Cost of raw material monthly</t>
  </si>
  <si>
    <t>Facility operating costs monthly</t>
  </si>
  <si>
    <t xml:space="preserve">Nesting Pads - DTC </t>
  </si>
  <si>
    <t>Nesting Pads - DTC</t>
  </si>
  <si>
    <t>Carbon credit for crop cultivation</t>
  </si>
  <si>
    <t>Kitty Litter</t>
  </si>
  <si>
    <t>Fines</t>
  </si>
  <si>
    <t>2025 August</t>
  </si>
  <si>
    <t>2025 September</t>
  </si>
  <si>
    <t>2025 October</t>
  </si>
  <si>
    <t xml:space="preserve"> $ - Each </t>
  </si>
  <si>
    <t xml:space="preserve">  Revenue  </t>
  </si>
  <si>
    <t xml:space="preserve">2025 November </t>
  </si>
  <si>
    <t>2025 December</t>
  </si>
  <si>
    <t>Combined</t>
  </si>
  <si>
    <t>Conveyor for bale feeding</t>
  </si>
  <si>
    <t>Kitty Litter (fines)</t>
  </si>
  <si>
    <t>Kitty Litter (Dust)</t>
  </si>
  <si>
    <t>NitroRegen - Alone - Lg</t>
  </si>
  <si>
    <t>NitroRegen pelletized</t>
  </si>
  <si>
    <t>Packaging Costs / unit</t>
  </si>
  <si>
    <t>Sebs Pellet Bagging</t>
  </si>
  <si>
    <t>Products</t>
  </si>
  <si>
    <t xml:space="preserve">Medium Animal Bedding </t>
  </si>
  <si>
    <t>Large Animal Bedding</t>
  </si>
  <si>
    <t>Small Animal Bedding</t>
  </si>
  <si>
    <t>Hemp Nesting Pad (10 pack)</t>
  </si>
  <si>
    <t>Hemp Grain  Large</t>
  </si>
  <si>
    <t>Hemp Grain Small (bird seed)</t>
  </si>
  <si>
    <t>Animal Bedding</t>
  </si>
  <si>
    <t>Nesting Pads</t>
  </si>
  <si>
    <t>Chicken Feed</t>
  </si>
  <si>
    <t>Soil Products</t>
  </si>
  <si>
    <t>Cost from IHP to Idaho Organics</t>
  </si>
  <si>
    <t>lbs sold by IHP</t>
  </si>
  <si>
    <t>Operating days / year</t>
  </si>
  <si>
    <t>Operating days monthly</t>
  </si>
  <si>
    <t>% material sold by IHP</t>
  </si>
  <si>
    <t>Idaho Organics Inventory</t>
  </si>
  <si>
    <t>Remaining Inventory</t>
  </si>
  <si>
    <t>Cost to purchase inventory</t>
  </si>
  <si>
    <t>% inventory in each product</t>
  </si>
  <si>
    <t>Max Monthly Revenue</t>
  </si>
  <si>
    <t>Max Yearly Revenue</t>
  </si>
  <si>
    <t>IHP Material Revenue</t>
  </si>
  <si>
    <t>Total Revenue IHP + IO purchase</t>
  </si>
  <si>
    <t>Units Sold DTC (monthly)</t>
  </si>
  <si>
    <t>Units sold Wholesale (monthly)</t>
  </si>
  <si>
    <t>DTC Revenue (Monthly)</t>
  </si>
  <si>
    <t>Wholesale Revenue (Monthly)</t>
  </si>
  <si>
    <t>Total Units Available (yearly)</t>
  </si>
  <si>
    <t>% of units sold DTC</t>
  </si>
  <si>
    <t>Direct to Consumer</t>
  </si>
  <si>
    <t>Yearly Profit</t>
  </si>
  <si>
    <t>DTC + Wholesale Revenue</t>
  </si>
  <si>
    <t>Yearly Combined</t>
  </si>
  <si>
    <t>Total Cogs Yearly</t>
  </si>
  <si>
    <t>Yearly COGS</t>
  </si>
  <si>
    <t>Revenue from Idaho Organics</t>
  </si>
  <si>
    <t>Grow Plugs 2" x 2" - (360 pack)</t>
  </si>
  <si>
    <t>Net Revenue by Product</t>
  </si>
  <si>
    <t>Grain</t>
  </si>
  <si>
    <t>Grow Mats + Plugs</t>
  </si>
  <si>
    <t>Tree Squares 24" x 24" (5 pack)</t>
  </si>
  <si>
    <t>Grow Mats 10" x 20" (10 Pack)</t>
  </si>
  <si>
    <t xml:space="preserve">Idaho Organics Combined Yearly </t>
  </si>
  <si>
    <t>Yearly Totals</t>
  </si>
  <si>
    <t>Nesting Pad Boxes - 1000</t>
  </si>
  <si>
    <t>Kitty Litter Packaging</t>
  </si>
  <si>
    <t>Low temp Mill (for potential contract with Andersons)</t>
  </si>
  <si>
    <t>Shaker table - To recover higher value material from "dust"</t>
  </si>
  <si>
    <t>Currently Installed Equipment - To be purchased / renogatiated with NFS Leasing</t>
  </si>
  <si>
    <t>New NFS lease Proposal</t>
  </si>
  <si>
    <t>One Month of Hemp Raw Material Expenses</t>
  </si>
  <si>
    <t xml:space="preserve"> Idaho Organics - Packaging</t>
  </si>
  <si>
    <t>Idaho Organics Marketing</t>
  </si>
  <si>
    <t>Product Marketing (Online ads &amp; instore promotions)</t>
  </si>
  <si>
    <t>IHP - Product Refinment Equipment</t>
  </si>
  <si>
    <t xml:space="preserve">IHP - Three Months of Operating Expenses </t>
  </si>
  <si>
    <t>IHP - Additional requests for reduced cash flow stress</t>
  </si>
  <si>
    <t>Sales Travel Budget (sales effort in Southwest)</t>
  </si>
  <si>
    <t>Additional expenses total</t>
  </si>
  <si>
    <t>Idaho Hemp Processing Fund Request Total</t>
  </si>
  <si>
    <t>Idaho Organics Fund Request Total</t>
  </si>
  <si>
    <t>Marketing Total</t>
  </si>
  <si>
    <t>Total - Idaho Organics &amp; Idaho Hemp Processing Total</t>
  </si>
  <si>
    <t>IHP - Equipment Upgrades for 3 tons / hour (Needed over 3 Months)</t>
  </si>
  <si>
    <t>Nitro Regen</t>
  </si>
  <si>
    <t>Grow plugs / mats</t>
  </si>
  <si>
    <t>Facility Operations</t>
  </si>
  <si>
    <t>Grain Brokerage</t>
  </si>
  <si>
    <t>Raw Material Sales</t>
  </si>
  <si>
    <t>Idaho Hemp Processing Yearly Expenses</t>
  </si>
  <si>
    <t>Equipent Lease (yearly)</t>
  </si>
  <si>
    <t>Hemp Acquisition Costs</t>
  </si>
  <si>
    <t>Product COGS</t>
  </si>
  <si>
    <t>Marketing Costs</t>
  </si>
  <si>
    <t>Yearly Net Profit</t>
  </si>
  <si>
    <t xml:space="preserve">Idaho Organics Yearly Expenses </t>
  </si>
  <si>
    <t>Bulk Sales</t>
  </si>
  <si>
    <t>Consumer Sales</t>
  </si>
  <si>
    <t>Bulk</t>
  </si>
  <si>
    <t>All in Upgrades</t>
  </si>
  <si>
    <t>Scaled Options</t>
  </si>
  <si>
    <t xml:space="preserve">The following expenditures will essentially double </t>
  </si>
  <si>
    <t>Yearly Packaging Costs</t>
  </si>
  <si>
    <t xml:space="preserve">Both Samples </t>
  </si>
  <si>
    <t xml:space="preserve">Fiber and hurd </t>
  </si>
  <si>
    <t>50 pounds hurd</t>
  </si>
  <si>
    <t>Grant for lab use animal bedding</t>
  </si>
  <si>
    <t>Hemp Animal Bedding line</t>
  </si>
  <si>
    <t>Sample of hemp hurd to Andersons</t>
  </si>
  <si>
    <t xml:space="preserve">Microbial load &amp; heavy metals </t>
  </si>
  <si>
    <t>Total Production from Acerage Cultivated</t>
  </si>
  <si>
    <t>Marketing Budget</t>
  </si>
  <si>
    <t>Acres cultivated</t>
  </si>
  <si>
    <t>Equipment Upgrades</t>
  </si>
  <si>
    <t xml:space="preserve">Idaho Organics Yearly Max Revenue </t>
  </si>
  <si>
    <t>Idaho Hemp Processing Yearly Max Revenue</t>
  </si>
  <si>
    <t>2025 Expected Profit. Minimal Upgrades(100% material sell through)</t>
  </si>
  <si>
    <t>SALES</t>
  </si>
  <si>
    <t>COMMERCIAL (POUNDS)</t>
  </si>
  <si>
    <t>TOTAL</t>
  </si>
  <si>
    <t>------------</t>
  </si>
  <si>
    <t>CONSUMER (POUNDS)</t>
  </si>
  <si>
    <t>Price/lb</t>
  </si>
  <si>
    <t>-------------</t>
  </si>
  <si>
    <t>FIBER</t>
  </si>
  <si>
    <t>HURD</t>
  </si>
  <si>
    <t>DUST</t>
  </si>
  <si>
    <t>FINES</t>
  </si>
  <si>
    <t>COMMERCIAL (DOLLARS)</t>
  </si>
  <si>
    <t>CONSUMER (DOLLARS)</t>
  </si>
  <si>
    <t>========</t>
  </si>
  <si>
    <t>Equipment Purchases:</t>
  </si>
  <si>
    <t>Beginning Balance</t>
  </si>
  <si>
    <t>Add: Sales</t>
  </si>
  <si>
    <t>Less: Collections</t>
  </si>
  <si>
    <t>Ending Balance</t>
  </si>
  <si>
    <t>Projected Income Statement</t>
  </si>
  <si>
    <t>DSO</t>
  </si>
  <si>
    <t>Accounts Payable Rollforward:</t>
  </si>
  <si>
    <t>Add: Purchases</t>
  </si>
  <si>
    <t>Less: Payments</t>
  </si>
  <si>
    <t>DPO</t>
  </si>
  <si>
    <t>Opening Balance</t>
  </si>
  <si>
    <t>Add: Refinancing Proceeds</t>
  </si>
  <si>
    <t>Interest Expense</t>
  </si>
  <si>
    <t>Less: Principal Payments</t>
  </si>
  <si>
    <t>Equipment Lease Rollforward</t>
  </si>
  <si>
    <t>Total Equipment Purchases</t>
  </si>
  <si>
    <t>Other</t>
  </si>
  <si>
    <t xml:space="preserve">INDUSTRIAL HEMP FIBER </t>
  </si>
  <si>
    <t>Accounts Receivable Rollforward</t>
  </si>
  <si>
    <t>REVENUE:</t>
  </si>
  <si>
    <t>COSTS &amp; EXPENSES:</t>
  </si>
  <si>
    <t>Projected Cash Flow</t>
  </si>
  <si>
    <t>RECEIPTS</t>
  </si>
  <si>
    <t>Lease Proceeds</t>
  </si>
  <si>
    <t>Equity Contrbutions</t>
  </si>
  <si>
    <t>DISBURSEMENTS</t>
  </si>
  <si>
    <t>Accounts Payable Payments</t>
  </si>
  <si>
    <t>Receivable Collections</t>
  </si>
  <si>
    <t>Equipment Purchases</t>
  </si>
  <si>
    <t>Total Disbursements</t>
  </si>
  <si>
    <t>Total Receipts</t>
  </si>
  <si>
    <t>Net Cash Flow</t>
  </si>
  <si>
    <t>Ending Cash Balance</t>
  </si>
  <si>
    <t>Lease Principal Payments</t>
  </si>
  <si>
    <t>Opening Cash Balance</t>
  </si>
  <si>
    <t>Projected Balance Sheet</t>
  </si>
  <si>
    <t>ASSETS</t>
  </si>
  <si>
    <t>Cash</t>
  </si>
  <si>
    <t>Accounts Receivable</t>
  </si>
  <si>
    <t>Plant Equipment</t>
  </si>
  <si>
    <t>Accumulated Depreciation</t>
  </si>
  <si>
    <t>Other Assets</t>
  </si>
  <si>
    <t>TOTAL ASSETS</t>
  </si>
  <si>
    <t>LIABILITIES</t>
  </si>
  <si>
    <t>Accounts Payable</t>
  </si>
  <si>
    <t>Capital Lease</t>
  </si>
  <si>
    <t>Accrued Expenses</t>
  </si>
  <si>
    <t>Inventory - FG</t>
  </si>
  <si>
    <t>Inventory - RM</t>
  </si>
  <si>
    <t>EQUITY</t>
  </si>
  <si>
    <t>Shareholders' Equity</t>
  </si>
  <si>
    <t>Retained Earnings</t>
  </si>
  <si>
    <t>Current Earnings</t>
  </si>
  <si>
    <t>TOTAL LIABILITIES</t>
  </si>
  <si>
    <t>TOTAL EQUITY</t>
  </si>
  <si>
    <t>TOTAL LIABILITIES &amp; EQUITY</t>
  </si>
  <si>
    <t>Depreciation</t>
  </si>
  <si>
    <t>Lease Interest Expense</t>
  </si>
  <si>
    <t>Short Fiber Contract</t>
  </si>
  <si>
    <t>Shirt Fiber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</si>
</sst>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  <numFmt numFmtId="166" formatCode="0.0"/>
    <numFmt numFmtId="167" formatCode="_(&quot;$&quot;* #,##0_);_(&quot;$&quot;* \(#,##0\);_(&quot;$&quot;* &quot;-&quot;??_);_(@_)"/>
    <numFmt numFmtId="168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&quot;$&quot;#,##0"/>
    <numFmt numFmtId="171" formatCode="[$-409]mmm\-yy;@"/>
    <numFmt numFmtId="172" formatCode="[$-409]mmmm\-yy;@"/>
  </numFmts>
  <fonts count="1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FF99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7" fillId="0" borderId="0" applyFont="0" applyFill="0" applyBorder="0" applyAlignment="0" applyProtection="0"/>
    <xf numFmtId="165" fontId="7" fillId="0" borderId="0"/>
    <xf numFmtId="0" fontId="10" fillId="0" borderId="0" applyNumberFormat="0" applyFill="0" applyBorder="0" applyAlignment="0" applyProtection="0"/>
  </cellStyleXfs>
  <cellXfs count="184">
    <xf numFmtId="0" fontId="0" fillId="0" borderId="0" xfId="0"/>
    <xf numFmtId="0" fontId="4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167" fontId="0" fillId="0" borderId="0" xfId="0" applyNumberFormat="1" applyAlignment="1">
      <alignment horizontal="right" vertical="top"/>
    </xf>
    <xf numFmtId="0" fontId="0" fillId="2" borderId="0" xfId="0" applyFill="1" applyAlignment="1">
      <alignment horizontal="right" vertical="top"/>
    </xf>
    <xf numFmtId="44" fontId="0" fillId="0" borderId="0" xfId="1" applyFont="1" applyBorder="1" applyAlignment="1">
      <alignment horizontal="right" vertical="top"/>
    </xf>
    <xf numFmtId="43" fontId="0" fillId="0" borderId="0" xfId="2" applyFont="1" applyBorder="1" applyAlignment="1">
      <alignment horizontal="right" vertical="top"/>
    </xf>
    <xf numFmtId="0" fontId="0" fillId="3" borderId="0" xfId="0" applyFill="1" applyAlignment="1">
      <alignment horizontal="right" vertical="top"/>
    </xf>
    <xf numFmtId="44" fontId="0" fillId="0" borderId="0" xfId="1" applyFont="1" applyFill="1" applyBorder="1" applyAlignment="1">
      <alignment horizontal="right" vertical="top"/>
    </xf>
    <xf numFmtId="43" fontId="0" fillId="0" borderId="0" xfId="2" applyFont="1" applyFill="1" applyBorder="1" applyAlignment="1">
      <alignment horizontal="right" vertical="top"/>
    </xf>
    <xf numFmtId="164" fontId="0" fillId="0" borderId="0" xfId="2" applyNumberFormat="1" applyFont="1" applyBorder="1" applyAlignment="1">
      <alignment horizontal="right" vertical="top"/>
    </xf>
    <xf numFmtId="164" fontId="0" fillId="0" borderId="0" xfId="0" applyNumberFormat="1" applyAlignment="1">
      <alignment horizontal="right" vertical="top"/>
    </xf>
    <xf numFmtId="9" fontId="0" fillId="0" borderId="0" xfId="3" applyFont="1" applyBorder="1" applyAlignment="1">
      <alignment horizontal="right" vertical="top"/>
    </xf>
    <xf numFmtId="43" fontId="0" fillId="0" borderId="0" xfId="0" applyNumberFormat="1" applyAlignment="1">
      <alignment horizontal="right" vertical="top"/>
    </xf>
    <xf numFmtId="44" fontId="0" fillId="0" borderId="0" xfId="0" applyNumberFormat="1" applyAlignment="1">
      <alignment horizontal="right" vertical="top"/>
    </xf>
    <xf numFmtId="44" fontId="0" fillId="2" borderId="0" xfId="1" applyFont="1" applyFill="1" applyBorder="1" applyAlignment="1">
      <alignment horizontal="right" vertical="top"/>
    </xf>
    <xf numFmtId="167" fontId="0" fillId="0" borderId="0" xfId="1" applyNumberFormat="1" applyFont="1" applyBorder="1" applyAlignment="1">
      <alignment horizontal="right" vertical="top"/>
    </xf>
    <xf numFmtId="166" fontId="0" fillId="0" borderId="0" xfId="0" applyNumberFormat="1" applyAlignment="1">
      <alignment horizontal="right" vertical="top"/>
    </xf>
    <xf numFmtId="164" fontId="0" fillId="0" borderId="0" xfId="2" applyNumberFormat="1" applyFont="1" applyFill="1" applyBorder="1" applyAlignment="1">
      <alignment horizontal="right" vertical="top"/>
    </xf>
    <xf numFmtId="164" fontId="6" fillId="0" borderId="0" xfId="2" applyNumberFormat="1" applyFont="1" applyBorder="1" applyAlignment="1">
      <alignment horizontal="right" vertical="top"/>
    </xf>
    <xf numFmtId="0" fontId="0" fillId="0" borderId="0" xfId="1" applyNumberFormat="1" applyFont="1" applyBorder="1" applyAlignment="1">
      <alignment horizontal="right" vertical="top"/>
    </xf>
    <xf numFmtId="44" fontId="6" fillId="2" borderId="0" xfId="1" applyFont="1" applyFill="1" applyBorder="1" applyAlignment="1">
      <alignment horizontal="right" vertical="top"/>
    </xf>
    <xf numFmtId="44" fontId="6" fillId="0" borderId="0" xfId="1" applyFont="1" applyFill="1" applyBorder="1" applyAlignment="1">
      <alignment horizontal="right" vertical="top"/>
    </xf>
    <xf numFmtId="16" fontId="0" fillId="0" borderId="0" xfId="0" applyNumberFormat="1" applyAlignment="1">
      <alignment horizontal="right" vertical="top"/>
    </xf>
    <xf numFmtId="0" fontId="0" fillId="0" borderId="0" xfId="0" applyAlignment="1">
      <alignment horizontal="center" vertical="top"/>
    </xf>
    <xf numFmtId="44" fontId="0" fillId="0" borderId="0" xfId="1" applyFont="1" applyBorder="1" applyAlignment="1">
      <alignment horizontal="center" vertical="top"/>
    </xf>
    <xf numFmtId="44" fontId="0" fillId="0" borderId="0" xfId="1" applyFont="1" applyFill="1" applyBorder="1" applyAlignment="1">
      <alignment horizontal="center" vertical="top"/>
    </xf>
    <xf numFmtId="9" fontId="0" fillId="0" borderId="0" xfId="0" applyNumberFormat="1" applyAlignment="1">
      <alignment horizontal="right" vertical="top"/>
    </xf>
    <xf numFmtId="44" fontId="0" fillId="3" borderId="0" xfId="1" applyFont="1" applyFill="1" applyBorder="1" applyAlignment="1">
      <alignment horizontal="right" vertical="top"/>
    </xf>
    <xf numFmtId="164" fontId="0" fillId="3" borderId="0" xfId="2" applyNumberFormat="1" applyFont="1" applyFill="1" applyBorder="1" applyAlignment="1">
      <alignment horizontal="right" vertical="top"/>
    </xf>
    <xf numFmtId="44" fontId="0" fillId="0" borderId="0" xfId="1" applyFont="1" applyFill="1" applyBorder="1" applyAlignment="1">
      <alignment vertical="top"/>
    </xf>
    <xf numFmtId="164" fontId="0" fillId="0" borderId="0" xfId="1" applyNumberFormat="1" applyFont="1" applyBorder="1" applyAlignment="1">
      <alignment horizontal="right" vertical="top"/>
    </xf>
    <xf numFmtId="0" fontId="0" fillId="0" borderId="0" xfId="2" applyNumberFormat="1" applyFont="1" applyBorder="1" applyAlignment="1">
      <alignment horizontal="right" vertical="top"/>
    </xf>
    <xf numFmtId="0" fontId="0" fillId="0" borderId="0" xfId="2" applyNumberFormat="1" applyFont="1" applyFill="1" applyBorder="1" applyAlignment="1">
      <alignment horizontal="right" vertical="top"/>
    </xf>
    <xf numFmtId="164" fontId="0" fillId="0" borderId="0" xfId="2" applyNumberFormat="1" applyFont="1" applyBorder="1" applyAlignment="1">
      <alignment horizontal="center" vertical="top"/>
    </xf>
    <xf numFmtId="17" fontId="0" fillId="0" borderId="0" xfId="2" applyNumberFormat="1" applyFont="1" applyBorder="1" applyAlignment="1">
      <alignment horizontal="right" vertical="top"/>
    </xf>
    <xf numFmtId="43" fontId="0" fillId="3" borderId="0" xfId="2" applyFont="1" applyFill="1" applyBorder="1" applyAlignment="1">
      <alignment horizontal="right" vertical="top"/>
    </xf>
    <xf numFmtId="167" fontId="0" fillId="3" borderId="0" xfId="0" applyNumberFormat="1" applyFill="1" applyAlignment="1">
      <alignment horizontal="right" vertical="top"/>
    </xf>
    <xf numFmtId="169" fontId="0" fillId="0" borderId="0" xfId="1" applyNumberFormat="1" applyFont="1" applyBorder="1" applyAlignment="1">
      <alignment horizontal="right" vertical="top"/>
    </xf>
    <xf numFmtId="168" fontId="0" fillId="0" borderId="0" xfId="3" applyNumberFormat="1" applyFont="1" applyBorder="1" applyAlignment="1">
      <alignment horizontal="right" vertical="top"/>
    </xf>
    <xf numFmtId="168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44" fontId="0" fillId="0" borderId="0" xfId="1" applyFont="1" applyBorder="1" applyAlignment="1">
      <alignment horizontal="center" vertical="center"/>
    </xf>
    <xf numFmtId="44" fontId="4" fillId="0" borderId="0" xfId="0" applyNumberFormat="1" applyFont="1" applyAlignment="1">
      <alignment horizontal="right" vertical="top"/>
    </xf>
    <xf numFmtId="44" fontId="0" fillId="0" borderId="0" xfId="1" applyFont="1" applyBorder="1" applyAlignment="1">
      <alignment horizontal="right" vertical="center"/>
    </xf>
    <xf numFmtId="167" fontId="0" fillId="0" borderId="0" xfId="1" applyNumberFormat="1" applyFont="1" applyFill="1"/>
    <xf numFmtId="44" fontId="0" fillId="0" borderId="0" xfId="1" applyFont="1" applyFill="1"/>
    <xf numFmtId="44" fontId="4" fillId="0" borderId="0" xfId="1" applyFont="1"/>
    <xf numFmtId="167" fontId="4" fillId="0" borderId="0" xfId="0" applyNumberFormat="1" applyFont="1"/>
    <xf numFmtId="44" fontId="4" fillId="0" borderId="0" xfId="0" applyNumberFormat="1" applyFont="1"/>
    <xf numFmtId="164" fontId="4" fillId="0" borderId="0" xfId="0" applyNumberFormat="1" applyFont="1"/>
    <xf numFmtId="170" fontId="6" fillId="0" borderId="0" xfId="0" applyNumberFormat="1" applyFont="1" applyAlignment="1">
      <alignment horizontal="left"/>
    </xf>
    <xf numFmtId="170" fontId="6" fillId="4" borderId="0" xfId="0" applyNumberFormat="1" applyFont="1" applyFill="1" applyAlignment="1">
      <alignment horizontal="left" vertical="top"/>
    </xf>
    <xf numFmtId="170" fontId="6" fillId="0" borderId="0" xfId="0" applyNumberFormat="1" applyFont="1" applyAlignment="1">
      <alignment horizontal="left" vertical="top"/>
    </xf>
    <xf numFmtId="170" fontId="6" fillId="0" borderId="0" xfId="1" applyNumberFormat="1" applyFont="1" applyBorder="1" applyAlignment="1">
      <alignment horizontal="left" vertical="top"/>
    </xf>
    <xf numFmtId="170" fontId="6" fillId="4" borderId="0" xfId="0" applyNumberFormat="1" applyFont="1" applyFill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 wrapText="1"/>
    </xf>
    <xf numFmtId="43" fontId="0" fillId="0" borderId="0" xfId="2" applyFont="1" applyFill="1"/>
    <xf numFmtId="44" fontId="0" fillId="0" borderId="0" xfId="0" applyNumberFormat="1"/>
    <xf numFmtId="43" fontId="0" fillId="0" borderId="0" xfId="0" applyNumberFormat="1"/>
    <xf numFmtId="167" fontId="0" fillId="0" borderId="0" xfId="0" applyNumberFormat="1"/>
    <xf numFmtId="164" fontId="0" fillId="0" borderId="0" xfId="2" applyNumberFormat="1" applyFont="1" applyFill="1"/>
    <xf numFmtId="43" fontId="4" fillId="0" borderId="0" xfId="0" applyNumberFormat="1" applyFont="1"/>
    <xf numFmtId="0" fontId="0" fillId="4" borderId="0" xfId="0" applyFill="1"/>
    <xf numFmtId="0" fontId="0" fillId="6" borderId="0" xfId="0" applyFill="1"/>
    <xf numFmtId="0" fontId="4" fillId="6" borderId="0" xfId="0" applyFont="1" applyFill="1"/>
    <xf numFmtId="44" fontId="4" fillId="0" borderId="0" xfId="1" applyFont="1" applyFill="1"/>
    <xf numFmtId="44" fontId="0" fillId="0" borderId="0" xfId="1" applyFont="1" applyAlignment="1">
      <alignment horizontal="right" vertical="top"/>
    </xf>
    <xf numFmtId="0" fontId="0" fillId="4" borderId="0" xfId="0" applyFill="1" applyAlignment="1">
      <alignment horizontal="right" vertical="top"/>
    </xf>
    <xf numFmtId="0" fontId="6" fillId="0" borderId="0" xfId="0" applyFont="1" applyAlignment="1">
      <alignment horizontal="right"/>
    </xf>
    <xf numFmtId="44" fontId="6" fillId="0" borderId="0" xfId="0" applyNumberFormat="1" applyFont="1" applyAlignment="1">
      <alignment horizontal="right"/>
    </xf>
    <xf numFmtId="9" fontId="6" fillId="0" borderId="0" xfId="3" applyFont="1" applyAlignment="1">
      <alignment horizontal="right"/>
    </xf>
    <xf numFmtId="170" fontId="6" fillId="0" borderId="0" xfId="0" applyNumberFormat="1" applyFont="1" applyAlignment="1">
      <alignment horizontal="right"/>
    </xf>
    <xf numFmtId="170" fontId="6" fillId="0" borderId="0" xfId="0" applyNumberFormat="1" applyFont="1" applyAlignment="1">
      <alignment horizontal="right" vertical="top"/>
    </xf>
    <xf numFmtId="170" fontId="6" fillId="0" borderId="0" xfId="1" applyNumberFormat="1" applyFont="1" applyBorder="1" applyAlignment="1">
      <alignment horizontal="right" vertical="top"/>
    </xf>
    <xf numFmtId="44" fontId="6" fillId="0" borderId="0" xfId="0" applyNumberFormat="1" applyFont="1" applyAlignment="1">
      <alignment horizontal="right" vertical="center"/>
    </xf>
    <xf numFmtId="44" fontId="6" fillId="0" borderId="0" xfId="1" applyFont="1" applyAlignment="1">
      <alignment horizontal="right"/>
    </xf>
    <xf numFmtId="170" fontId="6" fillId="0" borderId="0" xfId="1" applyNumberFormat="1" applyFont="1" applyFill="1" applyBorder="1" applyAlignment="1">
      <alignment horizontal="right" vertical="top"/>
    </xf>
    <xf numFmtId="44" fontId="6" fillId="4" borderId="0" xfId="0" applyNumberFormat="1" applyFont="1" applyFill="1" applyAlignment="1">
      <alignment horizontal="right"/>
    </xf>
    <xf numFmtId="0" fontId="4" fillId="8" borderId="0" xfId="0" applyFont="1" applyFill="1"/>
    <xf numFmtId="9" fontId="0" fillId="0" borderId="0" xfId="3" applyFont="1" applyFill="1" applyBorder="1" applyAlignment="1">
      <alignment horizontal="right" vertical="top"/>
    </xf>
    <xf numFmtId="167" fontId="0" fillId="0" borderId="0" xfId="1" applyNumberFormat="1" applyFont="1" applyFill="1" applyBorder="1" applyAlignment="1">
      <alignment horizontal="right" vertical="top"/>
    </xf>
    <xf numFmtId="44" fontId="0" fillId="0" borderId="0" xfId="1" applyFont="1" applyFill="1" applyAlignment="1">
      <alignment horizontal="right" vertical="top"/>
    </xf>
    <xf numFmtId="0" fontId="0" fillId="9" borderId="0" xfId="0" applyFill="1" applyAlignment="1">
      <alignment horizontal="right" vertical="top"/>
    </xf>
    <xf numFmtId="167" fontId="0" fillId="0" borderId="0" xfId="1" applyNumberFormat="1" applyFont="1" applyAlignment="1">
      <alignment horizontal="right" vertical="top"/>
    </xf>
    <xf numFmtId="164" fontId="10" fillId="0" borderId="0" xfId="6" applyNumberFormat="1" applyFill="1" applyAlignment="1">
      <alignment horizontal="right" vertical="top"/>
    </xf>
    <xf numFmtId="43" fontId="0" fillId="2" borderId="0" xfId="2" applyFont="1" applyFill="1" applyBorder="1" applyAlignment="1">
      <alignment horizontal="right" vertical="top"/>
    </xf>
    <xf numFmtId="164" fontId="0" fillId="2" borderId="0" xfId="2" applyNumberFormat="1" applyFont="1" applyFill="1" applyBorder="1" applyAlignment="1">
      <alignment horizontal="right" vertical="top"/>
    </xf>
    <xf numFmtId="44" fontId="0" fillId="2" borderId="0" xfId="0" applyNumberFormat="1" applyFill="1" applyAlignment="1">
      <alignment horizontal="right" vertical="top"/>
    </xf>
    <xf numFmtId="43" fontId="0" fillId="2" borderId="0" xfId="0" applyNumberFormat="1" applyFill="1" applyAlignment="1">
      <alignment horizontal="right" vertical="top"/>
    </xf>
    <xf numFmtId="44" fontId="0" fillId="2" borderId="0" xfId="1" applyFont="1" applyFill="1" applyAlignment="1">
      <alignment horizontal="right" vertical="top"/>
    </xf>
    <xf numFmtId="9" fontId="0" fillId="2" borderId="0" xfId="3" applyFont="1" applyFill="1" applyBorder="1" applyAlignment="1">
      <alignment horizontal="right" vertical="top"/>
    </xf>
    <xf numFmtId="9" fontId="0" fillId="2" borderId="0" xfId="0" applyNumberFormat="1" applyFill="1" applyAlignment="1">
      <alignment horizontal="right" vertical="top"/>
    </xf>
    <xf numFmtId="44" fontId="0" fillId="10" borderId="0" xfId="1" applyFont="1" applyFill="1" applyBorder="1" applyAlignment="1">
      <alignment horizontal="right" vertical="top"/>
    </xf>
    <xf numFmtId="167" fontId="0" fillId="0" borderId="0" xfId="1" applyNumberFormat="1" applyFont="1" applyFill="1" applyAlignment="1">
      <alignment horizontal="right" vertical="top"/>
    </xf>
    <xf numFmtId="9" fontId="0" fillId="2" borderId="0" xfId="3" applyFont="1" applyFill="1" applyAlignment="1">
      <alignment horizontal="right" vertical="top"/>
    </xf>
    <xf numFmtId="164" fontId="0" fillId="0" borderId="0" xfId="2" applyNumberFormat="1" applyFont="1" applyAlignment="1">
      <alignment horizontal="right" vertical="top"/>
    </xf>
    <xf numFmtId="2" fontId="0" fillId="2" borderId="0" xfId="0" applyNumberFormat="1" applyFill="1" applyAlignment="1">
      <alignment horizontal="right" vertical="top"/>
    </xf>
    <xf numFmtId="0" fontId="0" fillId="10" borderId="0" xfId="0" applyFill="1" applyAlignment="1">
      <alignment horizontal="right" vertical="top"/>
    </xf>
    <xf numFmtId="164" fontId="0" fillId="9" borderId="0" xfId="2" applyNumberFormat="1" applyFont="1" applyFill="1" applyBorder="1" applyAlignment="1">
      <alignment horizontal="center" vertical="top"/>
    </xf>
    <xf numFmtId="167" fontId="0" fillId="9" borderId="0" xfId="1" applyNumberFormat="1" applyFont="1" applyFill="1" applyBorder="1" applyAlignment="1">
      <alignment horizontal="right" vertical="top"/>
    </xf>
    <xf numFmtId="0" fontId="0" fillId="11" borderId="0" xfId="0" applyFill="1" applyAlignment="1">
      <alignment horizontal="right" vertical="top"/>
    </xf>
    <xf numFmtId="0" fontId="0" fillId="12" borderId="0" xfId="0" applyFill="1" applyAlignment="1">
      <alignment horizontal="right" vertical="top"/>
    </xf>
    <xf numFmtId="167" fontId="0" fillId="12" borderId="0" xfId="1" applyNumberFormat="1" applyFont="1" applyFill="1" applyBorder="1" applyAlignment="1">
      <alignment horizontal="right" vertical="top"/>
    </xf>
    <xf numFmtId="167" fontId="0" fillId="11" borderId="0" xfId="1" applyNumberFormat="1" applyFont="1" applyFill="1" applyBorder="1" applyAlignment="1">
      <alignment horizontal="center" vertical="top"/>
    </xf>
    <xf numFmtId="167" fontId="0" fillId="12" borderId="0" xfId="1" applyNumberFormat="1" applyFont="1" applyFill="1" applyBorder="1" applyAlignment="1">
      <alignment horizontal="center" vertical="top"/>
    </xf>
    <xf numFmtId="9" fontId="0" fillId="0" borderId="0" xfId="3" applyFont="1" applyFill="1" applyAlignment="1">
      <alignment horizontal="right" vertical="top"/>
    </xf>
    <xf numFmtId="167" fontId="0" fillId="0" borderId="0" xfId="1" applyNumberFormat="1" applyFont="1" applyFill="1" applyBorder="1" applyAlignment="1">
      <alignment horizontal="center" vertical="top"/>
    </xf>
    <xf numFmtId="164" fontId="6" fillId="2" borderId="0" xfId="2" applyNumberFormat="1" applyFont="1" applyFill="1" applyBorder="1" applyAlignment="1">
      <alignment horizontal="right" vertical="top"/>
    </xf>
    <xf numFmtId="44" fontId="0" fillId="9" borderId="0" xfId="1" applyFont="1" applyFill="1" applyBorder="1" applyAlignment="1">
      <alignment horizontal="right" vertical="top"/>
    </xf>
    <xf numFmtId="44" fontId="0" fillId="9" borderId="0" xfId="0" applyNumberFormat="1" applyFill="1" applyAlignment="1">
      <alignment horizontal="right" vertical="top"/>
    </xf>
    <xf numFmtId="164" fontId="6" fillId="0" borderId="0" xfId="2" applyNumberFormat="1" applyFont="1" applyFill="1" applyBorder="1" applyAlignment="1">
      <alignment horizontal="right" vertical="top"/>
    </xf>
    <xf numFmtId="170" fontId="6" fillId="0" borderId="0" xfId="1" applyNumberFormat="1" applyFon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9" fillId="0" borderId="0" xfId="0" applyFont="1"/>
    <xf numFmtId="0" fontId="6" fillId="0" borderId="0" xfId="0" applyFont="1"/>
    <xf numFmtId="0" fontId="9" fillId="0" borderId="0" xfId="0" applyFont="1" applyAlignment="1">
      <alignment horizontal="left" vertical="center"/>
    </xf>
    <xf numFmtId="170" fontId="6" fillId="10" borderId="0" xfId="0" applyNumberFormat="1" applyFont="1" applyFill="1" applyAlignment="1">
      <alignment horizontal="left"/>
    </xf>
    <xf numFmtId="170" fontId="6" fillId="10" borderId="0" xfId="0" applyNumberFormat="1" applyFont="1" applyFill="1" applyAlignment="1">
      <alignment horizontal="right"/>
    </xf>
    <xf numFmtId="44" fontId="0" fillId="0" borderId="0" xfId="1" applyFont="1" applyBorder="1" applyAlignment="1">
      <alignment vertical="top"/>
    </xf>
    <xf numFmtId="44" fontId="0" fillId="9" borderId="0" xfId="1" applyFont="1" applyFill="1" applyBorder="1" applyAlignment="1">
      <alignment horizontal="center" vertical="top"/>
    </xf>
    <xf numFmtId="44" fontId="0" fillId="9" borderId="0" xfId="1" applyFont="1" applyFill="1" applyBorder="1" applyAlignment="1">
      <alignment vertical="top"/>
    </xf>
    <xf numFmtId="167" fontId="0" fillId="9" borderId="0" xfId="0" applyNumberFormat="1" applyFill="1" applyAlignment="1">
      <alignment horizontal="right" vertical="top"/>
    </xf>
    <xf numFmtId="44" fontId="0" fillId="12" borderId="0" xfId="1" applyFont="1" applyFill="1" applyBorder="1" applyAlignment="1">
      <alignment horizontal="center" vertical="top"/>
    </xf>
    <xf numFmtId="44" fontId="0" fillId="12" borderId="0" xfId="1" applyFont="1" applyFill="1" applyBorder="1" applyAlignment="1">
      <alignment horizontal="right" vertical="top"/>
    </xf>
    <xf numFmtId="44" fontId="0" fillId="12" borderId="0" xfId="0" applyNumberFormat="1" applyFill="1" applyAlignment="1">
      <alignment horizontal="right" vertical="top"/>
    </xf>
    <xf numFmtId="164" fontId="0" fillId="0" borderId="0" xfId="2" applyNumberFormat="1" applyFont="1" applyBorder="1" applyAlignment="1">
      <alignment vertical="top"/>
    </xf>
    <xf numFmtId="0" fontId="3" fillId="0" borderId="0" xfId="0" applyFont="1"/>
    <xf numFmtId="171" fontId="3" fillId="0" borderId="0" xfId="0" applyNumberFormat="1" applyFont="1"/>
    <xf numFmtId="0" fontId="0" fillId="0" borderId="0" xfId="0" quotePrefix="1" applyAlignment="1">
      <alignment horizontal="right"/>
    </xf>
    <xf numFmtId="44" fontId="3" fillId="0" borderId="0" xfId="0" applyNumberFormat="1" applyFont="1"/>
    <xf numFmtId="1" fontId="0" fillId="0" borderId="0" xfId="0" applyNumberFormat="1"/>
    <xf numFmtId="1" fontId="4" fillId="0" borderId="0" xfId="0" applyNumberFormat="1" applyFont="1"/>
    <xf numFmtId="1" fontId="3" fillId="0" borderId="0" xfId="0" applyNumberFormat="1" applyFont="1"/>
    <xf numFmtId="1" fontId="0" fillId="0" borderId="0" xfId="1" applyNumberFormat="1" applyFont="1" applyFill="1"/>
    <xf numFmtId="171" fontId="3" fillId="0" borderId="0" xfId="0" applyNumberFormat="1" applyFont="1" applyAlignment="1">
      <alignment horizontal="right"/>
    </xf>
    <xf numFmtId="171" fontId="1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37" fontId="0" fillId="0" borderId="0" xfId="2" applyNumberFormat="1" applyFont="1"/>
    <xf numFmtId="0" fontId="11" fillId="0" borderId="0" xfId="0" applyFont="1"/>
    <xf numFmtId="0" fontId="12" fillId="0" borderId="0" xfId="0" applyFont="1" applyAlignment="1">
      <alignment horizontal="right"/>
    </xf>
    <xf numFmtId="172" fontId="11" fillId="0" borderId="0" xfId="0" applyNumberFormat="1" applyFont="1"/>
    <xf numFmtId="0" fontId="2" fillId="6" borderId="0" xfId="0" applyFont="1" applyFill="1"/>
    <xf numFmtId="172" fontId="2" fillId="0" borderId="0" xfId="0" applyNumberFormat="1" applyFont="1"/>
    <xf numFmtId="164" fontId="2" fillId="0" borderId="0" xfId="2" applyNumberFormat="1" applyFont="1" applyFill="1"/>
    <xf numFmtId="44" fontId="2" fillId="0" borderId="0" xfId="0" applyNumberFormat="1" applyFont="1"/>
    <xf numFmtId="0" fontId="13" fillId="6" borderId="0" xfId="0" applyFont="1" applyFill="1"/>
    <xf numFmtId="43" fontId="2" fillId="0" borderId="0" xfId="0" applyNumberFormat="1" applyFont="1"/>
    <xf numFmtId="44" fontId="2" fillId="0" borderId="0" xfId="1" applyFont="1" applyFill="1"/>
    <xf numFmtId="0" fontId="13" fillId="0" borderId="0" xfId="0" applyFont="1"/>
    <xf numFmtId="44" fontId="13" fillId="0" borderId="0" xfId="0" applyNumberFormat="1" applyFont="1"/>
    <xf numFmtId="167" fontId="2" fillId="0" borderId="0" xfId="1" applyNumberFormat="1" applyFont="1" applyFill="1"/>
    <xf numFmtId="0" fontId="13" fillId="8" borderId="0" xfId="0" applyFont="1" applyFill="1"/>
    <xf numFmtId="43" fontId="13" fillId="0" borderId="0" xfId="0" applyNumberFormat="1" applyFont="1"/>
    <xf numFmtId="164" fontId="13" fillId="0" borderId="0" xfId="0" applyNumberFormat="1" applyFont="1"/>
    <xf numFmtId="37" fontId="3" fillId="0" borderId="0" xfId="0" applyNumberFormat="1" applyFont="1"/>
    <xf numFmtId="0" fontId="2" fillId="0" borderId="0" xfId="0" quotePrefix="1" applyFont="1" applyAlignment="1">
      <alignment horizontal="right"/>
    </xf>
    <xf numFmtId="0" fontId="1" fillId="0" borderId="0" xfId="0" applyFont="1"/>
    <xf numFmtId="37" fontId="1" fillId="0" borderId="0" xfId="0" applyNumberFormat="1" applyFont="1"/>
    <xf numFmtId="37" fontId="1" fillId="0" borderId="0" xfId="0" quotePrefix="1" applyNumberFormat="1" applyFont="1" applyAlignment="1">
      <alignment horizontal="right"/>
    </xf>
    <xf numFmtId="167" fontId="1" fillId="0" borderId="0" xfId="0" applyNumberFormat="1" applyFont="1"/>
    <xf numFmtId="44" fontId="1" fillId="0" borderId="0" xfId="0" applyNumberFormat="1" applyFont="1"/>
    <xf numFmtId="0" fontId="14" fillId="0" borderId="0" xfId="0" applyFont="1"/>
    <xf numFmtId="37" fontId="1" fillId="0" borderId="0" xfId="0" applyNumberFormat="1" applyFont="1" applyAlignment="1">
      <alignment horizontal="right"/>
    </xf>
    <xf numFmtId="171" fontId="12" fillId="0" borderId="0" xfId="0" applyNumberFormat="1" applyFont="1" applyAlignment="1">
      <alignment horizontal="right"/>
    </xf>
    <xf numFmtId="9" fontId="1" fillId="0" borderId="0" xfId="0" applyNumberFormat="1" applyFont="1"/>
    <xf numFmtId="44" fontId="1" fillId="0" borderId="0" xfId="1" applyFont="1" applyFill="1"/>
    <xf numFmtId="44" fontId="0" fillId="13" borderId="0" xfId="1" applyFont="1" applyFill="1" applyBorder="1" applyAlignment="1">
      <alignment horizontal="right" vertical="top"/>
    </xf>
    <xf numFmtId="164" fontId="0" fillId="9" borderId="0" xfId="2" applyNumberFormat="1" applyFont="1" applyFill="1" applyBorder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44" fontId="0" fillId="12" borderId="0" xfId="1" applyFont="1" applyFill="1" applyBorder="1" applyAlignment="1">
      <alignment horizontal="center" vertical="top"/>
    </xf>
    <xf numFmtId="167" fontId="0" fillId="9" borderId="0" xfId="0" applyNumberFormat="1" applyFill="1" applyAlignment="1">
      <alignment horizontal="center" vertical="top"/>
    </xf>
    <xf numFmtId="44" fontId="0" fillId="9" borderId="0" xfId="1" applyFont="1" applyFill="1" applyBorder="1" applyAlignment="1">
      <alignment horizontal="center" vertical="top"/>
    </xf>
    <xf numFmtId="0" fontId="0" fillId="5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16" fontId="0" fillId="4" borderId="0" xfId="0" applyNumberFormat="1" applyFill="1" applyAlignment="1">
      <alignment horizontal="center"/>
    </xf>
    <xf numFmtId="17" fontId="0" fillId="4" borderId="0" xfId="0" applyNumberFormat="1" applyFill="1" applyAlignment="1">
      <alignment horizontal="center"/>
    </xf>
  </cellXfs>
  <cellStyles count="7">
    <cellStyle name="Comma" xfId="2" builtinId="3"/>
    <cellStyle name="Currency" xfId="1" builtinId="4"/>
    <cellStyle name="Currency 2" xfId="4" xr:uid="{A2DB0D18-A1D5-47D3-A151-6E85F7F0E84D}"/>
    <cellStyle name="Hyperlink" xfId="6" builtinId="8"/>
    <cellStyle name="Normal" xfId="0" builtinId="0"/>
    <cellStyle name="Normal 2" xfId="5" xr:uid="{BFE2E2D2-558C-4973-B924-A9619981A96F}"/>
    <cellStyle name="Percent" xfId="3" builtinId="5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E015-CFE9-A746-92AC-7328EE84B569}">
  <dimension ref="A1:BU159"/>
  <sheetViews>
    <sheetView topLeftCell="A12" zoomScaleNormal="75" workbookViewId="0">
      <pane xSplit="1" topLeftCell="B1" activePane="topRight" state="frozen"/>
      <selection pane="topRight" activeCell="A36" sqref="A36"/>
    </sheetView>
  </sheetViews>
  <sheetFormatPr defaultColWidth="23.5" defaultRowHeight="15.6"/>
  <cols>
    <col min="1" max="1" width="41.69921875" style="3" customWidth="1"/>
    <col min="2" max="2" width="26" style="3" customWidth="1"/>
    <col min="3" max="3" width="23.69921875" style="3" customWidth="1"/>
    <col min="4" max="4" width="33.296875" style="6" bestFit="1" customWidth="1"/>
    <col min="5" max="5" width="24.19921875" style="3" customWidth="1"/>
    <col min="6" max="6" width="23" style="3" customWidth="1"/>
    <col min="7" max="7" width="27.69921875" style="3" customWidth="1"/>
    <col min="8" max="8" width="21.796875" style="3" customWidth="1"/>
    <col min="9" max="9" width="21.69921875" style="3" customWidth="1"/>
    <col min="10" max="10" width="20.796875" style="3" customWidth="1"/>
    <col min="11" max="11" width="22.296875" style="3" customWidth="1"/>
    <col min="12" max="12" width="24" style="3" customWidth="1"/>
    <col min="13" max="13" width="22.19921875" style="3" customWidth="1"/>
    <col min="14" max="14" width="25.796875" style="6" customWidth="1"/>
    <col min="15" max="15" width="26.796875" style="7" customWidth="1"/>
    <col min="16" max="16" width="26.296875" style="7" customWidth="1"/>
    <col min="17" max="17" width="28.19921875" style="3" bestFit="1" customWidth="1"/>
    <col min="18" max="18" width="27.19921875" style="3" customWidth="1"/>
    <col min="19" max="19" width="27.19921875" style="11" customWidth="1"/>
    <col min="20" max="20" width="30.19921875" style="3" customWidth="1"/>
    <col min="21" max="21" width="27.296875" style="3" customWidth="1"/>
    <col min="22" max="22" width="29.796875" style="21" customWidth="1"/>
    <col min="23" max="23" width="26.69921875" style="21" customWidth="1"/>
    <col min="24" max="24" width="23.5" style="11"/>
    <col min="25" max="26" width="23.5" style="6"/>
    <col min="27" max="27" width="25.296875" style="6" customWidth="1"/>
    <col min="28" max="28" width="24.19921875" style="6" customWidth="1"/>
    <col min="29" max="29" width="24.296875" style="6" customWidth="1"/>
    <col min="30" max="30" width="23.5" style="17"/>
    <col min="31" max="31" width="23.5" style="6"/>
    <col min="32" max="38" width="23.5" style="3"/>
    <col min="39" max="39" width="27" style="3" customWidth="1"/>
    <col min="40" max="43" width="23.5" style="3"/>
    <col min="44" max="44" width="54.5" style="3" customWidth="1"/>
    <col min="45" max="16384" width="23.5" style="3"/>
  </cols>
  <sheetData>
    <row r="1" spans="1:73">
      <c r="A1" s="5" t="s">
        <v>50</v>
      </c>
      <c r="H1" s="7"/>
      <c r="I1" s="7"/>
      <c r="J1" s="7"/>
      <c r="K1" s="7"/>
      <c r="L1" s="7"/>
      <c r="M1" s="7"/>
      <c r="N1" s="7"/>
      <c r="Q1" s="7"/>
      <c r="R1" s="7"/>
      <c r="S1" s="3"/>
      <c r="U1" s="6"/>
      <c r="V1" s="6"/>
      <c r="W1" s="6"/>
      <c r="X1" s="6"/>
      <c r="Z1" s="7"/>
      <c r="AA1" s="7"/>
      <c r="AB1" s="11"/>
      <c r="AC1" s="3"/>
      <c r="AD1" s="3"/>
      <c r="AF1" s="21"/>
      <c r="AG1" s="21"/>
      <c r="AH1" s="21"/>
      <c r="AI1" s="11"/>
      <c r="AJ1" s="6"/>
      <c r="AK1" s="6"/>
      <c r="AL1" s="6"/>
      <c r="AM1" s="21"/>
      <c r="AN1" s="6"/>
      <c r="AO1" s="17"/>
      <c r="AP1" s="6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</row>
    <row r="2" spans="1:73">
      <c r="A2" s="8" t="s">
        <v>40</v>
      </c>
      <c r="C2" s="9"/>
      <c r="D2" s="3" t="s">
        <v>39</v>
      </c>
      <c r="G2" s="10"/>
      <c r="H2" s="10"/>
      <c r="I2" s="10" t="s">
        <v>399</v>
      </c>
      <c r="J2" s="10"/>
      <c r="K2" s="10" t="s">
        <v>4</v>
      </c>
      <c r="L2" s="10"/>
      <c r="M2" s="10"/>
      <c r="N2" s="10"/>
      <c r="O2" s="10"/>
      <c r="P2" s="10"/>
      <c r="Q2" s="10"/>
      <c r="R2" s="10"/>
      <c r="S2" s="7"/>
      <c r="U2" s="10"/>
      <c r="V2" s="10"/>
      <c r="W2" s="10"/>
      <c r="X2" s="10"/>
      <c r="Y2" s="10"/>
      <c r="Z2" s="10"/>
      <c r="AA2" s="7"/>
      <c r="AB2" s="7"/>
      <c r="AC2" s="11"/>
      <c r="AD2" s="7"/>
      <c r="AE2" s="7"/>
      <c r="AF2" s="6"/>
      <c r="AG2" s="33"/>
      <c r="AH2" s="33"/>
      <c r="AI2" s="33"/>
      <c r="AJ2" s="11"/>
      <c r="AK2" s="7"/>
      <c r="AL2" s="7"/>
      <c r="AM2" s="37"/>
      <c r="AN2" s="36"/>
      <c r="AO2" s="7"/>
      <c r="AP2" s="17"/>
      <c r="AR2" s="7"/>
      <c r="AT2" s="6"/>
      <c r="AU2" s="11"/>
      <c r="AV2" s="6"/>
    </row>
    <row r="3" spans="1:73">
      <c r="A3" s="3" t="s">
        <v>14</v>
      </c>
      <c r="B3" s="5">
        <v>16</v>
      </c>
      <c r="C3" s="9" t="s">
        <v>87</v>
      </c>
      <c r="D3" s="3" t="s">
        <v>11</v>
      </c>
      <c r="E3" s="12">
        <f>B7/(E4*2000)</f>
        <v>3120</v>
      </c>
      <c r="G3" s="3" t="s">
        <v>47</v>
      </c>
      <c r="H3" s="3" t="s">
        <v>48</v>
      </c>
      <c r="I3" s="10" t="s">
        <v>29</v>
      </c>
      <c r="J3" s="10" t="s">
        <v>41</v>
      </c>
      <c r="K3" s="10"/>
      <c r="L3" s="10"/>
      <c r="M3" s="10"/>
      <c r="N3" s="10"/>
      <c r="O3" s="10"/>
      <c r="P3" s="10"/>
      <c r="Q3" s="10"/>
      <c r="R3" s="10"/>
      <c r="S3" s="10"/>
      <c r="T3" s="122"/>
      <c r="U3" s="122"/>
      <c r="V3" s="122"/>
      <c r="W3" s="122"/>
      <c r="X3" s="122"/>
      <c r="Y3" s="26"/>
      <c r="Z3" s="26"/>
      <c r="AA3" s="3"/>
      <c r="AB3" s="2"/>
      <c r="AC3" s="12"/>
      <c r="AD3" s="3"/>
      <c r="AE3" s="3"/>
      <c r="AF3" s="6"/>
      <c r="AG3" s="21"/>
      <c r="AH3" s="21"/>
      <c r="AI3" s="21"/>
      <c r="AJ3" s="11"/>
      <c r="AK3" s="6"/>
      <c r="AL3" s="6"/>
      <c r="AM3" s="6"/>
      <c r="AN3" s="6"/>
      <c r="AO3" s="6"/>
      <c r="AP3" s="17"/>
      <c r="AQ3" s="6"/>
    </row>
    <row r="4" spans="1:73">
      <c r="A4" s="3" t="s">
        <v>16</v>
      </c>
      <c r="B4" s="5">
        <v>5</v>
      </c>
      <c r="C4" s="16">
        <v>0.12</v>
      </c>
      <c r="D4" s="3" t="s">
        <v>31</v>
      </c>
      <c r="E4" s="5">
        <v>2</v>
      </c>
      <c r="F4" s="3" t="s">
        <v>17</v>
      </c>
      <c r="G4" s="3">
        <f>E4*2000</f>
        <v>4000</v>
      </c>
      <c r="H4" s="15">
        <f>G4*C4</f>
        <v>480</v>
      </c>
      <c r="I4" s="11">
        <f>E3*(E4*2000)</f>
        <v>12480000</v>
      </c>
      <c r="J4" s="17">
        <f>I4*C4</f>
        <v>1497600</v>
      </c>
      <c r="K4" s="17"/>
      <c r="L4" s="17"/>
      <c r="M4" s="17"/>
      <c r="N4" s="17"/>
      <c r="O4" s="17"/>
      <c r="P4" s="17"/>
      <c r="Q4" s="17"/>
      <c r="R4" s="17"/>
      <c r="S4" s="17"/>
      <c r="T4" s="122" t="s">
        <v>405</v>
      </c>
      <c r="U4" s="6"/>
      <c r="V4" s="6" t="s">
        <v>401</v>
      </c>
      <c r="W4" s="129">
        <f>E3</f>
        <v>3120</v>
      </c>
      <c r="X4" s="26"/>
      <c r="Y4" s="3"/>
      <c r="Z4" s="3"/>
      <c r="AA4" s="3"/>
      <c r="AB4" s="3"/>
      <c r="AC4" s="12"/>
      <c r="AD4" s="3"/>
      <c r="AE4" s="3"/>
      <c r="AF4" s="12"/>
      <c r="AI4" s="6"/>
      <c r="AJ4" s="21"/>
      <c r="AK4" s="21"/>
      <c r="AL4" s="21"/>
      <c r="AM4" s="11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15"/>
    </row>
    <row r="5" spans="1:73">
      <c r="A5" s="3" t="s">
        <v>15</v>
      </c>
      <c r="B5" s="5">
        <v>1.5</v>
      </c>
      <c r="C5" s="16">
        <v>0.55000000000000004</v>
      </c>
      <c r="D5" s="3" t="s">
        <v>32</v>
      </c>
      <c r="E5" s="5">
        <v>0.65</v>
      </c>
      <c r="F5" s="3" t="s">
        <v>17</v>
      </c>
      <c r="G5" s="3">
        <f>E5*2000</f>
        <v>1300</v>
      </c>
      <c r="H5" s="15">
        <f>G5*C5</f>
        <v>715.00000000000011</v>
      </c>
      <c r="I5" s="11">
        <f>(E5*2000)*E3</f>
        <v>4056000</v>
      </c>
      <c r="J5" s="17">
        <f>I5*C5</f>
        <v>2230800</v>
      </c>
      <c r="K5" s="17"/>
      <c r="L5" s="17"/>
      <c r="M5" s="17"/>
      <c r="N5" s="17"/>
      <c r="O5" s="17"/>
      <c r="P5" s="17"/>
      <c r="Q5" s="17"/>
      <c r="R5" s="17"/>
      <c r="S5" s="17"/>
      <c r="T5" s="175" t="s">
        <v>404</v>
      </c>
      <c r="U5" s="175"/>
      <c r="V5" s="177" t="s">
        <v>403</v>
      </c>
      <c r="W5" s="177"/>
      <c r="X5" s="6"/>
      <c r="AC5" s="3"/>
      <c r="AD5" s="15"/>
      <c r="AE5" s="11"/>
      <c r="AH5" s="6"/>
      <c r="AI5" s="21"/>
      <c r="AJ5" s="21"/>
      <c r="AK5" s="32"/>
      <c r="AL5" s="11"/>
      <c r="AM5" s="6"/>
      <c r="AN5" s="6"/>
      <c r="AO5" s="6"/>
      <c r="AP5" s="6"/>
      <c r="AQ5" s="6"/>
      <c r="AR5" s="6"/>
      <c r="AS5" s="6"/>
      <c r="AT5" s="15"/>
      <c r="AU5" s="15"/>
      <c r="AV5" s="15"/>
      <c r="AW5" s="15"/>
      <c r="AX5" s="15"/>
      <c r="AY5" s="15"/>
      <c r="AZ5" s="15"/>
      <c r="BA5" s="15"/>
      <c r="BB5" s="15"/>
      <c r="BC5" s="6"/>
      <c r="BD5" s="15"/>
    </row>
    <row r="6" spans="1:73">
      <c r="A6" s="3" t="s">
        <v>18</v>
      </c>
      <c r="B6" s="18">
        <f>(2000*B5)/B19</f>
        <v>2.5839793281653747</v>
      </c>
      <c r="C6" s="6" t="s">
        <v>166</v>
      </c>
      <c r="D6" s="3" t="s">
        <v>167</v>
      </c>
      <c r="G6" s="7" t="s">
        <v>33</v>
      </c>
      <c r="H6" s="6">
        <f>SUM(H4:H5)</f>
        <v>1195</v>
      </c>
      <c r="I6" s="11"/>
      <c r="J6" s="17"/>
      <c r="K6" s="17"/>
      <c r="L6" s="17"/>
      <c r="M6" s="17"/>
      <c r="N6" s="17"/>
      <c r="O6" s="17"/>
      <c r="P6" s="17"/>
      <c r="Q6" s="17"/>
      <c r="R6" s="17"/>
      <c r="S6" s="17"/>
      <c r="T6" s="127" t="s">
        <v>377</v>
      </c>
      <c r="U6" s="127">
        <f>Q19</f>
        <v>3528206.718346253</v>
      </c>
      <c r="V6" s="112" t="s">
        <v>315</v>
      </c>
      <c r="W6" s="113">
        <f>SUM(U53:U55)</f>
        <v>1274339.6497272467</v>
      </c>
      <c r="X6" s="6"/>
      <c r="AB6" s="15"/>
      <c r="AC6" s="3"/>
      <c r="AD6" s="15"/>
      <c r="AE6" s="11"/>
      <c r="AH6" s="6"/>
      <c r="AI6" s="21"/>
      <c r="AJ6" s="21"/>
      <c r="AK6" s="32"/>
      <c r="AL6" s="11"/>
      <c r="AM6" s="6"/>
      <c r="AN6" s="6"/>
      <c r="AO6" s="6"/>
      <c r="AP6" s="6"/>
      <c r="AQ6" s="6"/>
      <c r="AR6" s="6"/>
      <c r="AS6" s="6"/>
      <c r="AT6" s="15"/>
      <c r="AU6" s="15"/>
      <c r="AV6" s="15"/>
      <c r="AW6" s="15"/>
      <c r="AX6" s="15"/>
      <c r="AY6" s="15"/>
      <c r="AZ6" s="15"/>
      <c r="BA6" s="15"/>
      <c r="BB6" s="15"/>
      <c r="BC6" s="6"/>
      <c r="BD6" s="15"/>
    </row>
    <row r="7" spans="1:73">
      <c r="A7" s="3" t="s">
        <v>90</v>
      </c>
      <c r="B7" s="19">
        <f>(B3*(B5*2000))*K12</f>
        <v>12480000</v>
      </c>
      <c r="C7" s="11">
        <f>B7/12</f>
        <v>1040000</v>
      </c>
      <c r="D7" s="6">
        <f>C7*C4</f>
        <v>124800</v>
      </c>
      <c r="G7" s="7" t="s">
        <v>81</v>
      </c>
      <c r="H7" s="6">
        <f>B129</f>
        <v>698</v>
      </c>
      <c r="I7" s="7"/>
      <c r="J7" s="6"/>
      <c r="K7" s="6"/>
      <c r="L7" s="6"/>
      <c r="M7" s="6"/>
      <c r="O7" s="6"/>
      <c r="P7" s="6"/>
      <c r="Q7" s="6"/>
      <c r="R7" s="6"/>
      <c r="S7" s="6"/>
      <c r="T7" s="127" t="s">
        <v>290</v>
      </c>
      <c r="U7" s="127">
        <f>C26</f>
        <v>156000</v>
      </c>
      <c r="V7" s="112" t="s">
        <v>317</v>
      </c>
      <c r="W7" s="113">
        <f>SUM(U59:U61)</f>
        <v>1002930.5</v>
      </c>
      <c r="X7" s="15"/>
      <c r="Y7" s="15"/>
      <c r="Z7" s="15"/>
      <c r="AA7" s="15"/>
      <c r="AB7" s="15"/>
      <c r="AC7" s="3"/>
      <c r="AD7" s="15"/>
      <c r="AE7" s="11"/>
      <c r="AH7" s="6"/>
      <c r="AI7" s="21"/>
      <c r="AJ7" s="21"/>
      <c r="AK7" s="32"/>
      <c r="AL7" s="11"/>
      <c r="AM7" s="6"/>
      <c r="AN7" s="6"/>
      <c r="AO7" s="6"/>
      <c r="AP7" s="6"/>
      <c r="AQ7" s="6"/>
      <c r="AR7" s="6"/>
      <c r="AS7" s="6"/>
      <c r="AT7" s="15"/>
      <c r="AU7" s="15"/>
      <c r="AV7" s="15"/>
      <c r="AW7" s="15"/>
      <c r="AX7" s="15"/>
      <c r="AY7" s="15"/>
      <c r="AZ7" s="15"/>
      <c r="BA7" s="15"/>
      <c r="BB7" s="15"/>
      <c r="BC7" s="6"/>
      <c r="BD7" s="15"/>
    </row>
    <row r="8" spans="1:73">
      <c r="A8" s="3" t="s">
        <v>74</v>
      </c>
      <c r="B8" s="20">
        <f>B6*B3</f>
        <v>41.343669250645995</v>
      </c>
      <c r="C8" s="10"/>
      <c r="G8" s="3" t="s">
        <v>70</v>
      </c>
      <c r="H8" s="15">
        <f>H6-H7</f>
        <v>497</v>
      </c>
      <c r="N8" s="3"/>
      <c r="O8" s="3"/>
      <c r="P8" s="3"/>
      <c r="S8" s="3"/>
      <c r="T8" s="127" t="s">
        <v>376</v>
      </c>
      <c r="U8" s="127">
        <f>G23</f>
        <v>405600</v>
      </c>
      <c r="V8" s="112" t="s">
        <v>152</v>
      </c>
      <c r="W8" s="112">
        <f>U57</f>
        <v>1651822.1383682196</v>
      </c>
      <c r="X8" s="15"/>
      <c r="Y8" s="15"/>
      <c r="Z8" s="15"/>
      <c r="AA8" s="15"/>
      <c r="AB8" s="3"/>
      <c r="AC8" s="3"/>
      <c r="AD8" s="15"/>
      <c r="AE8" s="11"/>
      <c r="AH8" s="6"/>
      <c r="AI8" s="21"/>
      <c r="AJ8" s="21"/>
      <c r="AK8" s="32"/>
      <c r="AL8" s="11"/>
      <c r="AM8" s="6"/>
      <c r="AN8" s="6"/>
      <c r="AO8" s="6"/>
      <c r="AP8" s="6"/>
      <c r="AQ8" s="6"/>
      <c r="AR8" s="6"/>
      <c r="AS8" s="6"/>
      <c r="AT8" s="15"/>
      <c r="AU8" s="15"/>
      <c r="AV8" s="15"/>
      <c r="AW8" s="15"/>
      <c r="AX8" s="15"/>
      <c r="AY8" s="15"/>
      <c r="AZ8" s="15"/>
      <c r="BA8" s="15"/>
      <c r="BB8" s="15"/>
      <c r="BC8" s="6"/>
      <c r="BD8" s="15"/>
    </row>
    <row r="9" spans="1:73">
      <c r="A9" s="3" t="s">
        <v>147</v>
      </c>
      <c r="B9" s="39">
        <f>(((J4+B39))/B7)+(C18*(((J4+B39))/B7))</f>
        <v>0.17126565295169946</v>
      </c>
      <c r="G9" s="3" t="s">
        <v>143</v>
      </c>
      <c r="H9" s="6">
        <f>H8*E3</f>
        <v>1550640</v>
      </c>
      <c r="N9" s="3"/>
      <c r="O9" s="3"/>
      <c r="P9" s="3"/>
      <c r="S9" s="3"/>
      <c r="T9" s="127" t="s">
        <v>120</v>
      </c>
      <c r="U9" s="127">
        <f>SUM(U6:U8)</f>
        <v>4089806.718346253</v>
      </c>
      <c r="V9" s="112" t="s">
        <v>291</v>
      </c>
      <c r="W9" s="112">
        <f>SUM(U63:U64)</f>
        <v>578548.14814814809</v>
      </c>
      <c r="X9" s="3"/>
      <c r="Y9" s="3"/>
      <c r="Z9" s="3"/>
      <c r="AA9" s="3"/>
      <c r="AB9" s="3"/>
      <c r="AC9" s="3"/>
      <c r="AD9" s="15"/>
      <c r="AE9" s="11"/>
      <c r="AH9" s="6"/>
      <c r="AI9" s="21"/>
      <c r="AJ9" s="21"/>
      <c r="AK9" s="32"/>
      <c r="AL9" s="11"/>
      <c r="AM9" s="6"/>
      <c r="AN9" s="6"/>
      <c r="AO9" s="6"/>
      <c r="AP9" s="6"/>
      <c r="AQ9" s="6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</row>
    <row r="10" spans="1:73">
      <c r="A10" s="3" t="s">
        <v>148</v>
      </c>
      <c r="B10" s="42">
        <f>B9-C4</f>
        <v>5.1265652951699464E-2</v>
      </c>
      <c r="C10" s="20"/>
      <c r="S10" s="3"/>
      <c r="T10" s="105"/>
      <c r="U10" s="105"/>
      <c r="V10" s="112" t="s">
        <v>373</v>
      </c>
      <c r="W10" s="112">
        <f>SUM(U66:U67)</f>
        <v>171041.48148148149</v>
      </c>
      <c r="X10" s="4"/>
      <c r="Y10" s="4"/>
      <c r="Z10" s="4"/>
      <c r="AA10" s="4"/>
      <c r="AB10" s="4"/>
      <c r="AC10" s="3"/>
      <c r="AD10" s="15"/>
      <c r="AE10" s="12"/>
      <c r="AH10" s="6"/>
      <c r="AI10" s="21"/>
      <c r="AJ10" s="21"/>
      <c r="AK10" s="32"/>
      <c r="AL10" s="11"/>
      <c r="AM10" s="6"/>
      <c r="AN10" s="6"/>
      <c r="AO10" s="6"/>
      <c r="AP10" s="6"/>
      <c r="AQ10" s="6"/>
      <c r="AR10" s="17"/>
      <c r="AS10" s="17"/>
      <c r="BC10" s="6"/>
      <c r="BD10" s="15"/>
    </row>
    <row r="11" spans="1:73">
      <c r="B11" s="42"/>
      <c r="C11" s="20"/>
      <c r="S11" s="3"/>
      <c r="T11" s="175" t="s">
        <v>378</v>
      </c>
      <c r="U11" s="175"/>
      <c r="V11" s="112" t="s">
        <v>374</v>
      </c>
      <c r="W11" s="124">
        <f>SUM(U69:U71)</f>
        <v>375477.46811041387</v>
      </c>
      <c r="X11" s="4"/>
      <c r="Y11" s="4"/>
      <c r="Z11" s="4"/>
      <c r="AA11" s="4"/>
      <c r="AB11" s="4"/>
      <c r="AC11" s="3"/>
      <c r="AD11" s="15"/>
      <c r="AE11" s="12"/>
      <c r="AH11" s="6"/>
      <c r="AI11" s="21"/>
      <c r="AJ11" s="21"/>
      <c r="AK11" s="32"/>
      <c r="AL11" s="11"/>
      <c r="AM11" s="6"/>
      <c r="AN11" s="6"/>
      <c r="AO11" s="6"/>
      <c r="AP11" s="6"/>
      <c r="AQ11" s="6"/>
      <c r="AR11" s="17"/>
      <c r="AS11" s="17"/>
      <c r="BC11" s="6"/>
      <c r="BD11" s="15"/>
    </row>
    <row r="12" spans="1:73">
      <c r="A12" s="8" t="s">
        <v>30</v>
      </c>
      <c r="D12" s="3"/>
      <c r="E12" s="3" t="s">
        <v>151</v>
      </c>
      <c r="H12" s="3" t="s">
        <v>322</v>
      </c>
      <c r="I12" s="3">
        <f>B4*4</f>
        <v>20</v>
      </c>
      <c r="J12" s="3" t="s">
        <v>321</v>
      </c>
      <c r="K12" s="20">
        <f>B4*52</f>
        <v>260</v>
      </c>
      <c r="N12" s="3"/>
      <c r="O12" s="3"/>
      <c r="P12" s="10"/>
      <c r="Q12" s="10"/>
      <c r="R12" s="10"/>
      <c r="S12" s="10"/>
      <c r="T12" s="127" t="s">
        <v>402</v>
      </c>
      <c r="U12" s="126">
        <f>Expenditures!C11</f>
        <v>49000</v>
      </c>
      <c r="V12" s="112" t="s">
        <v>120</v>
      </c>
      <c r="W12" s="124">
        <f>SUM(W6:W11)</f>
        <v>5054159.3858355097</v>
      </c>
      <c r="X12" s="4"/>
      <c r="Y12" s="4"/>
      <c r="Z12" s="4"/>
      <c r="AA12" s="4"/>
      <c r="AB12" s="4"/>
      <c r="AC12" s="3"/>
      <c r="AD12" s="15"/>
      <c r="AE12" s="12"/>
      <c r="AH12" s="6"/>
      <c r="AI12" s="21"/>
      <c r="AJ12" s="21"/>
      <c r="AK12" s="32"/>
      <c r="AL12" s="11"/>
      <c r="AM12" s="6"/>
      <c r="AN12" s="6"/>
      <c r="AO12" s="6"/>
      <c r="AP12" s="6"/>
      <c r="AQ12" s="6"/>
      <c r="AR12" s="17"/>
      <c r="AS12" s="17"/>
      <c r="BC12" s="6"/>
      <c r="BD12" s="15"/>
    </row>
    <row r="13" spans="1:73">
      <c r="A13" s="3" t="s">
        <v>8</v>
      </c>
      <c r="B13" s="3" t="s">
        <v>34</v>
      </c>
      <c r="C13" s="3" t="s">
        <v>68</v>
      </c>
      <c r="D13" s="6" t="s">
        <v>42</v>
      </c>
      <c r="E13" s="3" t="s">
        <v>150</v>
      </c>
      <c r="F13" s="3" t="s">
        <v>149</v>
      </c>
      <c r="G13" s="3" t="s">
        <v>73</v>
      </c>
      <c r="H13" s="3" t="s">
        <v>71</v>
      </c>
      <c r="I13" s="3" t="s">
        <v>328</v>
      </c>
      <c r="J13" s="3" t="s">
        <v>72</v>
      </c>
      <c r="K13" s="10" t="s">
        <v>329</v>
      </c>
      <c r="L13" s="10" t="s">
        <v>323</v>
      </c>
      <c r="M13" s="10" t="s">
        <v>320</v>
      </c>
      <c r="N13" s="10" t="s">
        <v>330</v>
      </c>
      <c r="O13" s="10" t="s">
        <v>325</v>
      </c>
      <c r="P13" s="3" t="s">
        <v>344</v>
      </c>
      <c r="Q13" s="101" t="s">
        <v>331</v>
      </c>
      <c r="S13" s="3"/>
      <c r="T13" s="127" t="s">
        <v>375</v>
      </c>
      <c r="U13" s="127">
        <f>B39</f>
        <v>500400</v>
      </c>
      <c r="V13" s="125"/>
      <c r="W13" s="125"/>
      <c r="X13" s="4"/>
      <c r="Y13" s="4"/>
      <c r="Z13" s="4"/>
      <c r="AA13" s="4"/>
      <c r="AB13" s="4"/>
      <c r="AC13" s="3"/>
      <c r="AD13" s="15"/>
      <c r="AE13" s="12"/>
      <c r="AH13" s="6"/>
      <c r="AI13" s="21"/>
      <c r="AJ13" s="21"/>
      <c r="AK13" s="32"/>
      <c r="AL13" s="11"/>
      <c r="AM13" s="6"/>
      <c r="AN13" s="6"/>
      <c r="AO13" s="6"/>
      <c r="AP13" s="6"/>
      <c r="AQ13" s="6"/>
      <c r="AR13" s="17"/>
      <c r="AS13" s="17"/>
      <c r="AT13" s="4"/>
      <c r="AU13" s="4"/>
      <c r="AV13" s="4"/>
      <c r="AW13" s="4"/>
      <c r="AX13" s="4"/>
      <c r="AY13" s="4"/>
      <c r="AZ13" s="4"/>
      <c r="BA13" s="4"/>
      <c r="BB13" s="4"/>
      <c r="BC13" s="6"/>
      <c r="BD13" s="15"/>
    </row>
    <row r="14" spans="1:73">
      <c r="A14" s="3" t="s">
        <v>0</v>
      </c>
      <c r="B14" s="5">
        <v>170</v>
      </c>
      <c r="C14" s="13">
        <f>B14/B$19</f>
        <v>0.14642549526270457</v>
      </c>
      <c r="D14" s="22">
        <v>0.55000000000000004</v>
      </c>
      <c r="E14" s="41">
        <f>D14-B$9</f>
        <v>0.37873434704830056</v>
      </c>
      <c r="F14" s="13">
        <f>E14/D14</f>
        <v>0.68860790372418279</v>
      </c>
      <c r="G14" s="11">
        <f>B14*(B8)</f>
        <v>7028.423772609819</v>
      </c>
      <c r="H14" s="7">
        <f>G14*20</f>
        <v>140568.47545219638</v>
      </c>
      <c r="I14" s="15">
        <f>H14*E14</f>
        <v>53238.109765962661</v>
      </c>
      <c r="J14" s="11">
        <f>G14*K$12</f>
        <v>1827390.1808785528</v>
      </c>
      <c r="K14" s="6">
        <f>J14*D14</f>
        <v>1005064.5994832042</v>
      </c>
      <c r="L14" s="94">
        <v>0.9</v>
      </c>
      <c r="M14" s="7">
        <f>L14*J14</f>
        <v>1644651.1627906975</v>
      </c>
      <c r="N14" s="6">
        <f>M14*D14</f>
        <v>904558.13953488367</v>
      </c>
      <c r="O14" s="7">
        <f>J14-M14</f>
        <v>182739.01808785531</v>
      </c>
      <c r="P14" s="6">
        <f>O14*B43</f>
        <v>91369.509043927654</v>
      </c>
      <c r="Q14" s="6">
        <f>N14+P14</f>
        <v>995927.64857881132</v>
      </c>
      <c r="R14" s="9"/>
      <c r="S14" s="7"/>
      <c r="T14" s="127" t="s">
        <v>379</v>
      </c>
      <c r="U14" s="127">
        <f>12*Expenditures!B75</f>
        <v>76666.666666666657</v>
      </c>
      <c r="V14" s="176" t="s">
        <v>384</v>
      </c>
      <c r="W14" s="176"/>
      <c r="X14" s="15"/>
      <c r="Y14" s="15"/>
      <c r="Z14" s="15"/>
      <c r="AA14" s="15"/>
      <c r="AB14" s="3"/>
      <c r="AC14" s="3"/>
      <c r="AD14" s="3"/>
      <c r="AE14" s="12"/>
      <c r="AH14" s="6"/>
      <c r="AI14" s="21"/>
      <c r="AJ14" s="21"/>
      <c r="AK14" s="32"/>
      <c r="AL14" s="11"/>
      <c r="AM14" s="6"/>
      <c r="AN14" s="6"/>
      <c r="AO14" s="6"/>
      <c r="AP14" s="6"/>
      <c r="AQ14" s="6"/>
      <c r="AR14" s="17"/>
      <c r="AS14" s="17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15"/>
    </row>
    <row r="15" spans="1:73">
      <c r="A15" s="3" t="s">
        <v>133</v>
      </c>
      <c r="B15" s="5">
        <v>350</v>
      </c>
      <c r="C15" s="13">
        <f t="shared" ref="C15:C18" si="0">B15/B$19</f>
        <v>0.30146425495262702</v>
      </c>
      <c r="D15" s="22">
        <v>0.38</v>
      </c>
      <c r="E15" s="41">
        <f>D15-B$9</f>
        <v>0.20873434704830054</v>
      </c>
      <c r="F15" s="13">
        <f t="shared" ref="F15:F17" si="1">E15/D15</f>
        <v>0.54930091328500141</v>
      </c>
      <c r="G15" s="11">
        <f>B15*(B8)</f>
        <v>14470.284237726099</v>
      </c>
      <c r="H15" s="7">
        <f>G15*20</f>
        <v>289405.68475452199</v>
      </c>
      <c r="I15" s="15">
        <f>H15*E15</f>
        <v>60408.906639301458</v>
      </c>
      <c r="J15" s="11">
        <f>G15*K$12</f>
        <v>3762273.9018087857</v>
      </c>
      <c r="K15" s="6">
        <f>J15*D15</f>
        <v>1429664.0826873386</v>
      </c>
      <c r="L15" s="94">
        <v>0.5</v>
      </c>
      <c r="M15" s="7">
        <f t="shared" ref="M15:M17" si="2">L15*J15</f>
        <v>1881136.9509043929</v>
      </c>
      <c r="N15" s="6">
        <f>M15*D15</f>
        <v>714832.04134366929</v>
      </c>
      <c r="O15" s="7">
        <f t="shared" ref="O15:O17" si="3">J15-M15</f>
        <v>1881136.9509043929</v>
      </c>
      <c r="P15" s="6">
        <f>O15*B44</f>
        <v>564341.08527131786</v>
      </c>
      <c r="Q15" s="6">
        <f t="shared" ref="Q15:Q17" si="4">N15+P15</f>
        <v>1279173.1266149872</v>
      </c>
      <c r="R15" s="9"/>
      <c r="S15" s="7"/>
      <c r="T15" s="127" t="s">
        <v>380</v>
      </c>
      <c r="U15" s="127">
        <f>J4</f>
        <v>1497600</v>
      </c>
      <c r="V15" s="125" t="s">
        <v>381</v>
      </c>
      <c r="W15" s="125">
        <f>V73</f>
        <v>1839534.010259355</v>
      </c>
      <c r="X15" s="3"/>
      <c r="Y15" s="3"/>
      <c r="Z15" s="3"/>
      <c r="AA15" s="3"/>
      <c r="AB15" s="15"/>
      <c r="AC15" s="3"/>
      <c r="AD15" s="4"/>
      <c r="AE15" s="12"/>
      <c r="AH15" s="6"/>
      <c r="AI15" s="21"/>
      <c r="AJ15" s="21"/>
      <c r="AK15" s="32"/>
      <c r="AL15" s="11"/>
      <c r="AM15" s="6"/>
      <c r="AN15" s="6"/>
      <c r="AO15" s="6"/>
      <c r="AP15" s="6"/>
      <c r="AQ15" s="6"/>
      <c r="AR15" s="17"/>
      <c r="AS15" s="17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15"/>
    </row>
    <row r="16" spans="1:73">
      <c r="A16" s="3" t="s">
        <v>12</v>
      </c>
      <c r="B16" s="5">
        <v>130</v>
      </c>
      <c r="C16" s="13">
        <f t="shared" si="0"/>
        <v>0.1119724375538329</v>
      </c>
      <c r="D16" s="22">
        <v>0.3</v>
      </c>
      <c r="E16" s="41">
        <f t="shared" ref="E16" si="5">D16-B$9</f>
        <v>0.12873434704830053</v>
      </c>
      <c r="F16" s="13">
        <f t="shared" si="1"/>
        <v>0.42911449016100178</v>
      </c>
      <c r="G16" s="11">
        <f>B16*(B8)</f>
        <v>5374.6770025839796</v>
      </c>
      <c r="H16" s="7">
        <f>G16*20</f>
        <v>107493.54005167959</v>
      </c>
      <c r="I16" s="15">
        <f>H16*E16</f>
        <v>13838.110690463314</v>
      </c>
      <c r="J16" s="11">
        <f>G16*K$12</f>
        <v>1397416.0206718347</v>
      </c>
      <c r="K16" s="6">
        <f>J16*D16</f>
        <v>419224.80620155041</v>
      </c>
      <c r="L16" s="94">
        <v>0.2</v>
      </c>
      <c r="M16" s="7">
        <f t="shared" si="2"/>
        <v>279483.20413436694</v>
      </c>
      <c r="N16" s="6">
        <f>M16*D16</f>
        <v>83844.961240310076</v>
      </c>
      <c r="O16" s="7">
        <f t="shared" si="3"/>
        <v>1117932.8165374678</v>
      </c>
      <c r="P16" s="6">
        <f>O16*B45</f>
        <v>279483.20413436694</v>
      </c>
      <c r="Q16" s="6">
        <f t="shared" si="4"/>
        <v>363328.16537467705</v>
      </c>
      <c r="R16" s="9"/>
      <c r="S16" s="7"/>
      <c r="T16" s="127" t="s">
        <v>142</v>
      </c>
      <c r="U16" s="127">
        <f>SUM(U12:U15)</f>
        <v>2123666.6666666665</v>
      </c>
      <c r="V16" s="113" t="s">
        <v>382</v>
      </c>
      <c r="W16" s="113">
        <f>Expenditures!B38</f>
        <v>70000</v>
      </c>
      <c r="X16" s="27"/>
      <c r="Y16" s="27"/>
      <c r="Z16" s="27"/>
      <c r="AA16" s="27"/>
      <c r="AB16" s="3"/>
      <c r="AC16" s="3"/>
      <c r="AD16" s="4"/>
      <c r="AE16" s="12"/>
      <c r="AH16" s="6"/>
      <c r="AK16" s="32"/>
      <c r="AL16" s="11"/>
      <c r="AM16" s="6"/>
      <c r="AN16" s="6"/>
      <c r="AO16" s="6"/>
      <c r="AP16" s="6"/>
      <c r="AQ16" s="6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6"/>
      <c r="BD16" s="15"/>
    </row>
    <row r="17" spans="1:55">
      <c r="A17" s="3" t="s">
        <v>13</v>
      </c>
      <c r="B17" s="5">
        <v>430</v>
      </c>
      <c r="C17" s="13">
        <f t="shared" si="0"/>
        <v>0.37037037037037035</v>
      </c>
      <c r="D17" s="22">
        <v>0.05</v>
      </c>
      <c r="E17" s="41">
        <f>D17-B$9</f>
        <v>-0.12126565295169946</v>
      </c>
      <c r="F17" s="13">
        <f t="shared" si="1"/>
        <v>-2.4253130590339889</v>
      </c>
      <c r="G17" s="11">
        <f>B17*(B8)</f>
        <v>17777.777777777777</v>
      </c>
      <c r="H17" s="7">
        <f>G17*20</f>
        <v>355555.55555555556</v>
      </c>
      <c r="I17" s="15">
        <f>H17*E17</f>
        <v>-43116.676605048699</v>
      </c>
      <c r="J17" s="11">
        <f>G17*K$12</f>
        <v>4622222.222222222</v>
      </c>
      <c r="K17" s="6">
        <f>J17*D17</f>
        <v>231111.11111111112</v>
      </c>
      <c r="L17" s="94">
        <v>0.05</v>
      </c>
      <c r="M17" s="7">
        <f t="shared" si="2"/>
        <v>231111.11111111112</v>
      </c>
      <c r="N17" s="6">
        <f>M17*D17</f>
        <v>11555.555555555557</v>
      </c>
      <c r="O17" s="7">
        <f t="shared" si="3"/>
        <v>4391111.111111111</v>
      </c>
      <c r="P17" s="6">
        <f>O17*B46</f>
        <v>878222.22222222225</v>
      </c>
      <c r="Q17" s="6">
        <f t="shared" si="4"/>
        <v>889777.77777777775</v>
      </c>
      <c r="R17" s="9"/>
      <c r="S17" s="7"/>
      <c r="T17" s="105"/>
      <c r="U17" s="105"/>
      <c r="V17" s="113" t="s">
        <v>400</v>
      </c>
      <c r="W17" s="113">
        <f>Expenditures!B38</f>
        <v>70000</v>
      </c>
      <c r="X17" s="15"/>
      <c r="Y17" s="15"/>
      <c r="Z17" s="15"/>
      <c r="AA17" s="3"/>
      <c r="AB17" s="3"/>
      <c r="AC17" s="3"/>
      <c r="AD17" s="12"/>
      <c r="AE17" s="3"/>
      <c r="AG17" s="6"/>
      <c r="AI17" s="12"/>
      <c r="AJ17" s="32"/>
      <c r="AK17" s="11"/>
      <c r="AL17" s="6"/>
      <c r="AM17" s="6"/>
      <c r="AN17" s="6"/>
      <c r="AO17" s="6"/>
      <c r="AP17" s="6"/>
      <c r="AQ17" s="17"/>
      <c r="AR17" s="17"/>
      <c r="BB17" s="6"/>
      <c r="BC17" s="15"/>
    </row>
    <row r="18" spans="1:55">
      <c r="A18" s="3" t="s">
        <v>69</v>
      </c>
      <c r="B18" s="5">
        <v>81</v>
      </c>
      <c r="C18" s="13">
        <f t="shared" si="0"/>
        <v>6.9767441860465115E-2</v>
      </c>
      <c r="D18" s="23">
        <v>0</v>
      </c>
      <c r="E18" s="41"/>
      <c r="F18" s="41"/>
      <c r="G18" s="11"/>
      <c r="H18" s="15"/>
      <c r="I18" s="15"/>
      <c r="J18" s="11"/>
      <c r="K18" s="6"/>
      <c r="L18" s="6"/>
      <c r="M18" s="6"/>
      <c r="O18" s="6"/>
      <c r="P18" s="6"/>
      <c r="Q18" s="6"/>
      <c r="R18" s="9"/>
      <c r="S18" s="7"/>
      <c r="T18" s="105" t="s">
        <v>383</v>
      </c>
      <c r="U18" s="128">
        <f>U9-U16</f>
        <v>1966140.0516795865</v>
      </c>
      <c r="V18" s="86" t="s">
        <v>142</v>
      </c>
      <c r="W18" s="125">
        <f>SUM(W15:W17)</f>
        <v>1979534.010259355</v>
      </c>
      <c r="X18" s="4"/>
      <c r="Y18" s="4"/>
      <c r="Z18" s="4"/>
      <c r="AA18" s="3"/>
      <c r="AB18" s="174"/>
      <c r="AC18" s="174"/>
      <c r="AD18" s="12"/>
      <c r="AE18" s="174"/>
      <c r="AF18" s="174"/>
      <c r="AG18" s="174"/>
      <c r="AH18" s="25"/>
      <c r="AI18" s="25"/>
      <c r="AJ18" s="25"/>
      <c r="AK18" s="35"/>
      <c r="AL18" s="25"/>
      <c r="AM18" s="25"/>
      <c r="AN18" s="6"/>
      <c r="AO18" s="6"/>
      <c r="AP18" s="6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6"/>
      <c r="BC18" s="15"/>
    </row>
    <row r="19" spans="1:55">
      <c r="A19" s="3" t="s">
        <v>19</v>
      </c>
      <c r="B19" s="3">
        <f>SUM(B14:B18)</f>
        <v>1161</v>
      </c>
      <c r="C19" s="3" t="s">
        <v>145</v>
      </c>
      <c r="D19" s="40"/>
      <c r="E19" s="6"/>
      <c r="F19" s="6"/>
      <c r="G19" s="11">
        <f t="shared" ref="G19:K19" si="6">SUM(G14:G17)</f>
        <v>44651.162790697679</v>
      </c>
      <c r="H19" s="15">
        <f>SUM(H14:H17)</f>
        <v>893023.25581395347</v>
      </c>
      <c r="I19" s="15">
        <f t="shared" si="6"/>
        <v>84368.450490678748</v>
      </c>
      <c r="J19" s="11">
        <f t="shared" si="6"/>
        <v>11609302.325581396</v>
      </c>
      <c r="K19" s="6">
        <f t="shared" si="6"/>
        <v>3085064.5994832041</v>
      </c>
      <c r="L19" s="6"/>
      <c r="M19" s="6"/>
      <c r="N19" s="6">
        <f>SUM(N14:N17)</f>
        <v>1714790.6976744186</v>
      </c>
      <c r="P19" s="6">
        <f>SUM(P14:P17)</f>
        <v>1813416.0206718347</v>
      </c>
      <c r="Q19" s="96">
        <f>SUM(Q14:Q17)</f>
        <v>3528206.718346253</v>
      </c>
      <c r="R19" s="9"/>
      <c r="S19" s="7"/>
      <c r="T19" s="105"/>
      <c r="U19" s="105"/>
      <c r="V19" s="123"/>
      <c r="W19" s="123"/>
      <c r="X19" s="15"/>
      <c r="Y19" s="15"/>
      <c r="Z19" s="15"/>
      <c r="AA19" s="15"/>
      <c r="AB19" s="15"/>
      <c r="AC19" s="3"/>
      <c r="AD19" s="3"/>
      <c r="AE19" s="15"/>
      <c r="AF19" s="12"/>
      <c r="AI19" s="6"/>
      <c r="AM19" s="11"/>
      <c r="AN19" s="4"/>
      <c r="AO19" s="4"/>
      <c r="AP19" s="6"/>
      <c r="AQ19" s="6"/>
      <c r="AR19" s="6"/>
      <c r="AS19" s="17"/>
      <c r="AT19" s="6"/>
    </row>
    <row r="20" spans="1:55">
      <c r="B20" s="15"/>
      <c r="C20" s="6" t="s">
        <v>144</v>
      </c>
      <c r="D20" s="7"/>
      <c r="E20" s="15"/>
      <c r="F20" s="15"/>
      <c r="G20" s="15"/>
      <c r="H20" s="15"/>
      <c r="I20" s="7"/>
      <c r="J20" s="7"/>
      <c r="K20" s="7"/>
      <c r="L20" s="7"/>
      <c r="M20" s="7"/>
      <c r="N20" s="7"/>
      <c r="Q20" s="7"/>
      <c r="R20" s="10"/>
      <c r="S20" s="7"/>
      <c r="T20" s="105"/>
      <c r="U20" s="105"/>
      <c r="V20" s="113" t="s">
        <v>383</v>
      </c>
      <c r="W20" s="113">
        <f>W12-W18</f>
        <v>3074625.3755761548</v>
      </c>
      <c r="X20" s="4"/>
      <c r="AD20" s="3"/>
      <c r="AE20" s="3"/>
      <c r="AF20" s="15"/>
      <c r="AG20" s="12"/>
      <c r="AJ20" s="6"/>
      <c r="AM20" s="12"/>
      <c r="AN20" s="11"/>
      <c r="AQ20" s="25"/>
      <c r="AR20" s="25"/>
      <c r="AS20" s="25"/>
      <c r="AT20" s="17"/>
      <c r="AU20" s="6"/>
    </row>
    <row r="21" spans="1:55">
      <c r="B21" s="15"/>
      <c r="C21" s="6" t="s">
        <v>146</v>
      </c>
      <c r="D21" s="7"/>
      <c r="E21" s="15"/>
      <c r="F21" s="15"/>
      <c r="G21" s="7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V21" s="3"/>
      <c r="W21" s="4"/>
      <c r="X21" s="15"/>
      <c r="Y21" s="14"/>
      <c r="Z21" s="14"/>
      <c r="AA21" s="14"/>
      <c r="AB21" s="14"/>
      <c r="AC21" s="14"/>
      <c r="AD21" s="3"/>
      <c r="AE21" s="3"/>
      <c r="AF21" s="6"/>
      <c r="AG21" s="12"/>
      <c r="AJ21" s="6"/>
      <c r="AN21" s="11"/>
      <c r="AQ21" s="38"/>
      <c r="AR21" s="4"/>
      <c r="AS21" s="4"/>
      <c r="AT21" s="17"/>
      <c r="AU21" s="6"/>
    </row>
    <row r="22" spans="1:55">
      <c r="A22" s="8" t="s">
        <v>92</v>
      </c>
      <c r="B22" s="3" t="s">
        <v>78</v>
      </c>
      <c r="C22" s="7" t="s">
        <v>46</v>
      </c>
      <c r="D22" s="3" t="s">
        <v>44</v>
      </c>
      <c r="E22" s="7" t="s">
        <v>88</v>
      </c>
      <c r="F22" s="15" t="s">
        <v>43</v>
      </c>
      <c r="G22" s="7" t="s">
        <v>89</v>
      </c>
      <c r="H22" s="7"/>
      <c r="I22" s="11"/>
      <c r="J22" s="11"/>
      <c r="K22" s="11"/>
      <c r="L22" s="11"/>
      <c r="M22" s="11"/>
      <c r="N22" s="11"/>
      <c r="O22" s="11"/>
      <c r="P22" s="11"/>
      <c r="Q22" s="11"/>
      <c r="R22" s="11"/>
      <c r="V22" s="3"/>
      <c r="W22" s="3"/>
      <c r="X22" s="6"/>
      <c r="Y22" s="31"/>
      <c r="Z22" s="31"/>
      <c r="AA22" s="31"/>
      <c r="AB22" s="31"/>
      <c r="AC22" s="31"/>
      <c r="AD22" s="3"/>
      <c r="AE22" s="3"/>
      <c r="AG22" s="12"/>
      <c r="AJ22" s="6"/>
      <c r="AN22" s="11"/>
      <c r="AR22" s="4"/>
      <c r="AT22" s="17"/>
      <c r="AU22" s="6"/>
    </row>
    <row r="23" spans="1:55">
      <c r="A23" s="3" t="s">
        <v>35</v>
      </c>
      <c r="B23" s="3">
        <f>2000*E5</f>
        <v>1300</v>
      </c>
      <c r="C23" s="16">
        <v>0.65</v>
      </c>
      <c r="D23" s="11">
        <f>B23*E3</f>
        <v>4056000</v>
      </c>
      <c r="E23" s="7">
        <f>J5</f>
        <v>2230800</v>
      </c>
      <c r="F23" s="15">
        <f>C23*D23</f>
        <v>2636400</v>
      </c>
      <c r="G23" s="7">
        <f>F23-E23</f>
        <v>405600</v>
      </c>
      <c r="H23" s="7"/>
      <c r="I23" s="11"/>
      <c r="J23" s="19"/>
      <c r="K23" s="19"/>
      <c r="L23" s="19"/>
      <c r="M23" s="19"/>
      <c r="N23" s="19"/>
      <c r="O23" s="19"/>
      <c r="P23" s="19"/>
      <c r="Q23" s="19"/>
      <c r="R23" s="19"/>
      <c r="S23" s="19"/>
      <c r="V23" s="3"/>
      <c r="W23" s="3"/>
      <c r="X23" s="14"/>
      <c r="Y23" s="15"/>
      <c r="Z23" s="15"/>
      <c r="AA23" s="15"/>
      <c r="AB23" s="15"/>
      <c r="AC23" s="15"/>
      <c r="AD23" s="3"/>
      <c r="AE23" s="3"/>
      <c r="AF23" s="15"/>
      <c r="AG23" s="12"/>
      <c r="AJ23" s="6"/>
      <c r="AN23" s="11"/>
      <c r="AR23" s="4"/>
      <c r="AT23" s="17"/>
      <c r="AU23" s="6"/>
    </row>
    <row r="24" spans="1:55">
      <c r="C24" s="9"/>
      <c r="D24" s="11"/>
      <c r="E24" s="15"/>
      <c r="F24" s="7"/>
      <c r="G24" s="7"/>
      <c r="H24" s="7"/>
      <c r="I24" s="11"/>
      <c r="J24" s="19"/>
      <c r="K24" s="19"/>
      <c r="L24" s="19"/>
      <c r="M24" s="19"/>
      <c r="N24" s="19"/>
      <c r="O24" s="19"/>
      <c r="P24" s="19"/>
      <c r="Q24" s="19"/>
      <c r="R24" s="19"/>
      <c r="S24" s="19"/>
      <c r="V24" s="3"/>
      <c r="W24" s="3"/>
      <c r="X24" s="31"/>
      <c r="Y24" s="3"/>
      <c r="Z24" s="3"/>
      <c r="AA24" s="3"/>
      <c r="AB24" s="3"/>
      <c r="AC24" s="3"/>
      <c r="AD24" s="3"/>
      <c r="AE24" s="15"/>
      <c r="AF24" s="12"/>
      <c r="AI24" s="6"/>
      <c r="AM24" s="11"/>
      <c r="AQ24" s="4"/>
      <c r="AS24" s="17"/>
      <c r="AT24" s="6"/>
    </row>
    <row r="25" spans="1:55">
      <c r="A25" s="8" t="s">
        <v>51</v>
      </c>
      <c r="C25" s="9" t="s">
        <v>114</v>
      </c>
      <c r="D25" s="11"/>
      <c r="E25" s="15"/>
      <c r="F25" s="7"/>
      <c r="G25" s="7"/>
      <c r="H25" s="7"/>
      <c r="I25" s="11"/>
      <c r="J25" s="19"/>
      <c r="K25" s="19"/>
      <c r="L25" s="19"/>
      <c r="M25" s="19"/>
      <c r="N25" s="19"/>
      <c r="O25" s="19"/>
      <c r="P25" s="19"/>
      <c r="Q25" s="19"/>
      <c r="R25" s="19"/>
      <c r="S25" s="19"/>
      <c r="V25" s="3"/>
      <c r="W25" s="3"/>
      <c r="X25" s="15"/>
      <c r="Y25" s="3"/>
      <c r="Z25" s="3"/>
      <c r="AA25" s="3"/>
      <c r="AB25" s="3"/>
      <c r="AC25" s="3"/>
      <c r="AD25" s="3"/>
      <c r="AE25" s="15"/>
      <c r="AF25" s="12"/>
      <c r="AI25" s="6"/>
      <c r="AM25" s="11"/>
      <c r="AS25" s="17"/>
      <c r="AT25" s="6"/>
    </row>
    <row r="26" spans="1:55">
      <c r="A26" s="3" t="s">
        <v>52</v>
      </c>
      <c r="B26" s="5">
        <v>50</v>
      </c>
      <c r="C26" s="9">
        <f>B26*E3</f>
        <v>156000</v>
      </c>
      <c r="D26" s="11"/>
      <c r="E26" s="15"/>
      <c r="F26" s="7"/>
      <c r="G26" s="7"/>
      <c r="H26" s="7"/>
      <c r="I26" s="11"/>
      <c r="J26" s="19"/>
      <c r="K26" s="19"/>
      <c r="L26" s="19"/>
      <c r="M26" s="19"/>
      <c r="N26" s="19"/>
      <c r="O26" s="19"/>
      <c r="P26" s="19"/>
      <c r="Q26" s="19"/>
      <c r="R26" s="19"/>
      <c r="S26" s="19"/>
      <c r="V26" s="9"/>
      <c r="W26" s="3"/>
      <c r="X26" s="3"/>
      <c r="Y26" s="3"/>
      <c r="Z26" s="3"/>
      <c r="AA26" s="3"/>
      <c r="AB26" s="3"/>
      <c r="AC26" s="3"/>
      <c r="AD26" s="3"/>
      <c r="AE26" s="15"/>
      <c r="AF26" s="12"/>
      <c r="AI26" s="6"/>
      <c r="AM26" s="11"/>
      <c r="AS26" s="17"/>
      <c r="AT26" s="6"/>
    </row>
    <row r="27" spans="1:55">
      <c r="C27" s="9"/>
      <c r="D27" s="11"/>
      <c r="E27" s="15"/>
      <c r="F27" s="6"/>
      <c r="G27" s="7"/>
      <c r="I27" s="7"/>
      <c r="J27" s="10"/>
      <c r="K27" s="10"/>
      <c r="L27" s="10"/>
      <c r="M27" s="10"/>
      <c r="N27" s="10"/>
      <c r="O27" s="10"/>
      <c r="P27" s="10"/>
      <c r="Q27" s="10"/>
      <c r="R27" s="10"/>
      <c r="S27" s="19"/>
      <c r="V27" s="43"/>
      <c r="W27" s="31"/>
      <c r="X27" s="3"/>
      <c r="Y27" s="3"/>
      <c r="Z27" s="3"/>
      <c r="AA27" s="3"/>
      <c r="AB27" s="3"/>
      <c r="AC27" s="3"/>
      <c r="AD27" s="3"/>
      <c r="AE27" s="15"/>
      <c r="AF27" s="12"/>
      <c r="AI27" s="6"/>
      <c r="AM27" s="11"/>
      <c r="AS27" s="17"/>
      <c r="AT27" s="6"/>
    </row>
    <row r="28" spans="1:55">
      <c r="A28" s="8" t="s">
        <v>163</v>
      </c>
      <c r="B28" s="3" t="s">
        <v>162</v>
      </c>
      <c r="C28" s="3" t="s">
        <v>352</v>
      </c>
      <c r="D28" s="3"/>
      <c r="F28" s="6"/>
      <c r="K28" s="14"/>
      <c r="L28" s="14"/>
      <c r="M28" s="14"/>
      <c r="N28" s="14"/>
      <c r="O28" s="14"/>
      <c r="P28" s="14"/>
      <c r="Q28" s="14"/>
      <c r="R28" s="14"/>
      <c r="S28" s="19"/>
      <c r="V28" s="45"/>
      <c r="W28" s="43"/>
      <c r="X28" s="3"/>
      <c r="Y28" s="3"/>
      <c r="Z28" s="3"/>
      <c r="AA28" s="3"/>
      <c r="AB28" s="3"/>
      <c r="AC28" s="3"/>
      <c r="AD28" s="3"/>
      <c r="AE28" s="15"/>
      <c r="AF28" s="12"/>
      <c r="AI28" s="6"/>
      <c r="AM28" s="11"/>
      <c r="AS28" s="17"/>
    </row>
    <row r="29" spans="1:55">
      <c r="A29" s="3" t="s">
        <v>36</v>
      </c>
      <c r="B29" s="17">
        <v>6000</v>
      </c>
      <c r="C29" s="4">
        <f>B29*12</f>
        <v>72000</v>
      </c>
      <c r="D29" s="3"/>
      <c r="G29" s="6"/>
      <c r="N29" s="3"/>
      <c r="O29" s="3"/>
      <c r="P29" s="3"/>
      <c r="R29" s="28"/>
      <c r="S29" s="13"/>
      <c r="V29" s="3"/>
      <c r="W29" s="43"/>
      <c r="X29" s="3"/>
      <c r="Y29" s="3"/>
      <c r="Z29" s="3"/>
      <c r="AA29" s="3"/>
      <c r="AB29" s="3"/>
      <c r="AC29" s="3"/>
      <c r="AD29" s="12"/>
      <c r="AE29" s="3"/>
      <c r="AG29" s="6"/>
      <c r="AK29" s="11"/>
      <c r="AQ29" s="17"/>
    </row>
    <row r="30" spans="1:55">
      <c r="A30" s="3" t="s">
        <v>37</v>
      </c>
      <c r="B30" s="17">
        <v>2000</v>
      </c>
      <c r="C30" s="4">
        <f t="shared" ref="C30:C37" si="7">B30*12</f>
        <v>24000</v>
      </c>
      <c r="N30" s="3"/>
      <c r="O30" s="3"/>
      <c r="P30" s="44"/>
      <c r="Q30" s="44"/>
      <c r="R30" s="44"/>
      <c r="S30" s="3"/>
      <c r="V30" s="3"/>
      <c r="W30" s="4"/>
      <c r="X30" s="3"/>
      <c r="Y30" s="3"/>
      <c r="Z30" s="3"/>
      <c r="AA30" s="3"/>
      <c r="AB30" s="15"/>
      <c r="AC30" s="12"/>
      <c r="AD30" s="3"/>
      <c r="AE30" s="3"/>
      <c r="AF30" s="6"/>
      <c r="AJ30" s="11"/>
      <c r="AP30" s="17"/>
    </row>
    <row r="31" spans="1:55">
      <c r="A31" s="3" t="s">
        <v>38</v>
      </c>
      <c r="B31" s="17">
        <f>(80*B3)*I12</f>
        <v>25600</v>
      </c>
      <c r="C31" s="4">
        <f t="shared" si="7"/>
        <v>307200</v>
      </c>
      <c r="O31" s="3"/>
      <c r="P31" s="3"/>
      <c r="S31" s="3"/>
      <c r="V31" s="3"/>
      <c r="W31" s="4"/>
      <c r="X31" s="3"/>
      <c r="Y31" s="7"/>
      <c r="Z31" s="7"/>
      <c r="AB31" s="33"/>
      <c r="AC31" s="33"/>
      <c r="AD31" s="33"/>
      <c r="AE31" s="11"/>
      <c r="AF31" s="7"/>
      <c r="AG31" s="7"/>
      <c r="AK31" s="17"/>
    </row>
    <row r="32" spans="1:55">
      <c r="A32" s="3" t="s">
        <v>158</v>
      </c>
      <c r="B32" s="17">
        <v>1000</v>
      </c>
      <c r="C32" s="4">
        <f t="shared" si="7"/>
        <v>12000</v>
      </c>
      <c r="O32" s="3"/>
      <c r="P32" s="3"/>
      <c r="S32" s="3"/>
      <c r="T32" s="7"/>
      <c r="U32" s="7"/>
      <c r="V32" s="3"/>
      <c r="W32" s="4"/>
      <c r="X32" s="3"/>
      <c r="Y32" s="7"/>
      <c r="Z32" s="7"/>
      <c r="AB32" s="33"/>
      <c r="AC32" s="33"/>
      <c r="AD32" s="33"/>
      <c r="AE32" s="11"/>
      <c r="AF32" s="7"/>
      <c r="AG32" s="7"/>
      <c r="AK32" s="17"/>
    </row>
    <row r="33" spans="1:39">
      <c r="A33" s="3" t="s">
        <v>64</v>
      </c>
      <c r="B33" s="17">
        <v>3000</v>
      </c>
      <c r="C33" s="4">
        <f t="shared" si="7"/>
        <v>36000</v>
      </c>
      <c r="O33" s="3"/>
      <c r="P33" s="3"/>
      <c r="S33" s="3"/>
      <c r="T33" s="7"/>
      <c r="U33" s="7"/>
      <c r="V33" s="3"/>
      <c r="W33" s="4"/>
      <c r="X33" s="12"/>
      <c r="Y33" s="7"/>
      <c r="Z33" s="7"/>
      <c r="AB33" s="33"/>
      <c r="AC33" s="33"/>
      <c r="AD33" s="33"/>
      <c r="AE33" s="11"/>
      <c r="AF33" s="7"/>
      <c r="AG33" s="7"/>
      <c r="AH33" s="7"/>
      <c r="AI33" s="7"/>
      <c r="AJ33" s="7"/>
      <c r="AK33" s="17"/>
    </row>
    <row r="34" spans="1:39">
      <c r="A34" s="3" t="s">
        <v>153</v>
      </c>
      <c r="B34" s="17">
        <v>1000</v>
      </c>
      <c r="C34" s="4">
        <f t="shared" si="7"/>
        <v>12000</v>
      </c>
      <c r="G34" s="15"/>
      <c r="O34" s="3"/>
      <c r="P34" s="3"/>
      <c r="S34" s="3"/>
      <c r="T34" s="11"/>
      <c r="U34" s="11"/>
      <c r="V34" s="26"/>
      <c r="W34" s="3"/>
      <c r="X34" s="12"/>
      <c r="Y34" s="7"/>
      <c r="Z34" s="7"/>
      <c r="AB34" s="33"/>
      <c r="AC34" s="33"/>
      <c r="AD34" s="33"/>
      <c r="AE34" s="11"/>
      <c r="AF34" s="7"/>
      <c r="AG34" s="7"/>
      <c r="AH34" s="7"/>
      <c r="AI34" s="7"/>
      <c r="AJ34" s="7"/>
      <c r="AK34" s="17"/>
      <c r="AL34" s="19"/>
      <c r="AM34" s="6"/>
    </row>
    <row r="35" spans="1:39">
      <c r="A35" s="3" t="s">
        <v>75</v>
      </c>
      <c r="B35" s="17">
        <v>0</v>
      </c>
      <c r="C35" s="4">
        <f t="shared" si="7"/>
        <v>0</v>
      </c>
      <c r="O35" s="3"/>
      <c r="P35" s="3"/>
      <c r="S35" s="3"/>
      <c r="T35" s="11"/>
      <c r="U35" s="11"/>
      <c r="V35" s="6"/>
      <c r="W35" s="26"/>
      <c r="X35" s="12"/>
      <c r="Y35" s="7"/>
      <c r="AA35" s="33"/>
      <c r="AB35" s="33"/>
      <c r="AC35" s="33"/>
      <c r="AD35" s="11"/>
      <c r="AE35" s="7"/>
      <c r="AF35" s="7"/>
      <c r="AG35" s="7"/>
      <c r="AH35" s="7"/>
      <c r="AI35" s="7"/>
      <c r="AJ35" s="17"/>
      <c r="AK35" s="19"/>
      <c r="AL35" s="6"/>
    </row>
    <row r="36" spans="1:39">
      <c r="A36" s="3" t="s">
        <v>157</v>
      </c>
      <c r="B36" s="4">
        <v>100</v>
      </c>
      <c r="C36" s="4">
        <f t="shared" si="7"/>
        <v>1200</v>
      </c>
      <c r="O36" s="3"/>
      <c r="P36" s="3"/>
      <c r="S36" s="3"/>
      <c r="T36" s="19"/>
      <c r="U36" s="19"/>
      <c r="V36" s="6"/>
      <c r="W36" s="3"/>
      <c r="X36" s="12"/>
      <c r="Y36" s="7"/>
      <c r="AA36" s="33"/>
      <c r="AB36" s="33"/>
      <c r="AC36" s="33"/>
      <c r="AD36" s="11"/>
      <c r="AE36" s="7"/>
      <c r="AF36" s="7"/>
      <c r="AG36" s="7"/>
      <c r="AH36" s="7"/>
      <c r="AI36" s="7"/>
      <c r="AJ36" s="17"/>
      <c r="AK36" s="19"/>
      <c r="AL36" s="6"/>
    </row>
    <row r="37" spans="1:39">
      <c r="A37" s="3" t="s">
        <v>154</v>
      </c>
      <c r="B37" s="17">
        <v>3000</v>
      </c>
      <c r="C37" s="4">
        <f t="shared" si="7"/>
        <v>36000</v>
      </c>
      <c r="N37" s="3"/>
      <c r="O37" s="3"/>
      <c r="P37" s="3"/>
      <c r="S37" s="3"/>
      <c r="T37" s="19"/>
      <c r="U37" s="19"/>
      <c r="V37" s="12"/>
      <c r="W37" s="15"/>
      <c r="X37" s="7"/>
      <c r="Y37" s="33"/>
      <c r="Z37" s="33"/>
      <c r="AA37" s="33"/>
      <c r="AB37" s="11"/>
      <c r="AC37" s="7"/>
      <c r="AD37" s="7"/>
      <c r="AE37" s="7"/>
      <c r="AF37" s="7"/>
      <c r="AG37" s="7"/>
      <c r="AH37" s="17"/>
      <c r="AI37" s="19"/>
      <c r="AJ37" s="6"/>
    </row>
    <row r="38" spans="1:39">
      <c r="A38" s="3" t="s">
        <v>155</v>
      </c>
      <c r="B38" s="4">
        <f>SUM(B29:B37)</f>
        <v>41700</v>
      </c>
      <c r="C38" s="4">
        <f>SUM(C29:C37)</f>
        <v>500400</v>
      </c>
      <c r="N38" s="7"/>
      <c r="O38" s="3"/>
      <c r="P38" s="3"/>
      <c r="S38" s="3"/>
      <c r="T38" s="19"/>
      <c r="U38" s="19"/>
      <c r="V38" s="3"/>
      <c r="W38" s="12"/>
      <c r="X38" s="7"/>
      <c r="Y38" s="33"/>
      <c r="Z38" s="33"/>
      <c r="AA38" s="33"/>
      <c r="AB38" s="11"/>
      <c r="AC38" s="7"/>
      <c r="AD38" s="7"/>
      <c r="AE38" s="7"/>
      <c r="AF38" s="7"/>
      <c r="AG38" s="7"/>
      <c r="AH38" s="17"/>
      <c r="AI38" s="19"/>
      <c r="AJ38" s="6"/>
    </row>
    <row r="39" spans="1:39">
      <c r="A39" s="3" t="s">
        <v>156</v>
      </c>
      <c r="B39" s="4">
        <f>B38*12</f>
        <v>500400</v>
      </c>
      <c r="C39" s="4"/>
      <c r="N39" s="7"/>
      <c r="O39" s="3"/>
      <c r="P39" s="3"/>
      <c r="S39" s="3"/>
      <c r="T39" s="19"/>
      <c r="U39" s="19"/>
      <c r="V39" s="7"/>
      <c r="W39" s="12"/>
      <c r="X39" s="6"/>
      <c r="Y39" s="33"/>
      <c r="Z39" s="33"/>
      <c r="AA39" s="33"/>
      <c r="AB39" s="11"/>
      <c r="AC39" s="7"/>
      <c r="AD39" s="7"/>
      <c r="AE39" s="7"/>
      <c r="AF39" s="7"/>
      <c r="AG39" s="7"/>
      <c r="AH39" s="17"/>
      <c r="AI39" s="19"/>
      <c r="AJ39" s="6"/>
    </row>
    <row r="40" spans="1:39" ht="15" customHeight="1">
      <c r="B40" s="4"/>
      <c r="C40" s="4"/>
      <c r="N40" s="7"/>
      <c r="O40" s="3"/>
      <c r="P40" s="3"/>
      <c r="S40" s="3"/>
      <c r="T40" s="19"/>
      <c r="U40" s="19"/>
      <c r="V40" s="7"/>
      <c r="W40" s="7"/>
      <c r="X40" s="6"/>
      <c r="Y40" s="33"/>
      <c r="Z40" s="33"/>
      <c r="AA40" s="33"/>
      <c r="AB40" s="11"/>
      <c r="AC40" s="7"/>
      <c r="AD40" s="7"/>
      <c r="AE40" s="7"/>
      <c r="AF40" s="7"/>
      <c r="AG40" s="7"/>
      <c r="AH40" s="17"/>
      <c r="AI40" s="19"/>
      <c r="AJ40" s="6"/>
    </row>
    <row r="41" spans="1:39">
      <c r="M41" s="6"/>
      <c r="N41" s="7"/>
      <c r="P41" s="3"/>
      <c r="R41" s="11"/>
      <c r="S41" s="3"/>
      <c r="T41" s="19"/>
      <c r="U41" s="19"/>
      <c r="V41" s="7"/>
      <c r="W41" s="7"/>
      <c r="X41" s="6"/>
      <c r="AC41" s="17"/>
      <c r="AD41" s="6"/>
      <c r="AE41" s="3"/>
    </row>
    <row r="42" spans="1:39">
      <c r="A42" s="8" t="s">
        <v>319</v>
      </c>
      <c r="B42" s="8" t="s">
        <v>159</v>
      </c>
      <c r="C42" s="8" t="s">
        <v>324</v>
      </c>
      <c r="D42" s="29" t="s">
        <v>326</v>
      </c>
      <c r="M42" s="6"/>
      <c r="N42" s="7"/>
      <c r="P42" s="3"/>
      <c r="R42" s="11"/>
      <c r="S42" s="3"/>
      <c r="T42" s="19"/>
      <c r="U42" s="19"/>
      <c r="V42" s="7"/>
      <c r="W42" s="7"/>
      <c r="X42" s="6"/>
      <c r="AC42" s="17"/>
      <c r="AD42" s="6"/>
      <c r="AE42" s="3"/>
    </row>
    <row r="43" spans="1:39">
      <c r="A43" s="3" t="s">
        <v>0</v>
      </c>
      <c r="B43" s="5">
        <v>0.5</v>
      </c>
      <c r="C43" s="99" cm="1">
        <f t="array" ref="C43:C46">O14:O17</f>
        <v>182739.01808785531</v>
      </c>
      <c r="D43" s="6">
        <f>B43*C43</f>
        <v>91369.509043927654</v>
      </c>
      <c r="M43" s="6"/>
      <c r="N43" s="7"/>
      <c r="P43" s="3"/>
      <c r="R43" s="11"/>
      <c r="S43" s="3"/>
      <c r="T43" s="19"/>
      <c r="U43" s="19"/>
      <c r="W43" s="7"/>
      <c r="X43" s="6"/>
      <c r="AC43" s="17"/>
      <c r="AD43" s="6"/>
      <c r="AE43" s="3"/>
    </row>
    <row r="44" spans="1:39">
      <c r="A44" s="3" t="s">
        <v>1</v>
      </c>
      <c r="B44" s="5">
        <v>0.3</v>
      </c>
      <c r="C44" s="99">
        <v>1881136.9509043929</v>
      </c>
      <c r="D44" s="6">
        <f t="shared" ref="D44:D46" si="8">B44*C44</f>
        <v>564341.08527131786</v>
      </c>
      <c r="M44" s="6"/>
      <c r="N44" s="7"/>
      <c r="P44" s="3"/>
      <c r="R44" s="11"/>
      <c r="S44" s="3"/>
      <c r="T44" s="13"/>
      <c r="U44" s="13"/>
      <c r="W44" s="11"/>
      <c r="X44" s="6"/>
      <c r="AC44" s="17"/>
      <c r="AD44" s="6"/>
      <c r="AE44" s="3"/>
    </row>
    <row r="45" spans="1:39">
      <c r="A45" s="3" t="s">
        <v>292</v>
      </c>
      <c r="B45" s="5">
        <v>0.25</v>
      </c>
      <c r="C45" s="99">
        <v>1117932.8165374678</v>
      </c>
      <c r="D45" s="6">
        <f t="shared" si="8"/>
        <v>279483.20413436694</v>
      </c>
      <c r="W45" s="11"/>
      <c r="X45" s="6"/>
    </row>
    <row r="46" spans="1:39">
      <c r="A46" s="3" t="s">
        <v>250</v>
      </c>
      <c r="B46" s="100">
        <v>0.2</v>
      </c>
      <c r="C46" s="99">
        <v>4391111.111111111</v>
      </c>
      <c r="D46" s="6">
        <f t="shared" si="8"/>
        <v>878222.22222222225</v>
      </c>
      <c r="P46" s="3"/>
      <c r="R46" s="11"/>
      <c r="S46" s="3"/>
      <c r="W46" s="11"/>
      <c r="X46" s="6"/>
      <c r="AC46" s="17"/>
      <c r="AD46" s="6"/>
      <c r="AE46" s="3"/>
    </row>
    <row r="47" spans="1:39">
      <c r="A47" s="3" t="s">
        <v>347</v>
      </c>
      <c r="B47" s="5">
        <f>E5</f>
        <v>0.65</v>
      </c>
      <c r="C47" s="99"/>
      <c r="J47" s="7"/>
      <c r="K47" s="7"/>
      <c r="L47" s="7"/>
      <c r="M47" s="7"/>
      <c r="N47" s="7"/>
      <c r="O47" s="3"/>
      <c r="P47" s="11"/>
      <c r="Q47" s="172" t="s">
        <v>338</v>
      </c>
      <c r="R47" s="172"/>
      <c r="S47" s="107" t="s">
        <v>10</v>
      </c>
      <c r="U47" s="4"/>
      <c r="W47" s="11"/>
      <c r="Y47" s="11"/>
      <c r="AB47" s="3"/>
      <c r="AC47" s="3"/>
      <c r="AD47" s="3"/>
      <c r="AE47" s="3"/>
    </row>
    <row r="48" spans="1:39">
      <c r="C48" s="11">
        <f>SUM(_xlfn.ANCHORARRAY(C43))</f>
        <v>7572919.8966408269</v>
      </c>
      <c r="D48" s="15">
        <f>SUM(D43:D46)</f>
        <v>1813416.0206718347</v>
      </c>
      <c r="J48" s="7"/>
      <c r="K48" s="7"/>
      <c r="L48" s="7"/>
      <c r="M48" s="7"/>
      <c r="N48" s="7"/>
      <c r="O48" s="3"/>
      <c r="P48" s="11"/>
      <c r="Q48" s="102"/>
      <c r="R48" s="102"/>
      <c r="S48" s="107"/>
      <c r="T48" s="107"/>
      <c r="U48" s="108" t="s">
        <v>341</v>
      </c>
      <c r="V48" s="108"/>
      <c r="W48" s="108"/>
      <c r="X48" s="110"/>
      <c r="Y48" s="11"/>
      <c r="AB48" s="3"/>
      <c r="AC48" s="3"/>
      <c r="AD48" s="3"/>
      <c r="AE48" s="3"/>
    </row>
    <row r="49" spans="1:31">
      <c r="C49" s="11"/>
      <c r="D49" s="15"/>
      <c r="J49" s="7"/>
      <c r="K49" s="7"/>
      <c r="L49" s="7"/>
      <c r="M49" s="7"/>
      <c r="N49" s="7"/>
      <c r="O49" s="3"/>
      <c r="P49" s="11"/>
      <c r="Q49" s="102"/>
      <c r="R49" s="102"/>
      <c r="S49" s="107"/>
      <c r="T49" s="107"/>
      <c r="U49" s="108"/>
      <c r="V49" s="108"/>
      <c r="W49" s="108"/>
      <c r="X49" s="110"/>
      <c r="Y49" s="173" t="s">
        <v>351</v>
      </c>
      <c r="Z49" s="173"/>
      <c r="AA49" s="25"/>
      <c r="AB49" s="3"/>
      <c r="AC49" s="3"/>
      <c r="AD49" s="3"/>
      <c r="AE49" s="3"/>
    </row>
    <row r="50" spans="1:31">
      <c r="A50" s="8" t="s">
        <v>308</v>
      </c>
      <c r="B50" s="8" t="s">
        <v>77</v>
      </c>
      <c r="C50" s="8" t="s">
        <v>10</v>
      </c>
      <c r="D50" s="8" t="s">
        <v>9</v>
      </c>
      <c r="E50" s="8" t="s">
        <v>79</v>
      </c>
      <c r="F50" s="8" t="s">
        <v>80</v>
      </c>
      <c r="G50" s="8" t="s">
        <v>131</v>
      </c>
      <c r="H50" s="30" t="s">
        <v>100</v>
      </c>
      <c r="I50" s="8" t="s">
        <v>99</v>
      </c>
      <c r="J50" s="8" t="s">
        <v>111</v>
      </c>
      <c r="K50" s="8" t="s">
        <v>49</v>
      </c>
      <c r="L50" s="8" t="s">
        <v>49</v>
      </c>
      <c r="M50" s="8" t="s">
        <v>275</v>
      </c>
      <c r="N50" s="8" t="s">
        <v>327</v>
      </c>
      <c r="O50" s="8" t="s">
        <v>336</v>
      </c>
      <c r="P50" s="8" t="s">
        <v>337</v>
      </c>
      <c r="Q50" s="103" t="s">
        <v>332</v>
      </c>
      <c r="R50" s="86" t="s">
        <v>334</v>
      </c>
      <c r="S50" s="104" t="s">
        <v>333</v>
      </c>
      <c r="T50" s="107"/>
      <c r="U50" s="108"/>
      <c r="V50" s="108"/>
      <c r="W50" s="108"/>
      <c r="X50" s="110"/>
      <c r="Y50" s="3" t="s">
        <v>54</v>
      </c>
      <c r="Z50" s="15">
        <f>U73</f>
        <v>5054159.3858355097</v>
      </c>
      <c r="AA50" s="15"/>
      <c r="AB50" s="8" t="s">
        <v>391</v>
      </c>
      <c r="AC50" s="3"/>
      <c r="AD50" s="3"/>
      <c r="AE50" s="3"/>
    </row>
    <row r="51" spans="1:31">
      <c r="A51" s="86" t="s">
        <v>315</v>
      </c>
      <c r="C51" s="6"/>
      <c r="E51" s="15"/>
      <c r="F51" s="14"/>
      <c r="G51" s="13"/>
      <c r="H51" s="12"/>
      <c r="J51" s="14"/>
      <c r="M51" s="70"/>
      <c r="N51" s="13"/>
      <c r="O51" s="14"/>
      <c r="P51" s="3"/>
      <c r="Q51" s="17"/>
      <c r="R51" s="15"/>
      <c r="S51" s="6"/>
      <c r="T51" s="104" t="s">
        <v>335</v>
      </c>
      <c r="U51" s="105" t="s">
        <v>340</v>
      </c>
      <c r="V51" s="106" t="s">
        <v>342</v>
      </c>
      <c r="W51" s="106" t="s">
        <v>346</v>
      </c>
      <c r="X51" s="84"/>
      <c r="Y51" s="3" t="s">
        <v>343</v>
      </c>
      <c r="Z51" s="70">
        <f>V73</f>
        <v>1839534.010259355</v>
      </c>
      <c r="AA51" s="70"/>
      <c r="AB51" s="3"/>
      <c r="AC51" s="3"/>
      <c r="AD51" s="3"/>
      <c r="AE51"/>
    </row>
    <row r="52" spans="1:31">
      <c r="A52" s="3" t="s">
        <v>310</v>
      </c>
      <c r="B52" s="16">
        <v>30</v>
      </c>
      <c r="C52" s="6">
        <f>B52/2</f>
        <v>15</v>
      </c>
      <c r="D52" s="6">
        <f>J52+K52+L52</f>
        <v>10.719999999999999</v>
      </c>
      <c r="E52" s="15">
        <f>B52-D52</f>
        <v>19.28</v>
      </c>
      <c r="F52" s="14">
        <f>C52-D52</f>
        <v>4.2800000000000011</v>
      </c>
      <c r="G52" s="13">
        <f>F52/D52</f>
        <v>0.39925373134328374</v>
      </c>
      <c r="H52" s="14" t="s">
        <v>93</v>
      </c>
      <c r="I52" s="5">
        <v>32</v>
      </c>
      <c r="J52" s="15">
        <f>I52*B$44</f>
        <v>9.6</v>
      </c>
      <c r="K52" s="5">
        <v>0.5</v>
      </c>
      <c r="L52" s="92">
        <v>0.62</v>
      </c>
      <c r="M52" s="93">
        <v>1E-3</v>
      </c>
      <c r="N52" s="94">
        <v>0.8</v>
      </c>
      <c r="O52" s="14">
        <f>(O$15*N52)/I52</f>
        <v>47028.423772609822</v>
      </c>
      <c r="P52" s="98">
        <f>10%</f>
        <v>0.1</v>
      </c>
      <c r="Q52" s="7">
        <f t="shared" ref="Q52:Q66" si="9">(P52*O52)/12</f>
        <v>391.9035314384152</v>
      </c>
      <c r="R52" s="6">
        <f t="shared" ref="R52:R66" si="10">Q52*B52</f>
        <v>11757.105943152455</v>
      </c>
      <c r="S52" s="14">
        <f t="shared" ref="S52:S66" si="11">(O52-Q52)/12</f>
        <v>3886.3766867642839</v>
      </c>
      <c r="V52" s="87"/>
      <c r="W52" s="87"/>
      <c r="X52" s="87"/>
      <c r="Y52" s="3" t="s">
        <v>339</v>
      </c>
      <c r="Z52" s="70">
        <f>Z50-Z51</f>
        <v>3214625.3755761548</v>
      </c>
      <c r="AA52" s="70"/>
      <c r="AB52" s="70">
        <f>O52*L52</f>
        <v>29157.62273901809</v>
      </c>
      <c r="AC52" s="3"/>
      <c r="AD52" s="3"/>
      <c r="AE52"/>
    </row>
    <row r="53" spans="1:31">
      <c r="A53" s="3" t="s">
        <v>309</v>
      </c>
      <c r="B53" s="16">
        <v>12</v>
      </c>
      <c r="C53" s="6">
        <f>B53/2</f>
        <v>6</v>
      </c>
      <c r="D53" s="6">
        <f t="shared" ref="D53:D54" si="12">J53+K53+L53</f>
        <v>3.82</v>
      </c>
      <c r="E53" s="15">
        <f>B53-D53</f>
        <v>8.18</v>
      </c>
      <c r="F53" s="14">
        <f>C53-D53</f>
        <v>2.1800000000000002</v>
      </c>
      <c r="G53" s="13">
        <f>F53/D53</f>
        <v>0.57068062827225141</v>
      </c>
      <c r="H53" s="14" t="s">
        <v>93</v>
      </c>
      <c r="I53" s="5">
        <v>9</v>
      </c>
      <c r="J53" s="15">
        <f t="shared" ref="J53:J54" si="13">I53*B$44</f>
        <v>2.6999999999999997</v>
      </c>
      <c r="K53" s="5">
        <v>0.5</v>
      </c>
      <c r="L53" s="92">
        <v>0.62</v>
      </c>
      <c r="M53" s="93">
        <v>1E-3</v>
      </c>
      <c r="N53" s="94">
        <v>0.15</v>
      </c>
      <c r="O53" s="14">
        <f>(O$15*N53)/I53</f>
        <v>31352.282515073213</v>
      </c>
      <c r="P53" s="98">
        <f>20%</f>
        <v>0.2</v>
      </c>
      <c r="Q53" s="7">
        <f t="shared" si="9"/>
        <v>522.53804191788697</v>
      </c>
      <c r="R53" s="6">
        <f t="shared" si="10"/>
        <v>6270.4565030146441</v>
      </c>
      <c r="S53" s="14">
        <f t="shared" si="11"/>
        <v>2569.1453727629437</v>
      </c>
      <c r="T53" s="15">
        <f t="shared" ref="T53:T71" si="14">S52*C52</f>
        <v>58295.650301464259</v>
      </c>
      <c r="U53" s="15">
        <f t="shared" ref="U53:U71" si="15">(R52+T53)*12</f>
        <v>840633.07493540063</v>
      </c>
      <c r="V53" s="87">
        <f>O52*D52</f>
        <v>504144.70284237724</v>
      </c>
      <c r="W53" s="87">
        <f t="shared" ref="W53:W71" si="16">U53-V53</f>
        <v>336488.37209302338</v>
      </c>
      <c r="X53" s="87"/>
      <c r="Y53" s="3"/>
      <c r="Z53" s="12"/>
      <c r="AA53" s="12"/>
      <c r="AB53" s="70">
        <f>O53*L53</f>
        <v>19438.415159345393</v>
      </c>
      <c r="AC53" s="3"/>
      <c r="AD53" s="3"/>
      <c r="AE53"/>
    </row>
    <row r="54" spans="1:31">
      <c r="A54" s="3" t="s">
        <v>311</v>
      </c>
      <c r="B54" s="16">
        <v>8</v>
      </c>
      <c r="C54" s="6">
        <f>B54/2</f>
        <v>4</v>
      </c>
      <c r="D54" s="6">
        <f t="shared" si="12"/>
        <v>2.02</v>
      </c>
      <c r="E54" s="15">
        <f>B54-D54</f>
        <v>5.98</v>
      </c>
      <c r="F54" s="14">
        <f>C54-D54</f>
        <v>1.98</v>
      </c>
      <c r="G54" s="13">
        <f>F54/D54</f>
        <v>0.98019801980198018</v>
      </c>
      <c r="H54" s="14" t="s">
        <v>93</v>
      </c>
      <c r="I54" s="5">
        <v>3</v>
      </c>
      <c r="J54" s="15">
        <f t="shared" si="13"/>
        <v>0.89999999999999991</v>
      </c>
      <c r="K54" s="5">
        <v>0.5</v>
      </c>
      <c r="L54" s="92">
        <v>0.62</v>
      </c>
      <c r="M54" s="93">
        <v>1E-3</v>
      </c>
      <c r="N54" s="94">
        <v>0.05</v>
      </c>
      <c r="O54" s="14">
        <f>(O$15*N54)/I54</f>
        <v>31352.282515073213</v>
      </c>
      <c r="P54" s="98">
        <f>20%</f>
        <v>0.2</v>
      </c>
      <c r="Q54" s="7">
        <f t="shared" si="9"/>
        <v>522.53804191788697</v>
      </c>
      <c r="R54" s="6">
        <f t="shared" si="10"/>
        <v>4180.3043353430958</v>
      </c>
      <c r="S54" s="14">
        <f t="shared" si="11"/>
        <v>2569.1453727629437</v>
      </c>
      <c r="T54" s="15">
        <f t="shared" si="14"/>
        <v>15414.872236577663</v>
      </c>
      <c r="U54" s="15">
        <f t="shared" si="15"/>
        <v>260223.94487510767</v>
      </c>
      <c r="V54" s="87">
        <f>O53*D53</f>
        <v>119765.71920757966</v>
      </c>
      <c r="W54" s="87">
        <f t="shared" si="16"/>
        <v>140458.22566752799</v>
      </c>
      <c r="X54" s="87"/>
      <c r="Y54" s="3"/>
      <c r="Z54" s="12"/>
      <c r="AA54" s="12"/>
      <c r="AB54" s="70">
        <f>O54*L54</f>
        <v>19438.415159345393</v>
      </c>
      <c r="AC54" s="3"/>
      <c r="AD54" s="3"/>
      <c r="AE54"/>
    </row>
    <row r="55" spans="1:31">
      <c r="A55" s="86" t="s">
        <v>316</v>
      </c>
      <c r="B55" s="9"/>
      <c r="D55" s="3"/>
      <c r="E55" s="15"/>
      <c r="F55" s="14"/>
      <c r="G55" s="13"/>
      <c r="H55" s="14"/>
      <c r="M55" s="85"/>
      <c r="N55" s="14"/>
      <c r="O55" s="14"/>
      <c r="P55" s="109"/>
      <c r="Q55" s="7">
        <f t="shared" si="9"/>
        <v>0</v>
      </c>
      <c r="R55" s="6">
        <f t="shared" si="10"/>
        <v>0</v>
      </c>
      <c r="S55" s="14">
        <f t="shared" si="11"/>
        <v>0</v>
      </c>
      <c r="T55" s="15">
        <f t="shared" si="14"/>
        <v>10276.581491051775</v>
      </c>
      <c r="U55" s="15">
        <f t="shared" si="15"/>
        <v>173482.62991673846</v>
      </c>
      <c r="V55" s="87">
        <f>O54*D54</f>
        <v>63331.610680447891</v>
      </c>
      <c r="W55" s="87">
        <f t="shared" si="16"/>
        <v>110151.01923629057</v>
      </c>
      <c r="X55" s="87"/>
      <c r="Y55" s="3"/>
      <c r="Z55" s="12"/>
      <c r="AA55" s="12"/>
      <c r="AB55" s="70"/>
      <c r="AC55" s="3"/>
      <c r="AD55" s="3"/>
      <c r="AE55"/>
    </row>
    <row r="56" spans="1:31">
      <c r="A56" s="3" t="s">
        <v>312</v>
      </c>
      <c r="B56" s="16">
        <v>26</v>
      </c>
      <c r="C56" s="15">
        <f>B56/2</f>
        <v>13</v>
      </c>
      <c r="D56" s="15">
        <f>SUM(J56:M56)</f>
        <v>5.6950000000000003</v>
      </c>
      <c r="E56" s="15">
        <f>B56-D56</f>
        <v>20.305</v>
      </c>
      <c r="F56" s="14">
        <f>C56-D56</f>
        <v>7.3049999999999997</v>
      </c>
      <c r="G56" s="13">
        <f>F56/D56</f>
        <v>1.2827041264266901</v>
      </c>
      <c r="H56" s="13" t="s">
        <v>121</v>
      </c>
      <c r="I56" s="89">
        <v>1.89</v>
      </c>
      <c r="J56" s="6">
        <f>I56*B$43</f>
        <v>0.94499999999999995</v>
      </c>
      <c r="K56" s="16">
        <v>0.8</v>
      </c>
      <c r="L56" s="16">
        <f>B105</f>
        <v>0.25</v>
      </c>
      <c r="M56" s="16">
        <v>3.7</v>
      </c>
      <c r="N56" s="94">
        <v>0.95</v>
      </c>
      <c r="O56" s="14">
        <f>(O14*N56)/I56</f>
        <v>91852.945599715633</v>
      </c>
      <c r="P56" s="98">
        <f>20%</f>
        <v>0.2</v>
      </c>
      <c r="Q56" s="7">
        <f t="shared" si="9"/>
        <v>1530.8824266619274</v>
      </c>
      <c r="R56" s="6">
        <f t="shared" si="10"/>
        <v>39802.94309321011</v>
      </c>
      <c r="S56" s="14">
        <f t="shared" si="11"/>
        <v>7526.8385977544749</v>
      </c>
      <c r="T56" s="15">
        <f t="shared" si="14"/>
        <v>0</v>
      </c>
      <c r="U56" s="15">
        <f t="shared" si="15"/>
        <v>0</v>
      </c>
      <c r="V56" s="87"/>
      <c r="W56" s="87">
        <f t="shared" si="16"/>
        <v>0</v>
      </c>
      <c r="X56" s="87"/>
      <c r="Y56" s="3"/>
      <c r="Z56" s="3"/>
      <c r="AA56" s="3"/>
      <c r="AB56" s="70">
        <f>O56*L56</f>
        <v>22963.236399928908</v>
      </c>
      <c r="AC56" s="3"/>
      <c r="AD56" s="3"/>
      <c r="AE56" s="3"/>
    </row>
    <row r="57" spans="1:31">
      <c r="A57" s="86" t="s">
        <v>317</v>
      </c>
      <c r="B57" s="9"/>
      <c r="C57" s="15"/>
      <c r="D57" s="15"/>
      <c r="E57" s="15"/>
      <c r="F57" s="14"/>
      <c r="G57" s="83"/>
      <c r="H57" s="83"/>
      <c r="I57" s="10"/>
      <c r="J57" s="9"/>
      <c r="K57" s="9"/>
      <c r="L57" s="9"/>
      <c r="M57" s="9"/>
      <c r="N57" s="83"/>
      <c r="O57" s="14"/>
      <c r="P57" s="109"/>
      <c r="Q57" s="7">
        <f t="shared" si="9"/>
        <v>0</v>
      </c>
      <c r="R57" s="6">
        <f t="shared" si="10"/>
        <v>0</v>
      </c>
      <c r="S57" s="14">
        <f t="shared" si="11"/>
        <v>0</v>
      </c>
      <c r="T57" s="15">
        <f t="shared" si="14"/>
        <v>97848.901770808181</v>
      </c>
      <c r="U57" s="15">
        <f t="shared" si="15"/>
        <v>1651822.1383682196</v>
      </c>
      <c r="V57" s="87">
        <f>O56*D56</f>
        <v>523102.52519038058</v>
      </c>
      <c r="W57" s="87">
        <f t="shared" si="16"/>
        <v>1128719.613177839</v>
      </c>
      <c r="X57" s="87"/>
      <c r="Y57" s="3"/>
      <c r="Z57" s="3"/>
      <c r="AA57" s="3"/>
      <c r="AB57" s="70"/>
      <c r="AC57" s="3"/>
      <c r="AD57" s="3"/>
      <c r="AE57" s="3"/>
    </row>
    <row r="58" spans="1:31">
      <c r="A58" s="3" t="s">
        <v>314</v>
      </c>
      <c r="B58" s="16">
        <v>20</v>
      </c>
      <c r="C58" s="6">
        <f>B58/2</f>
        <v>10</v>
      </c>
      <c r="D58" s="15">
        <f t="shared" ref="D58:D59" si="17">SUM(J58:L58)</f>
        <v>2</v>
      </c>
      <c r="E58" s="15">
        <f t="shared" ref="E58:E59" si="18">B58-D58</f>
        <v>18</v>
      </c>
      <c r="F58" s="14">
        <f t="shared" ref="F58:F59" si="19">C58-D58</f>
        <v>8</v>
      </c>
      <c r="G58" s="13">
        <f t="shared" ref="G58:G59" si="20">F58/D58</f>
        <v>4</v>
      </c>
      <c r="H58" s="13" t="s">
        <v>127</v>
      </c>
      <c r="I58" s="90">
        <v>5</v>
      </c>
      <c r="J58" s="6">
        <f>I58*B45</f>
        <v>1.25</v>
      </c>
      <c r="K58" s="91">
        <f>B105</f>
        <v>0.25</v>
      </c>
      <c r="L58" s="16">
        <f t="shared" ref="L58:L59" si="21">B76</f>
        <v>0.5</v>
      </c>
      <c r="M58" s="16">
        <v>0</v>
      </c>
      <c r="N58" s="95">
        <v>0.05</v>
      </c>
      <c r="O58" s="12">
        <f>(I$5*N58)/I58</f>
        <v>40560</v>
      </c>
      <c r="P58" s="98">
        <f>20%</f>
        <v>0.2</v>
      </c>
      <c r="Q58" s="7">
        <f t="shared" si="9"/>
        <v>676</v>
      </c>
      <c r="R58" s="6">
        <f t="shared" si="10"/>
        <v>13520</v>
      </c>
      <c r="S58" s="14">
        <f t="shared" si="11"/>
        <v>3323.6666666666665</v>
      </c>
      <c r="T58" s="15">
        <f t="shared" si="14"/>
        <v>0</v>
      </c>
      <c r="U58" s="15">
        <f t="shared" si="15"/>
        <v>0</v>
      </c>
      <c r="V58" s="87"/>
      <c r="W58" s="87">
        <f t="shared" si="16"/>
        <v>0</v>
      </c>
      <c r="X58" s="87"/>
      <c r="Y58" s="3"/>
      <c r="Z58" s="3"/>
      <c r="AA58" s="3"/>
      <c r="AB58" s="70">
        <f>O58*L58</f>
        <v>20280</v>
      </c>
      <c r="AC58" s="3"/>
      <c r="AD58" s="3"/>
      <c r="AE58" s="3"/>
    </row>
    <row r="59" spans="1:31">
      <c r="A59" s="3" t="s">
        <v>313</v>
      </c>
      <c r="B59" s="16">
        <v>70</v>
      </c>
      <c r="C59" s="6">
        <f>B59/2</f>
        <v>35</v>
      </c>
      <c r="D59" s="15">
        <f t="shared" si="17"/>
        <v>12.7</v>
      </c>
      <c r="E59" s="15">
        <f t="shared" si="18"/>
        <v>57.3</v>
      </c>
      <c r="F59" s="14">
        <f t="shared" si="19"/>
        <v>22.3</v>
      </c>
      <c r="G59" s="13">
        <f t="shared" si="20"/>
        <v>1.7559055118110238</v>
      </c>
      <c r="H59" s="13" t="s">
        <v>127</v>
      </c>
      <c r="I59" s="90">
        <v>50</v>
      </c>
      <c r="J59" s="6">
        <f>I59*B46</f>
        <v>10</v>
      </c>
      <c r="K59" s="91">
        <v>1</v>
      </c>
      <c r="L59" s="16">
        <f t="shared" si="21"/>
        <v>1.7</v>
      </c>
      <c r="M59" s="16">
        <v>0</v>
      </c>
      <c r="N59" s="95">
        <v>0.05</v>
      </c>
      <c r="O59" s="12">
        <f>(I$5*N59)/I59</f>
        <v>4056</v>
      </c>
      <c r="P59" s="98">
        <f>20%</f>
        <v>0.2</v>
      </c>
      <c r="Q59" s="7">
        <f t="shared" si="9"/>
        <v>67.600000000000009</v>
      </c>
      <c r="R59" s="6">
        <f t="shared" si="10"/>
        <v>4732.0000000000009</v>
      </c>
      <c r="S59" s="14">
        <f t="shared" si="11"/>
        <v>332.36666666666667</v>
      </c>
      <c r="T59" s="15">
        <f t="shared" si="14"/>
        <v>33236.666666666664</v>
      </c>
      <c r="U59" s="15">
        <f t="shared" si="15"/>
        <v>561080</v>
      </c>
      <c r="V59" s="87">
        <f t="shared" ref="V59:V60" si="22">O58*D58</f>
        <v>81120</v>
      </c>
      <c r="W59" s="87">
        <f t="shared" si="16"/>
        <v>479960</v>
      </c>
      <c r="X59" s="87"/>
      <c r="Y59" s="3"/>
      <c r="Z59" s="3"/>
      <c r="AA59" s="3"/>
      <c r="AB59" s="70">
        <f>O59*L59</f>
        <v>6895.2</v>
      </c>
      <c r="AC59" s="3"/>
      <c r="AD59" s="3"/>
      <c r="AE59" s="3"/>
    </row>
    <row r="60" spans="1:31">
      <c r="A60" s="3" t="s">
        <v>128</v>
      </c>
      <c r="B60" s="16">
        <v>35</v>
      </c>
      <c r="C60" s="6">
        <f>B60/2</f>
        <v>17.5</v>
      </c>
      <c r="D60" s="15">
        <f>SUM(J60:L60)</f>
        <v>14.3</v>
      </c>
      <c r="E60" s="15">
        <f>B60-D60</f>
        <v>20.7</v>
      </c>
      <c r="F60" s="14">
        <f>C60-D60</f>
        <v>3.1999999999999993</v>
      </c>
      <c r="G60" s="13">
        <f>F60/D60</f>
        <v>0.22377622377622372</v>
      </c>
      <c r="H60" s="3" t="s">
        <v>127</v>
      </c>
      <c r="I60" s="90">
        <v>20</v>
      </c>
      <c r="J60" s="6">
        <f>I60*B47</f>
        <v>13</v>
      </c>
      <c r="K60" s="91">
        <f>B107</f>
        <v>0.5</v>
      </c>
      <c r="L60" s="16">
        <f>B78</f>
        <v>0.8</v>
      </c>
      <c r="M60" s="16">
        <f>I60*B113</f>
        <v>1</v>
      </c>
      <c r="N60" s="95">
        <v>0.05</v>
      </c>
      <c r="O60" s="12">
        <f t="shared" ref="O60" si="23">(I$5*N60)/I60</f>
        <v>10140</v>
      </c>
      <c r="P60" s="98">
        <f>20%</f>
        <v>0.2</v>
      </c>
      <c r="Q60" s="7">
        <f t="shared" si="9"/>
        <v>169</v>
      </c>
      <c r="R60" s="6">
        <f t="shared" si="10"/>
        <v>5915</v>
      </c>
      <c r="S60" s="14">
        <f t="shared" si="11"/>
        <v>830.91666666666663</v>
      </c>
      <c r="T60" s="15">
        <f t="shared" si="14"/>
        <v>11632.833333333334</v>
      </c>
      <c r="U60" s="15">
        <f t="shared" si="15"/>
        <v>196378.00000000003</v>
      </c>
      <c r="V60" s="87">
        <f t="shared" si="22"/>
        <v>51511.199999999997</v>
      </c>
      <c r="W60" s="87">
        <f t="shared" si="16"/>
        <v>144866.80000000005</v>
      </c>
      <c r="X60" s="87"/>
      <c r="Y60" s="3"/>
      <c r="Z60" s="3"/>
      <c r="AA60" s="3"/>
      <c r="AB60" s="70">
        <f>O60*L60</f>
        <v>8112</v>
      </c>
      <c r="AC60" s="3"/>
      <c r="AD60" s="3"/>
      <c r="AE60" s="3"/>
    </row>
    <row r="61" spans="1:31">
      <c r="A61" s="86" t="s">
        <v>291</v>
      </c>
      <c r="B61" s="9"/>
      <c r="C61" s="6"/>
      <c r="D61" s="15"/>
      <c r="E61" s="15"/>
      <c r="F61" s="14"/>
      <c r="G61" s="13"/>
      <c r="I61" s="19"/>
      <c r="J61" s="9"/>
      <c r="K61" s="15"/>
      <c r="L61" s="9"/>
      <c r="M61" s="9"/>
      <c r="N61" s="28"/>
      <c r="O61" s="12"/>
      <c r="P61" s="109"/>
      <c r="Q61" s="7">
        <f t="shared" si="9"/>
        <v>0</v>
      </c>
      <c r="R61" s="6">
        <f t="shared" si="10"/>
        <v>0</v>
      </c>
      <c r="S61" s="14">
        <f t="shared" si="11"/>
        <v>0</v>
      </c>
      <c r="T61" s="15">
        <f t="shared" si="14"/>
        <v>14541.041666666666</v>
      </c>
      <c r="U61" s="15">
        <f t="shared" si="15"/>
        <v>245472.49999999997</v>
      </c>
      <c r="V61" s="87">
        <f>O60*D60</f>
        <v>145002</v>
      </c>
      <c r="W61" s="87">
        <f t="shared" si="16"/>
        <v>100470.49999999997</v>
      </c>
      <c r="X61" s="87"/>
      <c r="Y61" s="3"/>
      <c r="Z61" s="3"/>
      <c r="AA61" s="3"/>
      <c r="AB61" s="70"/>
      <c r="AC61" s="3"/>
      <c r="AD61" s="3"/>
      <c r="AE61" s="3"/>
    </row>
    <row r="62" spans="1:31">
      <c r="A62" s="3" t="s">
        <v>302</v>
      </c>
      <c r="B62" s="171">
        <v>20</v>
      </c>
      <c r="C62" s="9">
        <f>B62/2</f>
        <v>10</v>
      </c>
      <c r="D62" s="15">
        <f>SUM(J62:M62)</f>
        <v>7.5</v>
      </c>
      <c r="E62" s="15">
        <f>B62-D62</f>
        <v>12.5</v>
      </c>
      <c r="F62" s="14">
        <f>C62-D62</f>
        <v>2.5</v>
      </c>
      <c r="G62" s="83">
        <f>F62/D62</f>
        <v>0.33333333333333331</v>
      </c>
      <c r="H62" s="3" t="s">
        <v>292</v>
      </c>
      <c r="I62" s="90">
        <v>20</v>
      </c>
      <c r="J62" s="9">
        <f>I62*B45</f>
        <v>5</v>
      </c>
      <c r="K62" s="16">
        <v>1</v>
      </c>
      <c r="L62" s="16">
        <v>0.5</v>
      </c>
      <c r="M62" s="16">
        <f>B113*I62</f>
        <v>1</v>
      </c>
      <c r="N62" s="95">
        <v>1</v>
      </c>
      <c r="O62" s="12">
        <f>(K16*N62)/I62</f>
        <v>20961.240310077519</v>
      </c>
      <c r="P62" s="98">
        <v>0.6</v>
      </c>
      <c r="Q62" s="7">
        <f t="shared" si="9"/>
        <v>1048.062015503876</v>
      </c>
      <c r="R62" s="6">
        <f t="shared" si="10"/>
        <v>20961.240310077519</v>
      </c>
      <c r="S62" s="14">
        <f t="shared" si="11"/>
        <v>1659.4315245478035</v>
      </c>
      <c r="T62" s="15">
        <f t="shared" si="14"/>
        <v>0</v>
      </c>
      <c r="U62" s="15">
        <f t="shared" si="15"/>
        <v>0</v>
      </c>
      <c r="V62" s="87"/>
      <c r="W62" s="87">
        <f t="shared" si="16"/>
        <v>0</v>
      </c>
      <c r="X62" s="87"/>
      <c r="Y62" s="3"/>
      <c r="Z62" s="3"/>
      <c r="AA62" s="3"/>
      <c r="AB62" s="70">
        <f>O62*L62</f>
        <v>10480.62015503876</v>
      </c>
      <c r="AC62" s="3"/>
      <c r="AD62" s="3"/>
      <c r="AE62" s="3"/>
    </row>
    <row r="63" spans="1:31">
      <c r="A63" s="3" t="s">
        <v>303</v>
      </c>
      <c r="B63" s="171">
        <v>40</v>
      </c>
      <c r="C63" s="9">
        <f>B63/2</f>
        <v>20</v>
      </c>
      <c r="D63" s="15">
        <f>SUM(J63:M63)</f>
        <v>5</v>
      </c>
      <c r="E63" s="15">
        <f>B63-D63</f>
        <v>35</v>
      </c>
      <c r="F63" s="14">
        <f>C63-D63</f>
        <v>15</v>
      </c>
      <c r="G63" s="83">
        <f>F63/D63</f>
        <v>3</v>
      </c>
      <c r="H63" s="3" t="s">
        <v>250</v>
      </c>
      <c r="I63" s="90">
        <v>15</v>
      </c>
      <c r="J63" s="9">
        <f>I63*B$46</f>
        <v>3</v>
      </c>
      <c r="K63" s="16">
        <v>0.75</v>
      </c>
      <c r="L63" s="16">
        <v>0.5</v>
      </c>
      <c r="M63" s="16">
        <f>I63*B113</f>
        <v>0.75</v>
      </c>
      <c r="N63" s="95">
        <v>0.3</v>
      </c>
      <c r="O63" s="12">
        <f>(K$17*N63)/I63</f>
        <v>4622.2222222222217</v>
      </c>
      <c r="P63" s="98">
        <f>20%</f>
        <v>0.2</v>
      </c>
      <c r="Q63" s="7">
        <f t="shared" si="9"/>
        <v>77.037037037037024</v>
      </c>
      <c r="R63" s="6">
        <f t="shared" si="10"/>
        <v>3081.4814814814808</v>
      </c>
      <c r="S63" s="14">
        <f t="shared" si="11"/>
        <v>378.76543209876536</v>
      </c>
      <c r="T63" s="15">
        <f t="shared" si="14"/>
        <v>16594.315245478036</v>
      </c>
      <c r="U63" s="15">
        <f t="shared" si="15"/>
        <v>450666.66666666663</v>
      </c>
      <c r="V63" s="87">
        <f>O62*D62</f>
        <v>157209.3023255814</v>
      </c>
      <c r="W63" s="87">
        <f t="shared" si="16"/>
        <v>293457.36434108519</v>
      </c>
      <c r="X63" s="87"/>
      <c r="Y63" s="3"/>
      <c r="Z63" s="3"/>
      <c r="AA63" s="3"/>
      <c r="AB63" s="70">
        <f>O63*L63</f>
        <v>2311.1111111111109</v>
      </c>
      <c r="AC63" s="3"/>
      <c r="AD63" s="3"/>
      <c r="AE63" s="3"/>
    </row>
    <row r="64" spans="1:31">
      <c r="A64" s="86" t="s">
        <v>318</v>
      </c>
      <c r="B64" s="9"/>
      <c r="C64" s="9"/>
      <c r="D64" s="15"/>
      <c r="E64" s="15"/>
      <c r="F64" s="14"/>
      <c r="G64" s="83"/>
      <c r="I64" s="19"/>
      <c r="J64" s="9"/>
      <c r="K64" s="9"/>
      <c r="L64" s="9"/>
      <c r="M64" s="9"/>
      <c r="N64" s="28"/>
      <c r="O64" s="88"/>
      <c r="P64" s="109"/>
      <c r="Q64" s="7">
        <f t="shared" si="9"/>
        <v>0</v>
      </c>
      <c r="R64" s="6">
        <f t="shared" si="10"/>
        <v>0</v>
      </c>
      <c r="S64" s="14">
        <f t="shared" si="11"/>
        <v>0</v>
      </c>
      <c r="T64" s="15">
        <f t="shared" si="14"/>
        <v>7575.3086419753072</v>
      </c>
      <c r="U64" s="15">
        <f t="shared" si="15"/>
        <v>127881.48148148145</v>
      </c>
      <c r="V64" s="87">
        <f>O63*D63</f>
        <v>23111.111111111109</v>
      </c>
      <c r="W64" s="87">
        <f t="shared" si="16"/>
        <v>104770.37037037034</v>
      </c>
      <c r="X64" s="87"/>
      <c r="Y64" s="3"/>
      <c r="Z64" s="3"/>
      <c r="AA64" s="3"/>
      <c r="AB64" s="70"/>
      <c r="AC64" s="3"/>
      <c r="AD64" s="3"/>
      <c r="AE64" s="3"/>
    </row>
    <row r="65" spans="1:31">
      <c r="A65" s="3" t="s">
        <v>304</v>
      </c>
      <c r="B65" s="16">
        <v>13</v>
      </c>
      <c r="C65" s="9">
        <f>B65/2</f>
        <v>6.5</v>
      </c>
      <c r="D65" s="9">
        <f>SUM(J65:M65)</f>
        <v>3.101</v>
      </c>
      <c r="E65" s="15">
        <f>B65-D65</f>
        <v>9.8990000000000009</v>
      </c>
      <c r="F65" s="14">
        <f>C65-D65</f>
        <v>3.399</v>
      </c>
      <c r="G65" s="83">
        <f>F65/D65</f>
        <v>1.0960980328926153</v>
      </c>
      <c r="H65" s="12" t="s">
        <v>82</v>
      </c>
      <c r="I65" s="5">
        <v>10</v>
      </c>
      <c r="J65" s="14">
        <f>I65*B$46</f>
        <v>2</v>
      </c>
      <c r="K65" s="91">
        <v>0.6</v>
      </c>
      <c r="L65" s="16">
        <v>0.5</v>
      </c>
      <c r="M65" s="93">
        <v>1E-3</v>
      </c>
      <c r="N65" s="94">
        <v>0.3</v>
      </c>
      <c r="O65" s="12">
        <f>(K$17*N65)/I65</f>
        <v>6933.333333333333</v>
      </c>
      <c r="P65" s="98">
        <f>20%</f>
        <v>0.2</v>
      </c>
      <c r="Q65" s="7">
        <f t="shared" si="9"/>
        <v>115.55555555555556</v>
      </c>
      <c r="R65" s="6">
        <f t="shared" si="10"/>
        <v>1502.2222222222222</v>
      </c>
      <c r="S65" s="14">
        <f t="shared" si="11"/>
        <v>568.14814814814815</v>
      </c>
      <c r="T65" s="15">
        <f t="shared" si="14"/>
        <v>0</v>
      </c>
      <c r="U65" s="15">
        <f t="shared" si="15"/>
        <v>0</v>
      </c>
      <c r="V65" s="87"/>
      <c r="W65" s="87">
        <f t="shared" si="16"/>
        <v>0</v>
      </c>
      <c r="X65" s="87"/>
      <c r="Y65" s="3"/>
      <c r="Z65" s="12"/>
      <c r="AA65" s="12"/>
      <c r="AB65" s="70">
        <f>O65*L65</f>
        <v>3466.6666666666665</v>
      </c>
      <c r="AC65" s="3"/>
      <c r="AD65" s="3"/>
      <c r="AE65"/>
    </row>
    <row r="66" spans="1:31">
      <c r="A66" s="3" t="s">
        <v>305</v>
      </c>
      <c r="B66" s="16">
        <v>17</v>
      </c>
      <c r="C66" s="9">
        <f>B66/2</f>
        <v>8.5</v>
      </c>
      <c r="D66" s="9">
        <f>SUM(J66:M66)</f>
        <v>3.65</v>
      </c>
      <c r="E66" s="15">
        <f>B66-D66</f>
        <v>13.35</v>
      </c>
      <c r="F66" s="14">
        <f>C66-D66</f>
        <v>4.8499999999999996</v>
      </c>
      <c r="G66" s="83">
        <f>F66/D66</f>
        <v>1.3287671232876712</v>
      </c>
      <c r="H66" s="12" t="s">
        <v>82</v>
      </c>
      <c r="I66" s="5">
        <v>10</v>
      </c>
      <c r="J66" s="14">
        <f>I66*B$46</f>
        <v>2</v>
      </c>
      <c r="K66" s="91">
        <v>0.65</v>
      </c>
      <c r="L66" s="16">
        <v>0.5</v>
      </c>
      <c r="M66" s="93">
        <f>I66*B113</f>
        <v>0.5</v>
      </c>
      <c r="N66" s="94">
        <v>0.4</v>
      </c>
      <c r="O66" s="12">
        <f>(K$17*N66)/I66</f>
        <v>9244.4444444444453</v>
      </c>
      <c r="P66" s="98">
        <f>20%</f>
        <v>0.2</v>
      </c>
      <c r="Q66" s="7">
        <f t="shared" si="9"/>
        <v>154.0740740740741</v>
      </c>
      <c r="R66" s="6">
        <f t="shared" si="10"/>
        <v>2619.2592592592596</v>
      </c>
      <c r="S66" s="14">
        <f t="shared" si="11"/>
        <v>757.53086419753083</v>
      </c>
      <c r="T66" s="15">
        <f t="shared" si="14"/>
        <v>3692.962962962963</v>
      </c>
      <c r="U66" s="15">
        <f t="shared" si="15"/>
        <v>62342.222222222219</v>
      </c>
      <c r="V66" s="87">
        <f>O65*D65</f>
        <v>21500.266666666666</v>
      </c>
      <c r="W66" s="87">
        <f t="shared" si="16"/>
        <v>40841.955555555556</v>
      </c>
      <c r="X66" s="87"/>
      <c r="Y66" s="87"/>
      <c r="Z66" s="12"/>
      <c r="AA66" s="12"/>
      <c r="AB66" s="70">
        <f>O66*L66</f>
        <v>4622.2222222222226</v>
      </c>
      <c r="AC66" s="3"/>
      <c r="AD66" s="3"/>
      <c r="AE66"/>
    </row>
    <row r="67" spans="1:31">
      <c r="A67" s="86" t="s">
        <v>348</v>
      </c>
      <c r="B67" s="9"/>
      <c r="C67" s="9"/>
      <c r="D67" s="9"/>
      <c r="E67" s="15"/>
      <c r="F67" s="14"/>
      <c r="G67" s="83"/>
      <c r="I67" s="19"/>
      <c r="J67" s="9"/>
      <c r="K67" s="9"/>
      <c r="L67" s="9"/>
      <c r="M67" s="9"/>
      <c r="N67" s="28"/>
      <c r="O67" s="12"/>
      <c r="P67" s="84"/>
      <c r="Q67" s="7">
        <f t="shared" ref="Q67:Q70" si="24">(P67*O67)/12</f>
        <v>0</v>
      </c>
      <c r="R67" s="6">
        <f t="shared" ref="R67:R70" si="25">Q67*B67</f>
        <v>0</v>
      </c>
      <c r="S67" s="14">
        <f t="shared" ref="S67:S70" si="26">(O67-Q67)/12</f>
        <v>0</v>
      </c>
      <c r="T67" s="15">
        <f t="shared" si="14"/>
        <v>6439.0123456790125</v>
      </c>
      <c r="U67" s="15">
        <f t="shared" si="15"/>
        <v>108699.25925925927</v>
      </c>
      <c r="V67" s="87">
        <f>O66*D66</f>
        <v>33742.222222222226</v>
      </c>
      <c r="W67" s="87">
        <f t="shared" si="16"/>
        <v>74957.037037037051</v>
      </c>
      <c r="X67" s="87"/>
      <c r="Y67" s="3"/>
      <c r="Z67" s="84"/>
      <c r="AA67" s="84"/>
      <c r="AB67" s="70"/>
      <c r="AC67" s="3"/>
      <c r="AD67" s="3"/>
      <c r="AE67" s="3"/>
    </row>
    <row r="68" spans="1:31">
      <c r="A68" s="3" t="s">
        <v>345</v>
      </c>
      <c r="B68" s="16">
        <v>90</v>
      </c>
      <c r="C68" s="9">
        <f>B68/2</f>
        <v>45</v>
      </c>
      <c r="D68" s="9">
        <f>SUM(J68:M68)</f>
        <v>7.6449999999999996</v>
      </c>
      <c r="E68" s="15">
        <f>B68-D68</f>
        <v>82.355000000000004</v>
      </c>
      <c r="F68" s="14">
        <f>C68-D68</f>
        <v>37.355000000000004</v>
      </c>
      <c r="G68" s="83">
        <f>F68/D68</f>
        <v>4.8862001308044478</v>
      </c>
      <c r="H68" s="3" t="s">
        <v>0</v>
      </c>
      <c r="I68" s="111">
        <v>1.89</v>
      </c>
      <c r="J68" s="9">
        <f>I68*B43</f>
        <v>0.94499999999999995</v>
      </c>
      <c r="K68" s="16">
        <v>2</v>
      </c>
      <c r="L68" s="16">
        <v>1</v>
      </c>
      <c r="M68" s="16">
        <v>3.7</v>
      </c>
      <c r="N68" s="94">
        <v>0.05</v>
      </c>
      <c r="O68" s="12">
        <f>(O$14*N68)/I68</f>
        <v>4834.3655578797707</v>
      </c>
      <c r="P68" s="98">
        <v>0.05</v>
      </c>
      <c r="Q68" s="7">
        <f t="shared" si="24"/>
        <v>20.143189824499046</v>
      </c>
      <c r="R68" s="6">
        <f t="shared" si="25"/>
        <v>1812.8870842049141</v>
      </c>
      <c r="S68" s="14">
        <f t="shared" si="26"/>
        <v>401.18519733793931</v>
      </c>
      <c r="T68" s="15">
        <f t="shared" si="14"/>
        <v>0</v>
      </c>
      <c r="U68" s="15">
        <f t="shared" si="15"/>
        <v>0</v>
      </c>
      <c r="V68" s="87"/>
      <c r="W68" s="87">
        <f t="shared" si="16"/>
        <v>0</v>
      </c>
      <c r="X68" s="87"/>
      <c r="Y68" s="3"/>
      <c r="Z68" s="84"/>
      <c r="AA68" s="84"/>
      <c r="AB68" s="70">
        <f>O68*L68</f>
        <v>4834.3655578797707</v>
      </c>
      <c r="AC68" s="3"/>
      <c r="AD68" s="3"/>
      <c r="AE68" s="3"/>
    </row>
    <row r="69" spans="1:31">
      <c r="A69" s="3" t="s">
        <v>349</v>
      </c>
      <c r="B69" s="16">
        <v>25</v>
      </c>
      <c r="C69" s="9">
        <f>B69/2</f>
        <v>12.5</v>
      </c>
      <c r="D69" s="9">
        <f>SUM(J69:M69)</f>
        <v>7.7</v>
      </c>
      <c r="E69" s="15">
        <f>B69-D69</f>
        <v>17.3</v>
      </c>
      <c r="F69" s="14">
        <f>C69-D69</f>
        <v>4.8</v>
      </c>
      <c r="G69" s="83">
        <f>F69/D69</f>
        <v>0.62337662337662336</v>
      </c>
      <c r="H69" s="3" t="s">
        <v>0</v>
      </c>
      <c r="I69" s="111">
        <v>4</v>
      </c>
      <c r="J69" s="9">
        <f>I69*B43</f>
        <v>2</v>
      </c>
      <c r="K69" s="16">
        <v>0.5</v>
      </c>
      <c r="L69" s="16">
        <v>1.5</v>
      </c>
      <c r="M69" s="16">
        <v>3.7</v>
      </c>
      <c r="N69" s="94">
        <v>0.1</v>
      </c>
      <c r="O69" s="12">
        <f>(O$14*N69)/I69</f>
        <v>4568.4754521963832</v>
      </c>
      <c r="P69" s="98">
        <v>0.05</v>
      </c>
      <c r="Q69" s="7">
        <f t="shared" si="24"/>
        <v>19.035314384151597</v>
      </c>
      <c r="R69" s="6">
        <f t="shared" si="25"/>
        <v>475.88285960378994</v>
      </c>
      <c r="S69" s="14">
        <f t="shared" si="26"/>
        <v>379.12001148435269</v>
      </c>
      <c r="T69" s="15">
        <f t="shared" si="14"/>
        <v>18053.333880207269</v>
      </c>
      <c r="U69" s="15">
        <f t="shared" si="15"/>
        <v>238394.6515729462</v>
      </c>
      <c r="V69" s="87">
        <f>O68*D68</f>
        <v>36958.724689990842</v>
      </c>
      <c r="W69" s="87">
        <f t="shared" si="16"/>
        <v>201435.92688295536</v>
      </c>
      <c r="X69" s="87"/>
      <c r="Y69" s="3"/>
      <c r="Z69" s="84"/>
      <c r="AA69" s="84"/>
      <c r="AB69" s="70">
        <f>O69*L69</f>
        <v>6852.7131782945744</v>
      </c>
      <c r="AC69" s="3"/>
      <c r="AD69" s="3"/>
      <c r="AE69" s="3"/>
    </row>
    <row r="70" spans="1:31">
      <c r="A70" s="6" t="s">
        <v>350</v>
      </c>
      <c r="B70" s="16">
        <v>19</v>
      </c>
      <c r="C70" s="9">
        <f>B70/2</f>
        <v>9.5</v>
      </c>
      <c r="D70" s="9">
        <f>SUM(J70:M70)</f>
        <v>7.2</v>
      </c>
      <c r="E70" s="15">
        <f>B70-D70</f>
        <v>11.8</v>
      </c>
      <c r="F70" s="14">
        <f t="shared" ref="F70" si="27">C70-D70</f>
        <v>2.2999999999999998</v>
      </c>
      <c r="G70" s="83">
        <f>F70/D70</f>
        <v>0.31944444444444442</v>
      </c>
      <c r="H70" s="3" t="s">
        <v>0</v>
      </c>
      <c r="I70" s="111">
        <v>3</v>
      </c>
      <c r="J70" s="9">
        <f>I70*B43</f>
        <v>1.5</v>
      </c>
      <c r="K70" s="16">
        <v>0.5</v>
      </c>
      <c r="L70" s="16">
        <v>1.5</v>
      </c>
      <c r="M70" s="16">
        <v>3.7</v>
      </c>
      <c r="N70" s="94">
        <v>0.1</v>
      </c>
      <c r="O70" s="12">
        <f>(O$14*N70)/I70</f>
        <v>6091.3006029285107</v>
      </c>
      <c r="P70" s="98">
        <v>0.15</v>
      </c>
      <c r="Q70" s="7">
        <f t="shared" si="24"/>
        <v>76.141257536606375</v>
      </c>
      <c r="R70" s="6">
        <f t="shared" si="25"/>
        <v>1446.683893195521</v>
      </c>
      <c r="S70" s="14">
        <f t="shared" si="26"/>
        <v>501.26327878265869</v>
      </c>
      <c r="T70" s="15">
        <f t="shared" si="14"/>
        <v>4739.0001435544082</v>
      </c>
      <c r="U70" s="15">
        <f t="shared" si="15"/>
        <v>62578.59603789838</v>
      </c>
      <c r="V70" s="87">
        <f>O69*D69</f>
        <v>35177.26098191215</v>
      </c>
      <c r="W70" s="87">
        <f t="shared" si="16"/>
        <v>27401.33505598623</v>
      </c>
      <c r="X70" s="87"/>
      <c r="Y70" s="3"/>
      <c r="Z70" s="84"/>
      <c r="AA70" s="84"/>
      <c r="AB70" s="70">
        <f>O70*L70</f>
        <v>9136.9509043927665</v>
      </c>
      <c r="AC70" s="3"/>
      <c r="AD70" s="3"/>
      <c r="AE70" s="3"/>
    </row>
    <row r="71" spans="1:31">
      <c r="B71" s="9"/>
      <c r="C71" s="9"/>
      <c r="D71" s="9"/>
      <c r="E71" s="15"/>
      <c r="F71" s="14"/>
      <c r="G71" s="83"/>
      <c r="I71" s="114"/>
      <c r="J71" s="9"/>
      <c r="K71" s="9"/>
      <c r="L71" s="9"/>
      <c r="M71" s="9"/>
      <c r="N71" s="83"/>
      <c r="O71" s="12"/>
      <c r="P71" s="109"/>
      <c r="Q71" s="7"/>
      <c r="R71" s="6"/>
      <c r="S71" s="14"/>
      <c r="T71" s="15">
        <f t="shared" si="14"/>
        <v>4762.0011484352572</v>
      </c>
      <c r="U71" s="15">
        <f t="shared" si="15"/>
        <v>74504.220499569332</v>
      </c>
      <c r="V71" s="87">
        <f>O70*D70</f>
        <v>43857.364341085275</v>
      </c>
      <c r="W71" s="87">
        <f t="shared" si="16"/>
        <v>30646.856158484057</v>
      </c>
      <c r="X71" s="87"/>
      <c r="Y71" s="15"/>
      <c r="Z71" s="97"/>
      <c r="AA71" s="97"/>
      <c r="AB71" s="3"/>
      <c r="AC71" s="3"/>
      <c r="AD71" s="3"/>
      <c r="AE71" s="3"/>
    </row>
    <row r="72" spans="1:31">
      <c r="A72" s="6"/>
      <c r="B72" s="21"/>
      <c r="D72" s="14"/>
      <c r="E72" s="14"/>
      <c r="N72" s="3"/>
      <c r="O72" s="11"/>
      <c r="P72" s="3"/>
      <c r="R72" s="15">
        <f t="shared" ref="R72:T73" si="28">SUM(R52:R70)</f>
        <v>118077.46698476499</v>
      </c>
      <c r="S72" s="15"/>
      <c r="T72" s="15"/>
      <c r="U72" s="15"/>
      <c r="V72" s="87"/>
      <c r="W72" s="87"/>
      <c r="X72" s="87"/>
      <c r="Y72" s="3"/>
      <c r="Z72" s="3"/>
      <c r="AA72" s="3"/>
      <c r="AB72" s="15">
        <f>SUM(AB52:AB70)</f>
        <v>167989.53925324362</v>
      </c>
      <c r="AC72" s="3"/>
      <c r="AD72" s="3"/>
      <c r="AE72" s="3"/>
    </row>
    <row r="73" spans="1:31">
      <c r="A73" s="29" t="s">
        <v>101</v>
      </c>
      <c r="B73" s="6"/>
      <c r="C73" s="3" t="s">
        <v>115</v>
      </c>
      <c r="D73" s="3"/>
      <c r="N73" s="3"/>
      <c r="O73" s="3"/>
      <c r="P73" s="3"/>
      <c r="S73" s="3"/>
      <c r="T73" s="15">
        <f t="shared" si="28"/>
        <v>303102.48183486075</v>
      </c>
      <c r="U73" s="15">
        <f>SUM(U53:U71)</f>
        <v>5054159.3858355097</v>
      </c>
      <c r="V73" s="15">
        <f>SUM(V53:V71)</f>
        <v>1839534.010259355</v>
      </c>
      <c r="W73" s="15">
        <f>SUM(W53:W71)</f>
        <v>3214625.3755761548</v>
      </c>
      <c r="X73" s="15"/>
      <c r="Y73" s="3"/>
      <c r="Z73" s="3"/>
      <c r="AA73" s="3"/>
      <c r="AB73" s="3"/>
      <c r="AC73" s="3"/>
      <c r="AD73" s="3"/>
      <c r="AE73" s="17"/>
    </row>
    <row r="74" spans="1:31">
      <c r="A74" s="29" t="s">
        <v>306</v>
      </c>
      <c r="C74" s="3" t="s">
        <v>116</v>
      </c>
      <c r="D74" s="3" t="s">
        <v>117</v>
      </c>
      <c r="N74" s="3"/>
      <c r="O74" s="3"/>
      <c r="P74" s="3"/>
      <c r="S74" s="3"/>
      <c r="V74" s="3"/>
      <c r="W74" s="3"/>
      <c r="X74" s="3"/>
      <c r="Y74" s="11"/>
      <c r="Z74" s="3"/>
      <c r="AA74" s="3"/>
      <c r="AB74" s="3"/>
      <c r="AC74" s="17"/>
      <c r="AD74" s="3"/>
      <c r="AE74" s="3"/>
    </row>
    <row r="75" spans="1:31">
      <c r="A75" s="3" t="s">
        <v>102</v>
      </c>
      <c r="B75" s="6">
        <v>0.7</v>
      </c>
      <c r="C75" s="11">
        <f>O52</f>
        <v>47028.423772609822</v>
      </c>
      <c r="D75" s="6">
        <f>B75*C75</f>
        <v>32919.896640826875</v>
      </c>
      <c r="J75" s="7"/>
      <c r="K75" s="7"/>
      <c r="L75" s="7"/>
      <c r="M75" s="7"/>
      <c r="N75" s="7"/>
      <c r="O75" s="3"/>
      <c r="P75" s="3"/>
      <c r="S75" s="12"/>
      <c r="T75" s="17"/>
      <c r="U75" s="17"/>
      <c r="V75" s="3"/>
      <c r="W75" s="11"/>
      <c r="X75" s="3"/>
      <c r="Y75" s="11"/>
      <c r="Z75" s="11"/>
      <c r="AA75" s="3"/>
      <c r="AB75" s="3"/>
      <c r="AC75" s="17"/>
      <c r="AD75" s="3"/>
      <c r="AE75" s="3"/>
    </row>
    <row r="76" spans="1:31">
      <c r="A76" s="3" t="s">
        <v>112</v>
      </c>
      <c r="B76" s="6">
        <v>0.5</v>
      </c>
      <c r="C76" s="11">
        <f>O65</f>
        <v>6933.333333333333</v>
      </c>
      <c r="D76" s="6">
        <f>B76*C76</f>
        <v>3466.6666666666665</v>
      </c>
      <c r="J76" s="7"/>
      <c r="K76" s="7"/>
      <c r="L76" s="7"/>
      <c r="M76" s="7"/>
      <c r="N76" s="7"/>
      <c r="O76" s="3"/>
      <c r="P76" s="3"/>
      <c r="S76" s="12"/>
      <c r="V76" s="3"/>
      <c r="W76" s="11"/>
      <c r="X76" s="3"/>
      <c r="Y76" s="11"/>
      <c r="Z76" s="11"/>
      <c r="AA76" s="11"/>
      <c r="AB76" s="11"/>
      <c r="AC76" s="17"/>
      <c r="AD76" s="3"/>
      <c r="AE76" s="3"/>
    </row>
    <row r="77" spans="1:31">
      <c r="A77" s="3" t="s">
        <v>123</v>
      </c>
      <c r="B77" s="6">
        <v>1.7</v>
      </c>
      <c r="C77" s="11"/>
      <c r="J77" s="7"/>
      <c r="K77" s="7"/>
      <c r="L77" s="7"/>
      <c r="M77" s="7"/>
      <c r="N77" s="7"/>
      <c r="O77" s="3"/>
      <c r="P77" s="3"/>
      <c r="S77" s="12"/>
      <c r="V77" s="3"/>
      <c r="W77" s="11"/>
      <c r="Y77" s="11"/>
      <c r="Z77" s="11"/>
      <c r="AA77" s="11"/>
      <c r="AB77" s="11"/>
      <c r="AC77" s="17"/>
      <c r="AD77" s="3"/>
      <c r="AE77" s="3"/>
    </row>
    <row r="78" spans="1:31">
      <c r="A78" s="3" t="s">
        <v>129</v>
      </c>
      <c r="B78" s="6">
        <v>0.8</v>
      </c>
      <c r="C78" s="11"/>
      <c r="J78" s="7"/>
      <c r="K78" s="7"/>
      <c r="L78" s="7"/>
      <c r="M78" s="7"/>
      <c r="N78" s="7"/>
      <c r="O78" s="3"/>
      <c r="P78" s="3"/>
      <c r="R78" s="7"/>
      <c r="S78" s="12"/>
      <c r="V78" s="3"/>
      <c r="W78" s="11"/>
      <c r="Y78" s="11"/>
      <c r="Z78" s="11"/>
      <c r="AA78" s="11"/>
      <c r="AB78" s="11"/>
      <c r="AC78" s="17"/>
      <c r="AD78" s="3"/>
      <c r="AE78" s="3"/>
    </row>
    <row r="79" spans="1:31">
      <c r="A79" s="3" t="s">
        <v>65</v>
      </c>
      <c r="B79" s="6">
        <v>10</v>
      </c>
      <c r="C79" s="11"/>
      <c r="J79" s="7"/>
      <c r="K79" s="7"/>
      <c r="L79" s="7"/>
      <c r="M79" s="7"/>
      <c r="N79" s="7"/>
      <c r="O79" s="3"/>
      <c r="P79" s="3"/>
      <c r="R79" s="7"/>
      <c r="S79" s="12"/>
      <c r="T79" s="6"/>
      <c r="U79" s="6"/>
      <c r="V79" s="33"/>
      <c r="W79" s="11"/>
      <c r="Y79" s="11"/>
      <c r="Z79" s="11"/>
      <c r="AA79" s="11"/>
      <c r="AB79" s="11"/>
      <c r="AC79" s="11"/>
      <c r="AE79" s="3"/>
    </row>
    <row r="80" spans="1:31">
      <c r="C80" s="6" t="s">
        <v>118</v>
      </c>
      <c r="D80" s="6">
        <f>SUM(D75:D76)</f>
        <v>36386.563307493539</v>
      </c>
      <c r="J80" s="7"/>
      <c r="K80" s="7"/>
      <c r="L80" s="7"/>
      <c r="M80" s="7"/>
      <c r="N80" s="7"/>
      <c r="O80" s="3"/>
      <c r="P80" s="3"/>
      <c r="R80" s="7"/>
      <c r="S80" s="12"/>
      <c r="T80" s="6"/>
      <c r="U80" s="6"/>
      <c r="V80" s="33"/>
      <c r="W80" s="11"/>
      <c r="Y80" s="11"/>
      <c r="Z80" s="11"/>
      <c r="AA80" s="11"/>
      <c r="AB80" s="11"/>
      <c r="AC80" s="11"/>
      <c r="AE80" s="3"/>
    </row>
    <row r="81" spans="1:31">
      <c r="C81" s="6"/>
      <c r="D81" s="14"/>
      <c r="J81" s="7"/>
      <c r="K81" s="7"/>
      <c r="L81" s="7"/>
      <c r="M81" s="7"/>
      <c r="N81" s="7"/>
      <c r="O81" s="3"/>
      <c r="P81" s="3"/>
      <c r="R81" s="7"/>
      <c r="S81" s="12"/>
      <c r="T81" s="6"/>
      <c r="U81" s="6"/>
      <c r="V81" s="33"/>
      <c r="W81" s="33"/>
      <c r="Y81" s="11"/>
      <c r="Z81" s="11"/>
      <c r="AA81" s="11"/>
      <c r="AB81" s="11"/>
      <c r="AC81" s="11"/>
      <c r="AE81" s="3"/>
    </row>
    <row r="82" spans="1:31">
      <c r="A82" s="8" t="s">
        <v>103</v>
      </c>
      <c r="C82" s="6" t="s">
        <v>119</v>
      </c>
      <c r="D82" s="3"/>
      <c r="J82" s="7"/>
      <c r="K82" s="7"/>
      <c r="L82" s="7"/>
      <c r="M82" s="7"/>
      <c r="N82" s="7"/>
      <c r="O82" s="3"/>
      <c r="P82" s="3"/>
      <c r="R82" s="7"/>
      <c r="S82" s="12"/>
      <c r="T82" s="6"/>
      <c r="U82" s="6"/>
      <c r="V82" s="33"/>
      <c r="W82" s="33"/>
      <c r="Y82" s="11"/>
      <c r="Z82" s="11"/>
      <c r="AA82" s="11"/>
      <c r="AB82" s="11"/>
      <c r="AC82" s="11"/>
      <c r="AE82" s="3"/>
    </row>
    <row r="83" spans="1:31">
      <c r="A83" s="3" t="s">
        <v>98</v>
      </c>
      <c r="C83" s="6"/>
      <c r="D83" s="3"/>
      <c r="N83" s="7"/>
      <c r="O83" s="3"/>
      <c r="P83" s="3"/>
      <c r="R83" s="7"/>
      <c r="S83" s="12"/>
      <c r="T83" s="6"/>
      <c r="U83" s="6"/>
      <c r="V83" s="33"/>
      <c r="W83" s="33"/>
      <c r="Y83" s="11"/>
      <c r="Z83" s="11"/>
      <c r="AA83" s="11"/>
      <c r="AB83" s="11"/>
      <c r="AC83" s="11"/>
      <c r="AE83" s="3"/>
    </row>
    <row r="84" spans="1:31">
      <c r="A84" s="3" t="s">
        <v>94</v>
      </c>
      <c r="B84" s="3">
        <v>60</v>
      </c>
      <c r="C84" s="6"/>
      <c r="D84" s="3"/>
      <c r="N84" s="7"/>
      <c r="O84" s="3"/>
      <c r="P84" s="3"/>
      <c r="R84" s="7"/>
      <c r="S84" s="12"/>
      <c r="T84" s="6"/>
      <c r="U84" s="6"/>
      <c r="V84" s="33"/>
      <c r="W84" s="33"/>
      <c r="Y84" s="11"/>
      <c r="Z84" s="11"/>
      <c r="AA84" s="11"/>
      <c r="AB84" s="11"/>
      <c r="AC84" s="11"/>
      <c r="AE84" s="3"/>
    </row>
    <row r="85" spans="1:31">
      <c r="A85" s="3" t="s">
        <v>95</v>
      </c>
      <c r="B85" s="3">
        <v>1</v>
      </c>
      <c r="C85" s="6"/>
      <c r="K85" s="3">
        <v>72000</v>
      </c>
      <c r="N85" s="7"/>
      <c r="O85" s="3"/>
      <c r="P85" s="3"/>
      <c r="R85" s="7"/>
      <c r="S85" s="12"/>
      <c r="T85" s="6"/>
      <c r="U85" s="6"/>
      <c r="V85" s="33"/>
      <c r="W85" s="33"/>
      <c r="AA85" s="11"/>
      <c r="AB85" s="11"/>
      <c r="AC85" s="11"/>
      <c r="AE85" s="3"/>
    </row>
    <row r="86" spans="1:31">
      <c r="A86" s="3" t="s">
        <v>97</v>
      </c>
      <c r="B86" s="3">
        <v>16</v>
      </c>
      <c r="C86" s="6"/>
      <c r="K86" s="3">
        <f>K85/24</f>
        <v>3000</v>
      </c>
      <c r="N86" s="7"/>
      <c r="O86" s="3"/>
      <c r="P86" s="3"/>
      <c r="R86" s="7"/>
      <c r="S86" s="12"/>
      <c r="T86" s="6"/>
      <c r="U86" s="6"/>
      <c r="V86" s="33"/>
      <c r="W86" s="33"/>
      <c r="AA86" s="11"/>
      <c r="AB86" s="11"/>
      <c r="AC86" s="11"/>
      <c r="AE86" s="3"/>
    </row>
    <row r="87" spans="1:31">
      <c r="B87" s="6">
        <f>(B85*B86)/B84</f>
        <v>0.26666666666666666</v>
      </c>
      <c r="C87" s="6"/>
      <c r="R87" s="7"/>
      <c r="S87" s="12"/>
      <c r="T87" s="6"/>
      <c r="U87" s="6"/>
      <c r="V87" s="33"/>
      <c r="W87" s="33"/>
      <c r="AB87" s="11"/>
      <c r="AC87" s="11"/>
      <c r="AE87" s="3"/>
    </row>
    <row r="88" spans="1:31">
      <c r="C88" s="6"/>
      <c r="R88" s="7"/>
      <c r="S88" s="12"/>
      <c r="T88" s="6"/>
      <c r="U88" s="6"/>
      <c r="V88" s="33"/>
      <c r="AE88" s="3"/>
    </row>
    <row r="89" spans="1:31">
      <c r="A89" s="8" t="s">
        <v>307</v>
      </c>
      <c r="C89" s="6"/>
      <c r="J89" s="15"/>
      <c r="K89" s="15"/>
      <c r="L89" s="15" t="s">
        <v>392</v>
      </c>
      <c r="M89" s="15" t="s">
        <v>394</v>
      </c>
      <c r="T89" s="6"/>
      <c r="U89" s="6"/>
      <c r="V89" s="33"/>
      <c r="AE89" s="3"/>
    </row>
    <row r="90" spans="1:31">
      <c r="A90" s="3" t="s">
        <v>7</v>
      </c>
      <c r="B90" s="3">
        <v>0.3</v>
      </c>
      <c r="C90" s="6"/>
      <c r="K90" s="15"/>
      <c r="L90" s="15" t="s">
        <v>393</v>
      </c>
      <c r="M90" s="15"/>
    </row>
    <row r="91" spans="1:31">
      <c r="C91" s="6"/>
      <c r="K91" s="15"/>
      <c r="L91" s="15"/>
      <c r="M91" s="15"/>
    </row>
    <row r="92" spans="1:31">
      <c r="A92" s="8" t="s">
        <v>104</v>
      </c>
      <c r="C92" s="6"/>
      <c r="K92" s="15"/>
      <c r="L92" s="15"/>
      <c r="M92" s="15"/>
    </row>
    <row r="93" spans="1:31">
      <c r="A93" s="3" t="s">
        <v>105</v>
      </c>
      <c r="B93" s="3">
        <v>30</v>
      </c>
      <c r="C93" s="6"/>
    </row>
    <row r="94" spans="1:31">
      <c r="A94" s="3" t="s">
        <v>106</v>
      </c>
      <c r="B94" s="3">
        <v>2</v>
      </c>
      <c r="C94" s="6"/>
      <c r="L94" s="3" t="s">
        <v>395</v>
      </c>
    </row>
    <row r="95" spans="1:31">
      <c r="A95" s="3" t="s">
        <v>96</v>
      </c>
      <c r="B95" s="3">
        <f>16</f>
        <v>16</v>
      </c>
      <c r="C95" s="6"/>
    </row>
    <row r="96" spans="1:31">
      <c r="A96" s="3" t="s">
        <v>7</v>
      </c>
      <c r="B96" s="6">
        <f>(B94*B95)/B93</f>
        <v>1.0666666666666667</v>
      </c>
      <c r="C96" s="6">
        <f>B96*C75</f>
        <v>50163.652024117146</v>
      </c>
      <c r="L96" s="3" t="s">
        <v>396</v>
      </c>
    </row>
    <row r="97" spans="1:12">
      <c r="B97" s="6"/>
      <c r="C97" s="6"/>
    </row>
    <row r="98" spans="1:12">
      <c r="B98" s="6"/>
      <c r="C98" s="6"/>
    </row>
    <row r="99" spans="1:12">
      <c r="A99" s="8" t="s">
        <v>113</v>
      </c>
      <c r="B99" s="6">
        <v>0.5</v>
      </c>
      <c r="C99" s="6">
        <f>B99*C76</f>
        <v>3466.6666666666665</v>
      </c>
      <c r="L99" s="3" t="s">
        <v>397</v>
      </c>
    </row>
    <row r="100" spans="1:12">
      <c r="B100" s="6"/>
      <c r="C100" s="6"/>
    </row>
    <row r="101" spans="1:12">
      <c r="A101" s="8" t="s">
        <v>122</v>
      </c>
      <c r="B101" s="6"/>
      <c r="C101" s="6"/>
      <c r="L101" s="3" t="s">
        <v>398</v>
      </c>
    </row>
    <row r="102" spans="1:12">
      <c r="A102" s="3" t="s">
        <v>124</v>
      </c>
      <c r="B102" s="3">
        <v>60</v>
      </c>
    </row>
    <row r="103" spans="1:12">
      <c r="A103" s="3" t="s">
        <v>125</v>
      </c>
      <c r="B103" s="3">
        <v>1</v>
      </c>
    </row>
    <row r="104" spans="1:12">
      <c r="A104" s="3" t="s">
        <v>126</v>
      </c>
      <c r="B104" s="3">
        <v>15</v>
      </c>
    </row>
    <row r="105" spans="1:12">
      <c r="B105" s="6">
        <f>(B104*B103)/B102</f>
        <v>0.25</v>
      </c>
    </row>
    <row r="106" spans="1:12">
      <c r="B106" s="6"/>
    </row>
    <row r="107" spans="1:12">
      <c r="A107" s="3" t="s">
        <v>130</v>
      </c>
      <c r="B107" s="6">
        <v>0.5</v>
      </c>
    </row>
    <row r="108" spans="1:12">
      <c r="B108" s="6"/>
    </row>
    <row r="109" spans="1:12">
      <c r="A109" s="8" t="s">
        <v>107</v>
      </c>
    </row>
    <row r="110" spans="1:12">
      <c r="A110" s="3" t="s">
        <v>108</v>
      </c>
    </row>
    <row r="111" spans="1:12">
      <c r="A111" s="3" t="s">
        <v>6</v>
      </c>
      <c r="B111" s="3">
        <v>100</v>
      </c>
    </row>
    <row r="112" spans="1:12">
      <c r="A112" s="3" t="s">
        <v>109</v>
      </c>
      <c r="B112" s="3">
        <v>2000</v>
      </c>
    </row>
    <row r="113" spans="1:31">
      <c r="A113" s="3" t="s">
        <v>110</v>
      </c>
      <c r="B113" s="3">
        <f>B111/B112</f>
        <v>0.05</v>
      </c>
    </row>
    <row r="115" spans="1:31">
      <c r="A115" s="8" t="s">
        <v>136</v>
      </c>
    </row>
    <row r="116" spans="1:31">
      <c r="A116" s="3" t="s">
        <v>141</v>
      </c>
      <c r="C116" s="3" t="s">
        <v>139</v>
      </c>
      <c r="D116" s="6" t="s">
        <v>140</v>
      </c>
    </row>
    <row r="117" spans="1:31">
      <c r="A117" s="3" t="s">
        <v>137</v>
      </c>
      <c r="B117" s="3">
        <v>1</v>
      </c>
      <c r="C117" s="3">
        <v>1</v>
      </c>
      <c r="D117" s="6">
        <v>200</v>
      </c>
    </row>
    <row r="118" spans="1:31">
      <c r="A118" s="3" t="s">
        <v>76</v>
      </c>
      <c r="B118" s="3">
        <v>16000</v>
      </c>
    </row>
    <row r="119" spans="1:31">
      <c r="A119" s="3" t="s">
        <v>138</v>
      </c>
      <c r="B119" s="15">
        <f>D117/B118</f>
        <v>1.2500000000000001E-2</v>
      </c>
      <c r="Y119" s="19"/>
      <c r="Z119" s="19"/>
    </row>
    <row r="120" spans="1:31">
      <c r="B120" s="15"/>
      <c r="C120" s="15"/>
      <c r="D120" s="7"/>
      <c r="F120" s="15"/>
      <c r="G120" s="15"/>
      <c r="H120" s="15"/>
      <c r="I120" s="15"/>
      <c r="J120" s="7"/>
      <c r="K120" s="7"/>
      <c r="L120" s="7"/>
      <c r="M120" s="7"/>
      <c r="N120" s="7"/>
      <c r="O120" s="3"/>
      <c r="P120" s="3"/>
      <c r="Q120" s="15"/>
      <c r="Y120" s="11"/>
      <c r="Z120" s="11"/>
      <c r="AA120" s="19"/>
      <c r="AB120" s="19"/>
      <c r="AC120" s="19"/>
    </row>
    <row r="121" spans="1:31">
      <c r="A121" s="8" t="s">
        <v>28</v>
      </c>
      <c r="B121" s="4"/>
      <c r="C121" s="6" t="s">
        <v>24</v>
      </c>
      <c r="L121" s="7"/>
      <c r="M121" s="7"/>
      <c r="N121" s="7"/>
      <c r="O121" s="3"/>
      <c r="P121" s="3"/>
      <c r="Y121" s="11"/>
      <c r="Z121" s="11"/>
      <c r="AA121" s="11"/>
      <c r="AB121" s="11"/>
      <c r="AC121" s="11"/>
    </row>
    <row r="122" spans="1:31">
      <c r="A122" s="3" t="s">
        <v>23</v>
      </c>
      <c r="B122" s="17">
        <f>C122*C124</f>
        <v>128</v>
      </c>
      <c r="C122" s="21">
        <v>40</v>
      </c>
      <c r="L122" s="7"/>
      <c r="M122" s="7"/>
      <c r="N122" s="7"/>
      <c r="O122" s="3"/>
      <c r="P122" s="3"/>
      <c r="W122" s="34"/>
      <c r="X122" s="19"/>
      <c r="Y122" s="11"/>
      <c r="Z122" s="11"/>
      <c r="AA122" s="11"/>
      <c r="AB122" s="11"/>
      <c r="AC122" s="11"/>
    </row>
    <row r="123" spans="1:31">
      <c r="A123" s="3" t="s">
        <v>20</v>
      </c>
      <c r="B123" s="17">
        <v>200</v>
      </c>
      <c r="C123" s="3" t="s">
        <v>25</v>
      </c>
      <c r="L123" s="7"/>
      <c r="M123" s="7"/>
      <c r="N123" s="7"/>
      <c r="O123" s="3"/>
      <c r="P123" s="3"/>
      <c r="R123" s="7"/>
      <c r="S123" s="12"/>
      <c r="W123" s="33"/>
      <c r="Y123" s="11"/>
      <c r="Z123" s="11"/>
      <c r="AA123" s="11"/>
      <c r="AB123" s="11"/>
      <c r="AC123" s="11"/>
      <c r="AE123" s="3"/>
    </row>
    <row r="124" spans="1:31">
      <c r="A124" s="3" t="s">
        <v>21</v>
      </c>
      <c r="B124" s="17">
        <v>100</v>
      </c>
      <c r="C124" s="6">
        <v>3.2</v>
      </c>
      <c r="L124" s="7"/>
      <c r="M124" s="7"/>
      <c r="N124" s="7"/>
      <c r="O124" s="3"/>
      <c r="P124" s="3"/>
      <c r="R124" s="7"/>
      <c r="S124" s="12"/>
      <c r="T124" s="6"/>
      <c r="U124" s="6"/>
      <c r="V124" s="34"/>
      <c r="W124" s="33"/>
      <c r="Y124" s="11"/>
      <c r="Z124" s="11"/>
      <c r="AA124" s="11"/>
      <c r="AB124" s="11"/>
      <c r="AC124" s="11"/>
      <c r="AE124" s="3"/>
    </row>
    <row r="125" spans="1:31">
      <c r="A125" s="3" t="s">
        <v>45</v>
      </c>
      <c r="B125" s="17">
        <v>130</v>
      </c>
      <c r="C125" s="6"/>
      <c r="L125" s="7"/>
      <c r="M125" s="7"/>
      <c r="N125" s="7"/>
      <c r="O125" s="3"/>
      <c r="P125" s="3"/>
      <c r="R125" s="7"/>
      <c r="S125" s="12"/>
      <c r="T125" s="6"/>
      <c r="U125" s="6"/>
      <c r="V125" s="33"/>
      <c r="W125" s="33"/>
      <c r="Y125" s="11"/>
      <c r="Z125" s="11"/>
      <c r="AA125" s="11"/>
      <c r="AB125" s="11"/>
      <c r="AC125" s="11"/>
      <c r="AE125" s="3"/>
    </row>
    <row r="126" spans="1:31">
      <c r="A126" s="3" t="s">
        <v>22</v>
      </c>
      <c r="B126" s="17">
        <v>30</v>
      </c>
      <c r="C126" s="6"/>
      <c r="L126" s="7"/>
      <c r="M126" s="7"/>
      <c r="N126" s="7"/>
      <c r="O126" s="3"/>
      <c r="P126" s="3"/>
      <c r="R126" s="7"/>
      <c r="S126" s="12"/>
      <c r="T126" s="6"/>
      <c r="U126" s="6"/>
      <c r="V126" s="33"/>
      <c r="W126" s="33"/>
      <c r="Y126" s="11"/>
      <c r="Z126" s="11"/>
      <c r="AA126" s="11"/>
      <c r="AB126" s="11"/>
      <c r="AC126" s="11"/>
      <c r="AE126" s="3"/>
    </row>
    <row r="127" spans="1:31">
      <c r="A127" s="3" t="s">
        <v>26</v>
      </c>
      <c r="B127" s="17">
        <f>65</f>
        <v>65</v>
      </c>
      <c r="C127" s="6"/>
      <c r="J127" s="7"/>
      <c r="K127" s="7"/>
      <c r="L127" s="7"/>
      <c r="M127" s="7"/>
      <c r="N127" s="7"/>
      <c r="O127" s="3"/>
      <c r="P127" s="3"/>
      <c r="R127" s="7"/>
      <c r="S127" s="12"/>
      <c r="T127" s="6"/>
      <c r="U127" s="6"/>
      <c r="V127" s="33"/>
      <c r="W127" s="33"/>
      <c r="Y127" s="11"/>
      <c r="Z127" s="11"/>
      <c r="AA127" s="11"/>
      <c r="AB127" s="11"/>
      <c r="AC127" s="11"/>
      <c r="AE127" s="3"/>
    </row>
    <row r="128" spans="1:31">
      <c r="A128" s="3" t="s">
        <v>27</v>
      </c>
      <c r="B128" s="17">
        <v>45</v>
      </c>
      <c r="C128" s="6"/>
      <c r="D128" s="3"/>
      <c r="J128" s="7"/>
      <c r="K128" s="7"/>
      <c r="L128" s="7"/>
      <c r="M128" s="7"/>
      <c r="N128" s="7"/>
      <c r="O128" s="3"/>
      <c r="P128" s="3"/>
      <c r="R128" s="7"/>
      <c r="S128" s="12"/>
      <c r="T128" s="6"/>
      <c r="U128" s="6"/>
      <c r="V128" s="33"/>
      <c r="W128" s="33"/>
      <c r="Y128" s="11"/>
      <c r="Z128" s="11"/>
      <c r="AA128" s="11"/>
      <c r="AB128" s="11"/>
      <c r="AC128" s="11"/>
      <c r="AE128" s="3"/>
    </row>
    <row r="129" spans="1:31">
      <c r="A129" s="3" t="s">
        <v>5</v>
      </c>
      <c r="B129" s="4">
        <f>SUM(B122:B128)</f>
        <v>698</v>
      </c>
      <c r="C129" s="6"/>
      <c r="D129" s="3"/>
      <c r="J129" s="7"/>
      <c r="K129" s="7"/>
      <c r="L129" s="7"/>
      <c r="M129" s="7"/>
      <c r="N129" s="7"/>
      <c r="O129" s="3"/>
      <c r="P129" s="3"/>
      <c r="R129" s="7"/>
      <c r="S129" s="12"/>
      <c r="T129" s="6"/>
      <c r="U129" s="6"/>
      <c r="V129" s="33"/>
      <c r="W129" s="33"/>
      <c r="Y129" s="11"/>
      <c r="Z129" s="11"/>
      <c r="AA129" s="11"/>
      <c r="AB129" s="11"/>
      <c r="AC129" s="11"/>
      <c r="AE129" s="3"/>
    </row>
    <row r="130" spans="1:31">
      <c r="A130" s="3" t="s">
        <v>91</v>
      </c>
      <c r="B130" s="4">
        <f>B129*E3</f>
        <v>2177760</v>
      </c>
      <c r="C130" s="6"/>
      <c r="D130" s="3"/>
      <c r="J130" s="7"/>
      <c r="K130" s="7"/>
      <c r="L130" s="7"/>
      <c r="M130" s="7"/>
      <c r="N130" s="7"/>
      <c r="O130" s="3"/>
      <c r="P130" s="3"/>
      <c r="R130" s="7"/>
      <c r="S130" s="12"/>
      <c r="T130" s="6"/>
      <c r="U130" s="6"/>
      <c r="V130" s="33"/>
      <c r="W130" s="33"/>
      <c r="AA130" s="11"/>
      <c r="AB130" s="11"/>
      <c r="AC130" s="11"/>
      <c r="AE130" s="3"/>
    </row>
    <row r="131" spans="1:31">
      <c r="N131" s="7"/>
      <c r="R131" s="7"/>
      <c r="S131" s="12"/>
      <c r="T131" s="6"/>
      <c r="U131" s="6"/>
      <c r="V131" s="33"/>
      <c r="W131" s="33"/>
    </row>
    <row r="132" spans="1:31">
      <c r="N132" s="7"/>
      <c r="R132" s="7"/>
      <c r="S132" s="12"/>
      <c r="T132" s="6"/>
      <c r="U132" s="6"/>
      <c r="V132" s="33"/>
      <c r="W132" s="33"/>
    </row>
    <row r="133" spans="1:31">
      <c r="N133" s="7"/>
      <c r="R133" s="7"/>
      <c r="S133" s="12"/>
      <c r="T133" s="6"/>
      <c r="U133" s="6"/>
      <c r="V133" s="33"/>
    </row>
    <row r="134" spans="1:31">
      <c r="T134" s="6"/>
      <c r="U134" s="6"/>
      <c r="V134" s="33"/>
    </row>
    <row r="145" spans="2:31">
      <c r="B145" s="15"/>
    </row>
    <row r="146" spans="2:31">
      <c r="B146" s="15"/>
    </row>
    <row r="147" spans="2:31">
      <c r="B147" s="15"/>
    </row>
    <row r="150" spans="2:31">
      <c r="J150" s="7"/>
      <c r="K150" s="7"/>
      <c r="L150" s="7"/>
      <c r="M150" s="7"/>
    </row>
    <row r="151" spans="2:31">
      <c r="D151" s="3"/>
      <c r="J151" s="7"/>
      <c r="K151" s="7"/>
      <c r="L151" s="7"/>
      <c r="M151" s="7"/>
      <c r="Y151" s="3"/>
      <c r="Z151" s="3"/>
    </row>
    <row r="152" spans="2:31">
      <c r="D152" s="7"/>
      <c r="H152" s="15"/>
      <c r="I152" s="15"/>
      <c r="J152" s="7"/>
      <c r="K152" s="7"/>
      <c r="L152" s="7"/>
      <c r="M152" s="7"/>
      <c r="Y152" s="19"/>
      <c r="Z152" s="19"/>
    </row>
    <row r="153" spans="2:31">
      <c r="B153" s="24"/>
      <c r="D153" s="7"/>
      <c r="F153" s="15"/>
      <c r="G153" s="15"/>
      <c r="H153" s="15"/>
      <c r="I153" s="15"/>
      <c r="J153" s="7"/>
      <c r="K153" s="7"/>
      <c r="L153" s="7"/>
      <c r="M153" s="7"/>
      <c r="Y153" s="19"/>
      <c r="Z153" s="19"/>
      <c r="AA153" s="3"/>
    </row>
    <row r="154" spans="2:31">
      <c r="B154" s="15"/>
      <c r="C154" s="15"/>
      <c r="D154" s="7"/>
      <c r="F154" s="15"/>
      <c r="G154" s="15"/>
      <c r="H154" s="15"/>
      <c r="I154" s="15"/>
      <c r="J154" s="7"/>
      <c r="K154" s="7"/>
      <c r="L154" s="7"/>
      <c r="M154" s="7"/>
      <c r="O154" s="3"/>
      <c r="P154" s="3"/>
      <c r="Q154" s="15"/>
      <c r="W154" s="3"/>
      <c r="Y154" s="19"/>
      <c r="Z154" s="19"/>
      <c r="AA154" s="19"/>
      <c r="AB154" s="3"/>
      <c r="AC154" s="3"/>
    </row>
    <row r="155" spans="2:31">
      <c r="B155" s="15"/>
      <c r="C155" s="15"/>
      <c r="D155" s="7"/>
      <c r="F155" s="15"/>
      <c r="G155" s="15"/>
      <c r="H155" s="15"/>
      <c r="I155" s="15"/>
      <c r="J155" s="7"/>
      <c r="K155" s="7"/>
      <c r="L155" s="7"/>
      <c r="M155" s="7"/>
      <c r="O155" s="3"/>
      <c r="P155" s="3"/>
      <c r="Q155" s="15"/>
      <c r="S155" s="12"/>
      <c r="W155" s="34"/>
      <c r="X155" s="19"/>
      <c r="AA155" s="19"/>
      <c r="AB155" s="19"/>
      <c r="AC155" s="19"/>
    </row>
    <row r="156" spans="2:31">
      <c r="R156" s="7"/>
      <c r="S156" s="12"/>
      <c r="V156" s="3"/>
      <c r="W156" s="34"/>
      <c r="X156" s="19"/>
      <c r="AA156" s="19"/>
      <c r="AB156" s="19"/>
      <c r="AC156" s="19"/>
      <c r="AE156" s="3"/>
    </row>
    <row r="157" spans="2:31">
      <c r="R157" s="7"/>
      <c r="S157" s="12"/>
      <c r="T157" s="6"/>
      <c r="U157" s="6"/>
      <c r="V157" s="34"/>
      <c r="W157" s="34"/>
      <c r="X157" s="19"/>
      <c r="AB157" s="19"/>
      <c r="AC157" s="19"/>
      <c r="AE157" s="3"/>
    </row>
    <row r="158" spans="2:31">
      <c r="R158" s="7"/>
      <c r="S158" s="12"/>
      <c r="T158" s="6"/>
      <c r="U158" s="6"/>
      <c r="V158" s="34"/>
      <c r="AE158" s="3"/>
    </row>
    <row r="159" spans="2:31">
      <c r="T159" s="6"/>
      <c r="U159" s="6"/>
      <c r="V159" s="34"/>
      <c r="AE159" s="3"/>
    </row>
  </sheetData>
  <mergeCells count="8">
    <mergeCell ref="Q47:R47"/>
    <mergeCell ref="Y49:Z49"/>
    <mergeCell ref="AE18:AG18"/>
    <mergeCell ref="T5:U5"/>
    <mergeCell ref="AB18:AC18"/>
    <mergeCell ref="T11:U11"/>
    <mergeCell ref="V14:W14"/>
    <mergeCell ref="V5:W5"/>
  </mergeCells>
  <phoneticPr fontId="8" type="noConversion"/>
  <pageMargins left="0.7" right="0.7" top="0.75" bottom="0.75" header="0.3" footer="0.3"/>
  <pageSetup orientation="portrait" horizontalDpi="0" verticalDpi="0" copies="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BB5C-ED7E-274A-99EA-8A4DD9E67AFA}">
  <dimension ref="A1:EN86"/>
  <sheetViews>
    <sheetView zoomScale="63" zoomScaleNormal="80" workbookViewId="0">
      <pane xSplit="5" ySplit="1" topLeftCell="AX2" activePane="bottomRight" state="frozen"/>
      <selection pane="topRight" activeCell="F1" sqref="F1"/>
      <selection pane="bottomLeft" activeCell="A2" sqref="A2"/>
      <selection pane="bottomRight" activeCell="BE32" sqref="BE32"/>
    </sheetView>
  </sheetViews>
  <sheetFormatPr defaultColWidth="10.69921875" defaultRowHeight="15.6"/>
  <cols>
    <col min="1" max="1" width="30" customWidth="1"/>
    <col min="2" max="2" width="17.19921875" customWidth="1"/>
    <col min="3" max="3" width="15.19921875" customWidth="1"/>
    <col min="4" max="4" width="15.296875" customWidth="1"/>
    <col min="6" max="6" width="23" customWidth="1"/>
    <col min="7" max="7" width="14" customWidth="1"/>
    <col min="8" max="8" width="17.5" customWidth="1"/>
    <col min="9" max="9" width="17.296875" customWidth="1"/>
    <col min="11" max="11" width="15" customWidth="1"/>
    <col min="13" max="13" width="14.19921875" customWidth="1"/>
    <col min="14" max="15" width="15.296875" customWidth="1"/>
    <col min="16" max="16" width="26.19921875" customWidth="1"/>
    <col min="17" max="17" width="14.296875" customWidth="1"/>
    <col min="18" max="18" width="17" customWidth="1"/>
    <col min="19" max="19" width="18.5" customWidth="1"/>
    <col min="21" max="21" width="16.296875" customWidth="1"/>
    <col min="22" max="22" width="14.5" customWidth="1"/>
    <col min="23" max="23" width="13.5" customWidth="1"/>
    <col min="24" max="25" width="12.796875" customWidth="1"/>
    <col min="26" max="26" width="24.19921875" customWidth="1"/>
    <col min="27" max="27" width="16.796875" customWidth="1"/>
    <col min="28" max="28" width="15" customWidth="1"/>
    <col min="29" max="29" width="14" customWidth="1"/>
    <col min="31" max="31" width="15.796875" customWidth="1"/>
    <col min="32" max="32" width="14.296875" customWidth="1"/>
    <col min="33" max="33" width="13.296875" customWidth="1"/>
    <col min="34" max="35" width="13" customWidth="1"/>
    <col min="36" max="36" width="24.5" customWidth="1"/>
    <col min="37" max="37" width="17.5" customWidth="1"/>
    <col min="38" max="38" width="16.296875" customWidth="1"/>
    <col min="39" max="39" width="15.296875" customWidth="1"/>
    <col min="41" max="43" width="17.296875" customWidth="1"/>
    <col min="44" max="44" width="13.5" customWidth="1"/>
    <col min="46" max="46" width="25.69921875" customWidth="1"/>
    <col min="47" max="48" width="13.5" customWidth="1"/>
    <col min="49" max="49" width="14.19921875" customWidth="1"/>
    <col min="51" max="53" width="14.19921875" customWidth="1"/>
    <col min="54" max="55" width="14.5" customWidth="1"/>
    <col min="56" max="56" width="23.19921875" customWidth="1"/>
    <col min="57" max="57" width="16" customWidth="1"/>
    <col min="58" max="58" width="13.296875" customWidth="1"/>
    <col min="59" max="59" width="14" customWidth="1"/>
    <col min="61" max="61" width="14.796875" customWidth="1"/>
    <col min="62" max="63" width="12.5" customWidth="1"/>
    <col min="64" max="65" width="13.796875" customWidth="1"/>
    <col min="66" max="66" width="26.796875" customWidth="1"/>
    <col min="67" max="67" width="16.19921875" customWidth="1"/>
    <col min="68" max="68" width="14" customWidth="1"/>
    <col min="69" max="69" width="14.796875" customWidth="1"/>
    <col min="70" max="70" width="10.796875" style="47"/>
    <col min="71" max="73" width="14" customWidth="1"/>
    <col min="74" max="74" width="14.796875" customWidth="1"/>
    <col min="76" max="76" width="22.796875" customWidth="1"/>
    <col min="77" max="77" width="15" customWidth="1"/>
    <col min="78" max="78" width="14" customWidth="1"/>
    <col min="79" max="79" width="16.69921875" customWidth="1"/>
    <col min="80" max="80" width="10.796875" style="47"/>
    <col min="81" max="81" width="15.796875" customWidth="1"/>
    <col min="82" max="82" width="19.19921875" customWidth="1"/>
    <col min="83" max="83" width="16" customWidth="1"/>
    <col min="84" max="84" width="15.296875" customWidth="1"/>
    <col min="86" max="86" width="25.19921875" hidden="1" customWidth="1"/>
    <col min="87" max="87" width="17" hidden="1" customWidth="1"/>
    <col min="88" max="88" width="18" hidden="1" customWidth="1"/>
    <col min="89" max="89" width="19.69921875" hidden="1" customWidth="1"/>
    <col min="90" max="90" width="0" hidden="1" customWidth="1"/>
    <col min="91" max="91" width="17.69921875" hidden="1" customWidth="1"/>
    <col min="92" max="92" width="21.69921875" hidden="1" customWidth="1"/>
    <col min="93" max="93" width="16.796875" hidden="1" customWidth="1"/>
    <col min="94" max="94" width="16.5" hidden="1" customWidth="1"/>
    <col min="96" max="96" width="23.19921875" customWidth="1"/>
    <col min="97" max="97" width="13.5" customWidth="1"/>
    <col min="98" max="98" width="13.796875" customWidth="1"/>
    <col min="99" max="99" width="17.19921875" customWidth="1"/>
    <col min="100" max="100" width="18.69921875" customWidth="1"/>
    <col min="101" max="101" width="24.19921875" customWidth="1"/>
    <col min="102" max="102" width="25.19921875" customWidth="1"/>
    <col min="103" max="103" width="23" customWidth="1"/>
    <col min="104" max="104" width="25" customWidth="1"/>
    <col min="106" max="106" width="21.5" customWidth="1"/>
    <col min="107" max="107" width="15.296875" customWidth="1"/>
    <col min="108" max="108" width="16.5" customWidth="1"/>
    <col min="109" max="110" width="18.19921875" customWidth="1"/>
    <col min="111" max="111" width="17.5" customWidth="1"/>
    <col min="112" max="112" width="21" customWidth="1"/>
    <col min="113" max="113" width="13.296875" customWidth="1"/>
    <col min="114" max="114" width="15.69921875" customWidth="1"/>
    <col min="116" max="116" width="23.5" customWidth="1"/>
    <col min="117" max="117" width="22.19921875" customWidth="1"/>
    <col min="118" max="118" width="16.19921875" customWidth="1"/>
    <col min="119" max="119" width="18.19921875" customWidth="1"/>
    <col min="121" max="121" width="18.5" customWidth="1"/>
    <col min="122" max="123" width="20.19921875" customWidth="1"/>
    <col min="124" max="124" width="16.296875" customWidth="1"/>
    <col min="126" max="126" width="21.5" customWidth="1"/>
    <col min="127" max="127" width="15.296875" customWidth="1"/>
    <col min="128" max="128" width="25.19921875" customWidth="1"/>
    <col min="129" max="129" width="20.69921875" customWidth="1"/>
    <col min="131" max="131" width="17.5" customWidth="1"/>
    <col min="132" max="132" width="21.69921875" customWidth="1"/>
    <col min="133" max="133" width="17.296875" customWidth="1"/>
    <col min="134" max="134" width="15" customWidth="1"/>
    <col min="136" max="136" width="22.296875" customWidth="1"/>
    <col min="137" max="137" width="15.796875" customWidth="1"/>
    <col min="138" max="138" width="16" customWidth="1"/>
    <col min="139" max="139" width="17" customWidth="1"/>
    <col min="141" max="141" width="23.69921875" customWidth="1"/>
    <col min="142" max="142" width="20" customWidth="1"/>
    <col min="143" max="143" width="14.796875" customWidth="1"/>
    <col min="144" max="144" width="15.5" customWidth="1"/>
  </cols>
  <sheetData>
    <row r="1" spans="1:144">
      <c r="A1" s="178" t="s">
        <v>209</v>
      </c>
      <c r="B1" s="178"/>
      <c r="C1" s="178"/>
      <c r="D1" s="178"/>
      <c r="F1" s="182" t="s">
        <v>236</v>
      </c>
      <c r="G1" s="182"/>
      <c r="H1" s="182"/>
      <c r="I1" s="182"/>
      <c r="J1" s="182"/>
      <c r="K1" s="182"/>
      <c r="L1" s="182"/>
      <c r="M1" s="182"/>
      <c r="N1" s="182"/>
      <c r="P1" s="182" t="s">
        <v>229</v>
      </c>
      <c r="Q1" s="182"/>
      <c r="R1" s="182"/>
      <c r="S1" s="182"/>
      <c r="T1" s="182"/>
      <c r="U1" s="182"/>
      <c r="V1" s="182"/>
      <c r="W1" s="182"/>
      <c r="X1" s="182"/>
      <c r="Z1" s="183" t="s">
        <v>230</v>
      </c>
      <c r="AA1" s="183"/>
      <c r="AB1" s="183"/>
      <c r="AC1" s="183"/>
      <c r="AD1" s="183"/>
      <c r="AE1" s="183"/>
      <c r="AF1" s="183"/>
      <c r="AG1" s="183"/>
      <c r="AH1" s="183"/>
      <c r="AJ1" s="180" t="s">
        <v>231</v>
      </c>
      <c r="AK1" s="180"/>
      <c r="AL1" s="180"/>
      <c r="AM1" s="180"/>
      <c r="AN1" s="180"/>
      <c r="AO1" s="180"/>
      <c r="AP1" s="180"/>
      <c r="AQ1" s="180"/>
      <c r="AR1" s="180"/>
      <c r="AT1" s="180" t="s">
        <v>232</v>
      </c>
      <c r="AU1" s="180"/>
      <c r="AV1" s="180"/>
      <c r="AW1" s="180"/>
      <c r="AX1" s="180"/>
      <c r="AY1" s="180"/>
      <c r="AZ1" s="180"/>
      <c r="BA1" s="180"/>
      <c r="BB1" s="180"/>
      <c r="BD1" s="180" t="s">
        <v>233</v>
      </c>
      <c r="BE1" s="180"/>
      <c r="BF1" s="180"/>
      <c r="BG1" s="180"/>
      <c r="BH1" s="180"/>
      <c r="BI1" s="180"/>
      <c r="BJ1" s="180"/>
      <c r="BK1" s="180"/>
      <c r="BL1" s="66"/>
      <c r="BN1" s="181" t="s">
        <v>234</v>
      </c>
      <c r="BO1" s="181"/>
      <c r="BP1" s="181"/>
      <c r="BQ1" s="181"/>
      <c r="BR1" s="181"/>
      <c r="BS1" s="181"/>
      <c r="BT1" s="181"/>
      <c r="BU1" s="181"/>
      <c r="BV1" s="66"/>
      <c r="BX1" s="181" t="s">
        <v>235</v>
      </c>
      <c r="BY1" s="181"/>
      <c r="BZ1" s="181"/>
      <c r="CA1" s="181"/>
      <c r="CB1" s="181"/>
      <c r="CC1" s="181"/>
      <c r="CD1" s="181"/>
      <c r="CE1" s="181"/>
      <c r="CF1" s="181"/>
      <c r="CH1" s="181" t="s">
        <v>235</v>
      </c>
      <c r="CI1" s="181"/>
      <c r="CJ1" s="181"/>
      <c r="CK1" s="181"/>
      <c r="CL1" s="181"/>
      <c r="CM1" s="181"/>
      <c r="CN1" s="181"/>
      <c r="CO1" s="181"/>
      <c r="CP1" s="181"/>
      <c r="CR1" s="181" t="s">
        <v>293</v>
      </c>
      <c r="CS1" s="181"/>
      <c r="CT1" s="181"/>
      <c r="CU1" s="181"/>
      <c r="CV1" s="181"/>
      <c r="CW1" s="181"/>
      <c r="CX1" s="181"/>
      <c r="CY1" s="181"/>
      <c r="CZ1" s="181"/>
      <c r="DB1" s="181" t="s">
        <v>294</v>
      </c>
      <c r="DC1" s="181"/>
      <c r="DD1" s="181"/>
      <c r="DE1" s="181"/>
      <c r="DF1" s="181"/>
      <c r="DG1" s="181"/>
      <c r="DH1" s="181"/>
      <c r="DI1" s="181"/>
      <c r="DJ1" s="181"/>
      <c r="DL1" s="181" t="s">
        <v>295</v>
      </c>
      <c r="DM1" s="181"/>
      <c r="DN1" s="181"/>
      <c r="DO1" s="181"/>
      <c r="DP1" s="181"/>
      <c r="DQ1" s="181"/>
      <c r="DR1" s="181"/>
      <c r="DS1" s="181"/>
      <c r="DT1" s="181"/>
      <c r="DV1" s="179" t="s">
        <v>298</v>
      </c>
      <c r="DW1" s="179"/>
      <c r="DX1" s="179"/>
      <c r="DY1" s="179"/>
      <c r="DZ1" s="179"/>
      <c r="EA1" s="179"/>
      <c r="EB1" s="179"/>
      <c r="EC1" s="179"/>
      <c r="ED1" s="179"/>
      <c r="EF1" s="179" t="s">
        <v>299</v>
      </c>
      <c r="EG1" s="179"/>
      <c r="EH1" s="179"/>
      <c r="EI1" s="179"/>
      <c r="EJ1" s="179"/>
      <c r="EK1" s="179"/>
      <c r="EL1" s="179"/>
      <c r="EM1" s="179"/>
      <c r="EN1" s="179"/>
    </row>
    <row r="2" spans="1:144">
      <c r="A2" s="3" t="s">
        <v>14</v>
      </c>
      <c r="B2" s="3">
        <f>'Hemp Processing + Products'!B3</f>
        <v>16</v>
      </c>
      <c r="F2" t="s">
        <v>198</v>
      </c>
      <c r="H2" t="s">
        <v>199</v>
      </c>
      <c r="I2" t="s">
        <v>200</v>
      </c>
      <c r="J2" t="s">
        <v>159</v>
      </c>
      <c r="K2" t="s">
        <v>132</v>
      </c>
      <c r="P2" t="s">
        <v>260</v>
      </c>
      <c r="R2" t="s">
        <v>208</v>
      </c>
      <c r="S2" t="s">
        <v>200</v>
      </c>
      <c r="T2" t="s">
        <v>159</v>
      </c>
      <c r="U2" t="s">
        <v>132</v>
      </c>
      <c r="Z2" t="s">
        <v>198</v>
      </c>
      <c r="AB2" t="s">
        <v>199</v>
      </c>
      <c r="AC2" t="s">
        <v>200</v>
      </c>
      <c r="AD2" t="s">
        <v>159</v>
      </c>
      <c r="AE2" t="s">
        <v>132</v>
      </c>
      <c r="AJ2" t="s">
        <v>198</v>
      </c>
      <c r="AL2" t="s">
        <v>199</v>
      </c>
      <c r="AM2" t="s">
        <v>200</v>
      </c>
      <c r="AN2" t="s">
        <v>159</v>
      </c>
      <c r="AO2" t="s">
        <v>132</v>
      </c>
      <c r="AT2" t="s">
        <v>198</v>
      </c>
      <c r="AV2" t="s">
        <v>199</v>
      </c>
      <c r="AW2" t="s">
        <v>200</v>
      </c>
      <c r="AX2" t="s">
        <v>159</v>
      </c>
      <c r="AY2" t="s">
        <v>132</v>
      </c>
      <c r="BD2" t="s">
        <v>198</v>
      </c>
      <c r="BF2" t="s">
        <v>199</v>
      </c>
      <c r="BG2" t="s">
        <v>200</v>
      </c>
      <c r="BH2" t="s">
        <v>159</v>
      </c>
      <c r="BI2" t="s">
        <v>132</v>
      </c>
      <c r="BN2" s="1" t="s">
        <v>198</v>
      </c>
      <c r="BO2" s="1"/>
      <c r="BP2" s="1" t="s">
        <v>199</v>
      </c>
      <c r="BQ2" s="1" t="s">
        <v>200</v>
      </c>
      <c r="BR2" s="48" t="s">
        <v>159</v>
      </c>
      <c r="BS2" s="1" t="s">
        <v>132</v>
      </c>
      <c r="BT2" s="1"/>
      <c r="BU2" s="1"/>
      <c r="BX2" s="1" t="s">
        <v>198</v>
      </c>
      <c r="BY2" s="1"/>
      <c r="BZ2" s="1" t="s">
        <v>199</v>
      </c>
      <c r="CA2" s="1" t="s">
        <v>200</v>
      </c>
      <c r="CB2" s="48" t="s">
        <v>159</v>
      </c>
      <c r="CC2" s="1" t="s">
        <v>132</v>
      </c>
      <c r="CH2" s="1" t="s">
        <v>198</v>
      </c>
      <c r="CI2" s="1"/>
      <c r="CJ2" s="1" t="s">
        <v>199</v>
      </c>
      <c r="CK2" s="1" t="s">
        <v>200</v>
      </c>
      <c r="CL2" s="48" t="s">
        <v>159</v>
      </c>
      <c r="CM2" s="1" t="s">
        <v>132</v>
      </c>
      <c r="CR2" s="1" t="s">
        <v>198</v>
      </c>
      <c r="CS2" s="1"/>
      <c r="CT2" s="1" t="s">
        <v>199</v>
      </c>
      <c r="CU2" s="1" t="s">
        <v>200</v>
      </c>
      <c r="CV2" s="48" t="s">
        <v>159</v>
      </c>
      <c r="CW2" s="1" t="s">
        <v>132</v>
      </c>
      <c r="DB2" s="1" t="s">
        <v>198</v>
      </c>
      <c r="DC2" s="1"/>
      <c r="DD2" s="1" t="s">
        <v>199</v>
      </c>
      <c r="DE2" s="1" t="s">
        <v>200</v>
      </c>
      <c r="DF2" s="48" t="s">
        <v>159</v>
      </c>
      <c r="DG2" s="1" t="s">
        <v>132</v>
      </c>
      <c r="DL2" s="1" t="s">
        <v>198</v>
      </c>
      <c r="DM2" s="1"/>
      <c r="DN2" s="1" t="s">
        <v>199</v>
      </c>
      <c r="DO2" s="1" t="s">
        <v>200</v>
      </c>
      <c r="DP2" s="48" t="s">
        <v>159</v>
      </c>
      <c r="DQ2" s="1" t="s">
        <v>132</v>
      </c>
      <c r="DV2" s="1" t="s">
        <v>198</v>
      </c>
      <c r="DW2" s="1"/>
      <c r="DX2" s="1" t="s">
        <v>199</v>
      </c>
      <c r="DY2" s="1" t="s">
        <v>200</v>
      </c>
      <c r="DZ2" s="50" t="s">
        <v>164</v>
      </c>
      <c r="EA2" s="1" t="s">
        <v>132</v>
      </c>
      <c r="EB2" s="1"/>
      <c r="EC2" s="1"/>
      <c r="ED2" s="1"/>
      <c r="EF2" s="1" t="s">
        <v>198</v>
      </c>
      <c r="EG2" s="1"/>
      <c r="EH2" s="1" t="s">
        <v>199</v>
      </c>
      <c r="EI2" s="1" t="s">
        <v>200</v>
      </c>
      <c r="EJ2" s="50" t="s">
        <v>164</v>
      </c>
      <c r="EK2" s="1" t="s">
        <v>132</v>
      </c>
      <c r="EL2" s="1"/>
      <c r="EM2" s="1"/>
      <c r="EN2" s="1"/>
    </row>
    <row r="3" spans="1:144">
      <c r="A3" s="3" t="s">
        <v>16</v>
      </c>
      <c r="B3" s="3">
        <f>'Hemp Processing + Products'!B4</f>
        <v>5</v>
      </c>
      <c r="F3" t="s">
        <v>173</v>
      </c>
      <c r="G3" t="s">
        <v>1</v>
      </c>
      <c r="H3">
        <v>20000</v>
      </c>
      <c r="I3">
        <v>2</v>
      </c>
      <c r="J3" s="47">
        <v>0.38</v>
      </c>
      <c r="K3" s="46">
        <f>(H3*I3)*J3</f>
        <v>15200</v>
      </c>
      <c r="P3" t="s">
        <v>173</v>
      </c>
      <c r="Q3" t="s">
        <v>1</v>
      </c>
      <c r="R3">
        <v>20000</v>
      </c>
      <c r="S3">
        <v>2</v>
      </c>
      <c r="T3" s="47">
        <v>0.38</v>
      </c>
      <c r="U3" s="46">
        <f>(R3*S3)*T3</f>
        <v>15200</v>
      </c>
      <c r="V3" s="46"/>
      <c r="W3" s="46"/>
      <c r="Z3" t="s">
        <v>173</v>
      </c>
      <c r="AA3" t="s">
        <v>1</v>
      </c>
      <c r="AB3">
        <v>20000</v>
      </c>
      <c r="AC3">
        <v>1</v>
      </c>
      <c r="AD3" s="47">
        <v>0.38</v>
      </c>
      <c r="AE3" s="46">
        <f>(AB3*AC3)*AD3</f>
        <v>7600</v>
      </c>
      <c r="AF3" s="46"/>
      <c r="AJ3" t="s">
        <v>173</v>
      </c>
      <c r="AK3" t="s">
        <v>1</v>
      </c>
      <c r="AL3">
        <v>20000</v>
      </c>
      <c r="AM3">
        <v>1</v>
      </c>
      <c r="AN3" s="47">
        <v>0.38</v>
      </c>
      <c r="AO3" s="46">
        <f>(AL3*AM3)*AN3</f>
        <v>7600</v>
      </c>
      <c r="AP3" s="46"/>
      <c r="AQ3" s="46"/>
      <c r="AT3" t="s">
        <v>173</v>
      </c>
      <c r="AU3" t="s">
        <v>1</v>
      </c>
      <c r="AV3">
        <v>20000</v>
      </c>
      <c r="AW3">
        <v>2</v>
      </c>
      <c r="AX3" s="47">
        <v>0.38</v>
      </c>
      <c r="AY3" s="46">
        <f>(AV3*AW3)*AX3</f>
        <v>15200</v>
      </c>
      <c r="AZ3" s="46"/>
      <c r="BA3" s="46"/>
      <c r="BD3" t="s">
        <v>173</v>
      </c>
      <c r="BE3" t="s">
        <v>1</v>
      </c>
      <c r="BF3">
        <v>20000</v>
      </c>
      <c r="BG3">
        <v>2</v>
      </c>
      <c r="BH3" s="47">
        <v>0.38</v>
      </c>
      <c r="BI3" s="46">
        <f>(BF3*BG3)*BH3</f>
        <v>15200</v>
      </c>
      <c r="BJ3" s="46"/>
      <c r="BK3" s="46"/>
      <c r="BN3" s="1" t="s">
        <v>173</v>
      </c>
      <c r="BO3" s="1" t="s">
        <v>1</v>
      </c>
      <c r="BP3" s="1">
        <v>30000</v>
      </c>
      <c r="BQ3" s="1">
        <v>2</v>
      </c>
      <c r="BR3" s="48">
        <v>0.38</v>
      </c>
      <c r="BS3" s="49">
        <f>(BP3*BQ3)*BR3</f>
        <v>22800</v>
      </c>
      <c r="BT3" s="49"/>
      <c r="BU3" s="49"/>
      <c r="BX3" s="1" t="s">
        <v>173</v>
      </c>
      <c r="BY3" s="1" t="s">
        <v>1</v>
      </c>
      <c r="BZ3" s="1">
        <v>30000</v>
      </c>
      <c r="CA3" s="1">
        <v>2</v>
      </c>
      <c r="CB3" s="48">
        <v>0.38</v>
      </c>
      <c r="CC3" s="49">
        <f>(BZ3*CA3)*CB3</f>
        <v>22800</v>
      </c>
      <c r="CH3" s="1" t="s">
        <v>173</v>
      </c>
      <c r="CI3" s="1" t="s">
        <v>1</v>
      </c>
      <c r="CJ3" s="1">
        <v>30000</v>
      </c>
      <c r="CK3" s="1">
        <v>2</v>
      </c>
      <c r="CL3" s="48">
        <v>0.38</v>
      </c>
      <c r="CM3" s="49">
        <f>(CJ3*CK3)*CL3</f>
        <v>22800</v>
      </c>
      <c r="CR3" s="1" t="s">
        <v>173</v>
      </c>
      <c r="CS3" s="1" t="s">
        <v>1</v>
      </c>
      <c r="CT3" s="1">
        <v>30000</v>
      </c>
      <c r="CU3" s="1">
        <v>2</v>
      </c>
      <c r="CV3" s="48">
        <v>0.38</v>
      </c>
      <c r="CW3" s="49">
        <f>(CT3*CU3)*CV3</f>
        <v>22800</v>
      </c>
      <c r="DB3" s="1" t="s">
        <v>173</v>
      </c>
      <c r="DC3" s="1" t="s">
        <v>1</v>
      </c>
      <c r="DD3" s="1">
        <v>30000</v>
      </c>
      <c r="DE3" s="1">
        <v>2</v>
      </c>
      <c r="DF3" s="48">
        <v>0.38</v>
      </c>
      <c r="DG3" s="49">
        <f>(DD3*DE3)*DF3</f>
        <v>22800</v>
      </c>
      <c r="DL3" s="1" t="s">
        <v>173</v>
      </c>
      <c r="DM3" s="1" t="s">
        <v>1</v>
      </c>
      <c r="DN3" s="1">
        <v>30000</v>
      </c>
      <c r="DO3" s="1">
        <v>2</v>
      </c>
      <c r="DP3" s="48">
        <v>0.38</v>
      </c>
      <c r="DQ3" s="49">
        <f>(DN3*DO3)*DP3</f>
        <v>22800</v>
      </c>
      <c r="DV3" s="1" t="s">
        <v>173</v>
      </c>
      <c r="DW3" s="1" t="s">
        <v>1</v>
      </c>
      <c r="DX3" s="1">
        <v>30000</v>
      </c>
      <c r="DY3" s="1">
        <v>2</v>
      </c>
      <c r="DZ3" s="50">
        <v>0.38</v>
      </c>
      <c r="EA3" s="49">
        <f>(DX3*DY3)*DZ3</f>
        <v>22800</v>
      </c>
      <c r="EB3" s="1"/>
      <c r="EC3" s="1"/>
      <c r="ED3" s="1"/>
      <c r="EF3" s="1" t="s">
        <v>173</v>
      </c>
      <c r="EG3" s="1" t="s">
        <v>1</v>
      </c>
      <c r="EH3" s="1">
        <v>30000</v>
      </c>
      <c r="EI3" s="1">
        <v>2</v>
      </c>
      <c r="EJ3" s="50">
        <v>0.38</v>
      </c>
      <c r="EK3" s="49">
        <f>(EH3*EI3)*EJ3</f>
        <v>22800</v>
      </c>
      <c r="EL3" s="1"/>
      <c r="EM3" s="1"/>
      <c r="EN3" s="1"/>
    </row>
    <row r="4" spans="1:144">
      <c r="A4" s="3" t="s">
        <v>15</v>
      </c>
      <c r="B4" s="3">
        <f>'Hemp Processing + Products'!B5</f>
        <v>1.5</v>
      </c>
      <c r="F4" t="s">
        <v>160</v>
      </c>
      <c r="G4" t="s">
        <v>1</v>
      </c>
      <c r="H4">
        <v>20000</v>
      </c>
      <c r="I4">
        <v>2</v>
      </c>
      <c r="J4" s="47">
        <v>0.4</v>
      </c>
      <c r="K4" s="46">
        <f t="shared" ref="K4:K6" si="0">(H4*I4)*J4</f>
        <v>16000</v>
      </c>
      <c r="P4" t="s">
        <v>160</v>
      </c>
      <c r="Q4" t="s">
        <v>1</v>
      </c>
      <c r="R4">
        <v>20000</v>
      </c>
      <c r="S4">
        <v>2</v>
      </c>
      <c r="T4" s="47">
        <v>0.4</v>
      </c>
      <c r="U4" s="46">
        <f>(R4*S4)*T4</f>
        <v>16000</v>
      </c>
      <c r="V4" s="46"/>
      <c r="W4" s="46"/>
      <c r="Z4" t="s">
        <v>160</v>
      </c>
      <c r="AA4" t="s">
        <v>1</v>
      </c>
      <c r="AB4">
        <v>20000</v>
      </c>
      <c r="AC4">
        <v>2</v>
      </c>
      <c r="AD4" s="47">
        <v>0.4</v>
      </c>
      <c r="AE4" s="46">
        <f t="shared" ref="AE4:AE8" si="1">(AB4*AC4)*AD4</f>
        <v>16000</v>
      </c>
      <c r="AF4" s="46"/>
      <c r="AJ4" t="s">
        <v>160</v>
      </c>
      <c r="AK4" t="s">
        <v>1</v>
      </c>
      <c r="AL4">
        <v>20000</v>
      </c>
      <c r="AM4">
        <v>2</v>
      </c>
      <c r="AN4" s="47">
        <v>0.4</v>
      </c>
      <c r="AO4" s="46">
        <f t="shared" ref="AO4:AO7" si="2">(AL4*AM4)*AN4</f>
        <v>16000</v>
      </c>
      <c r="AP4" s="46"/>
      <c r="AQ4" s="46"/>
      <c r="AT4" t="s">
        <v>160</v>
      </c>
      <c r="AU4" t="s">
        <v>1</v>
      </c>
      <c r="AV4">
        <v>20000</v>
      </c>
      <c r="AW4">
        <v>1</v>
      </c>
      <c r="AX4" s="47">
        <v>0.4</v>
      </c>
      <c r="AY4" s="46">
        <f t="shared" ref="AY4:AY8" si="3">(AV4*AW4)*AX4</f>
        <v>8000</v>
      </c>
      <c r="AZ4" s="46"/>
      <c r="BA4" s="46"/>
      <c r="BD4" t="s">
        <v>160</v>
      </c>
      <c r="BE4" t="s">
        <v>1</v>
      </c>
      <c r="BF4">
        <v>20000</v>
      </c>
      <c r="BG4">
        <v>2</v>
      </c>
      <c r="BH4" s="47">
        <v>0.4</v>
      </c>
      <c r="BI4" s="46">
        <f t="shared" ref="BI4:BI8" si="4">(BF4*BG4)*BH4</f>
        <v>16000</v>
      </c>
      <c r="BJ4" s="46"/>
      <c r="BK4" s="46"/>
      <c r="BN4" s="1" t="s">
        <v>160</v>
      </c>
      <c r="BO4" s="1" t="s">
        <v>1</v>
      </c>
      <c r="BP4" s="1">
        <v>30000</v>
      </c>
      <c r="BQ4" s="1">
        <v>2</v>
      </c>
      <c r="BR4" s="48">
        <v>0.4</v>
      </c>
      <c r="BS4" s="49">
        <f t="shared" ref="BS4:BS8" si="5">(BP4*BQ4)*BR4</f>
        <v>24000</v>
      </c>
      <c r="BT4" s="49"/>
      <c r="BU4" s="49"/>
      <c r="BX4" s="1" t="s">
        <v>160</v>
      </c>
      <c r="BY4" s="1" t="s">
        <v>1</v>
      </c>
      <c r="BZ4" s="1">
        <v>30000</v>
      </c>
      <c r="CA4" s="1">
        <v>1</v>
      </c>
      <c r="CB4" s="48">
        <v>0.4</v>
      </c>
      <c r="CC4" s="49">
        <f t="shared" ref="CC4:CC9" si="6">(BZ4*CA4)*CB4</f>
        <v>12000</v>
      </c>
      <c r="CH4" s="1" t="s">
        <v>160</v>
      </c>
      <c r="CI4" s="1" t="s">
        <v>1</v>
      </c>
      <c r="CJ4" s="1">
        <v>30000</v>
      </c>
      <c r="CK4" s="1">
        <v>1</v>
      </c>
      <c r="CL4" s="48">
        <v>0.4</v>
      </c>
      <c r="CM4" s="49">
        <f t="shared" ref="CM4:CM5" si="7">(CJ4*CK4)*CL4</f>
        <v>12000</v>
      </c>
      <c r="CR4" s="1" t="s">
        <v>160</v>
      </c>
      <c r="CS4" s="1" t="s">
        <v>1</v>
      </c>
      <c r="CT4" s="1">
        <v>30000</v>
      </c>
      <c r="CU4" s="1">
        <v>1</v>
      </c>
      <c r="CV4" s="48">
        <v>0.4</v>
      </c>
      <c r="CW4" s="49">
        <f t="shared" ref="CW4:CW5" si="8">(CT4*CU4)*CV4</f>
        <v>12000</v>
      </c>
      <c r="DB4" s="1" t="s">
        <v>160</v>
      </c>
      <c r="DC4" s="1" t="s">
        <v>1</v>
      </c>
      <c r="DD4" s="1">
        <v>30000</v>
      </c>
      <c r="DE4" s="1">
        <v>1</v>
      </c>
      <c r="DF4" s="48">
        <v>0.4</v>
      </c>
      <c r="DG4" s="49">
        <f t="shared" ref="DG4:DG5" si="9">(DD4*DE4)*DF4</f>
        <v>12000</v>
      </c>
      <c r="DL4" s="1" t="s">
        <v>160</v>
      </c>
      <c r="DM4" s="1" t="s">
        <v>1</v>
      </c>
      <c r="DN4" s="1">
        <v>30000</v>
      </c>
      <c r="DO4" s="1">
        <v>1</v>
      </c>
      <c r="DP4" s="48">
        <v>0.4</v>
      </c>
      <c r="DQ4" s="49">
        <f t="shared" ref="DQ4:DQ5" si="10">(DN4*DO4)*DP4</f>
        <v>12000</v>
      </c>
      <c r="DV4" s="1" t="s">
        <v>160</v>
      </c>
      <c r="DW4" s="1" t="s">
        <v>1</v>
      </c>
      <c r="DX4" s="1">
        <v>30000</v>
      </c>
      <c r="DY4" s="1">
        <v>1</v>
      </c>
      <c r="DZ4" s="50">
        <v>0.38</v>
      </c>
      <c r="EA4" s="49">
        <f t="shared" ref="EA4:EA9" si="11">(DX4*DY4)*DZ4</f>
        <v>11400</v>
      </c>
      <c r="EB4" s="1"/>
      <c r="EC4" s="1"/>
      <c r="ED4" s="1"/>
      <c r="EF4" s="1" t="s">
        <v>160</v>
      </c>
      <c r="EG4" s="1" t="s">
        <v>1</v>
      </c>
      <c r="EH4" s="1">
        <v>30000</v>
      </c>
      <c r="EI4" s="1">
        <v>1</v>
      </c>
      <c r="EJ4" s="50">
        <v>0.4</v>
      </c>
      <c r="EK4" s="49">
        <f t="shared" ref="EK4:EK9" si="12">(EH4*EI4)*EJ4</f>
        <v>12000</v>
      </c>
      <c r="EL4" s="1"/>
      <c r="EM4" s="1"/>
      <c r="EN4" s="1"/>
    </row>
    <row r="5" spans="1:144">
      <c r="F5" t="s">
        <v>168</v>
      </c>
      <c r="G5" t="s">
        <v>1</v>
      </c>
      <c r="H5">
        <v>30000</v>
      </c>
      <c r="I5">
        <v>1</v>
      </c>
      <c r="J5" s="47">
        <v>0.42</v>
      </c>
      <c r="K5" s="46">
        <f t="shared" si="0"/>
        <v>12600</v>
      </c>
      <c r="P5" t="s">
        <v>168</v>
      </c>
      <c r="Q5" t="s">
        <v>1</v>
      </c>
      <c r="R5">
        <v>30000</v>
      </c>
      <c r="S5">
        <v>2</v>
      </c>
      <c r="T5" s="47">
        <v>0.42</v>
      </c>
      <c r="U5" s="46">
        <f t="shared" ref="U5:U7" si="13">(R5*S5)*T5</f>
        <v>25200</v>
      </c>
      <c r="V5" s="46"/>
      <c r="W5" s="46"/>
      <c r="Z5" t="s">
        <v>168</v>
      </c>
      <c r="AA5" t="s">
        <v>1</v>
      </c>
      <c r="AB5">
        <v>30000</v>
      </c>
      <c r="AC5">
        <v>2</v>
      </c>
      <c r="AD5" s="47">
        <v>0.42</v>
      </c>
      <c r="AE5" s="46">
        <f t="shared" si="1"/>
        <v>25200</v>
      </c>
      <c r="AF5" s="46"/>
      <c r="AJ5" t="s">
        <v>168</v>
      </c>
      <c r="AK5" t="s">
        <v>1</v>
      </c>
      <c r="AL5">
        <v>30000</v>
      </c>
      <c r="AM5">
        <v>2</v>
      </c>
      <c r="AN5" s="47">
        <v>0.42</v>
      </c>
      <c r="AO5" s="46">
        <f t="shared" si="2"/>
        <v>25200</v>
      </c>
      <c r="AP5" s="46"/>
      <c r="AQ5" s="46"/>
      <c r="AT5" t="s">
        <v>168</v>
      </c>
      <c r="AU5" t="s">
        <v>1</v>
      </c>
      <c r="AV5">
        <v>30000</v>
      </c>
      <c r="AW5">
        <v>2</v>
      </c>
      <c r="AX5" s="47">
        <v>0.42</v>
      </c>
      <c r="AY5" s="46">
        <f t="shared" si="3"/>
        <v>25200</v>
      </c>
      <c r="AZ5" s="46"/>
      <c r="BA5" s="46"/>
      <c r="BD5" t="s">
        <v>168</v>
      </c>
      <c r="BE5" t="s">
        <v>1</v>
      </c>
      <c r="BF5">
        <v>30000</v>
      </c>
      <c r="BG5">
        <v>2</v>
      </c>
      <c r="BH5" s="47">
        <v>0.42</v>
      </c>
      <c r="BI5" s="46">
        <f t="shared" si="4"/>
        <v>25200</v>
      </c>
      <c r="BJ5" s="46"/>
      <c r="BK5" s="46"/>
      <c r="BN5" s="1" t="s">
        <v>168</v>
      </c>
      <c r="BO5" s="1" t="s">
        <v>1</v>
      </c>
      <c r="BP5" s="1">
        <v>30000</v>
      </c>
      <c r="BQ5" s="1">
        <v>2</v>
      </c>
      <c r="BR5" s="48">
        <v>0.42</v>
      </c>
      <c r="BS5" s="49">
        <f t="shared" si="5"/>
        <v>25200</v>
      </c>
      <c r="BT5" s="49"/>
      <c r="BU5" s="49"/>
      <c r="BX5" s="1" t="s">
        <v>168</v>
      </c>
      <c r="BY5" s="1" t="s">
        <v>1</v>
      </c>
      <c r="BZ5" s="1">
        <v>30000</v>
      </c>
      <c r="CA5" s="1">
        <v>2</v>
      </c>
      <c r="CB5" s="48">
        <v>0.42</v>
      </c>
      <c r="CC5" s="49">
        <f t="shared" si="6"/>
        <v>25200</v>
      </c>
      <c r="CH5" s="1" t="s">
        <v>168</v>
      </c>
      <c r="CI5" s="1" t="s">
        <v>1</v>
      </c>
      <c r="CJ5" s="1">
        <v>30000</v>
      </c>
      <c r="CK5" s="1">
        <v>2</v>
      </c>
      <c r="CL5" s="48">
        <v>0.42</v>
      </c>
      <c r="CM5" s="49">
        <f t="shared" si="7"/>
        <v>25200</v>
      </c>
      <c r="CR5" s="1" t="s">
        <v>168</v>
      </c>
      <c r="CS5" s="1" t="s">
        <v>1</v>
      </c>
      <c r="CT5" s="1">
        <v>30000</v>
      </c>
      <c r="CU5" s="1">
        <v>2</v>
      </c>
      <c r="CV5" s="48">
        <v>0.42</v>
      </c>
      <c r="CW5" s="49">
        <f t="shared" si="8"/>
        <v>25200</v>
      </c>
      <c r="DB5" s="1" t="s">
        <v>168</v>
      </c>
      <c r="DC5" s="1" t="s">
        <v>1</v>
      </c>
      <c r="DD5" s="1">
        <v>30000</v>
      </c>
      <c r="DE5" s="1">
        <v>2</v>
      </c>
      <c r="DF5" s="48">
        <v>0.42</v>
      </c>
      <c r="DG5" s="49">
        <f t="shared" si="9"/>
        <v>25200</v>
      </c>
      <c r="DL5" s="1" t="s">
        <v>168</v>
      </c>
      <c r="DM5" s="1" t="s">
        <v>1</v>
      </c>
      <c r="DN5" s="1">
        <v>30000</v>
      </c>
      <c r="DO5" s="1">
        <v>2</v>
      </c>
      <c r="DP5" s="48">
        <v>0.42</v>
      </c>
      <c r="DQ5" s="49">
        <f t="shared" si="10"/>
        <v>25200</v>
      </c>
      <c r="DV5" s="1" t="s">
        <v>168</v>
      </c>
      <c r="DW5" s="1" t="s">
        <v>1</v>
      </c>
      <c r="DX5" s="1">
        <v>30000</v>
      </c>
      <c r="DY5" s="1">
        <v>2</v>
      </c>
      <c r="DZ5" s="50">
        <v>0.38</v>
      </c>
      <c r="EA5" s="49">
        <f t="shared" si="11"/>
        <v>22800</v>
      </c>
      <c r="EB5" s="1"/>
      <c r="EC5" s="1"/>
      <c r="ED5" s="1"/>
      <c r="EF5" s="1" t="s">
        <v>168</v>
      </c>
      <c r="EG5" s="1" t="s">
        <v>1</v>
      </c>
      <c r="EH5" s="1">
        <v>30000</v>
      </c>
      <c r="EI5" s="1">
        <v>2</v>
      </c>
      <c r="EJ5" s="50">
        <v>0.42</v>
      </c>
      <c r="EK5" s="49">
        <f t="shared" si="12"/>
        <v>25200</v>
      </c>
      <c r="EL5" s="1"/>
      <c r="EM5" s="1"/>
      <c r="EN5" s="1"/>
    </row>
    <row r="6" spans="1:144">
      <c r="A6" s="3" t="s">
        <v>285</v>
      </c>
      <c r="B6" s="60">
        <f>'Hemp Processing + Products'!C7</f>
        <v>1040000</v>
      </c>
      <c r="F6" t="s">
        <v>2</v>
      </c>
      <c r="G6" t="s">
        <v>0</v>
      </c>
      <c r="H6">
        <v>40000</v>
      </c>
      <c r="I6">
        <v>1</v>
      </c>
      <c r="J6" s="47">
        <v>0.5</v>
      </c>
      <c r="K6" s="46">
        <f t="shared" si="0"/>
        <v>20000</v>
      </c>
      <c r="P6" t="s">
        <v>2</v>
      </c>
      <c r="Q6" t="s">
        <v>0</v>
      </c>
      <c r="R6">
        <v>40000</v>
      </c>
      <c r="S6">
        <v>2</v>
      </c>
      <c r="T6" s="47">
        <v>0.5</v>
      </c>
      <c r="U6" s="46">
        <f t="shared" si="13"/>
        <v>40000</v>
      </c>
      <c r="V6" s="46"/>
      <c r="W6" s="46"/>
      <c r="Z6" t="s">
        <v>161</v>
      </c>
      <c r="AA6" t="s">
        <v>0</v>
      </c>
      <c r="AB6">
        <v>40000</v>
      </c>
      <c r="AC6">
        <v>1</v>
      </c>
      <c r="AD6" s="47">
        <v>0.6</v>
      </c>
      <c r="AE6" s="46">
        <f t="shared" si="1"/>
        <v>24000</v>
      </c>
      <c r="AF6" s="46"/>
      <c r="AJ6" t="s">
        <v>2</v>
      </c>
      <c r="AK6" t="s">
        <v>0</v>
      </c>
      <c r="AL6">
        <v>40000</v>
      </c>
      <c r="AM6">
        <v>2</v>
      </c>
      <c r="AN6" s="47">
        <v>0.5</v>
      </c>
      <c r="AO6" s="46">
        <f t="shared" si="2"/>
        <v>40000</v>
      </c>
      <c r="AP6" s="46"/>
      <c r="AQ6" s="46"/>
      <c r="AT6" t="s">
        <v>2</v>
      </c>
      <c r="AU6" t="s">
        <v>0</v>
      </c>
      <c r="AV6">
        <v>40000</v>
      </c>
      <c r="AW6">
        <v>2</v>
      </c>
      <c r="AX6" s="47">
        <v>0.5</v>
      </c>
      <c r="AY6" s="46">
        <f t="shared" si="3"/>
        <v>40000</v>
      </c>
      <c r="AZ6" s="46"/>
      <c r="BA6" s="46"/>
      <c r="BD6" t="s">
        <v>2</v>
      </c>
      <c r="BE6" t="s">
        <v>0</v>
      </c>
      <c r="BF6">
        <v>40000</v>
      </c>
      <c r="BG6">
        <v>2</v>
      </c>
      <c r="BH6" s="47">
        <v>0.5</v>
      </c>
      <c r="BI6" s="46">
        <f t="shared" si="4"/>
        <v>40000</v>
      </c>
      <c r="BJ6" s="46"/>
      <c r="BK6" s="46"/>
      <c r="BN6" s="1" t="s">
        <v>2</v>
      </c>
      <c r="BO6" s="1" t="s">
        <v>0</v>
      </c>
      <c r="BP6" s="1">
        <v>40000</v>
      </c>
      <c r="BQ6" s="1">
        <v>2</v>
      </c>
      <c r="BR6" s="48">
        <v>0.5</v>
      </c>
      <c r="BS6" s="49">
        <f t="shared" si="5"/>
        <v>40000</v>
      </c>
      <c r="BT6" s="49"/>
      <c r="BU6" s="49"/>
      <c r="BX6" s="1" t="s">
        <v>2</v>
      </c>
      <c r="BY6" s="1" t="s">
        <v>0</v>
      </c>
      <c r="BZ6" s="1">
        <v>40000</v>
      </c>
      <c r="CA6" s="1">
        <v>2</v>
      </c>
      <c r="CB6" s="48">
        <v>0.5</v>
      </c>
      <c r="CC6" s="49">
        <f>(BZ6*CA6)*CB6</f>
        <v>40000</v>
      </c>
      <c r="CH6" s="1" t="s">
        <v>2</v>
      </c>
      <c r="CI6" s="1" t="s">
        <v>0</v>
      </c>
      <c r="CJ6" s="1">
        <v>40000</v>
      </c>
      <c r="CK6" s="1">
        <v>2</v>
      </c>
      <c r="CL6" s="48">
        <v>0.5</v>
      </c>
      <c r="CM6" s="49">
        <f>(CJ6*CK6)*CL6</f>
        <v>40000</v>
      </c>
      <c r="CR6" s="1" t="s">
        <v>2</v>
      </c>
      <c r="CS6" s="1" t="s">
        <v>0</v>
      </c>
      <c r="CT6" s="1">
        <v>40000</v>
      </c>
      <c r="CU6" s="1">
        <v>2</v>
      </c>
      <c r="CV6" s="48">
        <v>0.5</v>
      </c>
      <c r="CW6" s="49">
        <f>(CT6*CU6)*CV6</f>
        <v>40000</v>
      </c>
      <c r="DB6" s="1" t="s">
        <v>2</v>
      </c>
      <c r="DC6" s="1" t="s">
        <v>0</v>
      </c>
      <c r="DD6" s="1">
        <v>40000</v>
      </c>
      <c r="DE6" s="1">
        <v>2</v>
      </c>
      <c r="DF6" s="48">
        <v>0.5</v>
      </c>
      <c r="DG6" s="49">
        <f>(DD6*DE6)*DF6</f>
        <v>40000</v>
      </c>
      <c r="DL6" s="1" t="s">
        <v>2</v>
      </c>
      <c r="DM6" s="1" t="s">
        <v>0</v>
      </c>
      <c r="DN6" s="1">
        <v>40000</v>
      </c>
      <c r="DO6" s="1">
        <v>2</v>
      </c>
      <c r="DP6" s="48">
        <v>0.5</v>
      </c>
      <c r="DQ6" s="49">
        <f>(DN6*DO6)*DP6</f>
        <v>40000</v>
      </c>
      <c r="DV6" s="1" t="s">
        <v>2</v>
      </c>
      <c r="DW6" s="1" t="s">
        <v>0</v>
      </c>
      <c r="DX6" s="1">
        <v>40000</v>
      </c>
      <c r="DY6" s="1">
        <v>2</v>
      </c>
      <c r="DZ6" s="50">
        <v>0.38</v>
      </c>
      <c r="EA6" s="49">
        <f t="shared" si="11"/>
        <v>30400</v>
      </c>
      <c r="EB6" s="1"/>
      <c r="EC6" s="1"/>
      <c r="ED6" s="1"/>
      <c r="EF6" s="1" t="s">
        <v>2</v>
      </c>
      <c r="EG6" s="1" t="s">
        <v>0</v>
      </c>
      <c r="EH6" s="1">
        <v>40000</v>
      </c>
      <c r="EI6" s="1">
        <v>2</v>
      </c>
      <c r="EJ6" s="50">
        <v>0.5</v>
      </c>
      <c r="EK6" s="49">
        <f t="shared" si="12"/>
        <v>40000</v>
      </c>
      <c r="EL6" s="1"/>
      <c r="EM6" s="1"/>
      <c r="EN6" s="1"/>
    </row>
    <row r="7" spans="1:144">
      <c r="A7" s="3" t="s">
        <v>286</v>
      </c>
      <c r="B7" s="61">
        <f>'Curent Expected Cash Flow- 2025'!B6*'Hemp Processing + Products'!C4</f>
        <v>124800</v>
      </c>
      <c r="J7" s="47"/>
      <c r="K7" s="46">
        <f>SUM(K3:K6)</f>
        <v>63800</v>
      </c>
      <c r="P7" t="s">
        <v>225</v>
      </c>
      <c r="Q7" t="s">
        <v>1</v>
      </c>
      <c r="R7">
        <v>30000</v>
      </c>
      <c r="S7">
        <v>1</v>
      </c>
      <c r="T7" s="47">
        <v>0.4</v>
      </c>
      <c r="U7" s="46">
        <f t="shared" si="13"/>
        <v>12000</v>
      </c>
      <c r="V7" s="46"/>
      <c r="W7" s="46"/>
      <c r="Z7" t="s">
        <v>2</v>
      </c>
      <c r="AA7" t="s">
        <v>0</v>
      </c>
      <c r="AB7">
        <v>40000</v>
      </c>
      <c r="AC7">
        <v>1</v>
      </c>
      <c r="AD7" s="47">
        <v>0.5</v>
      </c>
      <c r="AE7" s="46">
        <f t="shared" si="1"/>
        <v>20000</v>
      </c>
      <c r="AF7" s="46"/>
      <c r="AJ7" t="s">
        <v>479</v>
      </c>
      <c r="AK7" t="s">
        <v>0</v>
      </c>
      <c r="AL7">
        <v>30000</v>
      </c>
      <c r="AM7">
        <v>1</v>
      </c>
      <c r="AN7" s="47">
        <v>1</v>
      </c>
      <c r="AO7" s="46">
        <f t="shared" si="2"/>
        <v>30000</v>
      </c>
      <c r="AP7" s="46"/>
      <c r="AQ7" s="46"/>
      <c r="AT7" t="s">
        <v>479</v>
      </c>
      <c r="AU7" t="s">
        <v>0</v>
      </c>
      <c r="AV7">
        <v>30000</v>
      </c>
      <c r="AW7">
        <v>1</v>
      </c>
      <c r="AX7" s="47">
        <v>1</v>
      </c>
      <c r="AY7" s="46">
        <f t="shared" si="3"/>
        <v>30000</v>
      </c>
      <c r="AZ7" s="46"/>
      <c r="BA7" s="46"/>
      <c r="BD7" t="s">
        <v>67</v>
      </c>
      <c r="BE7" t="s">
        <v>1</v>
      </c>
      <c r="BF7">
        <v>16000</v>
      </c>
      <c r="BG7">
        <v>1</v>
      </c>
      <c r="BH7" s="47">
        <v>0.35</v>
      </c>
      <c r="BI7" s="46">
        <f t="shared" si="4"/>
        <v>5600</v>
      </c>
      <c r="BJ7" s="46"/>
      <c r="BK7" s="46"/>
      <c r="BN7" s="1" t="s">
        <v>479</v>
      </c>
      <c r="BO7" s="1" t="s">
        <v>0</v>
      </c>
      <c r="BP7" s="1">
        <v>30000</v>
      </c>
      <c r="BQ7" s="1">
        <v>1</v>
      </c>
      <c r="BR7" s="48">
        <v>1</v>
      </c>
      <c r="BS7" s="49">
        <f t="shared" si="5"/>
        <v>30000</v>
      </c>
      <c r="BT7" s="49"/>
      <c r="BU7" s="49"/>
      <c r="BX7" s="1" t="s">
        <v>67</v>
      </c>
      <c r="BY7" s="1" t="s">
        <v>1</v>
      </c>
      <c r="BZ7" s="1">
        <v>16000</v>
      </c>
      <c r="CA7" s="1">
        <v>3</v>
      </c>
      <c r="CB7" s="48">
        <v>0.35</v>
      </c>
      <c r="CC7" s="49">
        <f t="shared" si="6"/>
        <v>16800</v>
      </c>
      <c r="CH7" s="1" t="s">
        <v>67</v>
      </c>
      <c r="CI7" s="1" t="s">
        <v>1</v>
      </c>
      <c r="CJ7" s="1">
        <v>16000</v>
      </c>
      <c r="CK7" s="1">
        <v>3</v>
      </c>
      <c r="CL7" s="48">
        <v>0.35</v>
      </c>
      <c r="CM7" s="49">
        <f t="shared" ref="CM7:CM8" si="14">(CJ7*CK7)*CL7</f>
        <v>16800</v>
      </c>
      <c r="CR7" s="1" t="s">
        <v>67</v>
      </c>
      <c r="CS7" s="1" t="s">
        <v>1</v>
      </c>
      <c r="CT7" s="1">
        <v>16000</v>
      </c>
      <c r="CU7" s="1">
        <v>3</v>
      </c>
      <c r="CV7" s="48">
        <v>0.35</v>
      </c>
      <c r="CW7" s="49">
        <f t="shared" ref="CW7:CW9" si="15">(CT7*CU7)*CV7</f>
        <v>16800</v>
      </c>
      <c r="DB7" s="1" t="s">
        <v>67</v>
      </c>
      <c r="DC7" s="1" t="s">
        <v>1</v>
      </c>
      <c r="DD7" s="1">
        <v>16000</v>
      </c>
      <c r="DE7" s="1">
        <v>3</v>
      </c>
      <c r="DF7" s="48">
        <v>0.35</v>
      </c>
      <c r="DG7" s="49">
        <f t="shared" ref="DG7:DG8" si="16">(DD7*DE7)*DF7</f>
        <v>16800</v>
      </c>
      <c r="DL7" s="1" t="s">
        <v>67</v>
      </c>
      <c r="DM7" s="1" t="s">
        <v>1</v>
      </c>
      <c r="DN7" s="1">
        <v>16000</v>
      </c>
      <c r="DO7" s="1">
        <v>3</v>
      </c>
      <c r="DP7" s="48">
        <v>0.35</v>
      </c>
      <c r="DQ7" s="49">
        <f t="shared" ref="DQ7:DQ9" si="17">(DN7*DO7)*DP7</f>
        <v>16800</v>
      </c>
      <c r="DV7" s="1" t="s">
        <v>67</v>
      </c>
      <c r="DW7" s="1" t="s">
        <v>1</v>
      </c>
      <c r="DX7" s="1">
        <v>16000</v>
      </c>
      <c r="DY7" s="1">
        <v>3</v>
      </c>
      <c r="DZ7" s="50">
        <v>0.38</v>
      </c>
      <c r="EA7" s="49">
        <f t="shared" si="11"/>
        <v>18240</v>
      </c>
      <c r="EB7" s="1"/>
      <c r="EC7" s="1"/>
      <c r="ED7" s="1"/>
      <c r="EF7" s="1" t="s">
        <v>67</v>
      </c>
      <c r="EG7" s="1" t="s">
        <v>1</v>
      </c>
      <c r="EH7" s="1">
        <v>16000</v>
      </c>
      <c r="EI7" s="1">
        <v>3</v>
      </c>
      <c r="EJ7" s="50">
        <v>0.35</v>
      </c>
      <c r="EK7" s="49">
        <f t="shared" si="12"/>
        <v>16800</v>
      </c>
      <c r="EL7" s="1"/>
      <c r="EM7" s="1"/>
      <c r="EN7" s="1"/>
    </row>
    <row r="8" spans="1:144">
      <c r="A8" s="3" t="s">
        <v>287</v>
      </c>
      <c r="B8" s="61">
        <f>'Hemp Processing + Products'!B38</f>
        <v>41700</v>
      </c>
      <c r="J8" s="47"/>
      <c r="K8" s="46"/>
      <c r="O8" s="1"/>
      <c r="T8" s="47" t="s">
        <v>5</v>
      </c>
      <c r="U8" s="46">
        <f>SUM(U3:U7)</f>
        <v>108400</v>
      </c>
      <c r="V8" s="63"/>
      <c r="W8" s="63"/>
      <c r="Z8" t="s">
        <v>67</v>
      </c>
      <c r="AA8" t="s">
        <v>1</v>
      </c>
      <c r="AB8">
        <v>16000</v>
      </c>
      <c r="AC8">
        <v>1</v>
      </c>
      <c r="AD8" s="47">
        <v>0.35</v>
      </c>
      <c r="AE8" s="46">
        <f t="shared" si="1"/>
        <v>5600</v>
      </c>
      <c r="AF8" s="46"/>
      <c r="AN8" s="47" t="s">
        <v>5</v>
      </c>
      <c r="AO8" s="46">
        <f>SUM(AO3:AO7)</f>
        <v>118800</v>
      </c>
      <c r="AP8" s="46"/>
      <c r="AQ8" s="46"/>
      <c r="AT8" t="s">
        <v>67</v>
      </c>
      <c r="AU8" t="s">
        <v>1</v>
      </c>
      <c r="AV8">
        <v>16000</v>
      </c>
      <c r="AW8">
        <v>3</v>
      </c>
      <c r="AX8" s="47">
        <v>0.35</v>
      </c>
      <c r="AY8" s="46">
        <f t="shared" si="3"/>
        <v>16800</v>
      </c>
      <c r="AZ8" s="46"/>
      <c r="BA8" s="46"/>
      <c r="BD8" t="s">
        <v>479</v>
      </c>
      <c r="BE8" t="s">
        <v>0</v>
      </c>
      <c r="BF8">
        <v>30000</v>
      </c>
      <c r="BG8">
        <v>1</v>
      </c>
      <c r="BH8" s="47">
        <v>1</v>
      </c>
      <c r="BI8" s="46">
        <f t="shared" si="4"/>
        <v>30000</v>
      </c>
      <c r="BJ8" s="46"/>
      <c r="BK8" s="46"/>
      <c r="BN8" s="1" t="s">
        <v>135</v>
      </c>
      <c r="BO8" s="1" t="s">
        <v>1</v>
      </c>
      <c r="BP8" s="1">
        <v>30000</v>
      </c>
      <c r="BQ8" s="1">
        <v>2</v>
      </c>
      <c r="BR8" s="48">
        <v>0.35</v>
      </c>
      <c r="BS8" s="49">
        <f t="shared" si="5"/>
        <v>21000</v>
      </c>
      <c r="BT8" s="49"/>
      <c r="BU8" s="49"/>
      <c r="BX8" s="1" t="s">
        <v>134</v>
      </c>
      <c r="BY8" s="1" t="s">
        <v>1</v>
      </c>
      <c r="BZ8" s="1">
        <v>30000</v>
      </c>
      <c r="CA8" s="1">
        <v>2</v>
      </c>
      <c r="CB8" s="48">
        <v>0.4</v>
      </c>
      <c r="CC8" s="49">
        <f t="shared" si="6"/>
        <v>24000</v>
      </c>
      <c r="CH8" s="1" t="s">
        <v>134</v>
      </c>
      <c r="CI8" s="1" t="s">
        <v>1</v>
      </c>
      <c r="CJ8" s="1">
        <v>30000</v>
      </c>
      <c r="CK8" s="1">
        <v>2</v>
      </c>
      <c r="CL8" s="48">
        <v>0.4</v>
      </c>
      <c r="CM8" s="49">
        <f t="shared" si="14"/>
        <v>24000</v>
      </c>
      <c r="CR8" s="1" t="s">
        <v>134</v>
      </c>
      <c r="CS8" s="1" t="s">
        <v>1</v>
      </c>
      <c r="CT8" s="1">
        <v>30000</v>
      </c>
      <c r="CU8" s="1">
        <v>2</v>
      </c>
      <c r="CV8" s="48">
        <v>0.4</v>
      </c>
      <c r="CW8" s="49">
        <f t="shared" si="15"/>
        <v>24000</v>
      </c>
      <c r="DB8" s="1" t="s">
        <v>479</v>
      </c>
      <c r="DC8" s="1" t="s">
        <v>263</v>
      </c>
      <c r="DD8" s="1">
        <v>30000</v>
      </c>
      <c r="DE8" s="1">
        <v>1</v>
      </c>
      <c r="DF8" s="48">
        <v>1</v>
      </c>
      <c r="DG8" s="49">
        <f t="shared" si="16"/>
        <v>30000</v>
      </c>
      <c r="DL8" s="1" t="s">
        <v>480</v>
      </c>
      <c r="DM8" s="1" t="s">
        <v>0</v>
      </c>
      <c r="DN8" s="1">
        <v>30000</v>
      </c>
      <c r="DO8" s="1">
        <v>1</v>
      </c>
      <c r="DP8" s="48">
        <v>1</v>
      </c>
      <c r="DQ8" s="49">
        <f t="shared" si="17"/>
        <v>30000</v>
      </c>
      <c r="DV8" s="1" t="s">
        <v>479</v>
      </c>
      <c r="DW8" s="1" t="s">
        <v>0</v>
      </c>
      <c r="DX8" s="1">
        <v>30000</v>
      </c>
      <c r="DY8" s="1">
        <v>1</v>
      </c>
      <c r="DZ8" s="50">
        <v>1</v>
      </c>
      <c r="EA8" s="49">
        <f t="shared" si="11"/>
        <v>30000</v>
      </c>
      <c r="EB8" s="1"/>
      <c r="EC8" s="1"/>
      <c r="ED8" s="1"/>
      <c r="EF8" s="1" t="s">
        <v>134</v>
      </c>
      <c r="EG8" s="1" t="s">
        <v>1</v>
      </c>
      <c r="EH8" s="1">
        <v>30000</v>
      </c>
      <c r="EI8" s="1">
        <v>0</v>
      </c>
      <c r="EJ8" s="50">
        <v>0.4</v>
      </c>
      <c r="EK8" s="49">
        <f t="shared" si="12"/>
        <v>0</v>
      </c>
      <c r="EL8" s="1"/>
      <c r="EM8" s="1"/>
      <c r="EN8" s="1"/>
    </row>
    <row r="9" spans="1:144">
      <c r="A9" s="3"/>
      <c r="B9" s="61"/>
      <c r="F9" s="1" t="s">
        <v>211</v>
      </c>
      <c r="G9" s="1" t="s">
        <v>217</v>
      </c>
      <c r="H9" s="1" t="s">
        <v>213</v>
      </c>
      <c r="I9" s="1" t="s">
        <v>216</v>
      </c>
      <c r="J9" s="1" t="s">
        <v>219</v>
      </c>
      <c r="K9" s="50" t="s">
        <v>165</v>
      </c>
      <c r="L9" s="1" t="s">
        <v>218</v>
      </c>
      <c r="M9" s="1" t="s">
        <v>142</v>
      </c>
      <c r="N9" s="1" t="s">
        <v>3</v>
      </c>
      <c r="O9" s="61"/>
      <c r="T9" s="47"/>
      <c r="U9" s="46"/>
      <c r="V9" s="63"/>
      <c r="W9" s="63"/>
      <c r="Y9" s="1"/>
      <c r="AD9" t="s">
        <v>5</v>
      </c>
      <c r="AE9" s="63">
        <f>SUM(AE3:AE8)</f>
        <v>98400</v>
      </c>
      <c r="AI9" s="1"/>
      <c r="AN9" s="47"/>
      <c r="AO9" s="46"/>
      <c r="AP9" s="46"/>
      <c r="AQ9" s="46"/>
      <c r="AS9" s="1"/>
      <c r="AX9" s="47" t="s">
        <v>5</v>
      </c>
      <c r="AY9" s="46">
        <f>SUM(AY3:AY8)</f>
        <v>135200</v>
      </c>
      <c r="AZ9" s="46"/>
      <c r="BA9" s="46"/>
      <c r="BC9" s="1"/>
      <c r="BH9" s="47" t="s">
        <v>5</v>
      </c>
      <c r="BI9" s="46">
        <f>SUM(BI3:BI8)</f>
        <v>132000</v>
      </c>
      <c r="BJ9" s="46"/>
      <c r="BK9" s="46"/>
      <c r="BM9" s="1"/>
      <c r="BN9" s="1"/>
      <c r="BO9" s="1"/>
      <c r="BP9" s="1"/>
      <c r="BQ9" s="1"/>
      <c r="BR9" s="48"/>
      <c r="BS9" s="49">
        <f>SUM(BS3:BS8)</f>
        <v>163000</v>
      </c>
      <c r="BT9" s="49"/>
      <c r="BU9" s="49"/>
      <c r="BX9" s="1" t="s">
        <v>479</v>
      </c>
      <c r="BY9" s="1" t="s">
        <v>263</v>
      </c>
      <c r="BZ9" s="1">
        <v>30000</v>
      </c>
      <c r="CA9" s="1">
        <v>1</v>
      </c>
      <c r="CB9" s="48">
        <v>1</v>
      </c>
      <c r="CC9" s="49">
        <f t="shared" si="6"/>
        <v>30000</v>
      </c>
      <c r="CH9" s="1"/>
      <c r="CI9" s="1"/>
      <c r="CJ9" s="1"/>
      <c r="CK9" s="1"/>
      <c r="CL9" s="48"/>
      <c r="CM9" s="49">
        <f>SUM(CM3:CM8)</f>
        <v>140800</v>
      </c>
      <c r="CR9" s="1" t="s">
        <v>479</v>
      </c>
      <c r="CS9" s="1" t="s">
        <v>263</v>
      </c>
      <c r="CT9" s="1">
        <v>30000</v>
      </c>
      <c r="CU9" s="1">
        <v>1</v>
      </c>
      <c r="CV9" s="48">
        <v>1</v>
      </c>
      <c r="CW9" s="49">
        <f t="shared" si="15"/>
        <v>30000</v>
      </c>
      <c r="DB9" s="1"/>
      <c r="DC9" s="1"/>
      <c r="DD9" s="1"/>
      <c r="DE9" s="1"/>
      <c r="DF9" s="48"/>
      <c r="DG9" s="49">
        <f>SUM(DG3:DG8)</f>
        <v>146800</v>
      </c>
      <c r="DL9" s="1" t="s">
        <v>134</v>
      </c>
      <c r="DM9" s="1" t="s">
        <v>1</v>
      </c>
      <c r="DN9" s="1">
        <v>30000</v>
      </c>
      <c r="DO9" s="1">
        <v>0</v>
      </c>
      <c r="DP9" s="48">
        <v>0.4</v>
      </c>
      <c r="DQ9" s="49">
        <f t="shared" si="17"/>
        <v>0</v>
      </c>
      <c r="DV9" s="1" t="s">
        <v>134</v>
      </c>
      <c r="DW9" s="1" t="s">
        <v>1</v>
      </c>
      <c r="DX9" s="1">
        <v>30000</v>
      </c>
      <c r="DY9" s="1">
        <v>0</v>
      </c>
      <c r="DZ9" s="50">
        <v>0.38</v>
      </c>
      <c r="EA9" s="49">
        <f t="shared" si="11"/>
        <v>0</v>
      </c>
      <c r="EB9" s="1"/>
      <c r="EC9" s="1"/>
      <c r="ED9" s="1"/>
      <c r="EF9" s="1" t="s">
        <v>479</v>
      </c>
      <c r="EG9" s="1" t="s">
        <v>263</v>
      </c>
      <c r="EH9" s="1">
        <v>30000</v>
      </c>
      <c r="EI9" s="1">
        <v>1</v>
      </c>
      <c r="EJ9" s="50">
        <v>1</v>
      </c>
      <c r="EK9" s="49">
        <f t="shared" si="12"/>
        <v>30000</v>
      </c>
      <c r="EL9" s="1"/>
      <c r="EM9" s="1"/>
      <c r="EN9" s="1"/>
    </row>
    <row r="10" spans="1:144">
      <c r="A10" s="3" t="s">
        <v>194</v>
      </c>
      <c r="B10" t="s">
        <v>195</v>
      </c>
      <c r="C10" t="s">
        <v>196</v>
      </c>
      <c r="D10" t="s">
        <v>197</v>
      </c>
      <c r="F10" s="1" t="s">
        <v>212</v>
      </c>
      <c r="G10" s="1" t="s">
        <v>0</v>
      </c>
      <c r="H10" s="1">
        <v>1200</v>
      </c>
      <c r="I10" s="1">
        <v>2</v>
      </c>
      <c r="J10" s="50">
        <v>11</v>
      </c>
      <c r="K10" s="50">
        <f>H10*J10</f>
        <v>13200</v>
      </c>
      <c r="L10" s="50">
        <v>6</v>
      </c>
      <c r="M10" s="50">
        <f>H10*L10</f>
        <v>7200</v>
      </c>
      <c r="N10" s="61">
        <f>K10-M10</f>
        <v>6000</v>
      </c>
      <c r="O10" s="61"/>
      <c r="P10" s="1" t="s">
        <v>211</v>
      </c>
      <c r="Q10" s="1" t="s">
        <v>217</v>
      </c>
      <c r="R10" s="1" t="s">
        <v>254</v>
      </c>
      <c r="S10" s="1" t="s">
        <v>216</v>
      </c>
      <c r="T10" s="1" t="s">
        <v>219</v>
      </c>
      <c r="U10" s="50" t="s">
        <v>165</v>
      </c>
      <c r="V10" s="1" t="s">
        <v>218</v>
      </c>
      <c r="W10" s="1" t="s">
        <v>142</v>
      </c>
      <c r="X10" s="1" t="s">
        <v>3</v>
      </c>
      <c r="Y10" s="61"/>
      <c r="AE10" s="63"/>
      <c r="AI10" s="50"/>
      <c r="AJ10" s="1" t="s">
        <v>211</v>
      </c>
      <c r="AK10" s="1" t="s">
        <v>217</v>
      </c>
      <c r="AL10" s="1" t="s">
        <v>213</v>
      </c>
      <c r="AM10" s="1" t="s">
        <v>216</v>
      </c>
      <c r="AN10" s="1" t="s">
        <v>219</v>
      </c>
      <c r="AO10" s="50" t="s">
        <v>165</v>
      </c>
      <c r="AP10" s="1" t="s">
        <v>218</v>
      </c>
      <c r="AQ10" s="1" t="s">
        <v>142</v>
      </c>
      <c r="AR10" s="1" t="s">
        <v>3</v>
      </c>
      <c r="AS10" s="61"/>
      <c r="AX10" s="47"/>
      <c r="AY10" s="46"/>
      <c r="AZ10" s="46"/>
      <c r="BA10" s="46"/>
      <c r="BC10" s="61"/>
      <c r="BH10" s="47"/>
      <c r="BI10" s="46"/>
      <c r="BJ10" s="46"/>
      <c r="BK10" s="46"/>
      <c r="BM10" s="61"/>
      <c r="BN10" s="1"/>
      <c r="BO10" s="1"/>
      <c r="BP10" s="1"/>
      <c r="BQ10" s="1"/>
      <c r="BR10" s="48"/>
      <c r="BS10" s="49"/>
      <c r="BT10" s="49"/>
      <c r="BU10" s="49"/>
      <c r="BX10" s="1"/>
      <c r="BY10" s="1"/>
      <c r="BZ10" s="1"/>
      <c r="CA10" s="1"/>
      <c r="CB10" s="48"/>
      <c r="CC10" s="49">
        <f>SUM(CC3:CC9)</f>
        <v>170800</v>
      </c>
      <c r="CL10" s="47"/>
      <c r="CR10" s="1"/>
      <c r="CS10" s="1"/>
      <c r="CT10" s="1"/>
      <c r="CU10" s="1"/>
      <c r="CV10" s="48"/>
      <c r="CW10" s="49">
        <f>SUM(CW3:CW9)</f>
        <v>170800</v>
      </c>
      <c r="DF10" s="47"/>
      <c r="DL10" s="1"/>
      <c r="DM10" s="1"/>
      <c r="DN10" s="1"/>
      <c r="DO10" s="1"/>
      <c r="DP10" s="48"/>
      <c r="DQ10" s="49">
        <f>SUM(DQ3:DQ9)</f>
        <v>146800</v>
      </c>
      <c r="DV10" s="1"/>
      <c r="DW10" s="1"/>
      <c r="DX10" s="1"/>
      <c r="DY10" s="1"/>
      <c r="DZ10" s="50"/>
      <c r="EA10" s="49">
        <f>SUM(EA3:EA9)</f>
        <v>135640</v>
      </c>
      <c r="EB10" s="1"/>
      <c r="EC10" s="1"/>
      <c r="ED10" s="1"/>
      <c r="EF10" s="1"/>
      <c r="EG10" s="1"/>
      <c r="EH10" s="1"/>
      <c r="EI10" s="1"/>
      <c r="EJ10" s="50"/>
      <c r="EK10" s="49">
        <f>SUM(EK3:EK9)</f>
        <v>146800</v>
      </c>
      <c r="EL10" s="1"/>
      <c r="EM10" s="1"/>
      <c r="EN10" s="1"/>
    </row>
    <row r="11" spans="1:144">
      <c r="A11" s="3" t="s">
        <v>0</v>
      </c>
      <c r="B11" s="62">
        <f>'Hemp Processing + Products'!H14</f>
        <v>140568.47545219638</v>
      </c>
      <c r="C11" s="61">
        <f>'Hemp Processing + Products'!B43</f>
        <v>0.5</v>
      </c>
      <c r="D11" s="46">
        <f>B11*C11</f>
        <v>70284.237726098188</v>
      </c>
      <c r="F11" s="1" t="s">
        <v>237</v>
      </c>
      <c r="G11" s="1" t="s">
        <v>0</v>
      </c>
      <c r="H11" s="1">
        <v>200</v>
      </c>
      <c r="I11" s="1">
        <v>2</v>
      </c>
      <c r="J11" s="50">
        <v>27</v>
      </c>
      <c r="K11" s="50">
        <f>H11*J11</f>
        <v>5400</v>
      </c>
      <c r="L11" s="50">
        <v>16</v>
      </c>
      <c r="M11" s="50">
        <f>H11*L11</f>
        <v>3200</v>
      </c>
      <c r="N11" s="61">
        <f t="shared" ref="N11:N12" si="18">K11-M11</f>
        <v>2200</v>
      </c>
      <c r="O11" s="61"/>
      <c r="P11" s="1" t="s">
        <v>212</v>
      </c>
      <c r="Q11" s="1" t="s">
        <v>0</v>
      </c>
      <c r="R11" s="1">
        <v>200</v>
      </c>
      <c r="S11" s="1">
        <v>2</v>
      </c>
      <c r="T11" s="50">
        <v>11</v>
      </c>
      <c r="U11" s="50">
        <f>R11*T11</f>
        <v>2200</v>
      </c>
      <c r="V11" s="50">
        <v>6</v>
      </c>
      <c r="W11" s="50">
        <f>R11*V11</f>
        <v>1200</v>
      </c>
      <c r="X11" s="61">
        <f>U11-W11</f>
        <v>1000</v>
      </c>
      <c r="Y11" s="61"/>
      <c r="Z11" s="1" t="s">
        <v>211</v>
      </c>
      <c r="AA11" s="1" t="s">
        <v>217</v>
      </c>
      <c r="AB11" s="1" t="s">
        <v>213</v>
      </c>
      <c r="AC11" s="1" t="s">
        <v>216</v>
      </c>
      <c r="AD11" s="1" t="s">
        <v>219</v>
      </c>
      <c r="AE11" s="50" t="s">
        <v>165</v>
      </c>
      <c r="AF11" s="1" t="s">
        <v>218</v>
      </c>
      <c r="AG11" s="1" t="s">
        <v>142</v>
      </c>
      <c r="AH11" s="1" t="s">
        <v>3</v>
      </c>
      <c r="AI11" s="50"/>
      <c r="AJ11" s="1" t="s">
        <v>212</v>
      </c>
      <c r="AK11" s="1" t="s">
        <v>0</v>
      </c>
      <c r="AL11" s="1">
        <v>200</v>
      </c>
      <c r="AM11" s="1">
        <v>2</v>
      </c>
      <c r="AN11" s="50">
        <v>11</v>
      </c>
      <c r="AO11" s="50">
        <f>AL11*AN11</f>
        <v>2200</v>
      </c>
      <c r="AS11" s="61"/>
      <c r="AT11" s="1" t="s">
        <v>211</v>
      </c>
      <c r="AU11" s="1" t="s">
        <v>217</v>
      </c>
      <c r="AV11" s="1" t="s">
        <v>213</v>
      </c>
      <c r="AW11" s="1" t="s">
        <v>216</v>
      </c>
      <c r="AX11" s="1" t="s">
        <v>219</v>
      </c>
      <c r="AY11" s="50" t="s">
        <v>165</v>
      </c>
      <c r="AZ11" s="1" t="s">
        <v>218</v>
      </c>
      <c r="BA11" s="1" t="s">
        <v>142</v>
      </c>
      <c r="BB11" s="1" t="s">
        <v>3</v>
      </c>
      <c r="BC11" s="61"/>
      <c r="BD11" s="1" t="s">
        <v>211</v>
      </c>
      <c r="BE11" s="1" t="s">
        <v>217</v>
      </c>
      <c r="BF11" s="1" t="s">
        <v>213</v>
      </c>
      <c r="BG11" s="1" t="s">
        <v>216</v>
      </c>
      <c r="BH11" s="1" t="s">
        <v>219</v>
      </c>
      <c r="BI11" s="50" t="s">
        <v>165</v>
      </c>
      <c r="BJ11" s="1" t="s">
        <v>218</v>
      </c>
      <c r="BK11" s="1" t="s">
        <v>142</v>
      </c>
      <c r="BL11" s="1" t="s">
        <v>3</v>
      </c>
      <c r="BM11" s="61"/>
      <c r="BN11" s="1" t="s">
        <v>211</v>
      </c>
      <c r="BO11" s="1" t="s">
        <v>217</v>
      </c>
      <c r="BP11" s="1" t="s">
        <v>213</v>
      </c>
      <c r="BQ11" s="1" t="s">
        <v>216</v>
      </c>
      <c r="BR11" s="48" t="s">
        <v>219</v>
      </c>
      <c r="BS11" s="50" t="s">
        <v>165</v>
      </c>
      <c r="BT11" s="1" t="s">
        <v>218</v>
      </c>
      <c r="BU11" s="1" t="s">
        <v>142</v>
      </c>
      <c r="BV11" s="1" t="s">
        <v>3</v>
      </c>
      <c r="CH11" s="1" t="s">
        <v>211</v>
      </c>
      <c r="CI11" s="1" t="s">
        <v>217</v>
      </c>
      <c r="CJ11" s="1" t="s">
        <v>213</v>
      </c>
      <c r="CK11" s="1" t="s">
        <v>216</v>
      </c>
      <c r="CL11" s="48" t="s">
        <v>219</v>
      </c>
      <c r="CM11" s="50" t="s">
        <v>165</v>
      </c>
      <c r="CN11" s="1" t="s">
        <v>218</v>
      </c>
      <c r="CO11" s="1" t="s">
        <v>142</v>
      </c>
      <c r="CP11" s="1" t="s">
        <v>3</v>
      </c>
      <c r="CV11" s="47"/>
      <c r="DB11" s="1" t="s">
        <v>211</v>
      </c>
      <c r="DC11" s="1" t="s">
        <v>217</v>
      </c>
      <c r="DD11" s="1" t="s">
        <v>213</v>
      </c>
      <c r="DE11" s="1" t="s">
        <v>216</v>
      </c>
      <c r="DF11" s="48" t="s">
        <v>219</v>
      </c>
      <c r="DG11" s="50" t="s">
        <v>165</v>
      </c>
      <c r="DH11" s="1" t="s">
        <v>218</v>
      </c>
      <c r="DI11" s="1" t="s">
        <v>142</v>
      </c>
      <c r="DJ11" s="1" t="s">
        <v>3</v>
      </c>
      <c r="DP11" s="47"/>
      <c r="DR11" s="1" t="s">
        <v>218</v>
      </c>
      <c r="DS11" s="1" t="s">
        <v>142</v>
      </c>
      <c r="DT11" s="1" t="s">
        <v>3</v>
      </c>
      <c r="DV11" s="1"/>
      <c r="DW11" s="1"/>
      <c r="DX11" s="1"/>
      <c r="DY11" s="1"/>
      <c r="DZ11" s="50"/>
      <c r="EA11" s="1"/>
      <c r="EB11" s="1"/>
      <c r="EC11" s="1"/>
      <c r="ED11" s="1"/>
      <c r="EF11" s="1"/>
      <c r="EG11" s="1"/>
      <c r="EH11" s="1"/>
      <c r="EI11" s="1"/>
      <c r="EJ11" s="50"/>
      <c r="EK11" s="1"/>
      <c r="EL11" s="1"/>
      <c r="EM11" s="1"/>
      <c r="EN11" s="1"/>
    </row>
    <row r="12" spans="1:144">
      <c r="A12" s="3" t="s">
        <v>133</v>
      </c>
      <c r="B12" s="62">
        <f>'Hemp Processing + Products'!H15</f>
        <v>289405.68475452199</v>
      </c>
      <c r="C12" s="61">
        <f>'Hemp Processing + Products'!D15</f>
        <v>0.38</v>
      </c>
      <c r="D12" s="46">
        <f>B12*C12</f>
        <v>109974.16020671836</v>
      </c>
      <c r="F12" s="1" t="s">
        <v>238</v>
      </c>
      <c r="G12" s="1" t="s">
        <v>1</v>
      </c>
      <c r="H12" s="1">
        <v>50</v>
      </c>
      <c r="I12" s="1">
        <v>30</v>
      </c>
      <c r="J12" s="50">
        <v>20</v>
      </c>
      <c r="K12" s="50">
        <f>H12*J12</f>
        <v>1000</v>
      </c>
      <c r="L12" s="50">
        <v>14</v>
      </c>
      <c r="M12" s="50">
        <f>H12*L12</f>
        <v>700</v>
      </c>
      <c r="N12" s="61">
        <f t="shared" si="18"/>
        <v>300</v>
      </c>
      <c r="O12" s="61"/>
      <c r="P12" s="1" t="s">
        <v>252</v>
      </c>
      <c r="Q12" s="1" t="s">
        <v>0</v>
      </c>
      <c r="R12" s="1">
        <v>1000</v>
      </c>
      <c r="S12" s="1">
        <v>2</v>
      </c>
      <c r="T12" s="50">
        <v>27</v>
      </c>
      <c r="U12" s="50">
        <f>R12*T12</f>
        <v>27000</v>
      </c>
      <c r="V12" s="50">
        <v>14</v>
      </c>
      <c r="W12" s="50">
        <f>R12*V12</f>
        <v>14000</v>
      </c>
      <c r="X12" s="61">
        <f t="shared" ref="X12:X15" si="19">U12-W12</f>
        <v>13000</v>
      </c>
      <c r="Y12" s="61"/>
      <c r="Z12" s="1" t="s">
        <v>212</v>
      </c>
      <c r="AA12" s="1" t="s">
        <v>0</v>
      </c>
      <c r="AB12" s="1">
        <v>1200</v>
      </c>
      <c r="AC12" s="1">
        <v>2</v>
      </c>
      <c r="AD12" s="50">
        <v>11</v>
      </c>
      <c r="AE12" s="50">
        <f t="shared" ref="AE12:AE17" si="20">AB12*AD12</f>
        <v>13200</v>
      </c>
      <c r="AF12" s="50">
        <v>6</v>
      </c>
      <c r="AG12" s="50">
        <f>AF12*AB12</f>
        <v>7200</v>
      </c>
      <c r="AH12" s="50">
        <f>AE12-AG12</f>
        <v>6000</v>
      </c>
      <c r="AI12" s="50"/>
      <c r="AJ12" s="1" t="s">
        <v>288</v>
      </c>
      <c r="AK12" s="1" t="s">
        <v>0</v>
      </c>
      <c r="AL12" s="1">
        <v>3000</v>
      </c>
      <c r="AM12" s="1">
        <v>2</v>
      </c>
      <c r="AN12" s="50">
        <v>27</v>
      </c>
      <c r="AO12" s="50">
        <f t="shared" ref="AO12:AO18" si="21">AL12*AN12</f>
        <v>81000</v>
      </c>
      <c r="AP12" s="50">
        <v>6</v>
      </c>
      <c r="AQ12" s="50">
        <f>AP12*AL11</f>
        <v>1200</v>
      </c>
      <c r="AR12" s="61">
        <f t="shared" ref="AR12:AR16" si="22">AO11-AQ12</f>
        <v>1000</v>
      </c>
      <c r="AS12" s="61"/>
      <c r="AT12" t="s">
        <v>212</v>
      </c>
      <c r="AU12" s="1" t="s">
        <v>0</v>
      </c>
      <c r="AV12" s="1">
        <v>1200</v>
      </c>
      <c r="AW12" s="1">
        <v>2</v>
      </c>
      <c r="AX12" s="50">
        <v>11</v>
      </c>
      <c r="AY12" s="50">
        <f t="shared" ref="AY12:AY18" si="23">AV12*AX12</f>
        <v>13200</v>
      </c>
      <c r="AZ12" s="50">
        <v>6</v>
      </c>
      <c r="BA12" s="50">
        <f>AZ12*AV12</f>
        <v>7200</v>
      </c>
      <c r="BB12" s="61">
        <f>SUM(AY12-BA12)</f>
        <v>6000</v>
      </c>
      <c r="BC12" s="61"/>
      <c r="BD12" s="1" t="s">
        <v>212</v>
      </c>
      <c r="BE12" s="1" t="s">
        <v>0</v>
      </c>
      <c r="BF12" s="1">
        <v>200</v>
      </c>
      <c r="BG12" s="1">
        <v>2</v>
      </c>
      <c r="BH12" s="50">
        <v>11</v>
      </c>
      <c r="BI12" s="50">
        <f>BF12*BH12</f>
        <v>2200</v>
      </c>
      <c r="BJ12" s="50">
        <v>6</v>
      </c>
      <c r="BK12" s="50">
        <f>BJ12*BF12</f>
        <v>1200</v>
      </c>
      <c r="BL12" s="61">
        <f>BI12-BK12</f>
        <v>1000</v>
      </c>
      <c r="BM12" s="61"/>
      <c r="BN12" s="1" t="s">
        <v>212</v>
      </c>
      <c r="BO12" s="1" t="s">
        <v>0</v>
      </c>
      <c r="BP12" s="1">
        <v>1200</v>
      </c>
      <c r="BQ12" s="1">
        <v>2</v>
      </c>
      <c r="BR12" s="48">
        <v>11</v>
      </c>
      <c r="BS12" s="50">
        <f>BP12*BR12</f>
        <v>13200</v>
      </c>
      <c r="BT12" s="50">
        <v>6</v>
      </c>
      <c r="BU12" s="50">
        <f>BT12*BP12</f>
        <v>7200</v>
      </c>
      <c r="BV12" s="61">
        <f>BS12-BU12</f>
        <v>6000</v>
      </c>
      <c r="BX12" s="1" t="s">
        <v>211</v>
      </c>
      <c r="BY12" s="1" t="s">
        <v>217</v>
      </c>
      <c r="BZ12" s="1" t="s">
        <v>213</v>
      </c>
      <c r="CA12" s="1" t="s">
        <v>216</v>
      </c>
      <c r="CB12" s="48" t="s">
        <v>219</v>
      </c>
      <c r="CC12" s="50" t="s">
        <v>165</v>
      </c>
      <c r="CD12" s="1" t="s">
        <v>218</v>
      </c>
      <c r="CE12" s="1" t="s">
        <v>142</v>
      </c>
      <c r="CF12" s="1" t="s">
        <v>3</v>
      </c>
      <c r="CH12" s="1" t="s">
        <v>212</v>
      </c>
      <c r="CI12" s="1" t="s">
        <v>0</v>
      </c>
      <c r="CJ12" s="1">
        <v>200</v>
      </c>
      <c r="CK12" s="1">
        <v>2</v>
      </c>
      <c r="CL12" s="48">
        <v>11</v>
      </c>
      <c r="CM12" s="50">
        <f>CJ12*CL12</f>
        <v>2200</v>
      </c>
      <c r="CN12" s="50">
        <v>6</v>
      </c>
      <c r="CO12" s="50">
        <f>CN12*CJ12</f>
        <v>1200</v>
      </c>
      <c r="CP12" s="61">
        <f>CM12-CO12</f>
        <v>1000</v>
      </c>
      <c r="CR12" s="1" t="s">
        <v>211</v>
      </c>
      <c r="CS12" s="1" t="s">
        <v>217</v>
      </c>
      <c r="CT12" s="1" t="s">
        <v>213</v>
      </c>
      <c r="CU12" s="1" t="s">
        <v>216</v>
      </c>
      <c r="CV12" s="48" t="s">
        <v>219</v>
      </c>
      <c r="CW12" s="50" t="s">
        <v>165</v>
      </c>
      <c r="CX12" s="1" t="s">
        <v>218</v>
      </c>
      <c r="CY12" s="1" t="s">
        <v>142</v>
      </c>
      <c r="CZ12" s="1" t="s">
        <v>3</v>
      </c>
      <c r="DB12" s="1" t="s">
        <v>212</v>
      </c>
      <c r="DC12" s="1" t="s">
        <v>0</v>
      </c>
      <c r="DD12" s="1">
        <v>200</v>
      </c>
      <c r="DE12" s="1">
        <v>2</v>
      </c>
      <c r="DF12" s="48">
        <v>11</v>
      </c>
      <c r="DG12" s="50">
        <f>DD12*DF12</f>
        <v>2200</v>
      </c>
      <c r="DH12" s="50">
        <v>6</v>
      </c>
      <c r="DI12" s="50">
        <f>DH12*DD12</f>
        <v>1200</v>
      </c>
      <c r="DJ12" s="61">
        <f>DG12-DI12</f>
        <v>1000</v>
      </c>
      <c r="DL12" s="1" t="s">
        <v>211</v>
      </c>
      <c r="DM12" s="1" t="s">
        <v>217</v>
      </c>
      <c r="DN12" s="1" t="s">
        <v>213</v>
      </c>
      <c r="DO12" s="1" t="s">
        <v>216</v>
      </c>
      <c r="DP12" s="48" t="s">
        <v>219</v>
      </c>
      <c r="DQ12" s="50" t="s">
        <v>165</v>
      </c>
      <c r="DR12" s="50">
        <v>6</v>
      </c>
      <c r="DS12" s="50">
        <f>DR12*DN13</f>
        <v>1200</v>
      </c>
      <c r="DT12" s="61">
        <f t="shared" ref="DT12:DT18" si="24">DQ13-DS12</f>
        <v>1000</v>
      </c>
      <c r="DV12" s="1" t="s">
        <v>211</v>
      </c>
      <c r="DW12" s="1" t="s">
        <v>217</v>
      </c>
      <c r="DX12" s="1" t="s">
        <v>213</v>
      </c>
      <c r="DY12" s="1" t="s">
        <v>216</v>
      </c>
      <c r="DZ12" s="50" t="s">
        <v>296</v>
      </c>
      <c r="EA12" s="50" t="s">
        <v>297</v>
      </c>
      <c r="EB12" s="1" t="s">
        <v>218</v>
      </c>
      <c r="EC12" s="1" t="s">
        <v>142</v>
      </c>
      <c r="ED12" s="1" t="s">
        <v>3</v>
      </c>
      <c r="EF12" s="1" t="s">
        <v>211</v>
      </c>
      <c r="EG12" s="1" t="s">
        <v>217</v>
      </c>
      <c r="EH12" s="1" t="s">
        <v>213</v>
      </c>
      <c r="EI12" s="1" t="s">
        <v>216</v>
      </c>
      <c r="EJ12" s="50" t="s">
        <v>296</v>
      </c>
      <c r="EK12" s="50" t="s">
        <v>297</v>
      </c>
      <c r="EL12" s="1" t="s">
        <v>218</v>
      </c>
      <c r="EM12" s="1" t="s">
        <v>142</v>
      </c>
      <c r="EN12" s="1" t="s">
        <v>3</v>
      </c>
    </row>
    <row r="13" spans="1:144">
      <c r="A13" s="3" t="s">
        <v>12</v>
      </c>
      <c r="B13" s="62">
        <f>'Hemp Processing + Products'!H16</f>
        <v>107493.54005167959</v>
      </c>
      <c r="C13" s="61">
        <f>'Hemp Processing + Products'!D16</f>
        <v>0.3</v>
      </c>
      <c r="D13" s="46">
        <f>B13*C13</f>
        <v>32248.062015503878</v>
      </c>
      <c r="F13" s="1"/>
      <c r="G13" s="1"/>
      <c r="H13" s="1"/>
      <c r="I13" s="1"/>
      <c r="J13" s="50"/>
      <c r="K13" s="61">
        <f t="shared" ref="K13:M13" si="25">SUM(K10:K12)</f>
        <v>19600</v>
      </c>
      <c r="L13" s="61"/>
      <c r="M13" s="61">
        <f t="shared" si="25"/>
        <v>11100</v>
      </c>
      <c r="N13" s="61">
        <f>SUM(N10:N12)</f>
        <v>8500</v>
      </c>
      <c r="O13" s="61"/>
      <c r="P13" s="1" t="s">
        <v>66</v>
      </c>
      <c r="Q13" s="1" t="s">
        <v>1</v>
      </c>
      <c r="R13" s="1">
        <v>1000</v>
      </c>
      <c r="S13" s="1">
        <v>30</v>
      </c>
      <c r="T13" s="50">
        <v>19</v>
      </c>
      <c r="U13" s="50">
        <f>R13*T13</f>
        <v>19000</v>
      </c>
      <c r="V13" s="50">
        <v>14</v>
      </c>
      <c r="W13" s="50">
        <f>R13*V13</f>
        <v>14000</v>
      </c>
      <c r="X13" s="61">
        <f t="shared" si="19"/>
        <v>5000</v>
      </c>
      <c r="Y13" s="61"/>
      <c r="Z13" s="1" t="s">
        <v>261</v>
      </c>
      <c r="AA13" s="1" t="s">
        <v>0</v>
      </c>
      <c r="AB13" s="1">
        <v>400</v>
      </c>
      <c r="AC13" s="1">
        <v>2</v>
      </c>
      <c r="AD13" s="50">
        <v>27</v>
      </c>
      <c r="AE13" s="50">
        <f t="shared" si="20"/>
        <v>10800</v>
      </c>
      <c r="AF13" s="50">
        <v>12</v>
      </c>
      <c r="AG13" s="50">
        <f>AF13*AB13</f>
        <v>4800</v>
      </c>
      <c r="AH13" s="50">
        <f t="shared" ref="AH13:AH17" si="26">AE13-AG13</f>
        <v>6000</v>
      </c>
      <c r="AI13" s="61"/>
      <c r="AJ13" s="1" t="s">
        <v>66</v>
      </c>
      <c r="AK13" s="1" t="s">
        <v>1</v>
      </c>
      <c r="AL13" s="1">
        <v>1000</v>
      </c>
      <c r="AM13" s="1">
        <v>30</v>
      </c>
      <c r="AN13" s="50">
        <v>19</v>
      </c>
      <c r="AO13" s="50">
        <f t="shared" si="21"/>
        <v>19000</v>
      </c>
      <c r="AP13" s="50">
        <v>12</v>
      </c>
      <c r="AQ13" s="50">
        <f>AL12*AP13</f>
        <v>36000</v>
      </c>
      <c r="AR13" s="61">
        <f t="shared" si="22"/>
        <v>45000</v>
      </c>
      <c r="AS13" s="61"/>
      <c r="AT13" t="s">
        <v>237</v>
      </c>
      <c r="AU13" s="1" t="s">
        <v>0</v>
      </c>
      <c r="AV13" s="1">
        <v>1000</v>
      </c>
      <c r="AW13" s="1">
        <v>2</v>
      </c>
      <c r="AX13" s="50">
        <v>27</v>
      </c>
      <c r="AY13" s="50">
        <f t="shared" si="23"/>
        <v>27000</v>
      </c>
      <c r="AZ13" s="50">
        <v>12</v>
      </c>
      <c r="BA13" s="50">
        <f t="shared" ref="BA13:BA18" si="27">AV13*AZ13</f>
        <v>12000</v>
      </c>
      <c r="BB13" s="61">
        <f t="shared" ref="BB13:BB17" si="28">SUM(AY13-BA13)</f>
        <v>15000</v>
      </c>
      <c r="BC13" s="61"/>
      <c r="BD13" s="1" t="s">
        <v>289</v>
      </c>
      <c r="BE13" s="1" t="s">
        <v>0</v>
      </c>
      <c r="BF13" s="1">
        <v>2000</v>
      </c>
      <c r="BG13" s="1">
        <v>2</v>
      </c>
      <c r="BH13" s="50">
        <v>27</v>
      </c>
      <c r="BI13" s="50">
        <f>BF13*BH13</f>
        <v>54000</v>
      </c>
      <c r="BJ13" s="50">
        <v>12</v>
      </c>
      <c r="BK13" s="50">
        <f>BF13*BJ13</f>
        <v>24000</v>
      </c>
      <c r="BL13" s="61">
        <f t="shared" ref="BL13:BL18" si="29">BI13-BK13</f>
        <v>30000</v>
      </c>
      <c r="BM13" s="61"/>
      <c r="BN13" s="1" t="s">
        <v>228</v>
      </c>
      <c r="BO13" s="1" t="s">
        <v>0</v>
      </c>
      <c r="BP13" s="1">
        <v>2000</v>
      </c>
      <c r="BQ13" s="1">
        <v>2</v>
      </c>
      <c r="BR13" s="48">
        <v>27</v>
      </c>
      <c r="BS13" s="50">
        <f>BP13*BR13</f>
        <v>54000</v>
      </c>
      <c r="BT13" s="50">
        <v>12</v>
      </c>
      <c r="BU13" s="50">
        <f>BP13*BT13</f>
        <v>24000</v>
      </c>
      <c r="BV13" s="61">
        <f t="shared" ref="BV13:BV18" si="30">BS13-BU13</f>
        <v>30000</v>
      </c>
      <c r="BX13" s="1" t="s">
        <v>212</v>
      </c>
      <c r="BY13" s="1" t="s">
        <v>0</v>
      </c>
      <c r="BZ13" s="1">
        <v>200</v>
      </c>
      <c r="CA13" s="1">
        <v>2</v>
      </c>
      <c r="CB13" s="48">
        <v>11</v>
      </c>
      <c r="CC13" s="50">
        <f>BZ13*CB13</f>
        <v>2200</v>
      </c>
      <c r="CD13" s="50">
        <v>6</v>
      </c>
      <c r="CE13" s="50">
        <f>CD13*BZ13</f>
        <v>1200</v>
      </c>
      <c r="CF13" s="61">
        <f>CC13-CE13</f>
        <v>1000</v>
      </c>
      <c r="CH13" s="1" t="s">
        <v>228</v>
      </c>
      <c r="CI13" s="1" t="s">
        <v>0</v>
      </c>
      <c r="CJ13" s="1">
        <v>2000</v>
      </c>
      <c r="CK13" s="1">
        <v>2</v>
      </c>
      <c r="CL13" s="48">
        <v>27</v>
      </c>
      <c r="CM13" s="50">
        <f>CJ13*CL13</f>
        <v>54000</v>
      </c>
      <c r="CN13" s="50">
        <v>12</v>
      </c>
      <c r="CO13" s="50">
        <f>CN13*CJ13</f>
        <v>24000</v>
      </c>
      <c r="CP13" s="61">
        <f t="shared" ref="CP13:CP17" si="31">CM13-CO13</f>
        <v>30000</v>
      </c>
      <c r="CR13" s="1" t="s">
        <v>212</v>
      </c>
      <c r="CS13" s="1" t="s">
        <v>0</v>
      </c>
      <c r="CT13" s="1">
        <v>200</v>
      </c>
      <c r="CU13" s="1">
        <v>2</v>
      </c>
      <c r="CV13" s="48">
        <v>11</v>
      </c>
      <c r="CW13" s="50">
        <f>CT13*CV13</f>
        <v>2200</v>
      </c>
      <c r="CX13" s="50">
        <v>6</v>
      </c>
      <c r="CY13" s="50">
        <f>CX13*CT13</f>
        <v>1200</v>
      </c>
      <c r="CZ13" s="61">
        <f>CW13-CY13</f>
        <v>1000</v>
      </c>
      <c r="DB13" s="1" t="s">
        <v>228</v>
      </c>
      <c r="DC13" s="1" t="s">
        <v>0</v>
      </c>
      <c r="DD13" s="1">
        <v>2000</v>
      </c>
      <c r="DE13" s="1">
        <v>2</v>
      </c>
      <c r="DF13" s="48">
        <v>27</v>
      </c>
      <c r="DG13" s="50">
        <f>DD13*DF13</f>
        <v>54000</v>
      </c>
      <c r="DH13" s="50">
        <v>12</v>
      </c>
      <c r="DI13" s="50">
        <f>DH13*DD13</f>
        <v>24000</v>
      </c>
      <c r="DJ13" s="61">
        <f t="shared" ref="DJ13:DJ17" si="32">DG13-DI13</f>
        <v>30000</v>
      </c>
      <c r="DL13" s="1" t="s">
        <v>212</v>
      </c>
      <c r="DM13" s="1" t="s">
        <v>0</v>
      </c>
      <c r="DN13" s="1">
        <v>200</v>
      </c>
      <c r="DO13" s="1">
        <v>2</v>
      </c>
      <c r="DP13" s="48">
        <v>11</v>
      </c>
      <c r="DQ13" s="50">
        <f>DN13*DP13</f>
        <v>2200</v>
      </c>
      <c r="DR13" s="50">
        <v>12</v>
      </c>
      <c r="DS13" s="50">
        <f>DR13*DN14</f>
        <v>24000</v>
      </c>
      <c r="DT13" s="61">
        <f t="shared" si="24"/>
        <v>30000</v>
      </c>
      <c r="DV13" s="1" t="s">
        <v>212</v>
      </c>
      <c r="DW13" s="1" t="s">
        <v>0</v>
      </c>
      <c r="DX13" s="1">
        <v>200</v>
      </c>
      <c r="DY13" s="1">
        <v>2</v>
      </c>
      <c r="DZ13" s="50">
        <v>11</v>
      </c>
      <c r="EA13" s="50">
        <f>DX13*DZ13</f>
        <v>2200</v>
      </c>
      <c r="EB13" s="50">
        <v>6</v>
      </c>
      <c r="EC13" s="50">
        <f>EB13*DX13</f>
        <v>1200</v>
      </c>
      <c r="ED13" s="50">
        <v>1000</v>
      </c>
      <c r="EF13" s="1" t="s">
        <v>212</v>
      </c>
      <c r="EG13" s="1" t="s">
        <v>0</v>
      </c>
      <c r="EH13" s="1">
        <v>200</v>
      </c>
      <c r="EI13" s="1">
        <v>2</v>
      </c>
      <c r="EJ13" s="50">
        <v>11</v>
      </c>
      <c r="EK13" s="50">
        <f>EH13*EJ13</f>
        <v>2200</v>
      </c>
      <c r="EL13" s="50">
        <v>6</v>
      </c>
      <c r="EM13" s="50">
        <f>EL13*EH13</f>
        <v>1200</v>
      </c>
      <c r="EN13" s="50">
        <f>EK13-EM13</f>
        <v>1000</v>
      </c>
    </row>
    <row r="14" spans="1:144">
      <c r="A14" s="3" t="s">
        <v>13</v>
      </c>
      <c r="B14" s="62">
        <f>'Hemp Processing + Products'!H17</f>
        <v>355555.55555555556</v>
      </c>
      <c r="C14" s="61">
        <f>'Hemp Processing + Products'!D17</f>
        <v>0.05</v>
      </c>
      <c r="D14" s="46">
        <f>B14*C14</f>
        <v>17777.777777777777</v>
      </c>
      <c r="K14" s="50"/>
      <c r="N14" s="61"/>
      <c r="P14" s="1" t="s">
        <v>291</v>
      </c>
      <c r="Q14" s="1" t="s">
        <v>292</v>
      </c>
      <c r="R14" s="1">
        <v>300</v>
      </c>
      <c r="S14" s="1">
        <v>10</v>
      </c>
      <c r="T14" s="50">
        <f>'Hemp Processing + Products'!B62</f>
        <v>20</v>
      </c>
      <c r="U14" s="50">
        <f>R14*T14</f>
        <v>6000</v>
      </c>
      <c r="V14" s="50">
        <f>'Hemp Processing + Products'!D62</f>
        <v>7.5</v>
      </c>
      <c r="W14" s="50">
        <f>R14*V14</f>
        <v>2250</v>
      </c>
      <c r="X14" s="61">
        <f t="shared" si="19"/>
        <v>3750</v>
      </c>
      <c r="Y14" s="61"/>
      <c r="Z14" s="1" t="s">
        <v>262</v>
      </c>
      <c r="AA14" s="1" t="s">
        <v>263</v>
      </c>
      <c r="AB14" s="1">
        <v>800</v>
      </c>
      <c r="AC14" s="1">
        <v>2</v>
      </c>
      <c r="AD14" s="50">
        <v>12</v>
      </c>
      <c r="AE14" s="50">
        <f t="shared" si="20"/>
        <v>9600</v>
      </c>
      <c r="AF14" s="50">
        <v>6</v>
      </c>
      <c r="AG14" s="50">
        <f>AF14*AB14</f>
        <v>4800</v>
      </c>
      <c r="AH14" s="50">
        <f t="shared" si="26"/>
        <v>4800</v>
      </c>
      <c r="AJ14" s="1" t="s">
        <v>249</v>
      </c>
      <c r="AK14" s="1" t="s">
        <v>250</v>
      </c>
      <c r="AL14" s="1">
        <v>1000</v>
      </c>
      <c r="AM14" s="1">
        <v>30</v>
      </c>
      <c r="AN14" s="50">
        <v>15</v>
      </c>
      <c r="AO14" s="50">
        <f t="shared" si="21"/>
        <v>15000</v>
      </c>
      <c r="AP14" s="50">
        <v>11.5</v>
      </c>
      <c r="AQ14" s="50">
        <f>AL13*AP14</f>
        <v>11500</v>
      </c>
      <c r="AR14" s="61">
        <f t="shared" si="22"/>
        <v>7500</v>
      </c>
      <c r="AT14" t="s">
        <v>251</v>
      </c>
      <c r="AU14" s="1" t="s">
        <v>250</v>
      </c>
      <c r="AV14" s="1">
        <v>1000</v>
      </c>
      <c r="AW14" s="1">
        <v>30</v>
      </c>
      <c r="AX14" s="50">
        <v>15</v>
      </c>
      <c r="AY14" s="50">
        <f t="shared" si="23"/>
        <v>15000</v>
      </c>
      <c r="AZ14" s="50">
        <v>9</v>
      </c>
      <c r="BA14" s="50">
        <f t="shared" si="27"/>
        <v>9000</v>
      </c>
      <c r="BB14" s="61">
        <f t="shared" si="28"/>
        <v>6000</v>
      </c>
      <c r="BD14" s="1" t="s">
        <v>262</v>
      </c>
      <c r="BE14" s="1" t="s">
        <v>263</v>
      </c>
      <c r="BF14" s="1">
        <v>1000</v>
      </c>
      <c r="BG14" s="1">
        <v>2</v>
      </c>
      <c r="BH14" s="50">
        <v>12</v>
      </c>
      <c r="BI14" s="50">
        <v>9600</v>
      </c>
      <c r="BJ14" s="50">
        <v>6</v>
      </c>
      <c r="BK14" s="50">
        <f t="shared" ref="BK14:BK15" si="33">BF14*BJ14</f>
        <v>6000</v>
      </c>
      <c r="BL14" s="61">
        <f t="shared" si="29"/>
        <v>3600</v>
      </c>
      <c r="BN14" s="1" t="s">
        <v>251</v>
      </c>
      <c r="BO14" s="1" t="s">
        <v>250</v>
      </c>
      <c r="BP14" s="1">
        <v>1000</v>
      </c>
      <c r="BQ14" s="1">
        <v>30</v>
      </c>
      <c r="BR14" s="47">
        <v>15</v>
      </c>
      <c r="BS14" s="50">
        <f t="shared" ref="BS14:BS17" si="34">BP14*BR14</f>
        <v>15000</v>
      </c>
      <c r="BT14" s="69">
        <v>9</v>
      </c>
      <c r="BU14" s="50">
        <f t="shared" ref="BU14:BU17" si="35">BP14*BT14</f>
        <v>9000</v>
      </c>
      <c r="BV14" s="61">
        <f t="shared" si="30"/>
        <v>6000</v>
      </c>
      <c r="BX14" s="1" t="s">
        <v>228</v>
      </c>
      <c r="BY14" s="1" t="s">
        <v>0</v>
      </c>
      <c r="BZ14" s="1">
        <v>2000</v>
      </c>
      <c r="CA14" s="1">
        <v>2</v>
      </c>
      <c r="CB14" s="48">
        <v>27</v>
      </c>
      <c r="CC14" s="50">
        <f>BZ14*CB14</f>
        <v>54000</v>
      </c>
      <c r="CD14" s="50">
        <v>12</v>
      </c>
      <c r="CE14" s="50">
        <f>CD14*BZ14</f>
        <v>24000</v>
      </c>
      <c r="CF14" s="61">
        <f t="shared" ref="CF14:CF18" si="36">CC14-CE14</f>
        <v>30000</v>
      </c>
      <c r="CH14" s="1" t="s">
        <v>251</v>
      </c>
      <c r="CI14" s="1" t="s">
        <v>250</v>
      </c>
      <c r="CJ14" s="1">
        <v>1000</v>
      </c>
      <c r="CK14" s="1">
        <v>30</v>
      </c>
      <c r="CL14" s="47">
        <v>15</v>
      </c>
      <c r="CM14" s="50">
        <f t="shared" ref="CM14:CM18" si="37">CJ14*CL14</f>
        <v>15000</v>
      </c>
      <c r="CN14" s="69">
        <v>9</v>
      </c>
      <c r="CO14" s="50">
        <f t="shared" ref="CO14:CO18" si="38">CJ14*CN14</f>
        <v>9000</v>
      </c>
      <c r="CP14" s="61">
        <f t="shared" si="31"/>
        <v>6000</v>
      </c>
      <c r="CR14" s="1" t="s">
        <v>228</v>
      </c>
      <c r="CS14" s="1" t="s">
        <v>0</v>
      </c>
      <c r="CT14" s="1">
        <v>2000</v>
      </c>
      <c r="CU14" s="1">
        <v>2</v>
      </c>
      <c r="CV14" s="48">
        <v>27</v>
      </c>
      <c r="CW14" s="50">
        <f>CT14*CV14</f>
        <v>54000</v>
      </c>
      <c r="CX14" s="50">
        <v>12</v>
      </c>
      <c r="CY14" s="50">
        <f>CX14*CT14</f>
        <v>24000</v>
      </c>
      <c r="CZ14" s="61">
        <f t="shared" ref="CZ14:CZ18" si="39">CW14-CY14</f>
        <v>30000</v>
      </c>
      <c r="DB14" s="1" t="s">
        <v>251</v>
      </c>
      <c r="DC14" s="1" t="s">
        <v>250</v>
      </c>
      <c r="DD14" s="1">
        <v>1000</v>
      </c>
      <c r="DE14" s="1">
        <v>30</v>
      </c>
      <c r="DF14" s="47">
        <v>15</v>
      </c>
      <c r="DG14" s="50">
        <f t="shared" ref="DG14:DG18" si="40">DD14*DF14</f>
        <v>15000</v>
      </c>
      <c r="DH14" s="69">
        <v>9</v>
      </c>
      <c r="DI14" s="50">
        <f t="shared" ref="DI14:DI18" si="41">DD14*DH14</f>
        <v>9000</v>
      </c>
      <c r="DJ14" s="61">
        <f t="shared" si="32"/>
        <v>6000</v>
      </c>
      <c r="DL14" s="1" t="s">
        <v>228</v>
      </c>
      <c r="DM14" s="1" t="s">
        <v>0</v>
      </c>
      <c r="DN14" s="1">
        <v>2000</v>
      </c>
      <c r="DO14" s="1">
        <v>2</v>
      </c>
      <c r="DP14" s="48">
        <v>27</v>
      </c>
      <c r="DQ14" s="50">
        <f>DN14*DP14</f>
        <v>54000</v>
      </c>
      <c r="DR14" s="69">
        <v>9</v>
      </c>
      <c r="DS14" s="50">
        <f>DN15*DR14</f>
        <v>9000</v>
      </c>
      <c r="DT14" s="61">
        <f t="shared" si="24"/>
        <v>6000</v>
      </c>
      <c r="DV14" s="1" t="s">
        <v>228</v>
      </c>
      <c r="DW14" s="1" t="s">
        <v>0</v>
      </c>
      <c r="DX14" s="1">
        <v>2000</v>
      </c>
      <c r="DY14" s="1">
        <v>2</v>
      </c>
      <c r="DZ14" s="50">
        <v>27</v>
      </c>
      <c r="EA14" s="50">
        <f t="shared" ref="EA14:EA19" si="42">DX14*DZ14</f>
        <v>54000</v>
      </c>
      <c r="EB14" s="50">
        <v>12</v>
      </c>
      <c r="EC14" s="50">
        <f t="shared" ref="EC14:EC19" si="43">EB14*DX14</f>
        <v>24000</v>
      </c>
      <c r="ED14" s="50">
        <v>30000</v>
      </c>
      <c r="EF14" s="1" t="s">
        <v>228</v>
      </c>
      <c r="EG14" s="1" t="s">
        <v>0</v>
      </c>
      <c r="EH14" s="1">
        <v>2000</v>
      </c>
      <c r="EI14" s="1">
        <v>2</v>
      </c>
      <c r="EJ14" s="50">
        <v>27</v>
      </c>
      <c r="EK14" s="50">
        <f t="shared" ref="EK14:EK19" si="44">EH14*EJ14</f>
        <v>54000</v>
      </c>
      <c r="EL14" s="50">
        <v>12</v>
      </c>
      <c r="EM14" s="50">
        <f t="shared" ref="EM14:EM19" si="45">EL14*EH14</f>
        <v>24000</v>
      </c>
      <c r="EN14" s="50">
        <f t="shared" ref="EN14:EN19" si="46">EK14-EM14</f>
        <v>30000</v>
      </c>
    </row>
    <row r="15" spans="1:144">
      <c r="A15" s="3" t="s">
        <v>5</v>
      </c>
      <c r="B15" s="62">
        <f>SUM(B11:B14)</f>
        <v>893023.25581395347</v>
      </c>
      <c r="D15" s="46">
        <f>SUM(D11:D14)</f>
        <v>230284.23772609819</v>
      </c>
      <c r="K15" s="61"/>
      <c r="P15" s="1" t="s">
        <v>253</v>
      </c>
      <c r="Q15" s="1" t="s">
        <v>0</v>
      </c>
      <c r="R15" s="1">
        <v>1000</v>
      </c>
      <c r="S15" s="1">
        <v>0.5</v>
      </c>
      <c r="T15" s="50">
        <v>12</v>
      </c>
      <c r="U15" s="50">
        <f>R15*T15</f>
        <v>12000</v>
      </c>
      <c r="V15" s="50">
        <v>4</v>
      </c>
      <c r="W15" s="50">
        <f>R15*V15</f>
        <v>4000</v>
      </c>
      <c r="X15" s="61">
        <f t="shared" si="19"/>
        <v>8000</v>
      </c>
      <c r="Z15" s="1" t="s">
        <v>291</v>
      </c>
      <c r="AA15" s="1" t="s">
        <v>292</v>
      </c>
      <c r="AB15" s="1">
        <v>300</v>
      </c>
      <c r="AC15" s="1">
        <v>10</v>
      </c>
      <c r="AD15" s="50">
        <f>'Hemp Processing + Products'!B62</f>
        <v>20</v>
      </c>
      <c r="AE15" s="50">
        <f t="shared" si="20"/>
        <v>6000</v>
      </c>
      <c r="AF15" s="50">
        <f>'Hemp Processing + Products'!D62</f>
        <v>7.5</v>
      </c>
      <c r="AG15" s="50">
        <f>AB15*AF15</f>
        <v>2250</v>
      </c>
      <c r="AH15" s="61">
        <f t="shared" si="26"/>
        <v>3750</v>
      </c>
      <c r="AJ15" s="1" t="s">
        <v>262</v>
      </c>
      <c r="AK15" s="1" t="s">
        <v>263</v>
      </c>
      <c r="AL15" s="1">
        <v>900</v>
      </c>
      <c r="AM15" s="1">
        <v>2</v>
      </c>
      <c r="AN15" s="50">
        <v>12</v>
      </c>
      <c r="AO15" s="50">
        <f t="shared" si="21"/>
        <v>10800</v>
      </c>
      <c r="AP15" s="50">
        <v>9</v>
      </c>
      <c r="AQ15" s="50">
        <f>AL14*AP15</f>
        <v>9000</v>
      </c>
      <c r="AR15" s="61">
        <f t="shared" si="22"/>
        <v>6000</v>
      </c>
      <c r="AT15" t="s">
        <v>262</v>
      </c>
      <c r="AU15" s="1" t="s">
        <v>263</v>
      </c>
      <c r="AV15" s="1">
        <v>900</v>
      </c>
      <c r="AW15" s="1">
        <v>2</v>
      </c>
      <c r="AX15" s="50">
        <v>12</v>
      </c>
      <c r="AY15" s="50">
        <f t="shared" si="23"/>
        <v>10800</v>
      </c>
      <c r="AZ15" s="50">
        <v>6</v>
      </c>
      <c r="BA15" s="50">
        <f t="shared" si="27"/>
        <v>5400</v>
      </c>
      <c r="BB15" s="61">
        <f t="shared" si="28"/>
        <v>5400</v>
      </c>
      <c r="BD15" s="1" t="s">
        <v>251</v>
      </c>
      <c r="BE15" s="1" t="s">
        <v>250</v>
      </c>
      <c r="BF15" s="1">
        <v>1000</v>
      </c>
      <c r="BG15" s="1">
        <v>30</v>
      </c>
      <c r="BH15">
        <v>15</v>
      </c>
      <c r="BI15" s="50">
        <f t="shared" ref="BI15:BI18" si="47">BF15*BH15</f>
        <v>15000</v>
      </c>
      <c r="BJ15" s="69">
        <v>9</v>
      </c>
      <c r="BK15" s="50">
        <f t="shared" si="33"/>
        <v>9000</v>
      </c>
      <c r="BL15" s="61">
        <f t="shared" si="29"/>
        <v>6000</v>
      </c>
      <c r="BN15" s="1" t="s">
        <v>266</v>
      </c>
      <c r="BO15" s="1" t="s">
        <v>0</v>
      </c>
      <c r="BP15" s="1">
        <v>500</v>
      </c>
      <c r="BQ15" s="1">
        <v>0.5</v>
      </c>
      <c r="BR15" s="48">
        <v>7</v>
      </c>
      <c r="BS15" s="50">
        <f t="shared" si="34"/>
        <v>3500</v>
      </c>
      <c r="BT15" s="50">
        <v>2</v>
      </c>
      <c r="BU15" s="50">
        <f t="shared" si="35"/>
        <v>1000</v>
      </c>
      <c r="BV15" s="61">
        <f t="shared" si="30"/>
        <v>2500</v>
      </c>
      <c r="BX15" s="1" t="s">
        <v>251</v>
      </c>
      <c r="BY15" s="1" t="s">
        <v>250</v>
      </c>
      <c r="BZ15" s="1">
        <v>1000</v>
      </c>
      <c r="CA15" s="1">
        <v>30</v>
      </c>
      <c r="CB15" s="47">
        <v>15</v>
      </c>
      <c r="CC15" s="50">
        <f t="shared" ref="CC15:CC19" si="48">BZ15*CB15</f>
        <v>15000</v>
      </c>
      <c r="CD15" s="69">
        <v>9</v>
      </c>
      <c r="CE15" s="50">
        <f t="shared" ref="CE15:CE19" si="49">BZ15*CD15</f>
        <v>9000</v>
      </c>
      <c r="CF15" s="61">
        <f t="shared" si="36"/>
        <v>6000</v>
      </c>
      <c r="CH15" s="1" t="s">
        <v>262</v>
      </c>
      <c r="CI15" s="1" t="s">
        <v>263</v>
      </c>
      <c r="CJ15" s="1">
        <v>2000</v>
      </c>
      <c r="CK15" s="1">
        <v>2</v>
      </c>
      <c r="CL15" s="48">
        <v>12</v>
      </c>
      <c r="CM15" s="50">
        <f t="shared" si="37"/>
        <v>24000</v>
      </c>
      <c r="CN15" s="50">
        <v>6</v>
      </c>
      <c r="CO15" s="50">
        <f t="shared" si="38"/>
        <v>12000</v>
      </c>
      <c r="CP15" s="61">
        <f t="shared" si="31"/>
        <v>12000</v>
      </c>
      <c r="CR15" s="1" t="s">
        <v>251</v>
      </c>
      <c r="CS15" s="1" t="s">
        <v>250</v>
      </c>
      <c r="CT15" s="1">
        <v>1000</v>
      </c>
      <c r="CU15" s="1">
        <v>30</v>
      </c>
      <c r="CV15" s="47">
        <v>15</v>
      </c>
      <c r="CW15" s="50">
        <f t="shared" ref="CW15:CW19" si="50">CT15*CV15</f>
        <v>15000</v>
      </c>
      <c r="CX15" s="69">
        <v>9</v>
      </c>
      <c r="CY15" s="50">
        <f t="shared" ref="CY15:CY19" si="51">CT15*CX15</f>
        <v>9000</v>
      </c>
      <c r="CZ15" s="61">
        <f t="shared" si="39"/>
        <v>6000</v>
      </c>
      <c r="DB15" s="1" t="s">
        <v>262</v>
      </c>
      <c r="DC15" s="1" t="s">
        <v>263</v>
      </c>
      <c r="DD15" s="1">
        <v>2000</v>
      </c>
      <c r="DE15" s="1">
        <v>2</v>
      </c>
      <c r="DF15" s="48">
        <v>12</v>
      </c>
      <c r="DG15" s="50">
        <f t="shared" si="40"/>
        <v>24000</v>
      </c>
      <c r="DH15" s="50">
        <v>6</v>
      </c>
      <c r="DI15" s="50">
        <f t="shared" si="41"/>
        <v>12000</v>
      </c>
      <c r="DJ15" s="61">
        <f t="shared" si="32"/>
        <v>12000</v>
      </c>
      <c r="DL15" s="1" t="s">
        <v>251</v>
      </c>
      <c r="DM15" s="1" t="s">
        <v>250</v>
      </c>
      <c r="DN15" s="1">
        <v>1000</v>
      </c>
      <c r="DO15" s="1">
        <v>30</v>
      </c>
      <c r="DP15" s="47">
        <v>15</v>
      </c>
      <c r="DQ15" s="50">
        <f t="shared" ref="DQ15:DQ19" si="52">DN15*DP15</f>
        <v>15000</v>
      </c>
      <c r="DR15" s="50">
        <v>6</v>
      </c>
      <c r="DS15" s="50">
        <f>DN16*DR15</f>
        <v>12000</v>
      </c>
      <c r="DT15" s="61">
        <f t="shared" si="24"/>
        <v>12000</v>
      </c>
      <c r="DV15" s="1" t="s">
        <v>251</v>
      </c>
      <c r="DW15" s="1" t="s">
        <v>250</v>
      </c>
      <c r="DX15" s="1">
        <v>1000</v>
      </c>
      <c r="DY15" s="1">
        <v>30</v>
      </c>
      <c r="DZ15" s="50">
        <v>15</v>
      </c>
      <c r="EA15" s="50">
        <f t="shared" si="42"/>
        <v>15000</v>
      </c>
      <c r="EB15" s="50">
        <v>9</v>
      </c>
      <c r="EC15" s="50">
        <f t="shared" si="43"/>
        <v>9000</v>
      </c>
      <c r="ED15" s="50">
        <v>6000</v>
      </c>
      <c r="EF15" s="1" t="s">
        <v>251</v>
      </c>
      <c r="EG15" s="1" t="s">
        <v>250</v>
      </c>
      <c r="EH15" s="1">
        <v>1000</v>
      </c>
      <c r="EI15" s="1">
        <v>30</v>
      </c>
      <c r="EJ15" s="50">
        <v>15</v>
      </c>
      <c r="EK15" s="50">
        <f t="shared" si="44"/>
        <v>15000</v>
      </c>
      <c r="EL15" s="50">
        <v>9</v>
      </c>
      <c r="EM15" s="50">
        <f t="shared" si="45"/>
        <v>9000</v>
      </c>
      <c r="EN15" s="50">
        <f t="shared" si="46"/>
        <v>6000</v>
      </c>
    </row>
    <row r="16" spans="1:144">
      <c r="A16" s="3"/>
      <c r="B16" s="62"/>
      <c r="D16" s="46"/>
      <c r="K16" s="61"/>
      <c r="P16" s="1"/>
      <c r="Q16" s="1"/>
      <c r="R16" s="1"/>
      <c r="S16" s="1"/>
      <c r="U16" s="61">
        <f>SUM(U11:U15)</f>
        <v>66200</v>
      </c>
      <c r="V16" s="61"/>
      <c r="W16" s="61">
        <f>SUM(W11:W15)</f>
        <v>35450</v>
      </c>
      <c r="X16" s="61">
        <f>SUM(X11:X15)</f>
        <v>30750</v>
      </c>
      <c r="Z16" s="1" t="s">
        <v>264</v>
      </c>
      <c r="AA16" s="1" t="s">
        <v>0</v>
      </c>
      <c r="AB16" s="1">
        <v>300</v>
      </c>
      <c r="AC16" s="1">
        <v>0.5</v>
      </c>
      <c r="AD16" s="50">
        <v>7</v>
      </c>
      <c r="AE16" s="50">
        <f t="shared" si="20"/>
        <v>2100</v>
      </c>
      <c r="AF16" s="50">
        <v>2</v>
      </c>
      <c r="AG16" s="50">
        <f>AB16*AF16</f>
        <v>600</v>
      </c>
      <c r="AH16" s="50">
        <f t="shared" si="26"/>
        <v>1500</v>
      </c>
      <c r="AJ16" s="1" t="s">
        <v>265</v>
      </c>
      <c r="AK16" s="1" t="s">
        <v>263</v>
      </c>
      <c r="AL16" s="1">
        <v>900</v>
      </c>
      <c r="AM16" s="1">
        <v>0.5</v>
      </c>
      <c r="AN16" s="50">
        <v>7</v>
      </c>
      <c r="AO16" s="50">
        <f t="shared" si="21"/>
        <v>6300</v>
      </c>
      <c r="AP16" s="50">
        <v>6</v>
      </c>
      <c r="AQ16" s="50">
        <f>AL15*AP16</f>
        <v>5400</v>
      </c>
      <c r="AR16" s="50">
        <f t="shared" si="22"/>
        <v>5400</v>
      </c>
      <c r="AT16" t="s">
        <v>266</v>
      </c>
      <c r="AU16" s="1" t="s">
        <v>0</v>
      </c>
      <c r="AV16" s="1">
        <v>400</v>
      </c>
      <c r="AW16" s="1">
        <v>0.5</v>
      </c>
      <c r="AX16" s="50">
        <v>7</v>
      </c>
      <c r="AY16" s="50">
        <f t="shared" si="23"/>
        <v>2800</v>
      </c>
      <c r="AZ16" s="50">
        <v>2</v>
      </c>
      <c r="BA16" s="50">
        <f t="shared" si="27"/>
        <v>800</v>
      </c>
      <c r="BB16" s="61">
        <f t="shared" si="28"/>
        <v>2000</v>
      </c>
      <c r="BD16" s="1" t="s">
        <v>266</v>
      </c>
      <c r="BE16" s="1" t="s">
        <v>0</v>
      </c>
      <c r="BF16" s="1">
        <v>500</v>
      </c>
      <c r="BG16" s="1">
        <v>0.5</v>
      </c>
      <c r="BH16" s="50">
        <v>7</v>
      </c>
      <c r="BI16" s="50">
        <f>BF16*BH16</f>
        <v>3500</v>
      </c>
      <c r="BJ16" s="50">
        <v>2</v>
      </c>
      <c r="BK16" s="50">
        <f>BF16*BJ16</f>
        <v>1000</v>
      </c>
      <c r="BL16" s="61">
        <f>BI16-BK16</f>
        <v>2500</v>
      </c>
      <c r="BN16" s="1" t="s">
        <v>253</v>
      </c>
      <c r="BO16" s="1" t="s">
        <v>0</v>
      </c>
      <c r="BP16" s="1">
        <v>4200</v>
      </c>
      <c r="BQ16" s="1">
        <v>0.5</v>
      </c>
      <c r="BR16" s="47">
        <v>12</v>
      </c>
      <c r="BS16" s="50">
        <f t="shared" si="34"/>
        <v>50400</v>
      </c>
      <c r="BT16" s="47">
        <v>4</v>
      </c>
      <c r="BU16" s="50">
        <f t="shared" si="35"/>
        <v>16800</v>
      </c>
      <c r="BV16" s="61">
        <f t="shared" si="30"/>
        <v>33600</v>
      </c>
      <c r="BX16" s="1" t="s">
        <v>262</v>
      </c>
      <c r="BY16" s="1" t="s">
        <v>263</v>
      </c>
      <c r="BZ16" s="1">
        <v>2000</v>
      </c>
      <c r="CA16" s="1">
        <v>2</v>
      </c>
      <c r="CB16" s="48">
        <v>12</v>
      </c>
      <c r="CC16" s="50">
        <f t="shared" si="48"/>
        <v>24000</v>
      </c>
      <c r="CD16" s="50">
        <v>6</v>
      </c>
      <c r="CE16" s="50">
        <f t="shared" si="49"/>
        <v>12000</v>
      </c>
      <c r="CF16" s="61">
        <f t="shared" si="36"/>
        <v>12000</v>
      </c>
      <c r="CH16" s="1" t="s">
        <v>266</v>
      </c>
      <c r="CI16" s="1" t="s">
        <v>0</v>
      </c>
      <c r="CJ16" s="1">
        <v>500</v>
      </c>
      <c r="CK16" s="1">
        <v>0.5</v>
      </c>
      <c r="CL16" s="48">
        <v>7</v>
      </c>
      <c r="CM16" s="50">
        <f t="shared" si="37"/>
        <v>3500</v>
      </c>
      <c r="CN16" s="50">
        <v>2</v>
      </c>
      <c r="CO16" s="50">
        <f t="shared" si="38"/>
        <v>1000</v>
      </c>
      <c r="CP16" s="61">
        <f t="shared" si="31"/>
        <v>2500</v>
      </c>
      <c r="CR16" s="1" t="s">
        <v>262</v>
      </c>
      <c r="CS16" s="1" t="s">
        <v>263</v>
      </c>
      <c r="CT16" s="1">
        <v>2000</v>
      </c>
      <c r="CU16" s="1">
        <v>2</v>
      </c>
      <c r="CV16" s="48">
        <v>12</v>
      </c>
      <c r="CW16" s="50">
        <f t="shared" si="50"/>
        <v>24000</v>
      </c>
      <c r="CX16" s="50">
        <v>6</v>
      </c>
      <c r="CY16" s="50">
        <f t="shared" si="51"/>
        <v>12000</v>
      </c>
      <c r="CZ16" s="61">
        <f t="shared" si="39"/>
        <v>12000</v>
      </c>
      <c r="DB16" s="1" t="s">
        <v>266</v>
      </c>
      <c r="DC16" s="1" t="s">
        <v>0</v>
      </c>
      <c r="DD16" s="1">
        <v>500</v>
      </c>
      <c r="DE16" s="1">
        <v>0.5</v>
      </c>
      <c r="DF16" s="48">
        <v>7</v>
      </c>
      <c r="DG16" s="50">
        <f t="shared" si="40"/>
        <v>3500</v>
      </c>
      <c r="DH16" s="50">
        <v>2</v>
      </c>
      <c r="DI16" s="50">
        <f t="shared" si="41"/>
        <v>1000</v>
      </c>
      <c r="DJ16" s="61">
        <f t="shared" si="32"/>
        <v>2500</v>
      </c>
      <c r="DL16" s="1" t="s">
        <v>262</v>
      </c>
      <c r="DM16" s="1" t="s">
        <v>263</v>
      </c>
      <c r="DN16" s="1">
        <v>2000</v>
      </c>
      <c r="DO16" s="1">
        <v>2</v>
      </c>
      <c r="DP16" s="48">
        <v>12</v>
      </c>
      <c r="DQ16" s="50">
        <f t="shared" si="52"/>
        <v>24000</v>
      </c>
      <c r="DR16" s="50">
        <v>2</v>
      </c>
      <c r="DS16" s="50">
        <f>DN17*DR16</f>
        <v>1000</v>
      </c>
      <c r="DT16" s="61">
        <f t="shared" si="24"/>
        <v>2500</v>
      </c>
      <c r="DV16" s="1" t="s">
        <v>262</v>
      </c>
      <c r="DW16" s="1" t="s">
        <v>263</v>
      </c>
      <c r="DX16" s="1">
        <v>2000</v>
      </c>
      <c r="DY16" s="1">
        <v>2</v>
      </c>
      <c r="DZ16" s="50">
        <v>12</v>
      </c>
      <c r="EA16" s="50">
        <f t="shared" si="42"/>
        <v>24000</v>
      </c>
      <c r="EB16" s="50">
        <v>6</v>
      </c>
      <c r="EC16" s="50">
        <f t="shared" si="43"/>
        <v>12000</v>
      </c>
      <c r="ED16" s="50">
        <v>12000</v>
      </c>
      <c r="EF16" s="1" t="s">
        <v>262</v>
      </c>
      <c r="EG16" s="1" t="s">
        <v>263</v>
      </c>
      <c r="EH16" s="1">
        <v>2000</v>
      </c>
      <c r="EI16" s="1">
        <v>2</v>
      </c>
      <c r="EJ16" s="50">
        <v>12</v>
      </c>
      <c r="EK16" s="50">
        <f t="shared" si="44"/>
        <v>24000</v>
      </c>
      <c r="EL16" s="50">
        <v>6</v>
      </c>
      <c r="EM16" s="50">
        <f t="shared" si="45"/>
        <v>12000</v>
      </c>
      <c r="EN16" s="50">
        <f t="shared" si="46"/>
        <v>12000</v>
      </c>
    </row>
    <row r="17" spans="1:144">
      <c r="A17" s="71" t="s">
        <v>53</v>
      </c>
      <c r="B17" s="66" t="s">
        <v>300</v>
      </c>
      <c r="C17" s="66" t="s">
        <v>387</v>
      </c>
      <c r="D17" s="66" t="s">
        <v>211</v>
      </c>
      <c r="V17" s="47"/>
      <c r="W17" s="61"/>
      <c r="Z17" s="1" t="s">
        <v>253</v>
      </c>
      <c r="AA17" s="1" t="s">
        <v>0</v>
      </c>
      <c r="AB17" s="1">
        <v>2000</v>
      </c>
      <c r="AC17" s="1">
        <v>0.5</v>
      </c>
      <c r="AD17" s="50">
        <v>12</v>
      </c>
      <c r="AE17" s="50">
        <f t="shared" si="20"/>
        <v>24000</v>
      </c>
      <c r="AF17" s="50">
        <v>4</v>
      </c>
      <c r="AG17" s="50">
        <f>AB17*AF17</f>
        <v>8000</v>
      </c>
      <c r="AH17" s="50">
        <f t="shared" si="26"/>
        <v>16000</v>
      </c>
      <c r="AJ17" s="1" t="s">
        <v>291</v>
      </c>
      <c r="AK17" s="1" t="s">
        <v>292</v>
      </c>
      <c r="AL17" s="1">
        <v>1000</v>
      </c>
      <c r="AM17" s="1">
        <v>10</v>
      </c>
      <c r="AN17" s="50">
        <f>'Hemp Processing + Products'!B62</f>
        <v>20</v>
      </c>
      <c r="AO17" s="50">
        <f t="shared" si="21"/>
        <v>20000</v>
      </c>
      <c r="AP17" s="50">
        <f>'Hemp Processing + Products'!D62</f>
        <v>7.5</v>
      </c>
      <c r="AQ17" s="50">
        <f>AL16*AP17</f>
        <v>6750</v>
      </c>
      <c r="AR17" s="50">
        <f>AO16-AQ17</f>
        <v>-450</v>
      </c>
      <c r="AT17" t="s">
        <v>291</v>
      </c>
      <c r="AU17" s="1" t="s">
        <v>292</v>
      </c>
      <c r="AV17" s="1">
        <v>2000</v>
      </c>
      <c r="AW17" s="1">
        <v>10</v>
      </c>
      <c r="AX17" s="50">
        <f>'Hemp Processing + Products'!B62</f>
        <v>20</v>
      </c>
      <c r="AY17" s="50">
        <f t="shared" si="23"/>
        <v>40000</v>
      </c>
      <c r="AZ17" s="50">
        <f>'Hemp Processing + Products'!D62</f>
        <v>7.5</v>
      </c>
      <c r="BA17" s="50">
        <f t="shared" si="27"/>
        <v>15000</v>
      </c>
      <c r="BB17" s="61">
        <f t="shared" si="28"/>
        <v>25000</v>
      </c>
      <c r="BD17" s="1" t="s">
        <v>291</v>
      </c>
      <c r="BE17" s="1" t="s">
        <v>292</v>
      </c>
      <c r="BF17" s="1">
        <v>3000</v>
      </c>
      <c r="BG17" s="1">
        <v>10</v>
      </c>
      <c r="BH17" s="50">
        <f>'Hemp Processing + Products'!B62</f>
        <v>20</v>
      </c>
      <c r="BI17" s="50">
        <f>BF17*BH17</f>
        <v>60000</v>
      </c>
      <c r="BJ17" s="50">
        <f>'Hemp Processing + Products'!D62</f>
        <v>7.5</v>
      </c>
      <c r="BK17" s="50">
        <f>BF17*BJ17</f>
        <v>22500</v>
      </c>
      <c r="BL17" s="61">
        <f>BI17-BK17</f>
        <v>37500</v>
      </c>
      <c r="BN17" s="1" t="s">
        <v>291</v>
      </c>
      <c r="BO17" s="1" t="s">
        <v>292</v>
      </c>
      <c r="BP17" s="1">
        <v>3000</v>
      </c>
      <c r="BQ17" s="1">
        <v>10</v>
      </c>
      <c r="BR17" s="47">
        <f>'Hemp Processing + Products'!B62</f>
        <v>20</v>
      </c>
      <c r="BS17" s="50">
        <f t="shared" si="34"/>
        <v>60000</v>
      </c>
      <c r="BT17" s="47">
        <f>'Hemp Processing + Products'!D62</f>
        <v>7.5</v>
      </c>
      <c r="BU17" s="50">
        <f t="shared" si="35"/>
        <v>22500</v>
      </c>
      <c r="BV17" s="61">
        <f t="shared" si="30"/>
        <v>37500</v>
      </c>
      <c r="BX17" s="1" t="s">
        <v>266</v>
      </c>
      <c r="BY17" s="1" t="s">
        <v>0</v>
      </c>
      <c r="BZ17" s="1">
        <v>500</v>
      </c>
      <c r="CA17" s="1">
        <v>0.5</v>
      </c>
      <c r="CB17" s="48">
        <v>7</v>
      </c>
      <c r="CC17" s="50">
        <f t="shared" si="48"/>
        <v>3500</v>
      </c>
      <c r="CD17" s="50">
        <v>2</v>
      </c>
      <c r="CE17" s="50">
        <f t="shared" si="49"/>
        <v>1000</v>
      </c>
      <c r="CF17" s="61">
        <f t="shared" si="36"/>
        <v>2500</v>
      </c>
      <c r="CH17" s="1" t="s">
        <v>291</v>
      </c>
      <c r="CI17" s="1" t="s">
        <v>292</v>
      </c>
      <c r="CJ17" s="1">
        <v>5000</v>
      </c>
      <c r="CK17" s="1">
        <v>10</v>
      </c>
      <c r="CL17" s="48">
        <f>'Hemp Processing + Products'!B62</f>
        <v>20</v>
      </c>
      <c r="CM17" s="50">
        <f t="shared" si="37"/>
        <v>100000</v>
      </c>
      <c r="CN17" s="50">
        <f>'Hemp Processing + Products'!C62</f>
        <v>10</v>
      </c>
      <c r="CO17" s="50">
        <f t="shared" si="38"/>
        <v>50000</v>
      </c>
      <c r="CP17" s="61">
        <f t="shared" si="31"/>
        <v>50000</v>
      </c>
      <c r="CR17" s="1" t="s">
        <v>266</v>
      </c>
      <c r="CS17" s="1" t="s">
        <v>0</v>
      </c>
      <c r="CT17" s="1">
        <v>500</v>
      </c>
      <c r="CU17" s="1">
        <v>0.5</v>
      </c>
      <c r="CV17" s="48">
        <v>7</v>
      </c>
      <c r="CW17" s="50">
        <f t="shared" si="50"/>
        <v>3500</v>
      </c>
      <c r="CX17" s="50">
        <v>2</v>
      </c>
      <c r="CY17" s="50">
        <f t="shared" si="51"/>
        <v>1000</v>
      </c>
      <c r="CZ17" s="61">
        <f t="shared" si="39"/>
        <v>2500</v>
      </c>
      <c r="DB17" s="1" t="s">
        <v>291</v>
      </c>
      <c r="DC17" s="1" t="s">
        <v>292</v>
      </c>
      <c r="DD17" s="1">
        <v>5000</v>
      </c>
      <c r="DE17" s="1">
        <v>10</v>
      </c>
      <c r="DF17" s="48">
        <f>'Hemp Processing + Products'!B62</f>
        <v>20</v>
      </c>
      <c r="DG17" s="50">
        <f t="shared" si="40"/>
        <v>100000</v>
      </c>
      <c r="DH17" s="50">
        <f>'Hemp Processing + Products'!C62</f>
        <v>10</v>
      </c>
      <c r="DI17" s="50">
        <f t="shared" si="41"/>
        <v>50000</v>
      </c>
      <c r="DJ17" s="61">
        <f t="shared" si="32"/>
        <v>50000</v>
      </c>
      <c r="DL17" s="1" t="s">
        <v>266</v>
      </c>
      <c r="DM17" s="1" t="s">
        <v>0</v>
      </c>
      <c r="DN17" s="1">
        <v>500</v>
      </c>
      <c r="DO17" s="1">
        <v>0.5</v>
      </c>
      <c r="DP17" s="48">
        <v>7</v>
      </c>
      <c r="DQ17" s="50">
        <f t="shared" si="52"/>
        <v>3500</v>
      </c>
      <c r="DR17" s="50">
        <f>'Hemp Processing + Products'!C$62</f>
        <v>10</v>
      </c>
      <c r="DS17" s="50">
        <f>DN18*DR17</f>
        <v>50000</v>
      </c>
      <c r="DT17" s="61">
        <f t="shared" si="24"/>
        <v>50000</v>
      </c>
      <c r="DV17" s="1" t="s">
        <v>266</v>
      </c>
      <c r="DW17" s="1" t="s">
        <v>0</v>
      </c>
      <c r="DX17" s="1">
        <v>500</v>
      </c>
      <c r="DY17" s="1">
        <v>0.5</v>
      </c>
      <c r="DZ17" s="50">
        <v>7</v>
      </c>
      <c r="EA17" s="50">
        <f t="shared" si="42"/>
        <v>3500</v>
      </c>
      <c r="EB17" s="50">
        <v>2</v>
      </c>
      <c r="EC17" s="50">
        <f t="shared" si="43"/>
        <v>1000</v>
      </c>
      <c r="ED17" s="50">
        <v>2500</v>
      </c>
      <c r="EF17" s="1" t="s">
        <v>266</v>
      </c>
      <c r="EG17" s="1" t="s">
        <v>0</v>
      </c>
      <c r="EH17" s="1">
        <v>500</v>
      </c>
      <c r="EI17" s="1">
        <v>0.5</v>
      </c>
      <c r="EJ17" s="50">
        <v>7</v>
      </c>
      <c r="EK17" s="50">
        <f t="shared" si="44"/>
        <v>3500</v>
      </c>
      <c r="EL17" s="50">
        <v>2</v>
      </c>
      <c r="EM17" s="50">
        <f t="shared" si="45"/>
        <v>1000</v>
      </c>
      <c r="EN17" s="50">
        <f t="shared" si="46"/>
        <v>2500</v>
      </c>
    </row>
    <row r="18" spans="1:144">
      <c r="A18" t="s">
        <v>255</v>
      </c>
      <c r="Z18" s="1"/>
      <c r="AA18" s="1"/>
      <c r="AB18" s="1"/>
      <c r="AC18" s="1"/>
      <c r="AE18" s="63">
        <f>SUM(AE12:AE17)</f>
        <v>65700</v>
      </c>
      <c r="AF18" s="63"/>
      <c r="AG18" s="63">
        <f>SUM(AG12:AG17)</f>
        <v>27650</v>
      </c>
      <c r="AH18" s="63">
        <f>SUM(AH12:AH17)</f>
        <v>38050</v>
      </c>
      <c r="AJ18" s="1" t="s">
        <v>253</v>
      </c>
      <c r="AK18" s="1" t="s">
        <v>0</v>
      </c>
      <c r="AL18" s="1">
        <v>3000</v>
      </c>
      <c r="AM18" s="1">
        <v>0.5</v>
      </c>
      <c r="AN18" s="50">
        <v>12</v>
      </c>
      <c r="AO18" s="50">
        <f t="shared" si="21"/>
        <v>36000</v>
      </c>
      <c r="AP18" s="50">
        <v>2</v>
      </c>
      <c r="AQ18" s="50">
        <f>AL16*AP18</f>
        <v>1800</v>
      </c>
      <c r="AR18" s="50">
        <f>AO16-AQ18</f>
        <v>4500</v>
      </c>
      <c r="AT18" s="1" t="s">
        <v>253</v>
      </c>
      <c r="AU18" s="1" t="s">
        <v>0</v>
      </c>
      <c r="AV18" s="1">
        <v>3000</v>
      </c>
      <c r="AW18" s="1">
        <v>0.5</v>
      </c>
      <c r="AX18" s="50">
        <v>12</v>
      </c>
      <c r="AY18" s="61">
        <f t="shared" si="23"/>
        <v>36000</v>
      </c>
      <c r="AZ18" s="47">
        <v>4</v>
      </c>
      <c r="BA18" s="50">
        <f t="shared" si="27"/>
        <v>12000</v>
      </c>
      <c r="BB18" s="61">
        <f>SUM(BB12:BB14)</f>
        <v>27000</v>
      </c>
      <c r="BD18" s="1" t="s">
        <v>253</v>
      </c>
      <c r="BE18" s="1" t="s">
        <v>0</v>
      </c>
      <c r="BF18" s="1">
        <v>4000</v>
      </c>
      <c r="BG18" s="1">
        <v>0.5</v>
      </c>
      <c r="BH18">
        <v>12</v>
      </c>
      <c r="BI18" s="50">
        <f t="shared" si="47"/>
        <v>48000</v>
      </c>
      <c r="BJ18" s="47">
        <v>4</v>
      </c>
      <c r="BK18" s="50">
        <f t="shared" ref="BK18" si="53">BF18*BJ18</f>
        <v>16000</v>
      </c>
      <c r="BL18" s="61">
        <f t="shared" si="29"/>
        <v>32000</v>
      </c>
      <c r="BN18" s="1" t="s">
        <v>66</v>
      </c>
      <c r="BO18" s="1" t="s">
        <v>1</v>
      </c>
      <c r="BP18" s="1">
        <v>1000</v>
      </c>
      <c r="BQ18" s="1">
        <v>30</v>
      </c>
      <c r="BR18" s="48">
        <v>19</v>
      </c>
      <c r="BS18" s="50">
        <f>BP18*BR18</f>
        <v>19000</v>
      </c>
      <c r="BT18" s="50">
        <v>14</v>
      </c>
      <c r="BU18" s="50">
        <f>BP18*BT18</f>
        <v>14000</v>
      </c>
      <c r="BV18" s="61">
        <f t="shared" si="30"/>
        <v>5000</v>
      </c>
      <c r="BX18" s="1" t="s">
        <v>291</v>
      </c>
      <c r="BY18" s="1" t="s">
        <v>292</v>
      </c>
      <c r="BZ18" s="1">
        <v>2000</v>
      </c>
      <c r="CA18" s="1">
        <v>10</v>
      </c>
      <c r="CB18" s="48">
        <f>'Hemp Processing + Products'!B62</f>
        <v>20</v>
      </c>
      <c r="CC18" s="50">
        <f t="shared" si="48"/>
        <v>40000</v>
      </c>
      <c r="CD18" s="50">
        <f>'Hemp Processing + Products'!C62</f>
        <v>10</v>
      </c>
      <c r="CE18" s="50">
        <f t="shared" si="49"/>
        <v>20000</v>
      </c>
      <c r="CF18" s="61">
        <f t="shared" si="36"/>
        <v>20000</v>
      </c>
      <c r="CH18" s="1" t="s">
        <v>253</v>
      </c>
      <c r="CI18" s="1" t="s">
        <v>0</v>
      </c>
      <c r="CJ18" s="1">
        <v>5000</v>
      </c>
      <c r="CK18" s="1">
        <v>0.5</v>
      </c>
      <c r="CL18" s="47">
        <v>12</v>
      </c>
      <c r="CM18" s="50">
        <f t="shared" si="37"/>
        <v>60000</v>
      </c>
      <c r="CN18" s="47">
        <v>4</v>
      </c>
      <c r="CO18" s="50">
        <f t="shared" si="38"/>
        <v>20000</v>
      </c>
      <c r="CP18" s="61">
        <f>CM18-CO18</f>
        <v>40000</v>
      </c>
      <c r="CR18" s="1" t="s">
        <v>291</v>
      </c>
      <c r="CS18" s="1" t="s">
        <v>292</v>
      </c>
      <c r="CT18" s="1">
        <v>5000</v>
      </c>
      <c r="CU18" s="1">
        <v>10</v>
      </c>
      <c r="CV18" s="48">
        <v>15</v>
      </c>
      <c r="CW18" s="50">
        <f t="shared" si="50"/>
        <v>75000</v>
      </c>
      <c r="CX18" s="50"/>
      <c r="CY18" s="50">
        <f t="shared" si="51"/>
        <v>0</v>
      </c>
      <c r="CZ18" s="61">
        <f t="shared" si="39"/>
        <v>75000</v>
      </c>
      <c r="DB18" s="1" t="s">
        <v>253</v>
      </c>
      <c r="DC18" s="1" t="s">
        <v>0</v>
      </c>
      <c r="DD18" s="1">
        <v>5000</v>
      </c>
      <c r="DE18" s="1">
        <v>0.5</v>
      </c>
      <c r="DF18" s="47">
        <v>12</v>
      </c>
      <c r="DG18" s="50">
        <f t="shared" si="40"/>
        <v>60000</v>
      </c>
      <c r="DH18" s="47">
        <v>4</v>
      </c>
      <c r="DI18" s="50">
        <f t="shared" si="41"/>
        <v>20000</v>
      </c>
      <c r="DJ18" s="61">
        <f>DG18-DI18</f>
        <v>40000</v>
      </c>
      <c r="DL18" s="1" t="s">
        <v>291</v>
      </c>
      <c r="DM18" s="1" t="s">
        <v>292</v>
      </c>
      <c r="DN18" s="1">
        <v>5000</v>
      </c>
      <c r="DO18" s="1">
        <v>10</v>
      </c>
      <c r="DP18" s="48">
        <f>'Hemp Processing + Products'!B62</f>
        <v>20</v>
      </c>
      <c r="DQ18" s="50">
        <f t="shared" si="52"/>
        <v>100000</v>
      </c>
      <c r="DR18" s="47">
        <v>4</v>
      </c>
      <c r="DS18" s="50">
        <f>DN19*DR18</f>
        <v>20000</v>
      </c>
      <c r="DT18" s="61">
        <f t="shared" si="24"/>
        <v>40000</v>
      </c>
      <c r="DV18" s="1" t="s">
        <v>291</v>
      </c>
      <c r="DW18" s="1" t="s">
        <v>292</v>
      </c>
      <c r="DX18" s="1">
        <v>5000</v>
      </c>
      <c r="DY18" s="1">
        <v>10</v>
      </c>
      <c r="DZ18" s="50">
        <v>15</v>
      </c>
      <c r="EA18" s="50">
        <f t="shared" si="42"/>
        <v>75000</v>
      </c>
      <c r="EB18" s="50">
        <v>7.5</v>
      </c>
      <c r="EC18" s="50">
        <f t="shared" si="43"/>
        <v>37500</v>
      </c>
      <c r="ED18" s="50">
        <v>37500</v>
      </c>
      <c r="EF18" s="1" t="s">
        <v>291</v>
      </c>
      <c r="EG18" s="1" t="s">
        <v>292</v>
      </c>
      <c r="EH18" s="1">
        <v>10000</v>
      </c>
      <c r="EI18" s="1">
        <v>10</v>
      </c>
      <c r="EJ18" s="50">
        <v>15</v>
      </c>
      <c r="EK18" s="50">
        <f t="shared" si="44"/>
        <v>150000</v>
      </c>
      <c r="EL18" s="50">
        <v>7.5</v>
      </c>
      <c r="EM18" s="50">
        <f t="shared" si="45"/>
        <v>75000</v>
      </c>
      <c r="EN18" s="50">
        <f>EK18-EM18</f>
        <v>75000</v>
      </c>
    </row>
    <row r="19" spans="1:144">
      <c r="A19" t="s">
        <v>256</v>
      </c>
      <c r="B19" s="61">
        <f>G23</f>
        <v>83400</v>
      </c>
      <c r="C19" s="63">
        <f>K7</f>
        <v>63800</v>
      </c>
      <c r="D19" s="61">
        <f>K13</f>
        <v>19600</v>
      </c>
      <c r="AK19" s="1"/>
      <c r="AL19" s="1"/>
      <c r="AM19" s="1"/>
      <c r="AO19" s="61">
        <f>SUM(AO11:AO18)</f>
        <v>190300</v>
      </c>
      <c r="AP19" s="47"/>
      <c r="AQ19" s="50">
        <f>SUM(AQ12:AQ18)</f>
        <v>71650</v>
      </c>
      <c r="AR19" s="61">
        <f>SUM(AR12:AR15)</f>
        <v>59500</v>
      </c>
      <c r="AT19" s="1"/>
      <c r="AU19" s="1"/>
      <c r="AV19" s="1"/>
      <c r="AW19" s="1"/>
      <c r="AY19" s="61">
        <f>SUM(AY12:AY18)</f>
        <v>144800</v>
      </c>
      <c r="AZ19" s="47"/>
      <c r="BA19" s="61">
        <f>SUM(BA12:BA18)</f>
        <v>61400</v>
      </c>
      <c r="BB19" s="61">
        <f>SUM(BB12:BB18)</f>
        <v>86400</v>
      </c>
      <c r="BD19" s="1"/>
      <c r="BE19" s="1"/>
      <c r="BF19" s="1"/>
      <c r="BG19" s="1"/>
      <c r="BI19" s="61">
        <f>SUM(BI12:BI18)</f>
        <v>192300</v>
      </c>
      <c r="BK19" s="61">
        <f>SUM(BK12:BK18)</f>
        <v>79700</v>
      </c>
      <c r="BL19" s="61">
        <f>SUM(BL12:BL18)</f>
        <v>112600</v>
      </c>
      <c r="BN19" s="1"/>
      <c r="BO19" s="1"/>
      <c r="BP19" s="1"/>
      <c r="BQ19" s="1"/>
      <c r="BR19" s="48"/>
      <c r="BS19" s="61">
        <f>SUM(BS12:BS18)</f>
        <v>215100</v>
      </c>
      <c r="BT19" s="61"/>
      <c r="BU19" s="61">
        <f>SUM(BU12:BU18)</f>
        <v>94500</v>
      </c>
      <c r="BV19" s="61">
        <f>SUM(BV12:BV18)</f>
        <v>120600</v>
      </c>
      <c r="BX19" s="1" t="s">
        <v>253</v>
      </c>
      <c r="BY19" s="1" t="s">
        <v>0</v>
      </c>
      <c r="BZ19" s="1">
        <v>5000</v>
      </c>
      <c r="CA19" s="1">
        <v>0.5</v>
      </c>
      <c r="CB19" s="47">
        <v>12</v>
      </c>
      <c r="CC19" s="50">
        <f t="shared" si="48"/>
        <v>60000</v>
      </c>
      <c r="CD19" s="47">
        <v>4</v>
      </c>
      <c r="CE19" s="50">
        <f t="shared" si="49"/>
        <v>20000</v>
      </c>
      <c r="CF19" s="61">
        <f>CC19-CE19</f>
        <v>40000</v>
      </c>
      <c r="CH19" s="1"/>
      <c r="CI19" s="1"/>
      <c r="CJ19" s="1"/>
      <c r="CK19" s="1"/>
      <c r="CL19" s="48"/>
      <c r="CM19" s="61">
        <f>SUM(CM12:CM18)</f>
        <v>258700</v>
      </c>
      <c r="CN19" s="61"/>
      <c r="CO19" s="61">
        <f>SUM(CO12:CO18)</f>
        <v>117200</v>
      </c>
      <c r="CP19" s="61">
        <f>SUM(CP12:CP18)</f>
        <v>141500</v>
      </c>
      <c r="CR19" s="1" t="s">
        <v>253</v>
      </c>
      <c r="CS19" s="1" t="s">
        <v>0</v>
      </c>
      <c r="CT19" s="1">
        <v>5000</v>
      </c>
      <c r="CU19" s="1">
        <v>0.5</v>
      </c>
      <c r="CV19" s="47">
        <v>12</v>
      </c>
      <c r="CW19" s="50">
        <f t="shared" si="50"/>
        <v>60000</v>
      </c>
      <c r="CX19" s="47">
        <v>4</v>
      </c>
      <c r="CY19" s="50">
        <f t="shared" si="51"/>
        <v>20000</v>
      </c>
      <c r="CZ19" s="61">
        <f>CW19-CY19</f>
        <v>40000</v>
      </c>
      <c r="DB19" s="1"/>
      <c r="DC19" s="1"/>
      <c r="DD19" s="1"/>
      <c r="DE19" s="1"/>
      <c r="DF19" s="48"/>
      <c r="DG19" s="61">
        <f>SUM(DG12:DG18)</f>
        <v>258700</v>
      </c>
      <c r="DH19" s="61"/>
      <c r="DI19" s="61">
        <f>SUM(DI12:DI18)</f>
        <v>117200</v>
      </c>
      <c r="DJ19" s="61">
        <f>SUM(DJ12:DJ18)</f>
        <v>141500</v>
      </c>
      <c r="DL19" s="1" t="s">
        <v>253</v>
      </c>
      <c r="DM19" s="1" t="s">
        <v>0</v>
      </c>
      <c r="DN19" s="1">
        <v>5000</v>
      </c>
      <c r="DO19" s="1">
        <v>0.5</v>
      </c>
      <c r="DP19" s="47">
        <v>12</v>
      </c>
      <c r="DQ19" s="50">
        <f t="shared" si="52"/>
        <v>60000</v>
      </c>
      <c r="DR19" s="61"/>
      <c r="DS19" s="61">
        <f>SUM(DS12:DS18)</f>
        <v>117200</v>
      </c>
      <c r="DT19" s="61">
        <f>SUM(DT12:DT18)</f>
        <v>141500</v>
      </c>
      <c r="DV19" s="1" t="s">
        <v>253</v>
      </c>
      <c r="DW19" s="1" t="s">
        <v>0</v>
      </c>
      <c r="DX19" s="1">
        <v>5000</v>
      </c>
      <c r="DY19" s="1">
        <v>0.5</v>
      </c>
      <c r="DZ19" s="50">
        <v>12</v>
      </c>
      <c r="EA19" s="50">
        <f t="shared" si="42"/>
        <v>60000</v>
      </c>
      <c r="EB19" s="50">
        <v>4</v>
      </c>
      <c r="EC19" s="50">
        <f t="shared" si="43"/>
        <v>20000</v>
      </c>
      <c r="ED19" s="50">
        <v>40000</v>
      </c>
      <c r="EF19" s="1" t="s">
        <v>253</v>
      </c>
      <c r="EG19" s="1" t="s">
        <v>0</v>
      </c>
      <c r="EH19" s="1">
        <v>5000</v>
      </c>
      <c r="EI19" s="1">
        <v>0.5</v>
      </c>
      <c r="EJ19" s="50">
        <v>12</v>
      </c>
      <c r="EK19" s="50">
        <f t="shared" si="44"/>
        <v>60000</v>
      </c>
      <c r="EL19" s="50">
        <v>4</v>
      </c>
      <c r="EM19" s="50">
        <f t="shared" si="45"/>
        <v>20000</v>
      </c>
      <c r="EN19" s="50">
        <f t="shared" si="46"/>
        <v>40000</v>
      </c>
    </row>
    <row r="20" spans="1:144">
      <c r="A20" t="s">
        <v>215</v>
      </c>
      <c r="B20" s="61">
        <f>G29+G34</f>
        <v>177600.02</v>
      </c>
      <c r="C20" s="61">
        <f>G25+G26+G28</f>
        <v>166500</v>
      </c>
      <c r="D20" s="61">
        <f>G27</f>
        <v>11100</v>
      </c>
      <c r="AJ20" s="1"/>
      <c r="AK20" s="1"/>
      <c r="AL20" s="1"/>
      <c r="AM20" s="1"/>
      <c r="AQ20" s="61"/>
      <c r="AR20" s="61"/>
      <c r="BX20" s="1"/>
      <c r="BY20" s="1"/>
      <c r="BZ20" s="1"/>
      <c r="CA20" s="1"/>
      <c r="CB20" s="48"/>
      <c r="CC20" s="61">
        <f>SUM(CC13:CC19)</f>
        <v>198700</v>
      </c>
      <c r="CD20" s="61"/>
      <c r="CE20" s="61">
        <f>SUM(CE13:CE19)</f>
        <v>87200</v>
      </c>
      <c r="CF20" s="61">
        <f>SUM(CF13:CF19)</f>
        <v>111500</v>
      </c>
      <c r="CH20" s="1"/>
      <c r="CI20" s="1"/>
      <c r="CJ20" s="1"/>
      <c r="CK20" s="1"/>
      <c r="CL20" s="48"/>
      <c r="CM20" s="50"/>
      <c r="CN20" s="50"/>
      <c r="CR20" s="1"/>
      <c r="CS20" s="1"/>
      <c r="CT20" s="1"/>
      <c r="CU20" s="1"/>
      <c r="CV20" s="48"/>
      <c r="CW20" s="61">
        <f>SUM(CW13:CW19)</f>
        <v>233700</v>
      </c>
      <c r="CX20" s="61"/>
      <c r="CY20" s="61">
        <f>SUM(CY13:CY19)</f>
        <v>67200</v>
      </c>
      <c r="CZ20" s="61">
        <f>SUM(CZ13:CZ19)</f>
        <v>166500</v>
      </c>
      <c r="DB20" s="1"/>
      <c r="DC20" s="1"/>
      <c r="DD20" s="1"/>
      <c r="DE20" s="1"/>
      <c r="DF20" s="48"/>
      <c r="DG20" s="50"/>
      <c r="DH20" s="50"/>
      <c r="DL20" s="1"/>
      <c r="DM20" s="1"/>
      <c r="DN20" s="1"/>
      <c r="DO20" s="1"/>
      <c r="DP20" s="48"/>
      <c r="DQ20" s="61">
        <f>SUM(DQ13:DQ19)</f>
        <v>258700</v>
      </c>
      <c r="DR20" s="50"/>
      <c r="DV20" s="1"/>
      <c r="DW20" s="1"/>
      <c r="DX20" s="1"/>
      <c r="DY20" s="1"/>
      <c r="DZ20" s="50"/>
      <c r="EA20" s="50">
        <v>233700</v>
      </c>
      <c r="EB20" s="50"/>
      <c r="EC20" s="50">
        <v>104700</v>
      </c>
      <c r="ED20" s="50">
        <v>129000</v>
      </c>
      <c r="EF20" s="1"/>
      <c r="EG20" s="1"/>
      <c r="EH20" s="1"/>
      <c r="EI20" s="1"/>
      <c r="EJ20" s="50"/>
      <c r="EK20" s="50">
        <v>233700</v>
      </c>
      <c r="EL20" s="50"/>
      <c r="EM20" s="50">
        <f>SUM(EM13:EM19)</f>
        <v>142200</v>
      </c>
      <c r="EN20" s="50">
        <f>SUM(EN13:EN19)</f>
        <v>166500</v>
      </c>
    </row>
    <row r="21" spans="1:144">
      <c r="A21" t="s">
        <v>3</v>
      </c>
      <c r="B21" s="61">
        <f>B19-B20</f>
        <v>-94200.01999999999</v>
      </c>
      <c r="C21" s="61">
        <f>C19-C20</f>
        <v>-102700</v>
      </c>
      <c r="D21" s="61">
        <f>D19-D20</f>
        <v>8500</v>
      </c>
      <c r="F21" s="1" t="s">
        <v>220</v>
      </c>
      <c r="G21" s="49">
        <f>K7</f>
        <v>63800</v>
      </c>
      <c r="H21" s="1"/>
      <c r="I21" s="1"/>
      <c r="J21" s="50"/>
      <c r="K21" s="61"/>
      <c r="L21" s="47"/>
      <c r="M21" s="61"/>
      <c r="P21" t="s">
        <v>210</v>
      </c>
      <c r="Q21" s="63">
        <f>U8</f>
        <v>108400</v>
      </c>
      <c r="U21" s="61"/>
      <c r="Z21" t="s">
        <v>210</v>
      </c>
      <c r="AA21" s="63">
        <f>AE9</f>
        <v>98400</v>
      </c>
      <c r="AE21" s="61"/>
      <c r="AF21" s="47"/>
      <c r="AG21" s="61"/>
      <c r="BN21" t="s">
        <v>210</v>
      </c>
      <c r="BO21" s="63">
        <f>BS9</f>
        <v>163000</v>
      </c>
      <c r="BS21" s="50"/>
      <c r="BT21" s="47"/>
      <c r="BU21" s="61"/>
      <c r="BX21" s="1"/>
      <c r="BY21" s="1"/>
      <c r="BZ21" s="1"/>
      <c r="CA21" s="1"/>
      <c r="CB21" s="48"/>
      <c r="CC21" s="50"/>
      <c r="CD21" s="50"/>
      <c r="CH21" t="s">
        <v>210</v>
      </c>
      <c r="CI21" s="63">
        <f>CM9</f>
        <v>140800</v>
      </c>
      <c r="CL21" s="47"/>
      <c r="CM21" s="63"/>
      <c r="CO21" s="61"/>
      <c r="CR21" s="1"/>
      <c r="CS21" s="1"/>
      <c r="CT21" s="1"/>
      <c r="CU21" s="1"/>
      <c r="CV21" s="48"/>
      <c r="CW21" s="50"/>
      <c r="CX21" s="50"/>
      <c r="DL21" s="1"/>
      <c r="DM21" s="1"/>
      <c r="DN21" s="1"/>
      <c r="DO21" s="1"/>
      <c r="DP21" s="48"/>
      <c r="DQ21" s="50"/>
      <c r="DS21" s="61"/>
      <c r="DV21" s="1"/>
      <c r="DW21" s="1"/>
      <c r="DX21" s="1"/>
      <c r="DY21" s="1"/>
      <c r="DZ21" s="50"/>
      <c r="EA21" s="50"/>
      <c r="EB21" s="50"/>
      <c r="EC21" s="1"/>
      <c r="ED21" s="1"/>
      <c r="EF21" s="1"/>
      <c r="EG21" s="1"/>
      <c r="EH21" s="1"/>
      <c r="EI21" s="1"/>
      <c r="EJ21" s="50"/>
      <c r="EK21" s="50"/>
      <c r="EL21" s="50"/>
      <c r="EM21" s="1"/>
      <c r="EN21" s="1"/>
    </row>
    <row r="22" spans="1:144">
      <c r="F22" t="s">
        <v>221</v>
      </c>
      <c r="G22" s="61">
        <f>K13</f>
        <v>19600</v>
      </c>
      <c r="K22" s="61"/>
      <c r="P22" t="s">
        <v>221</v>
      </c>
      <c r="Q22" s="61">
        <f>U16</f>
        <v>66200</v>
      </c>
      <c r="U22" s="61"/>
      <c r="Z22" t="s">
        <v>221</v>
      </c>
      <c r="AA22" s="61">
        <f>AE18</f>
        <v>65700</v>
      </c>
      <c r="AE22" s="61"/>
      <c r="AJ22" t="s">
        <v>210</v>
      </c>
      <c r="AK22" s="63">
        <f>AO8</f>
        <v>118800</v>
      </c>
      <c r="AT22" t="s">
        <v>210</v>
      </c>
      <c r="AU22" s="63">
        <f>AY9</f>
        <v>135200</v>
      </c>
      <c r="AY22" s="61"/>
      <c r="BD22" t="s">
        <v>210</v>
      </c>
      <c r="BE22" s="63">
        <f>BI9</f>
        <v>132000</v>
      </c>
      <c r="BN22" t="s">
        <v>221</v>
      </c>
      <c r="BO22" s="61">
        <f>SUM(BS12:BS18)</f>
        <v>215100</v>
      </c>
      <c r="BS22" s="63"/>
      <c r="BX22" t="s">
        <v>210</v>
      </c>
      <c r="BY22" s="63">
        <f>CC10</f>
        <v>170800</v>
      </c>
      <c r="CC22" s="63"/>
      <c r="CE22" s="61"/>
      <c r="CH22" t="s">
        <v>221</v>
      </c>
      <c r="CI22" s="61">
        <f>SUM(CM12:CM18)</f>
        <v>258700</v>
      </c>
      <c r="CL22" s="47"/>
      <c r="CM22" s="61"/>
      <c r="CN22" s="47"/>
      <c r="CR22" t="s">
        <v>210</v>
      </c>
      <c r="CS22" s="63">
        <f>CW10</f>
        <v>170800</v>
      </c>
      <c r="CV22" s="47"/>
      <c r="CW22" s="63"/>
      <c r="CY22" s="61"/>
      <c r="DB22" t="s">
        <v>210</v>
      </c>
      <c r="DC22" s="63">
        <f>DG9</f>
        <v>146800</v>
      </c>
      <c r="DF22" s="47"/>
      <c r="DG22" s="63"/>
      <c r="DI22" s="61"/>
      <c r="DL22" t="s">
        <v>210</v>
      </c>
      <c r="DM22" s="63">
        <f>DQ10</f>
        <v>146800</v>
      </c>
      <c r="DP22" s="47"/>
      <c r="DQ22" s="63"/>
      <c r="DR22" s="47"/>
      <c r="DV22" s="1" t="s">
        <v>210</v>
      </c>
      <c r="DW22" s="49">
        <f>EA10</f>
        <v>135640</v>
      </c>
      <c r="DX22" s="1"/>
      <c r="DY22" s="1"/>
      <c r="DZ22" s="50"/>
      <c r="EA22" s="49"/>
      <c r="EB22" s="1"/>
      <c r="EC22" s="50"/>
      <c r="ED22" s="1"/>
      <c r="EF22" s="1" t="s">
        <v>210</v>
      </c>
      <c r="EG22" s="49">
        <f>EK10</f>
        <v>146800</v>
      </c>
      <c r="EH22" s="1"/>
      <c r="EI22" s="1"/>
      <c r="EJ22" s="50"/>
      <c r="EK22" s="49"/>
      <c r="EL22" s="1"/>
      <c r="EM22" s="50"/>
      <c r="EN22" s="1"/>
    </row>
    <row r="23" spans="1:144">
      <c r="A23" t="s">
        <v>84</v>
      </c>
      <c r="F23" s="1" t="s">
        <v>120</v>
      </c>
      <c r="G23" s="61">
        <f>SUM(G21:G22)</f>
        <v>83400</v>
      </c>
      <c r="K23" s="61"/>
      <c r="P23" s="1" t="s">
        <v>120</v>
      </c>
      <c r="Q23" s="63">
        <f>SUM(Q21:Q22)</f>
        <v>174600</v>
      </c>
      <c r="Z23" s="1" t="s">
        <v>120</v>
      </c>
      <c r="AA23" s="63">
        <f>SUM(AA21:AA22)</f>
        <v>164100</v>
      </c>
      <c r="AJ23" t="s">
        <v>221</v>
      </c>
      <c r="AK23" s="61">
        <f>AO19</f>
        <v>190300</v>
      </c>
      <c r="AT23" t="s">
        <v>221</v>
      </c>
      <c r="AU23" s="61">
        <f>AY19</f>
        <v>144800</v>
      </c>
      <c r="BD23" t="s">
        <v>221</v>
      </c>
      <c r="BE23" s="61">
        <f>BI19</f>
        <v>192300</v>
      </c>
      <c r="BN23" s="1" t="s">
        <v>120</v>
      </c>
      <c r="BO23" s="63">
        <f>SUM(BO21:BO22)</f>
        <v>378100</v>
      </c>
      <c r="BS23" s="61"/>
      <c r="BX23" t="s">
        <v>221</v>
      </c>
      <c r="BY23" s="61">
        <f>SUM(CC13:CC19)</f>
        <v>198700</v>
      </c>
      <c r="CC23" s="61"/>
      <c r="CD23" s="47"/>
      <c r="CH23" s="1" t="s">
        <v>120</v>
      </c>
      <c r="CI23" s="63">
        <f>SUM(CI21:CI22)</f>
        <v>399500</v>
      </c>
      <c r="CL23" s="47"/>
      <c r="CM23" s="61"/>
      <c r="CR23" t="s">
        <v>221</v>
      </c>
      <c r="CS23" s="61">
        <f>SUM(CW13:CW19)</f>
        <v>233700</v>
      </c>
      <c r="CV23" s="47"/>
      <c r="CW23" s="61"/>
      <c r="CX23" s="47"/>
      <c r="DB23" t="s">
        <v>221</v>
      </c>
      <c r="DC23" s="61">
        <f>SUM(DG12:DG18)</f>
        <v>258700</v>
      </c>
      <c r="DF23" s="47"/>
      <c r="DG23" s="61"/>
      <c r="DH23" s="47"/>
      <c r="DL23" t="s">
        <v>221</v>
      </c>
      <c r="DM23" s="61">
        <f>SUM(DQ13:DQ19)</f>
        <v>258700</v>
      </c>
      <c r="DP23" s="47"/>
      <c r="DQ23" s="61"/>
      <c r="DV23" s="1" t="s">
        <v>221</v>
      </c>
      <c r="DW23" s="50">
        <f>EA20</f>
        <v>233700</v>
      </c>
      <c r="DX23" s="1"/>
      <c r="DY23" s="1"/>
      <c r="DZ23" s="50"/>
      <c r="EA23" s="50"/>
      <c r="EB23" s="50"/>
      <c r="EC23" s="1"/>
      <c r="ED23" s="1"/>
      <c r="EF23" s="1" t="s">
        <v>221</v>
      </c>
      <c r="EG23" s="50">
        <v>233700</v>
      </c>
      <c r="EH23" s="1"/>
      <c r="EI23" s="1"/>
      <c r="EJ23" s="50"/>
      <c r="EK23" s="50"/>
      <c r="EL23" s="50"/>
      <c r="EM23" s="1"/>
      <c r="EN23" s="1"/>
    </row>
    <row r="24" spans="1:144">
      <c r="A24" t="s">
        <v>256</v>
      </c>
      <c r="B24" s="61">
        <f>Q23</f>
        <v>174600</v>
      </c>
      <c r="C24" s="63">
        <f>U8</f>
        <v>108400</v>
      </c>
      <c r="D24" s="61">
        <f>U16</f>
        <v>66200</v>
      </c>
      <c r="F24" s="1"/>
      <c r="G24" s="61"/>
      <c r="K24" s="61"/>
      <c r="P24" s="1"/>
      <c r="Z24" s="1"/>
      <c r="AJ24" s="1" t="s">
        <v>120</v>
      </c>
      <c r="AK24" s="63">
        <f>SUM(AK22:AK23)</f>
        <v>309100</v>
      </c>
      <c r="AT24" s="1" t="s">
        <v>120</v>
      </c>
      <c r="AU24" s="63">
        <f>SUM(AU22:AU23)</f>
        <v>280000</v>
      </c>
      <c r="BD24" s="1" t="s">
        <v>120</v>
      </c>
      <c r="BE24" s="63">
        <f>SUM(BE22:BE23)</f>
        <v>324300</v>
      </c>
      <c r="BN24" s="1"/>
      <c r="BS24" s="61"/>
      <c r="BX24" s="1" t="s">
        <v>120</v>
      </c>
      <c r="BY24" s="63">
        <f>SUM(BY22:BY23)</f>
        <v>369500</v>
      </c>
      <c r="CC24" s="61"/>
      <c r="CH24" s="1"/>
      <c r="CL24" s="47"/>
      <c r="CR24" s="1" t="s">
        <v>120</v>
      </c>
      <c r="CS24" s="63">
        <f>SUM(CS22:CS23)</f>
        <v>404500</v>
      </c>
      <c r="CV24" s="47"/>
      <c r="CW24" s="61"/>
      <c r="DB24" s="1" t="s">
        <v>120</v>
      </c>
      <c r="DC24" s="63">
        <f>SUM(DC22:DC23)</f>
        <v>405500</v>
      </c>
      <c r="DF24" s="47"/>
      <c r="DG24" s="61"/>
      <c r="DL24" s="1" t="s">
        <v>120</v>
      </c>
      <c r="DM24" s="63">
        <f>SUM(DM22:DM23)</f>
        <v>405500</v>
      </c>
      <c r="DP24" s="47"/>
      <c r="DQ24" s="61"/>
      <c r="DV24" s="1" t="s">
        <v>120</v>
      </c>
      <c r="DW24" s="49">
        <f>SUM(DW22:DW23)</f>
        <v>369340</v>
      </c>
      <c r="DX24" s="1"/>
      <c r="DY24" s="1"/>
      <c r="DZ24" s="50"/>
      <c r="EA24" s="50"/>
      <c r="EB24" s="1"/>
      <c r="EC24" s="1"/>
      <c r="ED24" s="1"/>
      <c r="EF24" s="1" t="s">
        <v>120</v>
      </c>
      <c r="EG24" s="49">
        <f>SUM(EG22:EG23)</f>
        <v>380500</v>
      </c>
      <c r="EH24" s="1"/>
      <c r="EI24" s="1"/>
      <c r="EJ24" s="50"/>
      <c r="EK24" s="50"/>
      <c r="EL24" s="1"/>
      <c r="EM24" s="1"/>
      <c r="EN24" s="1"/>
    </row>
    <row r="25" spans="1:144">
      <c r="A25" t="s">
        <v>215</v>
      </c>
      <c r="B25" s="61">
        <f>Q29+Q34</f>
        <v>208338.90888888887</v>
      </c>
      <c r="C25" s="61">
        <f>Q25+Q26+Q28</f>
        <v>172888.88888888888</v>
      </c>
      <c r="D25" s="61">
        <f>Q27</f>
        <v>35450</v>
      </c>
      <c r="F25" t="s">
        <v>222</v>
      </c>
      <c r="G25" s="61">
        <f>B8</f>
        <v>41700</v>
      </c>
      <c r="P25" t="s">
        <v>222</v>
      </c>
      <c r="Q25" s="61">
        <f>B8</f>
        <v>41700</v>
      </c>
      <c r="Z25" t="s">
        <v>222</v>
      </c>
      <c r="AA25" s="61">
        <f>B8</f>
        <v>41700</v>
      </c>
      <c r="AJ25" s="1"/>
      <c r="AT25" s="1"/>
      <c r="BD25" s="1"/>
      <c r="BN25" t="s">
        <v>222</v>
      </c>
      <c r="BO25" s="61">
        <f>B8</f>
        <v>41700</v>
      </c>
      <c r="BX25" s="1"/>
      <c r="CH25" t="s">
        <v>222</v>
      </c>
      <c r="CI25" s="61">
        <f>B8</f>
        <v>41700</v>
      </c>
      <c r="CL25" s="47"/>
      <c r="CR25" s="1"/>
      <c r="CV25" s="47"/>
      <c r="DB25" s="1"/>
      <c r="DF25" s="47"/>
      <c r="DL25" s="1"/>
      <c r="DP25" s="47"/>
      <c r="DV25" s="1"/>
      <c r="DW25" s="1"/>
      <c r="DX25" s="1"/>
      <c r="DY25" s="1"/>
      <c r="DZ25" s="50"/>
      <c r="EA25" s="1"/>
      <c r="EB25" s="1"/>
      <c r="EC25" s="1"/>
      <c r="ED25" s="1"/>
      <c r="EF25" s="1"/>
      <c r="EG25" s="1"/>
      <c r="EH25" s="1"/>
      <c r="EI25" s="1"/>
      <c r="EJ25" s="50"/>
      <c r="EK25" s="1"/>
      <c r="EL25" s="1"/>
      <c r="EM25" s="1"/>
      <c r="EN25" s="1"/>
    </row>
    <row r="26" spans="1:144">
      <c r="A26" t="s">
        <v>3</v>
      </c>
      <c r="B26" s="61">
        <f>B24-B25</f>
        <v>-33738.908888888865</v>
      </c>
      <c r="C26" s="61">
        <f>C24-C25</f>
        <v>-64488.888888888876</v>
      </c>
      <c r="D26" s="61">
        <f>D24-D25</f>
        <v>30750</v>
      </c>
      <c r="F26" s="1" t="s">
        <v>223</v>
      </c>
      <c r="G26" s="61">
        <f>B7</f>
        <v>124800</v>
      </c>
      <c r="J26" s="47"/>
      <c r="P26" s="1" t="s">
        <v>223</v>
      </c>
      <c r="Q26" s="61">
        <f>B7</f>
        <v>124800</v>
      </c>
      <c r="Z26" s="1" t="s">
        <v>223</v>
      </c>
      <c r="AA26" s="61">
        <f>B7</f>
        <v>124800</v>
      </c>
      <c r="AJ26" t="s">
        <v>222</v>
      </c>
      <c r="AK26" s="61">
        <f>B8</f>
        <v>41700</v>
      </c>
      <c r="AT26" t="s">
        <v>222</v>
      </c>
      <c r="AU26" s="61">
        <f>B8</f>
        <v>41700</v>
      </c>
      <c r="BD26" t="s">
        <v>222</v>
      </c>
      <c r="BE26" s="61">
        <f>B8</f>
        <v>41700</v>
      </c>
      <c r="BN26" s="1" t="s">
        <v>223</v>
      </c>
      <c r="BO26" s="61">
        <f>B7</f>
        <v>124800</v>
      </c>
      <c r="BX26" t="s">
        <v>222</v>
      </c>
      <c r="BY26" s="61">
        <f>B8</f>
        <v>41700</v>
      </c>
      <c r="CH26" s="1" t="s">
        <v>223</v>
      </c>
      <c r="CI26" s="61">
        <f>B7</f>
        <v>124800</v>
      </c>
      <c r="CL26" s="47"/>
      <c r="CR26" t="s">
        <v>222</v>
      </c>
      <c r="CS26" s="61">
        <f>B8</f>
        <v>41700</v>
      </c>
      <c r="CV26" s="47"/>
      <c r="DB26" t="s">
        <v>222</v>
      </c>
      <c r="DC26" s="61">
        <f>B8</f>
        <v>41700</v>
      </c>
      <c r="DF26" s="47"/>
      <c r="DL26" t="s">
        <v>222</v>
      </c>
      <c r="DM26" s="61">
        <f>B8</f>
        <v>41700</v>
      </c>
      <c r="DP26" s="47"/>
      <c r="DV26" s="1" t="s">
        <v>222</v>
      </c>
      <c r="DW26" s="50">
        <f>B8</f>
        <v>41700</v>
      </c>
      <c r="DX26" s="1"/>
      <c r="DY26" s="1"/>
      <c r="DZ26" s="50"/>
      <c r="EA26" s="1"/>
      <c r="EB26" s="1"/>
      <c r="EC26" s="1"/>
      <c r="ED26" s="1"/>
      <c r="EF26" s="1" t="s">
        <v>222</v>
      </c>
      <c r="EG26" s="50">
        <f>B8</f>
        <v>41700</v>
      </c>
      <c r="EH26" s="1"/>
      <c r="EI26" s="1"/>
      <c r="EJ26" s="50"/>
      <c r="EK26" s="1"/>
      <c r="EL26" s="1"/>
      <c r="EM26" s="1"/>
      <c r="EN26" s="1"/>
    </row>
    <row r="27" spans="1:144">
      <c r="F27" s="1" t="s">
        <v>226</v>
      </c>
      <c r="G27" s="61">
        <f>M13</f>
        <v>11100</v>
      </c>
      <c r="P27" s="1" t="s">
        <v>226</v>
      </c>
      <c r="Q27" s="61">
        <f>W16</f>
        <v>35450</v>
      </c>
      <c r="Z27" s="1" t="s">
        <v>226</v>
      </c>
      <c r="AA27" s="61">
        <f>AG18</f>
        <v>27650</v>
      </c>
      <c r="AJ27" s="1" t="s">
        <v>223</v>
      </c>
      <c r="AK27" s="61">
        <f>B7</f>
        <v>124800</v>
      </c>
      <c r="AT27" s="1" t="s">
        <v>223</v>
      </c>
      <c r="AU27" s="61">
        <f>B7</f>
        <v>124800</v>
      </c>
      <c r="BD27" s="1" t="s">
        <v>223</v>
      </c>
      <c r="BE27" s="61">
        <f>B7</f>
        <v>124800</v>
      </c>
      <c r="BN27" s="1" t="s">
        <v>226</v>
      </c>
      <c r="BO27" s="61">
        <f>BU19</f>
        <v>94500</v>
      </c>
      <c r="BX27" s="1" t="s">
        <v>223</v>
      </c>
      <c r="BY27" s="61">
        <f>B7</f>
        <v>124800</v>
      </c>
      <c r="CH27" s="1" t="s">
        <v>226</v>
      </c>
      <c r="CI27" s="61">
        <f>CO19</f>
        <v>117200</v>
      </c>
      <c r="CL27" s="47"/>
      <c r="CR27" s="1" t="s">
        <v>223</v>
      </c>
      <c r="CS27" s="61">
        <f>B7</f>
        <v>124800</v>
      </c>
      <c r="CV27" s="47"/>
      <c r="DB27" s="1" t="s">
        <v>223</v>
      </c>
      <c r="DC27" s="61">
        <f>B7</f>
        <v>124800</v>
      </c>
      <c r="DF27" s="47"/>
      <c r="DL27" s="1" t="s">
        <v>223</v>
      </c>
      <c r="DM27" s="61">
        <f>B7</f>
        <v>124800</v>
      </c>
      <c r="DP27" s="47"/>
      <c r="DV27" s="1" t="s">
        <v>223</v>
      </c>
      <c r="DW27" s="50">
        <f>B7</f>
        <v>124800</v>
      </c>
      <c r="DX27" s="1"/>
      <c r="DY27" s="1"/>
      <c r="DZ27" s="50"/>
      <c r="EA27" s="1"/>
      <c r="EB27" s="1"/>
      <c r="EC27" s="1"/>
      <c r="ED27" s="1"/>
      <c r="EF27" s="1" t="s">
        <v>223</v>
      </c>
      <c r="EG27" s="50">
        <f>B7</f>
        <v>124800</v>
      </c>
      <c r="EH27" s="1"/>
      <c r="EI27" s="1"/>
      <c r="EJ27" s="50"/>
      <c r="EK27" s="1"/>
      <c r="EL27" s="1"/>
      <c r="EM27" s="1"/>
      <c r="EN27" s="1"/>
    </row>
    <row r="28" spans="1:144">
      <c r="A28" t="s">
        <v>85</v>
      </c>
      <c r="F28" s="1" t="s">
        <v>284</v>
      </c>
      <c r="G28" s="61">
        <f>AA2</f>
        <v>0</v>
      </c>
      <c r="P28" s="1" t="s">
        <v>284</v>
      </c>
      <c r="Q28" s="61">
        <f>Expenditures!B75</f>
        <v>6388.8888888888887</v>
      </c>
      <c r="Z28" s="1" t="s">
        <v>284</v>
      </c>
      <c r="AA28" s="61">
        <f>Expenditures!B75</f>
        <v>6388.8888888888887</v>
      </c>
      <c r="AJ28" s="1" t="s">
        <v>226</v>
      </c>
      <c r="AK28" s="61">
        <f>AQ19</f>
        <v>71650</v>
      </c>
      <c r="AT28" s="1" t="s">
        <v>226</v>
      </c>
      <c r="AU28" s="61">
        <f>BA19</f>
        <v>61400</v>
      </c>
      <c r="BD28" s="1" t="s">
        <v>226</v>
      </c>
      <c r="BE28" s="61">
        <f>BK19</f>
        <v>79700</v>
      </c>
      <c r="BN28" s="1" t="s">
        <v>284</v>
      </c>
      <c r="BO28" s="61">
        <f>Expenditures!B75</f>
        <v>6388.8888888888887</v>
      </c>
      <c r="BX28" s="1" t="s">
        <v>226</v>
      </c>
      <c r="BY28" s="61">
        <f>CE20</f>
        <v>87200</v>
      </c>
      <c r="CH28" s="1" t="s">
        <v>284</v>
      </c>
      <c r="CI28" s="61">
        <f>Expenditures!B75</f>
        <v>6388.8888888888887</v>
      </c>
      <c r="CL28" s="47"/>
      <c r="CR28" s="1" t="s">
        <v>226</v>
      </c>
      <c r="CS28" s="61">
        <f>CY20</f>
        <v>67200</v>
      </c>
      <c r="CV28" s="47"/>
      <c r="DB28" s="1" t="s">
        <v>226</v>
      </c>
      <c r="DC28" s="61">
        <f>DI19</f>
        <v>117200</v>
      </c>
      <c r="DF28" s="47"/>
      <c r="DL28" s="1" t="s">
        <v>226</v>
      </c>
      <c r="DM28" s="61">
        <f>DS19</f>
        <v>117200</v>
      </c>
      <c r="DP28" s="47"/>
      <c r="DV28" s="1" t="s">
        <v>226</v>
      </c>
      <c r="DW28" s="50">
        <f>EC20</f>
        <v>104700</v>
      </c>
      <c r="DX28" s="1"/>
      <c r="DY28" s="1"/>
      <c r="DZ28" s="50"/>
      <c r="EA28" s="1"/>
      <c r="EB28" s="1"/>
      <c r="EC28" s="1"/>
      <c r="ED28" s="1"/>
      <c r="EF28" s="1" t="s">
        <v>226</v>
      </c>
      <c r="EG28" s="50">
        <f>EM20</f>
        <v>142200</v>
      </c>
      <c r="EH28" s="1"/>
      <c r="EI28" s="1"/>
      <c r="EJ28" s="50"/>
      <c r="EK28" s="1"/>
      <c r="EL28" s="1"/>
      <c r="EM28" s="1"/>
      <c r="EN28" s="1"/>
    </row>
    <row r="29" spans="1:144">
      <c r="A29" s="1" t="s">
        <v>256</v>
      </c>
      <c r="B29" s="63">
        <f>AA23</f>
        <v>164100</v>
      </c>
      <c r="C29" s="63">
        <f>AE9</f>
        <v>98400</v>
      </c>
      <c r="D29" s="61">
        <f>AE18</f>
        <v>65700</v>
      </c>
      <c r="F29" s="1" t="s">
        <v>142</v>
      </c>
      <c r="G29" s="61">
        <f>SUM(G25:G28)</f>
        <v>177600</v>
      </c>
      <c r="P29" s="1" t="s">
        <v>142</v>
      </c>
      <c r="Q29" s="61">
        <f>SUM(Q25:Q28)</f>
        <v>208338.88888888888</v>
      </c>
      <c r="Z29" s="1" t="s">
        <v>142</v>
      </c>
      <c r="AA29" s="61">
        <f>SUM(AA25:AA27)</f>
        <v>194150</v>
      </c>
      <c r="AJ29" s="1" t="s">
        <v>284</v>
      </c>
      <c r="AK29" s="61">
        <f>Expenditures!B75</f>
        <v>6388.8888888888887</v>
      </c>
      <c r="AT29" s="1" t="s">
        <v>284</v>
      </c>
      <c r="AU29" s="61">
        <f>Expenditures!B75</f>
        <v>6388.8888888888887</v>
      </c>
      <c r="BD29" s="1" t="s">
        <v>284</v>
      </c>
      <c r="BE29" s="61">
        <f>Expenditures!B75</f>
        <v>6388.8888888888887</v>
      </c>
      <c r="BN29" s="1" t="s">
        <v>142</v>
      </c>
      <c r="BO29" s="61">
        <f>SUM(BO25:BO28)</f>
        <v>267388.88888888888</v>
      </c>
      <c r="BX29" s="1" t="s">
        <v>284</v>
      </c>
      <c r="BY29" s="61">
        <f>Expenditures!B75</f>
        <v>6388.8888888888887</v>
      </c>
      <c r="CH29" s="1" t="s">
        <v>142</v>
      </c>
      <c r="CI29" s="61">
        <f>SUM(CI25:CI28)</f>
        <v>290088.88888888888</v>
      </c>
      <c r="CL29" s="47"/>
      <c r="CR29" s="1" t="s">
        <v>284</v>
      </c>
      <c r="CS29" s="61">
        <f>Expenditures!B75</f>
        <v>6388.8888888888887</v>
      </c>
      <c r="CV29" s="47"/>
      <c r="DB29" s="1" t="s">
        <v>284</v>
      </c>
      <c r="DC29" s="61">
        <f>Expenditures!B75</f>
        <v>6388.8888888888887</v>
      </c>
      <c r="DF29" s="47"/>
      <c r="DL29" s="1" t="s">
        <v>284</v>
      </c>
      <c r="DM29" s="61">
        <f>Expenditures!B75</f>
        <v>6388.8888888888887</v>
      </c>
      <c r="DP29" s="47"/>
      <c r="DV29" s="1" t="s">
        <v>284</v>
      </c>
      <c r="DW29" s="50">
        <f>Expenditures!B75</f>
        <v>6388.8888888888887</v>
      </c>
      <c r="DX29" s="1"/>
      <c r="DY29" s="1"/>
      <c r="DZ29" s="50"/>
      <c r="EA29" s="1"/>
      <c r="EB29" s="1"/>
      <c r="EC29" s="1"/>
      <c r="ED29" s="1"/>
      <c r="EF29" s="1" t="s">
        <v>284</v>
      </c>
      <c r="EG29" s="50">
        <f>Expenditures!B75</f>
        <v>6388.8888888888887</v>
      </c>
      <c r="EH29" s="1"/>
      <c r="EI29" s="1"/>
      <c r="EJ29" s="50"/>
      <c r="EK29" s="1"/>
      <c r="EL29" s="1"/>
      <c r="EM29" s="1"/>
      <c r="EN29" s="1"/>
    </row>
    <row r="30" spans="1:144">
      <c r="A30" s="1" t="s">
        <v>215</v>
      </c>
      <c r="B30" s="61">
        <f>AA29+AA33+AA36</f>
        <v>198150.01</v>
      </c>
      <c r="C30" s="61">
        <f>AA25+AA26+AA28</f>
        <v>172888.88888888888</v>
      </c>
      <c r="D30" s="61">
        <f>AA27</f>
        <v>27650</v>
      </c>
      <c r="F30" s="1"/>
      <c r="G30" s="61"/>
      <c r="P30" s="1"/>
      <c r="Z30" s="1"/>
      <c r="AA30" s="61"/>
      <c r="AJ30" s="1" t="s">
        <v>142</v>
      </c>
      <c r="AK30" s="61">
        <f>SUM(AK26:AK29)</f>
        <v>244538.88888888888</v>
      </c>
      <c r="AT30" s="1" t="s">
        <v>142</v>
      </c>
      <c r="AU30" s="61">
        <f>SUM(AU26:AU29)</f>
        <v>234288.88888888888</v>
      </c>
      <c r="BD30" s="1" t="s">
        <v>142</v>
      </c>
      <c r="BE30" s="61">
        <f>SUM(BE26:BE29)</f>
        <v>252588.88888888888</v>
      </c>
      <c r="BN30" s="1"/>
      <c r="BX30" s="1" t="s">
        <v>142</v>
      </c>
      <c r="BY30" s="61">
        <f>SUM(BY26:BY29)</f>
        <v>260088.88888888888</v>
      </c>
      <c r="CH30" s="1"/>
      <c r="CL30" s="47"/>
      <c r="CR30" s="1" t="s">
        <v>142</v>
      </c>
      <c r="CS30" s="61">
        <f>SUM(CS26:CS29)</f>
        <v>240088.88888888888</v>
      </c>
      <c r="CV30" s="47"/>
      <c r="DB30" s="1" t="s">
        <v>142</v>
      </c>
      <c r="DC30" s="61">
        <f>SUM(DC26:DC29)</f>
        <v>290088.88888888888</v>
      </c>
      <c r="DF30" s="47"/>
      <c r="DL30" s="1" t="s">
        <v>142</v>
      </c>
      <c r="DM30" s="61">
        <f>SUM(DM26:DM29)</f>
        <v>290088.88888888888</v>
      </c>
      <c r="DP30" s="47"/>
      <c r="DV30" s="1" t="s">
        <v>142</v>
      </c>
      <c r="DW30" s="50">
        <f>SUM(DW26:DW29)</f>
        <v>277588.88888888888</v>
      </c>
      <c r="DX30" s="1"/>
      <c r="DY30" s="1"/>
      <c r="DZ30" s="50"/>
      <c r="EA30" s="1"/>
      <c r="EB30" s="1"/>
      <c r="EC30" s="1"/>
      <c r="ED30" s="1"/>
      <c r="EF30" s="1" t="s">
        <v>142</v>
      </c>
      <c r="EG30" s="50">
        <f>SUM(EG26:EG29)</f>
        <v>315088.88888888888</v>
      </c>
      <c r="EH30" s="1"/>
      <c r="EI30" s="1"/>
      <c r="EJ30" s="50"/>
      <c r="EK30" s="1"/>
      <c r="EL30" s="1"/>
      <c r="EM30" s="1"/>
      <c r="EN30" s="1"/>
    </row>
    <row r="31" spans="1:144">
      <c r="A31" s="1" t="s">
        <v>3</v>
      </c>
      <c r="B31" s="61">
        <f>B29-B30</f>
        <v>-34050.010000000009</v>
      </c>
      <c r="C31" s="61">
        <f>C29-C30</f>
        <v>-74488.888888888876</v>
      </c>
      <c r="D31" s="61">
        <f>D29-D30</f>
        <v>38050</v>
      </c>
      <c r="F31" s="1" t="s">
        <v>245</v>
      </c>
      <c r="G31" s="61"/>
      <c r="P31" s="1" t="s">
        <v>242</v>
      </c>
      <c r="Q31" s="61"/>
      <c r="Z31" s="1" t="s">
        <v>242</v>
      </c>
      <c r="AA31" s="61"/>
      <c r="AJ31" s="1"/>
      <c r="AK31" s="61"/>
      <c r="AT31" s="1"/>
      <c r="BD31" s="1"/>
      <c r="BN31" s="1" t="s">
        <v>224</v>
      </c>
      <c r="BO31" s="61">
        <f>BO23-BO29</f>
        <v>110711.11111111112</v>
      </c>
      <c r="BX31" s="1"/>
      <c r="CH31" s="1" t="s">
        <v>224</v>
      </c>
      <c r="CI31" s="61">
        <f>CI23-CI29</f>
        <v>109411.11111111112</v>
      </c>
      <c r="CL31" s="47"/>
      <c r="CR31" s="1"/>
      <c r="CV31" s="47"/>
      <c r="DB31" s="1"/>
      <c r="DF31" s="47"/>
      <c r="DL31" s="1"/>
      <c r="DP31" s="47"/>
      <c r="DV31" s="1"/>
      <c r="DW31" s="1"/>
      <c r="DX31" s="1"/>
      <c r="DY31" s="1"/>
      <c r="DZ31" s="50"/>
      <c r="EA31" s="1"/>
      <c r="EB31" s="1"/>
      <c r="EC31" s="1"/>
      <c r="ED31" s="1"/>
      <c r="EF31" s="1"/>
      <c r="EG31" s="1"/>
      <c r="EH31" s="1"/>
      <c r="EI31" s="1"/>
      <c r="EJ31" s="50"/>
      <c r="EK31" s="1"/>
      <c r="EL31" s="1"/>
      <c r="EM31" s="1"/>
      <c r="EN31" s="1"/>
    </row>
    <row r="32" spans="1:144">
      <c r="F32" s="1" t="s">
        <v>246</v>
      </c>
      <c r="G32" s="61">
        <v>0.01</v>
      </c>
      <c r="P32" s="1" t="s">
        <v>239</v>
      </c>
      <c r="Q32" s="61">
        <v>0.01</v>
      </c>
      <c r="Z32" s="1" t="s">
        <v>240</v>
      </c>
      <c r="AA32" s="61">
        <v>0.01</v>
      </c>
      <c r="AJ32" s="1" t="s">
        <v>242</v>
      </c>
      <c r="AK32" s="61"/>
      <c r="AT32" s="1" t="s">
        <v>224</v>
      </c>
      <c r="AU32" s="61">
        <f>AU24-AU30</f>
        <v>45711.111111111124</v>
      </c>
      <c r="BD32" s="1" t="s">
        <v>224</v>
      </c>
      <c r="BE32" s="61">
        <f>BE24-BE30</f>
        <v>71711.111111111124</v>
      </c>
      <c r="BN32" s="1"/>
      <c r="BO32" s="61"/>
      <c r="BX32" s="1" t="s">
        <v>224</v>
      </c>
      <c r="BY32" s="61">
        <f>BY24-BY30</f>
        <v>109411.11111111112</v>
      </c>
      <c r="CH32" s="1"/>
      <c r="CI32" s="1"/>
      <c r="CJ32" s="1"/>
      <c r="CK32" s="1"/>
      <c r="CL32" s="47"/>
      <c r="CR32" s="1" t="s">
        <v>224</v>
      </c>
      <c r="CS32" s="61">
        <f>CS24-CS30</f>
        <v>164411.11111111112</v>
      </c>
      <c r="CV32" s="47"/>
      <c r="DB32" s="1" t="s">
        <v>224</v>
      </c>
      <c r="DC32" s="61">
        <f>DC24-DC30</f>
        <v>115411.11111111112</v>
      </c>
      <c r="DF32" s="47"/>
      <c r="DL32" s="1" t="s">
        <v>224</v>
      </c>
      <c r="DM32" s="61">
        <f>DM24-DM30</f>
        <v>115411.11111111112</v>
      </c>
      <c r="DP32" s="47"/>
      <c r="DV32" s="1" t="s">
        <v>224</v>
      </c>
      <c r="DW32" s="50">
        <f>DW24-DW30</f>
        <v>91751.111111111124</v>
      </c>
      <c r="DX32" s="1"/>
      <c r="DY32" s="1"/>
      <c r="DZ32" s="50"/>
      <c r="EA32" s="1"/>
      <c r="EB32" s="1"/>
      <c r="EC32" s="1"/>
      <c r="ED32" s="1"/>
      <c r="EF32" s="1" t="s">
        <v>224</v>
      </c>
      <c r="EG32" s="50">
        <f>EG24-EG30</f>
        <v>65411.111111111124</v>
      </c>
      <c r="EH32" s="1"/>
      <c r="EI32" s="1"/>
      <c r="EJ32" s="50"/>
      <c r="EK32" s="1"/>
      <c r="EL32" s="1"/>
      <c r="EM32" s="1"/>
      <c r="EN32" s="1"/>
    </row>
    <row r="33" spans="1:144">
      <c r="A33" s="1" t="s">
        <v>55</v>
      </c>
      <c r="F33" s="1" t="s">
        <v>247</v>
      </c>
      <c r="G33" s="61">
        <v>0.01</v>
      </c>
      <c r="P33" s="1" t="s">
        <v>241</v>
      </c>
      <c r="Q33" s="47">
        <v>0.01</v>
      </c>
      <c r="Z33" s="1" t="s">
        <v>243</v>
      </c>
      <c r="AA33" s="61">
        <f>AA32</f>
        <v>0.01</v>
      </c>
      <c r="AJ33" s="1" t="s">
        <v>244</v>
      </c>
      <c r="AK33" s="61">
        <v>0.01</v>
      </c>
      <c r="BD33" s="1"/>
      <c r="BE33" s="61"/>
      <c r="BX33" s="1"/>
      <c r="BY33" s="1"/>
      <c r="BZ33" s="1"/>
      <c r="CA33" s="1"/>
      <c r="CR33" s="1"/>
      <c r="CS33" s="1"/>
      <c r="CT33" s="1"/>
      <c r="CU33" s="1"/>
      <c r="CV33" s="47"/>
      <c r="DB33" s="1"/>
      <c r="DC33" s="1"/>
      <c r="DD33" s="1"/>
      <c r="DE33" s="1"/>
      <c r="DF33" s="47"/>
      <c r="DL33" s="1"/>
      <c r="DM33" s="1"/>
      <c r="DN33" s="1"/>
      <c r="DO33" s="1"/>
      <c r="DP33" s="47"/>
      <c r="DV33" s="1"/>
      <c r="DW33" s="1"/>
      <c r="DX33" s="1"/>
      <c r="DY33" s="1"/>
      <c r="DZ33" s="50"/>
      <c r="EA33" s="1"/>
      <c r="EB33" s="1"/>
      <c r="EC33" s="1"/>
      <c r="ED33" s="1"/>
      <c r="EF33" s="1"/>
      <c r="EG33" s="1"/>
      <c r="EH33" s="1"/>
      <c r="EI33" s="1"/>
      <c r="EJ33" s="50"/>
      <c r="EK33" s="1"/>
      <c r="EL33" s="1"/>
      <c r="EM33" s="1"/>
      <c r="EN33" s="1"/>
    </row>
    <row r="34" spans="1:144">
      <c r="A34" s="1" t="s">
        <v>256</v>
      </c>
      <c r="B34" s="63">
        <f>AK24</f>
        <v>309100</v>
      </c>
      <c r="C34" s="63">
        <f>AE9</f>
        <v>98400</v>
      </c>
      <c r="D34" s="63">
        <f>AE18</f>
        <v>65700</v>
      </c>
      <c r="F34" s="1" t="s">
        <v>257</v>
      </c>
      <c r="G34" s="61">
        <f>SUM(G32:G33)</f>
        <v>0.02</v>
      </c>
      <c r="K34" s="61"/>
      <c r="P34" s="1" t="s">
        <v>243</v>
      </c>
      <c r="Q34" s="47">
        <f>SUM(Q32:Q33)</f>
        <v>0.02</v>
      </c>
      <c r="Z34" s="1"/>
      <c r="AA34" s="61"/>
      <c r="AJ34" s="1" t="s">
        <v>243</v>
      </c>
      <c r="AK34" s="61">
        <f>AK33</f>
        <v>0.01</v>
      </c>
    </row>
    <row r="35" spans="1:144">
      <c r="A35" s="1" t="s">
        <v>215</v>
      </c>
      <c r="B35" s="61">
        <f>AK30+AK34</f>
        <v>244538.89888888889</v>
      </c>
      <c r="C35" s="61">
        <f>AK26+AK27+AK29</f>
        <v>172888.88888888888</v>
      </c>
      <c r="D35" s="63">
        <f>AG18</f>
        <v>27650</v>
      </c>
      <c r="F35" s="1"/>
      <c r="G35" s="61"/>
      <c r="P35" s="1"/>
      <c r="Q35" s="47"/>
      <c r="Z35" s="1" t="s">
        <v>245</v>
      </c>
      <c r="AA35" s="61"/>
      <c r="AJ35" s="1"/>
      <c r="AK35" s="61"/>
    </row>
    <row r="36" spans="1:144">
      <c r="A36" s="1" t="s">
        <v>3</v>
      </c>
      <c r="B36" s="61">
        <f>B34-B35</f>
        <v>64561.101111111115</v>
      </c>
      <c r="C36" s="61">
        <f>C34-C35</f>
        <v>-74488.888888888876</v>
      </c>
      <c r="D36" s="63">
        <f>D34-D35</f>
        <v>38050</v>
      </c>
      <c r="F36" s="1" t="s">
        <v>258</v>
      </c>
      <c r="G36" s="61">
        <f>G23-(G29+G34)</f>
        <v>-94200.01999999999</v>
      </c>
      <c r="K36" s="61"/>
      <c r="P36" s="1" t="s">
        <v>259</v>
      </c>
      <c r="Q36" s="47">
        <f>Q23-(Q29+Q34)</f>
        <v>-33738.908888888865</v>
      </c>
      <c r="Z36" s="1" t="s">
        <v>248</v>
      </c>
      <c r="AA36" s="61">
        <f>Expenditures!B30</f>
        <v>4000</v>
      </c>
      <c r="AJ36" s="1" t="s">
        <v>258</v>
      </c>
      <c r="AK36" s="61">
        <f>AK24-(AK30+AK34)</f>
        <v>64561.101111111115</v>
      </c>
    </row>
    <row r="37" spans="1:144">
      <c r="K37" s="61"/>
      <c r="P37" s="1"/>
      <c r="Z37" s="1"/>
      <c r="AA37" s="61"/>
    </row>
    <row r="38" spans="1:144">
      <c r="A38" s="1" t="s">
        <v>86</v>
      </c>
      <c r="K38" s="61"/>
      <c r="Z38" s="1" t="s">
        <v>53</v>
      </c>
      <c r="AA38" s="61">
        <f>AA23-(AA29+AA33+AA36)</f>
        <v>-34050.010000000009</v>
      </c>
    </row>
    <row r="39" spans="1:144">
      <c r="A39" s="1" t="s">
        <v>256</v>
      </c>
      <c r="B39" s="63">
        <f>AU24</f>
        <v>280000</v>
      </c>
      <c r="C39" s="63">
        <f>AY9</f>
        <v>135200</v>
      </c>
      <c r="D39" s="61">
        <f>AY19</f>
        <v>144800</v>
      </c>
    </row>
    <row r="40" spans="1:144">
      <c r="A40" s="1" t="s">
        <v>215</v>
      </c>
      <c r="B40" s="61">
        <f>AU30</f>
        <v>234288.88888888888</v>
      </c>
      <c r="C40" s="61">
        <f>AU26+AU27+AU29</f>
        <v>172888.88888888888</v>
      </c>
      <c r="D40" s="61">
        <f>AU28</f>
        <v>61400</v>
      </c>
      <c r="F40" s="67" t="s">
        <v>83</v>
      </c>
      <c r="G40" s="67" t="s">
        <v>207</v>
      </c>
      <c r="H40" s="67" t="s">
        <v>206</v>
      </c>
      <c r="I40" s="67" t="s">
        <v>205</v>
      </c>
      <c r="K40" s="61"/>
      <c r="P40" s="68" t="s">
        <v>227</v>
      </c>
      <c r="Q40" s="67" t="s">
        <v>207</v>
      </c>
      <c r="R40" s="67" t="s">
        <v>206</v>
      </c>
      <c r="S40" s="67" t="s">
        <v>205</v>
      </c>
      <c r="U40" s="67" t="s">
        <v>274</v>
      </c>
      <c r="Z40" s="67" t="s">
        <v>83</v>
      </c>
      <c r="AA40" s="67" t="s">
        <v>207</v>
      </c>
      <c r="AB40" s="67" t="s">
        <v>206</v>
      </c>
      <c r="AC40" s="67" t="s">
        <v>205</v>
      </c>
      <c r="AE40" s="67" t="s">
        <v>274</v>
      </c>
      <c r="BN40" s="68" t="s">
        <v>83</v>
      </c>
      <c r="BO40" s="68" t="s">
        <v>207</v>
      </c>
      <c r="BP40" s="68" t="s">
        <v>206</v>
      </c>
      <c r="BQ40" s="68" t="s">
        <v>205</v>
      </c>
      <c r="BS40" s="68" t="s">
        <v>274</v>
      </c>
      <c r="CH40" s="68" t="s">
        <v>83</v>
      </c>
      <c r="CI40" s="68" t="s">
        <v>207</v>
      </c>
      <c r="CJ40" s="68" t="s">
        <v>206</v>
      </c>
      <c r="CK40" s="68" t="s">
        <v>205</v>
      </c>
      <c r="CL40" s="47"/>
      <c r="CM40" s="68" t="s">
        <v>274</v>
      </c>
      <c r="CN40" s="68" t="s">
        <v>214</v>
      </c>
      <c r="DR40" s="68" t="s">
        <v>214</v>
      </c>
    </row>
    <row r="41" spans="1:144">
      <c r="A41" s="1" t="s">
        <v>3</v>
      </c>
      <c r="B41" s="61">
        <f>B39-B40</f>
        <v>45711.111111111124</v>
      </c>
      <c r="C41" s="61">
        <f>C39-C40</f>
        <v>-37688.888888888876</v>
      </c>
      <c r="D41" s="61">
        <f>D39-D40</f>
        <v>83400</v>
      </c>
      <c r="F41" t="s">
        <v>201</v>
      </c>
      <c r="G41" s="64">
        <f>H6*I6++H11*I11+H10*I10</f>
        <v>42800</v>
      </c>
      <c r="H41" s="62">
        <f>B$11-G41</f>
        <v>97768.475452196377</v>
      </c>
      <c r="I41" s="47">
        <f>H41*C$11</f>
        <v>48884.237726098188</v>
      </c>
      <c r="P41" t="s">
        <v>201</v>
      </c>
      <c r="Q41" s="64">
        <f>R6*S6+R11*S11+R12*S12+R15*S15</f>
        <v>82900</v>
      </c>
      <c r="R41" s="62">
        <f>B$11-Q41</f>
        <v>57668.475452196377</v>
      </c>
      <c r="S41" s="47">
        <f>R41*C11</f>
        <v>28834.237726098188</v>
      </c>
      <c r="U41" s="62">
        <f>R41+H41</f>
        <v>155436.95090439275</v>
      </c>
      <c r="Z41" t="s">
        <v>201</v>
      </c>
      <c r="AA41" s="64">
        <f>AB7*AC7+AB12*AC12+AB13*AC13+AB14*AC14+AB16*AC16+AB17+AC17+AB6*AC6</f>
        <v>86950.5</v>
      </c>
      <c r="AB41" s="62">
        <f>B11</f>
        <v>140568.47545219638</v>
      </c>
      <c r="AC41" s="47">
        <f>AB41*C11</f>
        <v>70284.237726098188</v>
      </c>
      <c r="AE41" s="62">
        <f>U41+AB41</f>
        <v>296005.42635658913</v>
      </c>
      <c r="AJ41" s="68" t="s">
        <v>83</v>
      </c>
      <c r="AK41" s="67" t="s">
        <v>207</v>
      </c>
      <c r="AL41" s="67" t="s">
        <v>206</v>
      </c>
      <c r="AM41" s="67" t="s">
        <v>205</v>
      </c>
      <c r="AO41" s="67" t="s">
        <v>274</v>
      </c>
      <c r="AT41" s="67" t="s">
        <v>227</v>
      </c>
      <c r="AU41" s="67" t="s">
        <v>207</v>
      </c>
      <c r="AV41" s="67" t="s">
        <v>206</v>
      </c>
      <c r="AW41" s="67" t="s">
        <v>205</v>
      </c>
      <c r="AY41" s="67" t="s">
        <v>274</v>
      </c>
      <c r="BD41" s="68" t="s">
        <v>83</v>
      </c>
      <c r="BE41" s="67" t="s">
        <v>207</v>
      </c>
      <c r="BF41" s="67" t="s">
        <v>206</v>
      </c>
      <c r="BG41" s="67" t="s">
        <v>205</v>
      </c>
      <c r="BI41" s="67" t="s">
        <v>274</v>
      </c>
      <c r="BN41" s="1" t="s">
        <v>201</v>
      </c>
      <c r="BO41" s="51">
        <f>BP6*BQ6+BP7*BQ7</f>
        <v>110000</v>
      </c>
      <c r="BP41" s="65">
        <f>B11-BO41</f>
        <v>30568.475452196377</v>
      </c>
      <c r="BQ41" s="50">
        <f>BP41*C11</f>
        <v>15284.237726098188</v>
      </c>
      <c r="BS41" s="62">
        <f>BI42+BP41</f>
        <v>404675.82816537464</v>
      </c>
      <c r="BX41" s="68" t="s">
        <v>83</v>
      </c>
      <c r="BY41" s="68" t="s">
        <v>207</v>
      </c>
      <c r="BZ41" s="68" t="s">
        <v>206</v>
      </c>
      <c r="CA41" s="68" t="s">
        <v>205</v>
      </c>
      <c r="CC41" s="68" t="s">
        <v>274</v>
      </c>
      <c r="CD41" s="68" t="s">
        <v>214</v>
      </c>
      <c r="CH41" s="1" t="s">
        <v>201</v>
      </c>
      <c r="CI41" s="51">
        <f>CJ6*CK6+CJ12*CK12+CJ13*CK13+CJ15*CK15+CJ16*CK16+CJ18*CK18</f>
        <v>91150</v>
      </c>
      <c r="CJ41" s="65">
        <v>19072.849999999999</v>
      </c>
      <c r="CK41" s="50">
        <f>CJ41*C11</f>
        <v>9536.4249999999993</v>
      </c>
      <c r="CL41" s="47"/>
      <c r="CM41" s="62">
        <f>CC42+CJ41</f>
        <v>454317.15361757099</v>
      </c>
      <c r="CN41" s="47">
        <f>CM41*C11</f>
        <v>227158.5768087855</v>
      </c>
      <c r="CR41" s="68" t="s">
        <v>83</v>
      </c>
      <c r="CS41" s="68" t="s">
        <v>207</v>
      </c>
      <c r="CT41" s="68" t="s">
        <v>206</v>
      </c>
      <c r="CU41" s="68" t="s">
        <v>205</v>
      </c>
      <c r="CV41" s="47"/>
      <c r="CW41" s="68" t="s">
        <v>274</v>
      </c>
      <c r="CX41" s="68" t="s">
        <v>214</v>
      </c>
      <c r="DB41" s="68" t="s">
        <v>83</v>
      </c>
      <c r="DC41" s="68" t="s">
        <v>207</v>
      </c>
      <c r="DD41" s="68" t="s">
        <v>206</v>
      </c>
      <c r="DE41" s="68" t="s">
        <v>205</v>
      </c>
      <c r="DF41" s="47"/>
      <c r="DG41" s="68" t="s">
        <v>274</v>
      </c>
      <c r="DH41" s="68" t="s">
        <v>214</v>
      </c>
      <c r="DL41" s="68" t="s">
        <v>83</v>
      </c>
      <c r="DM41" s="68" t="s">
        <v>207</v>
      </c>
      <c r="DN41" s="68" t="s">
        <v>206</v>
      </c>
      <c r="DO41" s="68" t="s">
        <v>205</v>
      </c>
      <c r="DP41" s="47"/>
      <c r="DQ41" s="68" t="s">
        <v>274</v>
      </c>
      <c r="DR41" s="47">
        <f>DQ42*C11</f>
        <v>256113.47726098186</v>
      </c>
      <c r="DV41" s="82" t="s">
        <v>83</v>
      </c>
      <c r="DW41" s="82" t="s">
        <v>207</v>
      </c>
      <c r="DX41" s="82" t="s">
        <v>206</v>
      </c>
      <c r="DY41" s="82" t="s">
        <v>205</v>
      </c>
      <c r="DZ41" s="50"/>
      <c r="EA41" s="82" t="s">
        <v>274</v>
      </c>
      <c r="EB41" s="82" t="s">
        <v>214</v>
      </c>
      <c r="EC41" s="1"/>
      <c r="ED41" s="1"/>
      <c r="EF41" s="82" t="s">
        <v>83</v>
      </c>
      <c r="EG41" s="82" t="s">
        <v>207</v>
      </c>
      <c r="EH41" s="82" t="s">
        <v>206</v>
      </c>
      <c r="EI41" s="82" t="s">
        <v>205</v>
      </c>
      <c r="EJ41" s="50"/>
      <c r="EK41" s="82" t="s">
        <v>274</v>
      </c>
      <c r="EL41" s="82" t="s">
        <v>214</v>
      </c>
      <c r="EM41" s="1"/>
      <c r="EN41" s="1"/>
    </row>
    <row r="42" spans="1:144">
      <c r="F42" t="s">
        <v>203</v>
      </c>
      <c r="G42" s="64">
        <f>H3*I3+H4*I4+H5*I5+H12*I12</f>
        <v>111500</v>
      </c>
      <c r="H42" s="62">
        <f>B$12-G42</f>
        <v>177905.68475452199</v>
      </c>
      <c r="I42" s="47">
        <f>H42*C$12</f>
        <v>67604.160206718356</v>
      </c>
      <c r="P42" t="s">
        <v>203</v>
      </c>
      <c r="Q42" s="64">
        <f>R3*S3+R4*S4+R5*S5+R7*S7</f>
        <v>170000</v>
      </c>
      <c r="R42" s="62">
        <f>B12-Q42</f>
        <v>119405.68475452199</v>
      </c>
      <c r="S42" s="47">
        <f>R42*C12</f>
        <v>45374.160206718356</v>
      </c>
      <c r="U42" s="62">
        <f>R42+H42</f>
        <v>297311.36950904399</v>
      </c>
      <c r="Z42" t="s">
        <v>203</v>
      </c>
      <c r="AA42" s="64">
        <f>AB3*AC3+AB4*AC4+AB5*AC5+AB8*AC8</f>
        <v>136000</v>
      </c>
      <c r="AB42" s="62">
        <f>B12</f>
        <v>289405.68475452199</v>
      </c>
      <c r="AC42" s="47">
        <f>AB42*C12</f>
        <v>109974.16020671836</v>
      </c>
      <c r="AE42" s="62">
        <f>U42+AB42</f>
        <v>586717.05426356592</v>
      </c>
      <c r="AJ42" t="s">
        <v>201</v>
      </c>
      <c r="AK42" s="64">
        <f>AL6*AM6+AL11*AM11+AL12*AM12+AL7*AM7</f>
        <v>116400</v>
      </c>
      <c r="AL42" s="62">
        <f>B11-AK42</f>
        <v>24168.475452196377</v>
      </c>
      <c r="AM42" s="47">
        <f>AL42*C11</f>
        <v>12084.237726098188</v>
      </c>
      <c r="AO42" s="62">
        <f>AL42+AE41</f>
        <v>320173.90180878551</v>
      </c>
      <c r="AT42" t="s">
        <v>201</v>
      </c>
      <c r="AU42" s="64">
        <f>AV6*AW6+AV12*AW12+AV13*AW13+AV15+AW15+AV16+AW16+AV18*AW18+AV7*AW7</f>
        <v>117202.5</v>
      </c>
      <c r="AV42" s="62">
        <f>B11-AU42</f>
        <v>23365.975452196377</v>
      </c>
      <c r="AW42" s="47">
        <f>AV42*C11</f>
        <v>11682.987726098188</v>
      </c>
      <c r="AY42" s="62">
        <f>AO42+AV42</f>
        <v>343539.87726098188</v>
      </c>
      <c r="BD42" t="s">
        <v>201</v>
      </c>
      <c r="BE42" s="64">
        <f>BF6*BG6+BF8+BG8</f>
        <v>110001</v>
      </c>
      <c r="BF42" s="62">
        <f>B11-BE42</f>
        <v>30567.475452196377</v>
      </c>
      <c r="BG42" s="47">
        <f>BF42*C11</f>
        <v>15283.737726098188</v>
      </c>
      <c r="BI42" s="62">
        <f>AY42+BF42</f>
        <v>374107.35271317826</v>
      </c>
      <c r="BN42" s="1" t="s">
        <v>203</v>
      </c>
      <c r="BO42" s="51">
        <f>BP3*BQ3+BP4*BQ4+BP5*BQ5+BP7*BQ7</f>
        <v>210000</v>
      </c>
      <c r="BP42" s="65">
        <f>B12-BO42</f>
        <v>79405.684754521993</v>
      </c>
      <c r="BQ42" s="50">
        <f>BP42*C12</f>
        <v>30174.160206718359</v>
      </c>
      <c r="BS42" s="62">
        <f>BI43+BP42</f>
        <v>1060339.7932816541</v>
      </c>
      <c r="BX42" s="1" t="s">
        <v>201</v>
      </c>
      <c r="BY42" s="51">
        <f>BZ6*CA6+BZ9*CA9</f>
        <v>110000</v>
      </c>
      <c r="BZ42" s="65">
        <f>B11-BY42</f>
        <v>30568.475452196377</v>
      </c>
      <c r="CA42" s="50">
        <f>BZ42*C11</f>
        <v>15284.237726098188</v>
      </c>
      <c r="CC42" s="62">
        <f>BZ42+BS41</f>
        <v>435244.30361757101</v>
      </c>
      <c r="CD42" s="47">
        <f>CC42*C11</f>
        <v>217622.15180878551</v>
      </c>
      <c r="CH42" s="1" t="s">
        <v>203</v>
      </c>
      <c r="CI42" s="51">
        <f>CJ3*CK3+CJ4*CK4+CJ5*CK5+CJ7*CK7</f>
        <v>198000</v>
      </c>
      <c r="CJ42" s="65">
        <f>B12-CI42</f>
        <v>91405.684754521993</v>
      </c>
      <c r="CK42" s="50">
        <f>CJ42*C12</f>
        <v>34734.160206718356</v>
      </c>
      <c r="CL42" s="47"/>
      <c r="CM42" s="62">
        <f>CC43+CJ42</f>
        <v>1243151.1627906982</v>
      </c>
      <c r="CN42" s="47">
        <f>CM42*C12</f>
        <v>472397.44186046533</v>
      </c>
      <c r="CR42" s="1" t="s">
        <v>201</v>
      </c>
      <c r="CS42" s="51">
        <f>CT6*CU6+CT13*CU13+CT14*CU14+CT16*CU16+CT17*CU17+CT19*CU19+CT9*CU9</f>
        <v>121150</v>
      </c>
      <c r="CT42" s="65">
        <f>B11-CS42</f>
        <v>19418.475452196377</v>
      </c>
      <c r="CU42" s="50">
        <f>CT42*C11</f>
        <v>9709.2377260981884</v>
      </c>
      <c r="CV42" s="47"/>
      <c r="CW42" s="62">
        <f>CM41+CT42</f>
        <v>473735.62906976737</v>
      </c>
      <c r="CX42" s="47">
        <f>CW42*C11</f>
        <v>236867.81453488368</v>
      </c>
      <c r="DB42" s="1" t="s">
        <v>201</v>
      </c>
      <c r="DC42" s="51">
        <f>DD6*DE6+DD12*DE12+DD13*DE13+DD15*DE15+DD16*DE16+DD18*DE18+DD8*DE8</f>
        <v>121150</v>
      </c>
      <c r="DD42" s="65">
        <v>19072.849999999999</v>
      </c>
      <c r="DE42" s="50">
        <f>DD42*C11</f>
        <v>9536.4249999999993</v>
      </c>
      <c r="DF42" s="47"/>
      <c r="DG42" s="62">
        <f>CW42+DD42</f>
        <v>492808.47906976735</v>
      </c>
      <c r="DH42" s="47">
        <f>DG42*C11</f>
        <v>246404.23953488367</v>
      </c>
      <c r="DL42" s="1" t="s">
        <v>201</v>
      </c>
      <c r="DM42" s="51">
        <f>DN6*DO6+DN13*DO13+DN14*DO14+DN16*DO16+DN17*DO17+DN19*DO19+DN8*DO8</f>
        <v>121150</v>
      </c>
      <c r="DN42" s="65">
        <f>B11-DM42</f>
        <v>19418.475452196377</v>
      </c>
      <c r="DO42" s="50">
        <f>DN42*C11</f>
        <v>9709.2377260981884</v>
      </c>
      <c r="DP42" s="47"/>
      <c r="DQ42" s="62">
        <f>DG42+DN42</f>
        <v>512226.95452196372</v>
      </c>
      <c r="DR42" s="47">
        <f>DQ43*C12</f>
        <v>576599.92248062044</v>
      </c>
      <c r="DV42" s="1" t="s">
        <v>201</v>
      </c>
      <c r="DW42" s="51">
        <f>DX6*DY6+DX13*DY13+DX14*DY14+DX16*DY16+DX17*DY17+DX19*DY19</f>
        <v>91150</v>
      </c>
      <c r="DX42" s="65">
        <f>B11-DW42</f>
        <v>49418.475452196377</v>
      </c>
      <c r="DY42" s="50">
        <f>DX42*C11</f>
        <v>24709.237726098188</v>
      </c>
      <c r="DZ42" s="50"/>
      <c r="EA42" s="65">
        <f>DX42+DQ42</f>
        <v>561645.42997416016</v>
      </c>
      <c r="EB42" s="50">
        <f>EA42*C11</f>
        <v>280822.71498708008</v>
      </c>
      <c r="EC42" s="1"/>
      <c r="ED42" s="1"/>
      <c r="EF42" s="1" t="s">
        <v>201</v>
      </c>
      <c r="EG42" s="51">
        <f>EH6*EI6+EH9*EI9+EH13*EI13+EH14*EI14+EH16*EI16+EH17*EI17</f>
        <v>118650</v>
      </c>
      <c r="EH42" s="65">
        <f>B11-EG42</f>
        <v>21918.475452196377</v>
      </c>
      <c r="EI42" s="50">
        <f>EH42*C11</f>
        <v>10959.237726098188</v>
      </c>
      <c r="EJ42" s="50"/>
      <c r="EK42" s="65">
        <f>EH42+EA42</f>
        <v>583563.90542635648</v>
      </c>
      <c r="EL42" s="50">
        <f>EK42*C11</f>
        <v>291781.95271317824</v>
      </c>
      <c r="EM42" s="1"/>
      <c r="EN42" s="1"/>
    </row>
    <row r="43" spans="1:144">
      <c r="A43" s="1" t="s">
        <v>63</v>
      </c>
      <c r="F43" t="s">
        <v>202</v>
      </c>
      <c r="G43">
        <v>0</v>
      </c>
      <c r="H43" s="62">
        <f>B$13-G43</f>
        <v>107493.54005167959</v>
      </c>
      <c r="I43" s="47">
        <f>H43*C$13</f>
        <v>32248.062015503878</v>
      </c>
      <c r="P43" t="s">
        <v>202</v>
      </c>
      <c r="Q43" s="64">
        <f>R14*S14</f>
        <v>3000</v>
      </c>
      <c r="R43" s="62">
        <f>B13-Q43</f>
        <v>104493.54005167959</v>
      </c>
      <c r="S43" s="47">
        <f>R43*C13</f>
        <v>31348.062015503878</v>
      </c>
      <c r="U43" s="62">
        <f>R43+H43</f>
        <v>211987.08010335919</v>
      </c>
      <c r="Z43" t="s">
        <v>202</v>
      </c>
      <c r="AA43" s="64">
        <f>AB15*AC15</f>
        <v>3000</v>
      </c>
      <c r="AB43" s="62">
        <f>B13</f>
        <v>107493.54005167959</v>
      </c>
      <c r="AC43" s="47">
        <f>AB43*C13</f>
        <v>32248.062015503878</v>
      </c>
      <c r="AE43" s="62">
        <f>U43+AB43</f>
        <v>319480.62015503878</v>
      </c>
      <c r="AJ43" t="s">
        <v>203</v>
      </c>
      <c r="AK43" s="64">
        <f>AL3*AM3+AL4*AM4+AL5*AM5+AL13*AM13</f>
        <v>150000</v>
      </c>
      <c r="AL43" s="62">
        <f>B12-AK43</f>
        <v>139405.68475452199</v>
      </c>
      <c r="AM43" s="47">
        <f>AL43*C12</f>
        <v>52974.160206718356</v>
      </c>
      <c r="AO43" s="62">
        <f>AL43+AE42</f>
        <v>726122.73901808797</v>
      </c>
      <c r="AT43" t="s">
        <v>203</v>
      </c>
      <c r="AU43" s="64">
        <f>AV3*AW3+AV4*AW4+AV5*AW5+AV8*AW8</f>
        <v>168000</v>
      </c>
      <c r="AV43" s="62">
        <f>B12-AU43</f>
        <v>121405.68475452199</v>
      </c>
      <c r="AW43" s="47">
        <f>AV43*C12</f>
        <v>46134.160206718356</v>
      </c>
      <c r="AY43" s="62">
        <f>AO43+AV43</f>
        <v>847528.42377261003</v>
      </c>
      <c r="BD43" t="s">
        <v>203</v>
      </c>
      <c r="BE43" s="64">
        <f>BF3*BG3+BF4*BG4+BF5*BG5+BF7*BG7</f>
        <v>156000</v>
      </c>
      <c r="BF43" s="62">
        <f>B12-BE43</f>
        <v>133405.68475452199</v>
      </c>
      <c r="BG43" s="47">
        <f>BF43*C12</f>
        <v>50694.160206718356</v>
      </c>
      <c r="BI43" s="62">
        <f>AY43+BF43</f>
        <v>980934.10852713208</v>
      </c>
      <c r="BN43" s="1" t="s">
        <v>202</v>
      </c>
      <c r="BO43" s="51">
        <f>BP17*BQ17</f>
        <v>30000</v>
      </c>
      <c r="BP43" s="65">
        <f>B13-BO43</f>
        <v>77493.540051679593</v>
      </c>
      <c r="BQ43" s="50">
        <f>BP43*C13</f>
        <v>23248.062015503878</v>
      </c>
      <c r="BS43" s="62">
        <f>BI44+BP43</f>
        <v>659454.78036175715</v>
      </c>
      <c r="BX43" s="1" t="s">
        <v>203</v>
      </c>
      <c r="BY43" s="51">
        <f>BZ3*CA3+BZ4*CA4+BZ5*CA5+BZ7*CA7</f>
        <v>198000</v>
      </c>
      <c r="BZ43" s="65">
        <f>B12-BY43</f>
        <v>91405.684754521993</v>
      </c>
      <c r="CA43" s="50">
        <f>BZ43*C12</f>
        <v>34734.160206718356</v>
      </c>
      <c r="CC43" s="62">
        <f>BZ43+BS42</f>
        <v>1151745.4780361762</v>
      </c>
      <c r="CD43" s="47">
        <f>CC43*C12</f>
        <v>437663.28165374696</v>
      </c>
      <c r="CH43" s="1" t="s">
        <v>202</v>
      </c>
      <c r="CI43" s="51">
        <f>CJ17*CK17</f>
        <v>50000</v>
      </c>
      <c r="CJ43" s="65">
        <f>B13-CI43</f>
        <v>57493.540051679593</v>
      </c>
      <c r="CK43" s="50">
        <f>CJ43*C13</f>
        <v>17248.062015503878</v>
      </c>
      <c r="CL43" s="47"/>
      <c r="CM43" s="62">
        <f>CC44+CJ43</f>
        <v>804441.86046511633</v>
      </c>
      <c r="CN43" s="47">
        <f>CM43*C13</f>
        <v>241332.5581395349</v>
      </c>
      <c r="CR43" s="1" t="s">
        <v>203</v>
      </c>
      <c r="CS43" s="51">
        <f>CT3*CU3+CT4*CU4+CT5*CU5+CT7*CU7</f>
        <v>198000</v>
      </c>
      <c r="CT43" s="65">
        <f>B12-CS43</f>
        <v>91405.684754521993</v>
      </c>
      <c r="CU43" s="50">
        <f>CT43*C12</f>
        <v>34734.160206718356</v>
      </c>
      <c r="CV43" s="47"/>
      <c r="CW43" s="62">
        <f>CM42+CT43</f>
        <v>1334556.8475452203</v>
      </c>
      <c r="CX43" s="47">
        <f>CW43*C12</f>
        <v>507131.6020671837</v>
      </c>
      <c r="DB43" s="1" t="s">
        <v>203</v>
      </c>
      <c r="DC43" s="51">
        <f>DD3*DE3+DD4*DE4+DD5*DE5+DD7*DE7</f>
        <v>198000</v>
      </c>
      <c r="DD43" s="65">
        <f>B12-DC43</f>
        <v>91405.684754521993</v>
      </c>
      <c r="DE43" s="50">
        <f>DD43*C12</f>
        <v>34734.160206718356</v>
      </c>
      <c r="DF43" s="47"/>
      <c r="DG43" s="62">
        <f>CW43+DD43</f>
        <v>1425962.5322997423</v>
      </c>
      <c r="DH43" s="47">
        <f>DG43*C12</f>
        <v>541865.76227390207</v>
      </c>
      <c r="DL43" s="1" t="s">
        <v>203</v>
      </c>
      <c r="DM43" s="51">
        <f>DN3*DO3+DN4*DO4+DN5*DO5+DN7*DO7</f>
        <v>198000</v>
      </c>
      <c r="DN43" s="65">
        <f>B12-DM43</f>
        <v>91405.684754521993</v>
      </c>
      <c r="DO43" s="50">
        <f>DN43*C12</f>
        <v>34734.160206718356</v>
      </c>
      <c r="DP43" s="47"/>
      <c r="DQ43" s="62">
        <f>DG43+DN43</f>
        <v>1517368.2170542644</v>
      </c>
      <c r="DR43" s="47">
        <f>DQ44*C13</f>
        <v>260832.88217054264</v>
      </c>
      <c r="DV43" s="1" t="s">
        <v>203</v>
      </c>
      <c r="DW43" s="51">
        <f>DX3*DY3+DX4*DY4+DX5*DY5+DX7*DY7+DX9*DY9</f>
        <v>198000</v>
      </c>
      <c r="DX43" s="65">
        <f>B12-DW43</f>
        <v>91405.684754521993</v>
      </c>
      <c r="DY43" s="50">
        <f>DX43*C12</f>
        <v>34734.160206718356</v>
      </c>
      <c r="DZ43" s="50"/>
      <c r="EA43" s="65">
        <f>DX43+DQ43</f>
        <v>1608773.9018087864</v>
      </c>
      <c r="EB43" s="50">
        <f>EA43*C12</f>
        <v>611334.08268733881</v>
      </c>
      <c r="EC43" s="1"/>
      <c r="ED43" s="1"/>
      <c r="EF43" s="1" t="s">
        <v>203</v>
      </c>
      <c r="EG43" s="51">
        <f>EH3+EI3+EH4*EI4+EH5*EI5+EH7*EI7+EH8*EI8</f>
        <v>168002</v>
      </c>
      <c r="EH43" s="65">
        <f>B12-EG43</f>
        <v>121403.68475452199</v>
      </c>
      <c r="EI43" s="50">
        <f>EH43*C12</f>
        <v>46133.400206718361</v>
      </c>
      <c r="EJ43" s="50"/>
      <c r="EK43" s="65">
        <f>EH43+EA43</f>
        <v>1730177.5865633085</v>
      </c>
      <c r="EL43" s="50">
        <f>EK43*C12</f>
        <v>657467.48289405729</v>
      </c>
      <c r="EM43" s="1"/>
      <c r="EN43" s="1"/>
    </row>
    <row r="44" spans="1:144">
      <c r="A44" s="1" t="s">
        <v>256</v>
      </c>
      <c r="B44" s="63">
        <f>BE24</f>
        <v>324300</v>
      </c>
      <c r="C44" s="63">
        <f>BI9</f>
        <v>132000</v>
      </c>
      <c r="D44" s="61">
        <f>BI19</f>
        <v>192300</v>
      </c>
      <c r="F44" t="s">
        <v>204</v>
      </c>
      <c r="G44">
        <v>0</v>
      </c>
      <c r="H44" s="62">
        <f>B$14-G44</f>
        <v>355555.55555555556</v>
      </c>
      <c r="I44" s="47">
        <f>H44*C$14</f>
        <v>17777.777777777777</v>
      </c>
      <c r="P44" t="s">
        <v>204</v>
      </c>
      <c r="Q44" s="64">
        <v>0</v>
      </c>
      <c r="R44" s="62">
        <f>B14-Q44</f>
        <v>355555.55555555556</v>
      </c>
      <c r="S44" s="47">
        <f>R44*C14</f>
        <v>17777.777777777777</v>
      </c>
      <c r="U44" s="62">
        <f>R44+H44</f>
        <v>711111.11111111112</v>
      </c>
      <c r="Z44" t="s">
        <v>204</v>
      </c>
      <c r="AA44" s="64">
        <v>0</v>
      </c>
      <c r="AB44" s="62">
        <f>B14</f>
        <v>355555.55555555556</v>
      </c>
      <c r="AC44" s="47">
        <f>AB44*C14</f>
        <v>17777.777777777777</v>
      </c>
      <c r="AE44" s="62">
        <f>U44+AB44</f>
        <v>1066666.6666666667</v>
      </c>
      <c r="AJ44" t="s">
        <v>202</v>
      </c>
      <c r="AK44" s="64">
        <f>AL17*AM17</f>
        <v>10000</v>
      </c>
      <c r="AL44" s="62">
        <f>B13-AK44</f>
        <v>97493.540051679593</v>
      </c>
      <c r="AM44" s="47">
        <f>AL44*C13</f>
        <v>29248.062015503878</v>
      </c>
      <c r="AO44" s="62">
        <f>AL44+AE43</f>
        <v>416974.16020671837</v>
      </c>
      <c r="AT44" t="s">
        <v>202</v>
      </c>
      <c r="AU44" s="64">
        <f>AV17*AW17</f>
        <v>20000</v>
      </c>
      <c r="AV44" s="62">
        <f>B13-AU44</f>
        <v>87493.540051679593</v>
      </c>
      <c r="AW44" s="47">
        <f>AV44*C13</f>
        <v>26248.062015503878</v>
      </c>
      <c r="AY44" s="62">
        <f>AO44+AV44</f>
        <v>504467.70025839796</v>
      </c>
      <c r="BD44" t="s">
        <v>202</v>
      </c>
      <c r="BE44" s="64">
        <f>BF17*BG17</f>
        <v>30000</v>
      </c>
      <c r="BF44" s="62">
        <f>B13-BE44</f>
        <v>77493.540051679593</v>
      </c>
      <c r="BG44" s="47">
        <f>BF44*C13</f>
        <v>23248.062015503878</v>
      </c>
      <c r="BI44" s="62">
        <f>AY44+BF44</f>
        <v>581961.24031007756</v>
      </c>
      <c r="BN44" s="1" t="s">
        <v>204</v>
      </c>
      <c r="BO44" s="51">
        <f>BP14*BQ14</f>
        <v>30000</v>
      </c>
      <c r="BP44" s="65">
        <f>B14-BO44</f>
        <v>325555.55555555556</v>
      </c>
      <c r="BQ44" s="50">
        <f>BP44*C14</f>
        <v>16277.777777777779</v>
      </c>
      <c r="BS44" s="62">
        <f>BI45+BP44</f>
        <v>2368888.888888889</v>
      </c>
      <c r="BX44" s="1" t="s">
        <v>202</v>
      </c>
      <c r="BY44" s="51">
        <f>BZ18*CA18</f>
        <v>20000</v>
      </c>
      <c r="BZ44" s="65">
        <f>B13-BY44</f>
        <v>87493.540051679593</v>
      </c>
      <c r="CA44" s="50">
        <f>BZ44*C13</f>
        <v>26248.062015503878</v>
      </c>
      <c r="CC44" s="62">
        <f>BZ44+BS43</f>
        <v>746948.32041343674</v>
      </c>
      <c r="CD44" s="47">
        <f>CC44*C13</f>
        <v>224084.49612403102</v>
      </c>
      <c r="CH44" s="1" t="s">
        <v>204</v>
      </c>
      <c r="CI44" s="51">
        <f>CJ14*CK14</f>
        <v>30000</v>
      </c>
      <c r="CJ44" s="65">
        <f>B14-CI44</f>
        <v>325555.55555555556</v>
      </c>
      <c r="CK44" s="50">
        <f>CJ44*C14</f>
        <v>16277.777777777779</v>
      </c>
      <c r="CL44" s="47"/>
      <c r="CM44" s="62">
        <f>CC45+CJ44</f>
        <v>3020000</v>
      </c>
      <c r="CN44" s="47">
        <f>CM44*C14</f>
        <v>151000</v>
      </c>
      <c r="CR44" s="1" t="s">
        <v>202</v>
      </c>
      <c r="CS44" s="51">
        <f>CT18*CU18</f>
        <v>50000</v>
      </c>
      <c r="CT44" s="65">
        <f>B13-CS44</f>
        <v>57493.540051679593</v>
      </c>
      <c r="CU44" s="50">
        <f>CT44*C13</f>
        <v>17248.062015503878</v>
      </c>
      <c r="CV44" s="47"/>
      <c r="CW44" s="62">
        <f>CM43+CT44</f>
        <v>861935.40051679593</v>
      </c>
      <c r="CX44" s="47">
        <f>CW44*C13</f>
        <v>258580.62015503878</v>
      </c>
      <c r="DB44" s="1" t="s">
        <v>202</v>
      </c>
      <c r="DC44" s="51">
        <f>DD17*DE17</f>
        <v>50000</v>
      </c>
      <c r="DD44" s="65">
        <f>V13-DC44</f>
        <v>-49986</v>
      </c>
      <c r="DE44" s="50">
        <f>DD44*C13</f>
        <v>-14995.8</v>
      </c>
      <c r="DF44" s="47"/>
      <c r="DG44" s="62">
        <f>CW44+DD44</f>
        <v>811949.40051679593</v>
      </c>
      <c r="DH44" s="47">
        <f>DG44*C13</f>
        <v>243584.82015503876</v>
      </c>
      <c r="DL44" s="1" t="s">
        <v>202</v>
      </c>
      <c r="DM44" s="51">
        <f>DN18*DO18</f>
        <v>50000</v>
      </c>
      <c r="DN44" s="65">
        <f>B13-DM44</f>
        <v>57493.540051679593</v>
      </c>
      <c r="DO44" s="50">
        <f>DN44*C13</f>
        <v>17248.062015503878</v>
      </c>
      <c r="DP44" s="47"/>
      <c r="DQ44" s="62">
        <f>DG44+DN44</f>
        <v>869442.94056847552</v>
      </c>
      <c r="DR44" s="47">
        <f>DQ45*C14</f>
        <v>182055.93055555556</v>
      </c>
      <c r="DV44" s="1" t="s">
        <v>202</v>
      </c>
      <c r="DW44" s="51">
        <f>DX18*DY18</f>
        <v>50000</v>
      </c>
      <c r="DX44" s="65">
        <f>B13-DW44</f>
        <v>57493.540051679593</v>
      </c>
      <c r="DY44" s="50">
        <f>DX44*C13</f>
        <v>17248.062015503878</v>
      </c>
      <c r="DZ44" s="50"/>
      <c r="EA44" s="65">
        <f>DX44+DQ44</f>
        <v>926936.48062015511</v>
      </c>
      <c r="EB44" s="50">
        <f>EA44*C13</f>
        <v>278080.94418604654</v>
      </c>
      <c r="EC44" s="1"/>
      <c r="ED44" s="1"/>
      <c r="EF44" s="1" t="s">
        <v>202</v>
      </c>
      <c r="EG44" s="51">
        <f>EH18*EI18</f>
        <v>100000</v>
      </c>
      <c r="EH44" s="65">
        <f>B13-EG44</f>
        <v>7493.5400516795926</v>
      </c>
      <c r="EI44" s="50">
        <f>EH44*C13</f>
        <v>2248.0620155038778</v>
      </c>
      <c r="EJ44" s="50"/>
      <c r="EK44" s="65">
        <f>EH44+EA44</f>
        <v>934430.0206718347</v>
      </c>
      <c r="EL44" s="50">
        <f>EK44*C13</f>
        <v>280329.00620155042</v>
      </c>
      <c r="EM44" s="1"/>
      <c r="EN44" s="1"/>
    </row>
    <row r="45" spans="1:144">
      <c r="A45" s="1" t="s">
        <v>215</v>
      </c>
      <c r="B45" s="61">
        <f>BE30</f>
        <v>252588.88888888888</v>
      </c>
      <c r="C45" s="61">
        <f>BE26+BE27+BE29</f>
        <v>172888.88888888888</v>
      </c>
      <c r="D45" s="61">
        <f>BE28</f>
        <v>79700</v>
      </c>
      <c r="I45" s="61">
        <f>SUM(I41:I44)</f>
        <v>166514.23772609819</v>
      </c>
      <c r="S45" s="61">
        <f>SUM(S41:S44)</f>
        <v>123334.2377260982</v>
      </c>
      <c r="AC45" s="61">
        <f>SUM(AC41:AC44)</f>
        <v>230284.23772609819</v>
      </c>
      <c r="AJ45" t="s">
        <v>204</v>
      </c>
      <c r="AK45" s="64">
        <f>AL14*AM14</f>
        <v>30000</v>
      </c>
      <c r="AL45" s="62">
        <f>B14-AK45</f>
        <v>325555.55555555556</v>
      </c>
      <c r="AM45" s="47">
        <f>AL45*C14</f>
        <v>16277.777777777779</v>
      </c>
      <c r="AO45" s="62">
        <f>AL45+AE44</f>
        <v>1392222.2222222222</v>
      </c>
      <c r="AT45" t="s">
        <v>204</v>
      </c>
      <c r="AU45" s="64">
        <f>AV14*AW14</f>
        <v>30000</v>
      </c>
      <c r="AV45" s="62">
        <f>B14-AU45</f>
        <v>325555.55555555556</v>
      </c>
      <c r="AW45" s="47">
        <f>AV45*C14</f>
        <v>16277.777777777779</v>
      </c>
      <c r="AY45" s="62">
        <f>AO45+AV45</f>
        <v>1717777.7777777778</v>
      </c>
      <c r="BD45" t="s">
        <v>204</v>
      </c>
      <c r="BE45" s="64">
        <f>BF15*BG15</f>
        <v>30000</v>
      </c>
      <c r="BF45" s="62">
        <f>B14-BE45</f>
        <v>325555.55555555556</v>
      </c>
      <c r="BG45" s="47">
        <f>BF45*C14</f>
        <v>16277.777777777779</v>
      </c>
      <c r="BI45" s="62">
        <f>AY45+BF45</f>
        <v>2043333.3333333333</v>
      </c>
      <c r="BN45" s="1"/>
      <c r="BO45" s="1"/>
      <c r="BP45" s="1"/>
      <c r="BQ45" s="50">
        <f>SUM(BQ41:BQ44)</f>
        <v>84984.237726098203</v>
      </c>
      <c r="BX45" s="1" t="s">
        <v>204</v>
      </c>
      <c r="BY45" s="51">
        <f>BZ15*CA15</f>
        <v>30000</v>
      </c>
      <c r="BZ45" s="65">
        <f>B14-BY45</f>
        <v>325555.55555555556</v>
      </c>
      <c r="CA45" s="50">
        <f>BZ45*C14</f>
        <v>16277.777777777779</v>
      </c>
      <c r="CC45" s="62">
        <f>BZ45+BS44</f>
        <v>2694444.4444444445</v>
      </c>
      <c r="CD45" s="47">
        <f>CC45*C14</f>
        <v>134722.22222222222</v>
      </c>
      <c r="CH45" s="1"/>
      <c r="CI45" s="1"/>
      <c r="CJ45" s="1"/>
      <c r="CK45" s="50">
        <f>SUM(CK41:CK44)</f>
        <v>77796.425000000017</v>
      </c>
      <c r="CL45" s="47"/>
      <c r="CN45" s="47">
        <f>SUM(CN41:CN44)</f>
        <v>1091888.5768087858</v>
      </c>
      <c r="CR45" s="1" t="s">
        <v>204</v>
      </c>
      <c r="CS45" s="51">
        <f>CT15*CU15</f>
        <v>30000</v>
      </c>
      <c r="CT45" s="65">
        <f>B14-CS45</f>
        <v>325555.55555555556</v>
      </c>
      <c r="CU45" s="50">
        <f>CT45*C14</f>
        <v>16277.777777777779</v>
      </c>
      <c r="CV45" s="47"/>
      <c r="CW45" s="62">
        <f>CM44+CT45</f>
        <v>3345555.5555555555</v>
      </c>
      <c r="CX45" s="47">
        <f>CW45*C14</f>
        <v>167277.77777777778</v>
      </c>
      <c r="DB45" s="1" t="s">
        <v>204</v>
      </c>
      <c r="DC45" s="51">
        <f>DD14*DE14</f>
        <v>30000</v>
      </c>
      <c r="DD45" s="65">
        <f>V14-DC45</f>
        <v>-29992.5</v>
      </c>
      <c r="DE45" s="50">
        <f>DD45*C14</f>
        <v>-1499.625</v>
      </c>
      <c r="DF45" s="47"/>
      <c r="DG45" s="62">
        <f>CW45+DD45</f>
        <v>3315563.0555555555</v>
      </c>
      <c r="DH45" s="47">
        <f>DG45*C14</f>
        <v>165778.15277777778</v>
      </c>
      <c r="DL45" s="1" t="s">
        <v>204</v>
      </c>
      <c r="DM45" s="51">
        <f>DN15*DO15</f>
        <v>30000</v>
      </c>
      <c r="DN45" s="65">
        <f>B14-DM45</f>
        <v>325555.55555555556</v>
      </c>
      <c r="DO45" s="50">
        <f>DN45*C14</f>
        <v>16277.777777777779</v>
      </c>
      <c r="DP45" s="47"/>
      <c r="DQ45" s="62">
        <f>DG45+DN45</f>
        <v>3641118.611111111</v>
      </c>
      <c r="DR45" s="47">
        <f>SUM(DR41:DR44)</f>
        <v>1275602.2124677005</v>
      </c>
      <c r="DV45" s="1" t="s">
        <v>204</v>
      </c>
      <c r="DW45" s="51">
        <f>DX15*DY15</f>
        <v>30000</v>
      </c>
      <c r="DX45" s="65">
        <f>B14-DW45</f>
        <v>325555.55555555556</v>
      </c>
      <c r="DY45" s="50">
        <f>DX45*C14</f>
        <v>16277.777777777779</v>
      </c>
      <c r="DZ45" s="50"/>
      <c r="EA45" s="65">
        <f>DX45+DQ45</f>
        <v>3966674.1666666665</v>
      </c>
      <c r="EB45" s="50">
        <f>EA45*C14</f>
        <v>198333.70833333334</v>
      </c>
      <c r="EC45" s="1"/>
      <c r="ED45" s="1"/>
      <c r="EF45" s="1" t="s">
        <v>204</v>
      </c>
      <c r="EG45" s="51">
        <f>EH15*EI15</f>
        <v>30000</v>
      </c>
      <c r="EH45" s="65">
        <f>B14-EG45</f>
        <v>325555.55555555556</v>
      </c>
      <c r="EI45" s="50">
        <f>EH45*C14</f>
        <v>16277.777777777779</v>
      </c>
      <c r="EJ45" s="50"/>
      <c r="EK45" s="65">
        <f>EH45+EA45</f>
        <v>4292229.722222222</v>
      </c>
      <c r="EL45" s="50">
        <f>EK45*C14</f>
        <v>214611.48611111112</v>
      </c>
      <c r="EM45" s="1"/>
      <c r="EN45" s="1"/>
    </row>
    <row r="46" spans="1:144">
      <c r="A46" s="1" t="s">
        <v>3</v>
      </c>
      <c r="B46" s="61">
        <f>B44-B45</f>
        <v>71711.111111111124</v>
      </c>
      <c r="C46" s="61">
        <f>C44-C45</f>
        <v>-40888.888888888876</v>
      </c>
      <c r="D46" s="61">
        <f>D44-D45</f>
        <v>112600</v>
      </c>
      <c r="AM46" s="61">
        <f>SUM(AM42:AM45)</f>
        <v>110584.2377260982</v>
      </c>
      <c r="AW46" s="61">
        <f>SUM(AW42:AW45)</f>
        <v>100342.9877260982</v>
      </c>
      <c r="BG46" s="61">
        <f>SUM(BG42:BG45)</f>
        <v>105503.7377260982</v>
      </c>
      <c r="BX46" s="1"/>
      <c r="BY46" s="1"/>
      <c r="BZ46" s="1"/>
      <c r="CA46" s="50">
        <f>SUM(CA42:CA45)</f>
        <v>92544.237726098203</v>
      </c>
      <c r="CD46" s="47">
        <f>SUM(CD42:CD45)</f>
        <v>1014092.1518087857</v>
      </c>
      <c r="CR46" s="1"/>
      <c r="CS46" s="1"/>
      <c r="CT46" s="1"/>
      <c r="CU46" s="50">
        <f>SUM(CU42:CU45)</f>
        <v>77969.237726098203</v>
      </c>
      <c r="CV46" s="47"/>
      <c r="CX46" s="47">
        <f>SUM(CX42:CX45)</f>
        <v>1169857.8145348839</v>
      </c>
      <c r="DB46" s="1"/>
      <c r="DC46" s="1"/>
      <c r="DD46" s="1"/>
      <c r="DE46" s="50">
        <f>SUM(DE42:DE45)</f>
        <v>27775.160206718359</v>
      </c>
      <c r="DF46" s="47"/>
      <c r="DH46" s="47">
        <f>SUM(DH42:DH45)</f>
        <v>1197632.9747416023</v>
      </c>
      <c r="DL46" s="1"/>
      <c r="DM46" s="1"/>
      <c r="DN46" s="1"/>
      <c r="DO46" s="50">
        <f>SUM(DO42:DO45)</f>
        <v>77969.237726098203</v>
      </c>
      <c r="DP46" s="47"/>
      <c r="DV46" s="1"/>
      <c r="DW46" s="1"/>
      <c r="DX46" s="1"/>
      <c r="DY46" s="50">
        <f>SUM(DY42:DY45)</f>
        <v>92969.237726098203</v>
      </c>
      <c r="DZ46" s="50"/>
      <c r="EA46" s="1"/>
      <c r="EB46" s="50">
        <f>SUM(EB42:EB45)</f>
        <v>1368571.4501937986</v>
      </c>
      <c r="EC46" s="1"/>
      <c r="ED46" s="1"/>
      <c r="EF46" s="1"/>
      <c r="EG46" s="1"/>
      <c r="EH46" s="1"/>
      <c r="EI46" s="50">
        <f>SUM(EI42:EI45)</f>
        <v>75618.477726098208</v>
      </c>
      <c r="EJ46" s="50"/>
      <c r="EK46" s="1"/>
      <c r="EL46" s="50">
        <f>SUM(EL42:EL45)</f>
        <v>1444189.9279198973</v>
      </c>
      <c r="EM46" s="1"/>
      <c r="EN46" s="1"/>
    </row>
    <row r="47" spans="1:144">
      <c r="V47" s="60"/>
    </row>
    <row r="48" spans="1:144">
      <c r="A48" s="1" t="s">
        <v>59</v>
      </c>
    </row>
    <row r="49" spans="1:4">
      <c r="A49" s="1" t="s">
        <v>256</v>
      </c>
      <c r="B49" s="63">
        <f>BY24</f>
        <v>369500</v>
      </c>
      <c r="C49" s="63">
        <f>BS9</f>
        <v>163000</v>
      </c>
      <c r="D49" s="61">
        <f>BS19</f>
        <v>215100</v>
      </c>
    </row>
    <row r="50" spans="1:4">
      <c r="A50" s="1" t="s">
        <v>215</v>
      </c>
      <c r="B50" s="61">
        <f>BY30</f>
        <v>260088.88888888888</v>
      </c>
      <c r="C50" s="61">
        <f>BO25+BO26+BO28</f>
        <v>172888.88888888888</v>
      </c>
      <c r="D50" s="61">
        <f>BO27</f>
        <v>94500</v>
      </c>
    </row>
    <row r="51" spans="1:4">
      <c r="A51" s="1" t="s">
        <v>3</v>
      </c>
      <c r="B51" s="61">
        <f>B49-B50</f>
        <v>109411.11111111112</v>
      </c>
      <c r="C51" s="61">
        <f>C49-C50</f>
        <v>-9888.888888888876</v>
      </c>
      <c r="D51" s="61">
        <f>D49-D50</f>
        <v>120600</v>
      </c>
    </row>
    <row r="53" spans="1:4">
      <c r="A53" s="1" t="s">
        <v>60</v>
      </c>
      <c r="B53" s="61"/>
    </row>
    <row r="54" spans="1:4">
      <c r="A54" s="1" t="s">
        <v>256</v>
      </c>
      <c r="B54" s="63">
        <f>BY24</f>
        <v>369500</v>
      </c>
      <c r="C54" s="63">
        <f>CC10</f>
        <v>170800</v>
      </c>
      <c r="D54" s="61">
        <f>CC20</f>
        <v>198700</v>
      </c>
    </row>
    <row r="55" spans="1:4">
      <c r="A55" s="1" t="s">
        <v>215</v>
      </c>
      <c r="B55" s="61">
        <f>BY30</f>
        <v>260088.88888888888</v>
      </c>
      <c r="C55" s="61">
        <f>CI25+CI26+CI28</f>
        <v>172888.88888888888</v>
      </c>
      <c r="D55" s="61">
        <f>BY28</f>
        <v>87200</v>
      </c>
    </row>
    <row r="56" spans="1:4">
      <c r="A56" s="1" t="s">
        <v>3</v>
      </c>
      <c r="B56" s="61">
        <f>B54-B55</f>
        <v>109411.11111111112</v>
      </c>
      <c r="C56" s="61">
        <f>C54-C55</f>
        <v>-2088.888888888876</v>
      </c>
      <c r="D56" s="61">
        <f>D54-D55</f>
        <v>111500</v>
      </c>
    </row>
    <row r="58" spans="1:4">
      <c r="A58" s="1" t="s">
        <v>61</v>
      </c>
    </row>
    <row r="59" spans="1:4">
      <c r="A59" s="1" t="s">
        <v>256</v>
      </c>
      <c r="B59" s="63">
        <f>CI23</f>
        <v>399500</v>
      </c>
      <c r="C59" s="63">
        <f>CW10</f>
        <v>170800</v>
      </c>
      <c r="D59" s="61">
        <f>CW20</f>
        <v>233700</v>
      </c>
    </row>
    <row r="60" spans="1:4">
      <c r="A60" s="1" t="s">
        <v>215</v>
      </c>
      <c r="B60" s="61">
        <f>CI29</f>
        <v>290088.88888888888</v>
      </c>
      <c r="C60" s="61">
        <f>CS26+CS27+CS29</f>
        <v>172888.88888888888</v>
      </c>
      <c r="D60" s="61">
        <f>CS28</f>
        <v>67200</v>
      </c>
    </row>
    <row r="61" spans="1:4">
      <c r="A61" s="1" t="s">
        <v>3</v>
      </c>
      <c r="B61" s="61">
        <f>B59-B60</f>
        <v>109411.11111111112</v>
      </c>
      <c r="C61" s="61">
        <f>C59-C60</f>
        <v>-2088.888888888876</v>
      </c>
      <c r="D61" s="61">
        <f>D59-D60</f>
        <v>166500</v>
      </c>
    </row>
    <row r="63" spans="1:4">
      <c r="A63" s="1" t="s">
        <v>62</v>
      </c>
    </row>
    <row r="64" spans="1:4">
      <c r="A64" s="1" t="s">
        <v>256</v>
      </c>
      <c r="B64" s="63">
        <f>DC24</f>
        <v>405500</v>
      </c>
      <c r="C64" s="63">
        <f>DG9</f>
        <v>146800</v>
      </c>
      <c r="D64" s="61">
        <f>DG19</f>
        <v>258700</v>
      </c>
    </row>
    <row r="65" spans="1:6">
      <c r="A65" s="1" t="s">
        <v>215</v>
      </c>
      <c r="B65" s="61">
        <f>DC30</f>
        <v>290088.88888888888</v>
      </c>
      <c r="C65" s="61">
        <f>DC26+DC27+DC29</f>
        <v>172888.88888888888</v>
      </c>
      <c r="D65" s="61">
        <f>DC28</f>
        <v>117200</v>
      </c>
    </row>
    <row r="66" spans="1:6">
      <c r="A66" s="1" t="s">
        <v>3</v>
      </c>
      <c r="B66" s="61">
        <f>B64-B65</f>
        <v>115411.11111111112</v>
      </c>
      <c r="C66" s="61">
        <f>C64-C65</f>
        <v>-26088.888888888876</v>
      </c>
      <c r="D66" s="61">
        <f>D64-D65</f>
        <v>141500</v>
      </c>
    </row>
    <row r="68" spans="1:6">
      <c r="A68" s="1" t="s">
        <v>56</v>
      </c>
    </row>
    <row r="69" spans="1:6">
      <c r="A69" s="1" t="s">
        <v>256</v>
      </c>
      <c r="B69" s="63">
        <f>DM24</f>
        <v>405500</v>
      </c>
      <c r="C69" s="63">
        <f>DQ10</f>
        <v>146800</v>
      </c>
      <c r="D69" s="61">
        <f>DQ20</f>
        <v>258700</v>
      </c>
    </row>
    <row r="70" spans="1:6">
      <c r="A70" s="1" t="s">
        <v>215</v>
      </c>
      <c r="B70" s="61">
        <f>DM30</f>
        <v>290088.88888888888</v>
      </c>
      <c r="C70" s="61">
        <f>DM26+DM27+DM29</f>
        <v>172888.88888888888</v>
      </c>
      <c r="D70" s="61">
        <f>DM28</f>
        <v>117200</v>
      </c>
    </row>
    <row r="71" spans="1:6">
      <c r="A71" s="1" t="s">
        <v>3</v>
      </c>
      <c r="B71" s="61">
        <f>B69-B70</f>
        <v>115411.11111111112</v>
      </c>
      <c r="C71" s="61">
        <f>C69-C70</f>
        <v>-26088.888888888876</v>
      </c>
      <c r="D71" s="61">
        <f>D69-D70</f>
        <v>141500</v>
      </c>
    </row>
    <row r="73" spans="1:6">
      <c r="A73" s="1" t="s">
        <v>57</v>
      </c>
    </row>
    <row r="74" spans="1:6">
      <c r="A74" s="1" t="s">
        <v>256</v>
      </c>
      <c r="B74" s="63">
        <f>DW24</f>
        <v>369340</v>
      </c>
      <c r="C74" s="63">
        <f>EA10</f>
        <v>135640</v>
      </c>
      <c r="D74" s="61">
        <f>EA20</f>
        <v>233700</v>
      </c>
    </row>
    <row r="75" spans="1:6">
      <c r="A75" s="1" t="s">
        <v>215</v>
      </c>
      <c r="B75" s="61">
        <f>DW30</f>
        <v>277588.88888888888</v>
      </c>
      <c r="C75" s="61">
        <f>DW26+DW27+DW29</f>
        <v>172888.88888888888</v>
      </c>
      <c r="D75" s="61">
        <f>DW28</f>
        <v>104700</v>
      </c>
    </row>
    <row r="76" spans="1:6">
      <c r="A76" s="1" t="s">
        <v>3</v>
      </c>
      <c r="B76" s="61">
        <f>B74-B75</f>
        <v>91751.111111111124</v>
      </c>
      <c r="C76" s="61">
        <f>C74-C75</f>
        <v>-37248.888888888876</v>
      </c>
      <c r="D76" s="61">
        <f>D74-D75</f>
        <v>129000</v>
      </c>
      <c r="F76" t="s">
        <v>4</v>
      </c>
    </row>
    <row r="78" spans="1:6">
      <c r="A78" s="1" t="s">
        <v>58</v>
      </c>
    </row>
    <row r="79" spans="1:6">
      <c r="A79" s="1" t="s">
        <v>256</v>
      </c>
      <c r="B79" s="63">
        <f>EG24</f>
        <v>380500</v>
      </c>
      <c r="C79" s="63">
        <f>EK10</f>
        <v>146800</v>
      </c>
      <c r="D79" s="61">
        <f>EK20</f>
        <v>233700</v>
      </c>
    </row>
    <row r="80" spans="1:6">
      <c r="A80" s="1" t="s">
        <v>215</v>
      </c>
      <c r="B80" s="61">
        <f>EG30</f>
        <v>315088.88888888888</v>
      </c>
      <c r="C80" s="61">
        <f>EG26+EG27+EG29</f>
        <v>172888.88888888888</v>
      </c>
      <c r="D80" s="61">
        <f>EG28</f>
        <v>142200</v>
      </c>
    </row>
    <row r="81" spans="1:4">
      <c r="A81" s="1" t="s">
        <v>3</v>
      </c>
      <c r="B81" s="61">
        <f>B79-B80</f>
        <v>65411.111111111124</v>
      </c>
      <c r="C81" s="61">
        <f>C79-C80</f>
        <v>-26088.888888888876</v>
      </c>
      <c r="D81" s="61">
        <f>D79-D80</f>
        <v>91500</v>
      </c>
    </row>
    <row r="82" spans="1:4">
      <c r="A82" s="1"/>
      <c r="B82" s="61"/>
      <c r="D82" s="61"/>
    </row>
    <row r="83" spans="1:4">
      <c r="A83" s="1"/>
      <c r="B83" s="61" t="s">
        <v>300</v>
      </c>
      <c r="C83" t="s">
        <v>385</v>
      </c>
      <c r="D83" s="61" t="s">
        <v>386</v>
      </c>
    </row>
    <row r="84" spans="1:4">
      <c r="A84" s="1" t="s">
        <v>120</v>
      </c>
      <c r="B84" s="63">
        <f>SUM(B19,B24,B29,B34,B39,B44,B49,B49,B49,B49,B49,B54,B59,B64,B69,B74,B79)</f>
        <v>5512840</v>
      </c>
      <c r="C84" s="63">
        <f>SUM(C19,C24,C29,C34,C39,C44,C49,C49,C49,C49,C49,C54,C59,C64,C69,C74,C79)</f>
        <v>2368840</v>
      </c>
      <c r="D84" s="63">
        <f>SUM(D19,D24,D29,D34,D39,D44,D49,D54,D54,D59,D64,D69,D74,D79)</f>
        <v>2385300</v>
      </c>
    </row>
    <row r="85" spans="1:4">
      <c r="A85" s="1" t="s">
        <v>142</v>
      </c>
      <c r="B85" s="63">
        <f>SUM(B20,B25,B30,B35,B35,B40,B35,B35,B45,B50,B50,B55,B60,B65,B70,B75,B80)</f>
        <v>4292333.4233333338</v>
      </c>
      <c r="C85" s="63">
        <f>SUM(C20,C25,C30,C35,C40,C45,C50,C55,C60,C65,C70,C75,C80)</f>
        <v>2241166.666666667</v>
      </c>
      <c r="D85" s="63">
        <f>SUM(D21,D26,D31,D36,D41,D46,D51,D56,D61,D66,D71,D76,D81)</f>
        <v>1213450</v>
      </c>
    </row>
    <row r="86" spans="1:4">
      <c r="A86" s="1" t="s">
        <v>224</v>
      </c>
      <c r="B86" s="63">
        <f>B84-B85</f>
        <v>1220506.5766666662</v>
      </c>
      <c r="C86" s="63">
        <f>C84-C85</f>
        <v>127673.33333333302</v>
      </c>
      <c r="D86" s="63">
        <f>D84-D85</f>
        <v>1171850</v>
      </c>
    </row>
  </sheetData>
  <mergeCells count="15">
    <mergeCell ref="A1:D1"/>
    <mergeCell ref="EF1:EN1"/>
    <mergeCell ref="BD1:BK1"/>
    <mergeCell ref="BN1:BU1"/>
    <mergeCell ref="F1:N1"/>
    <mergeCell ref="P1:X1"/>
    <mergeCell ref="Z1:AH1"/>
    <mergeCell ref="AJ1:AR1"/>
    <mergeCell ref="AT1:BB1"/>
    <mergeCell ref="BX1:CF1"/>
    <mergeCell ref="CH1:CP1"/>
    <mergeCell ref="CR1:CZ1"/>
    <mergeCell ref="DB1:DJ1"/>
    <mergeCell ref="DL1:DT1"/>
    <mergeCell ref="DV1:ED1"/>
  </mergeCells>
  <pageMargins left="0.7" right="0.7" top="0.75" bottom="0.75" header="0.3" footer="0.3"/>
  <pageSetup orientation="portrait" horizontalDpi="0" verticalDpi="0"/>
  <ignoredErrors>
    <ignoredError sqref="AG1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100B-95D8-4C52-B53E-BB11B8A9270A}">
  <dimension ref="A1:AB140"/>
  <sheetViews>
    <sheetView zoomScale="80" zoomScaleNormal="80" workbookViewId="0">
      <selection activeCell="I161" sqref="I161"/>
    </sheetView>
  </sheetViews>
  <sheetFormatPr defaultColWidth="8.69921875" defaultRowHeight="14.4"/>
  <cols>
    <col min="1" max="1" width="2.5" style="161" customWidth="1"/>
    <col min="2" max="2" width="22.296875" style="161" customWidth="1"/>
    <col min="3" max="3" width="4.19921875" style="161" bestFit="1" customWidth="1"/>
    <col min="4" max="4" width="8" style="161" customWidth="1"/>
    <col min="5" max="16" width="10.5" style="161" customWidth="1"/>
    <col min="17" max="17" width="1.5" style="161" customWidth="1"/>
    <col min="18" max="18" width="9.796875" style="161" bestFit="1" customWidth="1"/>
    <col min="19" max="26" width="8.69921875" style="161"/>
    <col min="27" max="27" width="21.796875" style="161" bestFit="1" customWidth="1"/>
    <col min="28" max="28" width="16.5" style="161" customWidth="1"/>
    <col min="29" max="16384" width="8.69921875" style="161"/>
  </cols>
  <sheetData>
    <row r="1" spans="1:28">
      <c r="A1" s="143" t="s">
        <v>438</v>
      </c>
    </row>
    <row r="2" spans="1:28">
      <c r="A2" s="143" t="s">
        <v>425</v>
      </c>
    </row>
    <row r="3" spans="1:28">
      <c r="E3" s="139">
        <v>45688</v>
      </c>
      <c r="F3" s="139">
        <f t="shared" ref="F3:H3" si="0">E3+33-DAY(E3+33)</f>
        <v>45716</v>
      </c>
      <c r="G3" s="139">
        <f t="shared" si="0"/>
        <v>45747</v>
      </c>
      <c r="H3" s="139">
        <f t="shared" si="0"/>
        <v>45777</v>
      </c>
      <c r="I3" s="139">
        <f t="shared" ref="I3" si="1">H3+33-DAY(H3+33)</f>
        <v>45808</v>
      </c>
      <c r="J3" s="139">
        <f t="shared" ref="J3" si="2">I3+33-DAY(I3+33)</f>
        <v>45838</v>
      </c>
      <c r="K3" s="139">
        <f t="shared" ref="K3" si="3">J3+33-DAY(J3+33)</f>
        <v>45869</v>
      </c>
      <c r="L3" s="139">
        <f t="shared" ref="L3" si="4">K3+33-DAY(K3+33)</f>
        <v>45900</v>
      </c>
      <c r="M3" s="139">
        <f t="shared" ref="M3" si="5">L3+33-DAY(L3+33)</f>
        <v>45930</v>
      </c>
      <c r="N3" s="139">
        <f t="shared" ref="N3" si="6">M3+33-DAY(M3+33)</f>
        <v>45961</v>
      </c>
      <c r="O3" s="139">
        <f t="shared" ref="O3" si="7">N3+33-DAY(N3+33)</f>
        <v>45991</v>
      </c>
      <c r="P3" s="139">
        <f t="shared" ref="P3" si="8">O3+33-DAY(O3+33)</f>
        <v>46022</v>
      </c>
      <c r="Q3" s="143"/>
      <c r="R3" s="144" t="s">
        <v>408</v>
      </c>
    </row>
    <row r="4" spans="1:28">
      <c r="A4" s="143" t="s">
        <v>440</v>
      </c>
    </row>
    <row r="5" spans="1:28">
      <c r="A5" s="161" t="s">
        <v>210</v>
      </c>
      <c r="E5" s="162">
        <f>'Curent Expected Cash Flow- 2025'!Q21</f>
        <v>108400</v>
      </c>
      <c r="F5" s="162">
        <f>'Curent Expected Cash Flow- 2025'!AA21</f>
        <v>98400</v>
      </c>
      <c r="G5" s="162">
        <f>'Curent Expected Cash Flow- 2025'!AK22</f>
        <v>118800</v>
      </c>
      <c r="H5" s="162">
        <f>'Curent Expected Cash Flow- 2025'!AU22</f>
        <v>135200</v>
      </c>
      <c r="I5" s="162">
        <f>'Curent Expected Cash Flow- 2025'!BE22</f>
        <v>132000</v>
      </c>
      <c r="J5" s="162">
        <f>'Curent Expected Cash Flow- 2025'!BO21</f>
        <v>163000</v>
      </c>
      <c r="K5" s="162">
        <f>'Curent Expected Cash Flow- 2025'!BY22</f>
        <v>170800</v>
      </c>
      <c r="L5" s="162">
        <f>'Curent Expected Cash Flow- 2025'!CS22</f>
        <v>170800</v>
      </c>
      <c r="M5" s="162">
        <f>'Curent Expected Cash Flow- 2025'!DC22</f>
        <v>146800</v>
      </c>
      <c r="N5" s="162">
        <f>'Curent Expected Cash Flow- 2025'!DM22</f>
        <v>146800</v>
      </c>
      <c r="O5" s="162">
        <f>'Curent Expected Cash Flow- 2025'!DW22</f>
        <v>135640</v>
      </c>
      <c r="P5" s="162">
        <f>'Curent Expected Cash Flow- 2025'!EG22</f>
        <v>146800</v>
      </c>
      <c r="R5" s="162">
        <f>SUM(E5:Q5)</f>
        <v>1673440</v>
      </c>
    </row>
    <row r="6" spans="1:28">
      <c r="A6" s="161" t="s">
        <v>221</v>
      </c>
      <c r="E6" s="162">
        <f>'Curent Expected Cash Flow- 2025'!Q22</f>
        <v>66200</v>
      </c>
      <c r="F6" s="162">
        <f>'Curent Expected Cash Flow- 2025'!AA22</f>
        <v>65700</v>
      </c>
      <c r="G6" s="162">
        <f>'Curent Expected Cash Flow- 2025'!AK23</f>
        <v>190300</v>
      </c>
      <c r="H6" s="162">
        <f>'Curent Expected Cash Flow- 2025'!AU23</f>
        <v>144800</v>
      </c>
      <c r="I6" s="162">
        <f>'Curent Expected Cash Flow- 2025'!BE23</f>
        <v>192300</v>
      </c>
      <c r="J6" s="162">
        <f>'Curent Expected Cash Flow- 2025'!BO22</f>
        <v>215100</v>
      </c>
      <c r="K6" s="162">
        <f>'Curent Expected Cash Flow- 2025'!BY23</f>
        <v>198700</v>
      </c>
      <c r="L6" s="162">
        <f>'Curent Expected Cash Flow- 2025'!CS23</f>
        <v>233700</v>
      </c>
      <c r="M6" s="162">
        <f>'Curent Expected Cash Flow- 2025'!DC23</f>
        <v>258700</v>
      </c>
      <c r="N6" s="162">
        <f>'Curent Expected Cash Flow- 2025'!DM23</f>
        <v>258700</v>
      </c>
      <c r="O6" s="162">
        <f>'Curent Expected Cash Flow- 2025'!DW23</f>
        <v>233700</v>
      </c>
      <c r="P6" s="162">
        <f>'Curent Expected Cash Flow- 2025'!EG23</f>
        <v>233700</v>
      </c>
      <c r="R6" s="162">
        <f>SUM(E6:Q6)</f>
        <v>2291600</v>
      </c>
    </row>
    <row r="7" spans="1:28">
      <c r="E7" s="163" t="s">
        <v>412</v>
      </c>
      <c r="F7" s="163" t="s">
        <v>412</v>
      </c>
      <c r="G7" s="163" t="s">
        <v>412</v>
      </c>
      <c r="H7" s="163" t="s">
        <v>412</v>
      </c>
      <c r="I7" s="163" t="s">
        <v>412</v>
      </c>
      <c r="J7" s="163" t="s">
        <v>412</v>
      </c>
      <c r="K7" s="163" t="s">
        <v>412</v>
      </c>
      <c r="L7" s="163" t="s">
        <v>412</v>
      </c>
      <c r="M7" s="163" t="s">
        <v>412</v>
      </c>
      <c r="N7" s="163" t="s">
        <v>412</v>
      </c>
      <c r="O7" s="163" t="s">
        <v>412</v>
      </c>
      <c r="P7" s="163" t="s">
        <v>412</v>
      </c>
      <c r="R7" s="163" t="s">
        <v>412</v>
      </c>
      <c r="AB7" s="164"/>
    </row>
    <row r="8" spans="1:28">
      <c r="A8" s="153" t="s">
        <v>120</v>
      </c>
      <c r="C8" s="153"/>
      <c r="D8" s="153"/>
      <c r="E8" s="162">
        <f t="shared" ref="E8:P8" si="9">SUM(E5:E6)</f>
        <v>174600</v>
      </c>
      <c r="F8" s="162">
        <f>SUM(F5:F6)</f>
        <v>164100</v>
      </c>
      <c r="G8" s="162">
        <f t="shared" si="9"/>
        <v>309100</v>
      </c>
      <c r="H8" s="162">
        <f t="shared" si="9"/>
        <v>280000</v>
      </c>
      <c r="I8" s="162">
        <f t="shared" si="9"/>
        <v>324300</v>
      </c>
      <c r="J8" s="162">
        <f t="shared" si="9"/>
        <v>378100</v>
      </c>
      <c r="K8" s="162">
        <f t="shared" si="9"/>
        <v>369500</v>
      </c>
      <c r="L8" s="162">
        <f t="shared" si="9"/>
        <v>404500</v>
      </c>
      <c r="M8" s="162">
        <f t="shared" si="9"/>
        <v>405500</v>
      </c>
      <c r="N8" s="162">
        <f t="shared" si="9"/>
        <v>405500</v>
      </c>
      <c r="O8" s="162">
        <f t="shared" si="9"/>
        <v>369340</v>
      </c>
      <c r="P8" s="162">
        <f t="shared" si="9"/>
        <v>380500</v>
      </c>
      <c r="R8" s="162">
        <f>SUM(R5:R6)</f>
        <v>3965040</v>
      </c>
      <c r="AB8" s="165"/>
    </row>
    <row r="9" spans="1:28">
      <c r="A9" s="153"/>
      <c r="C9" s="153"/>
      <c r="D9" s="153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AA9" s="153"/>
      <c r="AB9" s="164"/>
    </row>
    <row r="10" spans="1:28">
      <c r="A10" s="166" t="s">
        <v>441</v>
      </c>
      <c r="C10" s="153"/>
      <c r="D10" s="153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AA10" s="153"/>
      <c r="AB10" s="164"/>
    </row>
    <row r="11" spans="1:28">
      <c r="A11" s="161" t="s">
        <v>222</v>
      </c>
      <c r="E11" s="162">
        <f>'Curent Expected Cash Flow- 2025'!Q25</f>
        <v>41700</v>
      </c>
      <c r="F11" s="162">
        <f>'Curent Expected Cash Flow- 2025'!AA25</f>
        <v>41700</v>
      </c>
      <c r="G11" s="162">
        <f>'Curent Expected Cash Flow- 2025'!AK26</f>
        <v>41700</v>
      </c>
      <c r="H11" s="162">
        <f>'Curent Expected Cash Flow- 2025'!AU26</f>
        <v>41700</v>
      </c>
      <c r="I11" s="162">
        <f>'Curent Expected Cash Flow- 2025'!BE26</f>
        <v>41700</v>
      </c>
      <c r="J11" s="162">
        <f>'Curent Expected Cash Flow- 2025'!BO25</f>
        <v>41700</v>
      </c>
      <c r="K11" s="162">
        <f>'Curent Expected Cash Flow- 2025'!BY26</f>
        <v>41700</v>
      </c>
      <c r="L11" s="162">
        <f>'Curent Expected Cash Flow- 2025'!CS26</f>
        <v>41700</v>
      </c>
      <c r="M11" s="162">
        <f>'Curent Expected Cash Flow- 2025'!DC26</f>
        <v>41700</v>
      </c>
      <c r="N11" s="162">
        <f>'Curent Expected Cash Flow- 2025'!DM26</f>
        <v>41700</v>
      </c>
      <c r="O11" s="162">
        <f>'Curent Expected Cash Flow- 2025'!DW26</f>
        <v>41700</v>
      </c>
      <c r="P11" s="162">
        <f>'Curent Expected Cash Flow- 2025'!EG26</f>
        <v>41700</v>
      </c>
      <c r="R11" s="162">
        <f t="shared" ref="R11:R17" si="10">SUM(E11:Q11)</f>
        <v>500400</v>
      </c>
      <c r="AA11" s="153"/>
    </row>
    <row r="12" spans="1:28">
      <c r="A12" s="153" t="s">
        <v>223</v>
      </c>
      <c r="C12" s="153"/>
      <c r="D12" s="153"/>
      <c r="E12" s="162">
        <f>'Curent Expected Cash Flow- 2025'!Q26</f>
        <v>124800</v>
      </c>
      <c r="F12" s="162">
        <f>'Curent Expected Cash Flow- 2025'!AA26</f>
        <v>124800</v>
      </c>
      <c r="G12" s="162">
        <f>'Curent Expected Cash Flow- 2025'!AK27</f>
        <v>124800</v>
      </c>
      <c r="H12" s="162">
        <f>'Curent Expected Cash Flow- 2025'!AU27</f>
        <v>124800</v>
      </c>
      <c r="I12" s="162">
        <f>'Curent Expected Cash Flow- 2025'!BE27</f>
        <v>124800</v>
      </c>
      <c r="J12" s="162">
        <f>'Curent Expected Cash Flow- 2025'!BO26</f>
        <v>124800</v>
      </c>
      <c r="K12" s="162">
        <f>'Curent Expected Cash Flow- 2025'!BY27</f>
        <v>124800</v>
      </c>
      <c r="L12" s="162">
        <f>'Curent Expected Cash Flow- 2025'!CS27</f>
        <v>124800</v>
      </c>
      <c r="M12" s="162">
        <f>'Curent Expected Cash Flow- 2025'!DC27</f>
        <v>124800</v>
      </c>
      <c r="N12" s="162">
        <f>'Curent Expected Cash Flow- 2025'!DM27</f>
        <v>124800</v>
      </c>
      <c r="O12" s="162">
        <f>'Curent Expected Cash Flow- 2025'!DW27</f>
        <v>124800</v>
      </c>
      <c r="P12" s="162">
        <f>'Curent Expected Cash Flow- 2025'!EG27</f>
        <v>124800</v>
      </c>
      <c r="R12" s="162">
        <f t="shared" si="10"/>
        <v>1497600</v>
      </c>
      <c r="AB12" s="165"/>
    </row>
    <row r="13" spans="1:28">
      <c r="A13" s="153" t="s">
        <v>226</v>
      </c>
      <c r="C13" s="153"/>
      <c r="D13" s="153"/>
      <c r="E13" s="162">
        <f>'Curent Expected Cash Flow- 2025'!Q27</f>
        <v>35450</v>
      </c>
      <c r="F13" s="162">
        <f>'Curent Expected Cash Flow- 2025'!AA27</f>
        <v>27650</v>
      </c>
      <c r="G13" s="162">
        <f>'Curent Expected Cash Flow- 2025'!AK28</f>
        <v>71650</v>
      </c>
      <c r="H13" s="162">
        <f>'Curent Expected Cash Flow- 2025'!AU28</f>
        <v>61400</v>
      </c>
      <c r="I13" s="162">
        <f>'Curent Expected Cash Flow- 2025'!BE28</f>
        <v>79700</v>
      </c>
      <c r="J13" s="162">
        <f>'Curent Expected Cash Flow- 2025'!BO27</f>
        <v>94500</v>
      </c>
      <c r="K13" s="162">
        <f>'Curent Expected Cash Flow- 2025'!BY28</f>
        <v>87200</v>
      </c>
      <c r="L13" s="162">
        <f>'Curent Expected Cash Flow- 2025'!CS28</f>
        <v>67200</v>
      </c>
      <c r="M13" s="162">
        <f>'Curent Expected Cash Flow- 2025'!DC28</f>
        <v>117200</v>
      </c>
      <c r="N13" s="162">
        <f>'Curent Expected Cash Flow- 2025'!DM28</f>
        <v>117200</v>
      </c>
      <c r="O13" s="162">
        <f>'Curent Expected Cash Flow- 2025'!DW28</f>
        <v>104700</v>
      </c>
      <c r="P13" s="162">
        <f>'Curent Expected Cash Flow- 2025'!EG28</f>
        <v>142200</v>
      </c>
      <c r="R13" s="162">
        <f t="shared" si="10"/>
        <v>1006050</v>
      </c>
      <c r="AA13" s="153"/>
      <c r="AB13" s="165"/>
    </row>
    <row r="14" spans="1:28">
      <c r="A14" s="153" t="s">
        <v>248</v>
      </c>
      <c r="C14" s="153"/>
      <c r="D14" s="153"/>
      <c r="E14" s="162">
        <f>E140</f>
        <v>0</v>
      </c>
      <c r="F14" s="162">
        <f t="shared" ref="F14:P14" si="11">F140</f>
        <v>4000</v>
      </c>
      <c r="G14" s="162">
        <f t="shared" si="11"/>
        <v>0</v>
      </c>
      <c r="H14" s="162">
        <f t="shared" si="11"/>
        <v>0</v>
      </c>
      <c r="I14" s="162">
        <f t="shared" si="11"/>
        <v>0</v>
      </c>
      <c r="J14" s="162">
        <f t="shared" si="11"/>
        <v>0</v>
      </c>
      <c r="K14" s="162">
        <f t="shared" si="11"/>
        <v>4000</v>
      </c>
      <c r="L14" s="162">
        <f t="shared" si="11"/>
        <v>0</v>
      </c>
      <c r="M14" s="162">
        <f t="shared" si="11"/>
        <v>0</v>
      </c>
      <c r="N14" s="162">
        <f t="shared" si="11"/>
        <v>0</v>
      </c>
      <c r="O14" s="162">
        <f t="shared" si="11"/>
        <v>0</v>
      </c>
      <c r="P14" s="162">
        <f t="shared" si="11"/>
        <v>0</v>
      </c>
      <c r="R14" s="162">
        <f t="shared" si="10"/>
        <v>8000</v>
      </c>
      <c r="AA14" s="153"/>
      <c r="AB14" s="165"/>
    </row>
    <row r="15" spans="1:28">
      <c r="A15" s="153" t="s">
        <v>477</v>
      </c>
      <c r="C15" s="153"/>
      <c r="D15" s="153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R15" s="162">
        <f t="shared" si="10"/>
        <v>0</v>
      </c>
      <c r="AA15" s="153"/>
      <c r="AB15" s="165"/>
    </row>
    <row r="16" spans="1:28">
      <c r="A16" s="153" t="s">
        <v>433</v>
      </c>
      <c r="C16" s="153"/>
      <c r="D16" s="153"/>
      <c r="E16" s="162">
        <f>E123</f>
        <v>3750</v>
      </c>
      <c r="F16" s="162">
        <f t="shared" ref="F16:P16" si="12">F123</f>
        <v>7500</v>
      </c>
      <c r="G16" s="162">
        <f t="shared" si="12"/>
        <v>7500</v>
      </c>
      <c r="H16" s="162">
        <f t="shared" si="12"/>
        <v>7500</v>
      </c>
      <c r="I16" s="162">
        <f t="shared" si="12"/>
        <v>7185.4688597043996</v>
      </c>
      <c r="J16" s="162">
        <f t="shared" si="12"/>
        <v>6867.0060801551017</v>
      </c>
      <c r="K16" s="162">
        <f t="shared" si="12"/>
        <v>6544.5625158614394</v>
      </c>
      <c r="L16" s="162">
        <f t="shared" si="12"/>
        <v>6218.0884070141065</v>
      </c>
      <c r="M16" s="162">
        <f t="shared" si="12"/>
        <v>5887.5333718061811</v>
      </c>
      <c r="N16" s="162">
        <f t="shared" si="12"/>
        <v>5552.8463986581583</v>
      </c>
      <c r="O16" s="162">
        <f t="shared" si="12"/>
        <v>5213.9758383457829</v>
      </c>
      <c r="P16" s="162">
        <f t="shared" si="12"/>
        <v>4870.8693960295041</v>
      </c>
      <c r="R16" s="162">
        <f t="shared" si="10"/>
        <v>74590.350867574671</v>
      </c>
      <c r="AA16" s="153"/>
      <c r="AB16" s="165"/>
    </row>
    <row r="17" spans="1:28">
      <c r="A17" s="153" t="s">
        <v>437</v>
      </c>
      <c r="C17" s="153"/>
      <c r="D17" s="153"/>
      <c r="E17" s="162">
        <v>10000</v>
      </c>
      <c r="F17" s="162">
        <v>10000</v>
      </c>
      <c r="G17" s="162">
        <v>10000</v>
      </c>
      <c r="H17" s="162">
        <v>10000</v>
      </c>
      <c r="I17" s="162">
        <v>10000</v>
      </c>
      <c r="J17" s="162">
        <v>10000</v>
      </c>
      <c r="K17" s="162">
        <v>10000</v>
      </c>
      <c r="L17" s="162">
        <v>10000</v>
      </c>
      <c r="M17" s="162">
        <v>10000</v>
      </c>
      <c r="N17" s="162">
        <v>10000</v>
      </c>
      <c r="O17" s="162">
        <v>10000</v>
      </c>
      <c r="P17" s="162">
        <v>10000</v>
      </c>
      <c r="R17" s="162">
        <f t="shared" si="10"/>
        <v>120000</v>
      </c>
      <c r="AA17" s="153"/>
      <c r="AB17" s="165"/>
    </row>
    <row r="18" spans="1:28">
      <c r="A18" s="153"/>
      <c r="C18" s="153"/>
      <c r="D18" s="153"/>
      <c r="E18" s="163" t="s">
        <v>412</v>
      </c>
      <c r="F18" s="163" t="s">
        <v>412</v>
      </c>
      <c r="G18" s="163" t="s">
        <v>412</v>
      </c>
      <c r="H18" s="163" t="s">
        <v>412</v>
      </c>
      <c r="I18" s="163" t="s">
        <v>412</v>
      </c>
      <c r="J18" s="163" t="s">
        <v>412</v>
      </c>
      <c r="K18" s="163" t="s">
        <v>412</v>
      </c>
      <c r="L18" s="163" t="s">
        <v>412</v>
      </c>
      <c r="M18" s="163" t="s">
        <v>412</v>
      </c>
      <c r="N18" s="163" t="s">
        <v>412</v>
      </c>
      <c r="O18" s="163" t="s">
        <v>412</v>
      </c>
      <c r="P18" s="163" t="s">
        <v>412</v>
      </c>
      <c r="R18" s="163" t="s">
        <v>412</v>
      </c>
      <c r="AA18" s="153"/>
      <c r="AB18" s="165"/>
    </row>
    <row r="19" spans="1:28">
      <c r="A19" s="153" t="s">
        <v>142</v>
      </c>
      <c r="C19" s="153"/>
      <c r="D19" s="153"/>
      <c r="E19" s="162">
        <f>SUM(E11:E17)</f>
        <v>215700</v>
      </c>
      <c r="F19" s="162">
        <f t="shared" ref="F19:P19" si="13">SUM(F11:F17)</f>
        <v>215650</v>
      </c>
      <c r="G19" s="162">
        <f t="shared" si="13"/>
        <v>255650</v>
      </c>
      <c r="H19" s="162">
        <f t="shared" si="13"/>
        <v>245400</v>
      </c>
      <c r="I19" s="162">
        <f t="shared" si="13"/>
        <v>263385.46885970439</v>
      </c>
      <c r="J19" s="162">
        <f t="shared" si="13"/>
        <v>277867.00608015509</v>
      </c>
      <c r="K19" s="162">
        <f t="shared" si="13"/>
        <v>274244.56251586141</v>
      </c>
      <c r="L19" s="162">
        <f t="shared" si="13"/>
        <v>249918.08840701412</v>
      </c>
      <c r="M19" s="162">
        <f t="shared" si="13"/>
        <v>299587.5333718062</v>
      </c>
      <c r="N19" s="162">
        <f t="shared" si="13"/>
        <v>299252.84639865818</v>
      </c>
      <c r="O19" s="162">
        <f t="shared" si="13"/>
        <v>286413.97583834577</v>
      </c>
      <c r="P19" s="162">
        <f t="shared" si="13"/>
        <v>323570.86939602951</v>
      </c>
      <c r="R19" s="162">
        <f>SUM(R11:R17)</f>
        <v>3206640.3508675746</v>
      </c>
      <c r="AA19" s="153"/>
      <c r="AB19" s="165"/>
    </row>
    <row r="20" spans="1:28">
      <c r="A20" s="153"/>
      <c r="C20" s="153"/>
      <c r="D20" s="153"/>
      <c r="E20" s="163" t="s">
        <v>412</v>
      </c>
      <c r="F20" s="163" t="s">
        <v>412</v>
      </c>
      <c r="G20" s="163" t="s">
        <v>412</v>
      </c>
      <c r="H20" s="163" t="s">
        <v>412</v>
      </c>
      <c r="I20" s="163" t="s">
        <v>412</v>
      </c>
      <c r="J20" s="163" t="s">
        <v>412</v>
      </c>
      <c r="K20" s="163" t="s">
        <v>412</v>
      </c>
      <c r="L20" s="163" t="s">
        <v>412</v>
      </c>
      <c r="M20" s="163" t="s">
        <v>412</v>
      </c>
      <c r="N20" s="163" t="s">
        <v>412</v>
      </c>
      <c r="O20" s="163" t="s">
        <v>412</v>
      </c>
      <c r="P20" s="163" t="s">
        <v>412</v>
      </c>
      <c r="R20" s="163" t="s">
        <v>412</v>
      </c>
      <c r="AA20" s="153"/>
    </row>
    <row r="21" spans="1:28">
      <c r="A21" s="153" t="s">
        <v>224</v>
      </c>
      <c r="C21" s="153"/>
      <c r="D21" s="153"/>
      <c r="E21" s="162">
        <f t="shared" ref="E21:P21" si="14">E8-E19</f>
        <v>-41100</v>
      </c>
      <c r="F21" s="162">
        <f t="shared" si="14"/>
        <v>-51550</v>
      </c>
      <c r="G21" s="162">
        <f t="shared" si="14"/>
        <v>53450</v>
      </c>
      <c r="H21" s="162">
        <f t="shared" si="14"/>
        <v>34600</v>
      </c>
      <c r="I21" s="162">
        <f t="shared" si="14"/>
        <v>60914.531140295614</v>
      </c>
      <c r="J21" s="162">
        <f t="shared" si="14"/>
        <v>100232.99391984491</v>
      </c>
      <c r="K21" s="162">
        <f t="shared" si="14"/>
        <v>95255.437484138587</v>
      </c>
      <c r="L21" s="162">
        <f t="shared" si="14"/>
        <v>154581.91159298588</v>
      </c>
      <c r="M21" s="162">
        <f t="shared" si="14"/>
        <v>105912.4666281938</v>
      </c>
      <c r="N21" s="162">
        <f t="shared" si="14"/>
        <v>106247.15360134182</v>
      </c>
      <c r="O21" s="162">
        <f t="shared" si="14"/>
        <v>82926.024161654233</v>
      </c>
      <c r="P21" s="162">
        <f t="shared" si="14"/>
        <v>56929.130603970494</v>
      </c>
      <c r="R21" s="162">
        <f t="shared" ref="R21" si="15">SUM(E21:Q21)</f>
        <v>758399.64913242543</v>
      </c>
      <c r="AA21" s="153"/>
      <c r="AB21" s="165"/>
    </row>
    <row r="22" spans="1:28">
      <c r="E22" s="163" t="s">
        <v>419</v>
      </c>
      <c r="F22" s="163" t="s">
        <v>419</v>
      </c>
      <c r="G22" s="163" t="s">
        <v>419</v>
      </c>
      <c r="H22" s="163" t="s">
        <v>419</v>
      </c>
      <c r="I22" s="163" t="s">
        <v>419</v>
      </c>
      <c r="J22" s="163" t="s">
        <v>419</v>
      </c>
      <c r="K22" s="163" t="s">
        <v>419</v>
      </c>
      <c r="L22" s="163" t="s">
        <v>419</v>
      </c>
      <c r="M22" s="163" t="s">
        <v>419</v>
      </c>
      <c r="N22" s="163" t="s">
        <v>419</v>
      </c>
      <c r="O22" s="163" t="s">
        <v>419</v>
      </c>
      <c r="P22" s="163" t="s">
        <v>419</v>
      </c>
      <c r="Q22" s="162"/>
      <c r="R22" s="163" t="s">
        <v>419</v>
      </c>
      <c r="S22" s="162"/>
      <c r="AA22" s="153"/>
    </row>
    <row r="23" spans="1:28">
      <c r="E23" s="163"/>
      <c r="F23" s="163"/>
      <c r="G23" s="163"/>
      <c r="H23" s="163"/>
      <c r="I23" s="163"/>
      <c r="J23" s="163"/>
      <c r="K23" s="163"/>
      <c r="L23" s="163"/>
      <c r="M23" s="163"/>
      <c r="N23" s="163"/>
      <c r="O23" s="163"/>
      <c r="P23" s="163"/>
      <c r="Q23" s="162"/>
      <c r="R23" s="163"/>
      <c r="S23" s="162"/>
      <c r="AA23" s="153"/>
    </row>
    <row r="24" spans="1:28">
      <c r="AA24" s="153"/>
    </row>
    <row r="25" spans="1:28">
      <c r="A25" s="143" t="s">
        <v>438</v>
      </c>
      <c r="AA25" s="153"/>
    </row>
    <row r="26" spans="1:28">
      <c r="A26" s="143" t="s">
        <v>442</v>
      </c>
      <c r="AA26" s="153"/>
    </row>
    <row r="27" spans="1:28">
      <c r="E27" s="139">
        <v>45688</v>
      </c>
      <c r="F27" s="139">
        <f t="shared" ref="F27" si="16">E27+33-DAY(E27+33)</f>
        <v>45716</v>
      </c>
      <c r="G27" s="139">
        <f t="shared" ref="G27" si="17">F27+33-DAY(F27+33)</f>
        <v>45747</v>
      </c>
      <c r="H27" s="139">
        <f t="shared" ref="H27" si="18">G27+33-DAY(G27+33)</f>
        <v>45777</v>
      </c>
      <c r="I27" s="139">
        <f t="shared" ref="I27" si="19">H27+33-DAY(H27+33)</f>
        <v>45808</v>
      </c>
      <c r="J27" s="139">
        <f t="shared" ref="J27" si="20">I27+33-DAY(I27+33)</f>
        <v>45838</v>
      </c>
      <c r="K27" s="139">
        <f t="shared" ref="K27" si="21">J27+33-DAY(J27+33)</f>
        <v>45869</v>
      </c>
      <c r="L27" s="139">
        <f t="shared" ref="L27" si="22">K27+33-DAY(K27+33)</f>
        <v>45900</v>
      </c>
      <c r="M27" s="139">
        <f t="shared" ref="M27" si="23">L27+33-DAY(L27+33)</f>
        <v>45930</v>
      </c>
      <c r="N27" s="139">
        <f t="shared" ref="N27" si="24">M27+33-DAY(M27+33)</f>
        <v>45961</v>
      </c>
      <c r="O27" s="139">
        <f t="shared" ref="O27" si="25">N27+33-DAY(N27+33)</f>
        <v>45991</v>
      </c>
      <c r="P27" s="139">
        <f t="shared" ref="P27" si="26">O27+33-DAY(O27+33)</f>
        <v>46022</v>
      </c>
      <c r="Q27" s="143"/>
      <c r="R27" s="144" t="s">
        <v>408</v>
      </c>
      <c r="AA27" s="153"/>
    </row>
    <row r="28" spans="1:28">
      <c r="A28" s="143" t="s">
        <v>455</v>
      </c>
      <c r="E28" s="162">
        <v>20000</v>
      </c>
      <c r="F28" s="162">
        <f>E50</f>
        <v>133250</v>
      </c>
      <c r="G28" s="162">
        <f>F50</f>
        <v>-10941.666666666628</v>
      </c>
      <c r="H28" s="162">
        <f t="shared" ref="H28:P28" si="27">G50</f>
        <v>-3625</v>
      </c>
      <c r="I28" s="162">
        <f t="shared" si="27"/>
        <v>-32449.991223648103</v>
      </c>
      <c r="J28" s="162">
        <f t="shared" si="27"/>
        <v>83.350886037194869</v>
      </c>
      <c r="K28" s="162">
        <f t="shared" si="27"/>
        <v>44779.192995722435</v>
      </c>
      <c r="L28" s="162">
        <f t="shared" si="27"/>
        <v>95691.701772074302</v>
      </c>
      <c r="M28" s="162">
        <f t="shared" si="27"/>
        <v>194704.21054842611</v>
      </c>
      <c r="N28" s="162">
        <f t="shared" si="27"/>
        <v>273341.71932477807</v>
      </c>
      <c r="O28" s="162">
        <f t="shared" si="27"/>
        <v>381145.8947677965</v>
      </c>
      <c r="P28" s="162">
        <f t="shared" si="27"/>
        <v>447411.73687748186</v>
      </c>
      <c r="Q28" s="162"/>
      <c r="R28" s="162">
        <f>E28</f>
        <v>20000</v>
      </c>
      <c r="S28" s="162"/>
      <c r="T28" s="162"/>
      <c r="AA28" s="153"/>
    </row>
    <row r="29" spans="1:28"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62"/>
      <c r="T29" s="162"/>
      <c r="AA29" s="153"/>
    </row>
    <row r="30" spans="1:28">
      <c r="A30" s="143" t="s">
        <v>443</v>
      </c>
      <c r="AA30" s="153"/>
    </row>
    <row r="31" spans="1:28">
      <c r="B31" s="161" t="s">
        <v>448</v>
      </c>
      <c r="E31" s="162">
        <f>E98</f>
        <v>0</v>
      </c>
      <c r="F31" s="162">
        <f t="shared" ref="F31:P31" si="28">F98</f>
        <v>169350</v>
      </c>
      <c r="G31" s="162">
        <f t="shared" si="28"/>
        <v>241850</v>
      </c>
      <c r="H31" s="162">
        <f t="shared" si="28"/>
        <v>222050</v>
      </c>
      <c r="I31" s="162">
        <f t="shared" si="28"/>
        <v>316700</v>
      </c>
      <c r="J31" s="162">
        <f t="shared" si="28"/>
        <v>329050</v>
      </c>
      <c r="K31" s="162">
        <f t="shared" si="28"/>
        <v>346900</v>
      </c>
      <c r="L31" s="162">
        <f t="shared" si="28"/>
        <v>391300</v>
      </c>
      <c r="M31" s="162">
        <f t="shared" si="28"/>
        <v>387500</v>
      </c>
      <c r="N31" s="162">
        <f t="shared" si="28"/>
        <v>405000</v>
      </c>
      <c r="O31" s="162">
        <f t="shared" si="28"/>
        <v>387420</v>
      </c>
      <c r="P31" s="162">
        <f t="shared" si="28"/>
        <v>393000</v>
      </c>
      <c r="R31" s="162">
        <f t="shared" ref="R31:R34" si="29">SUM(E31:Q31)</f>
        <v>3590120</v>
      </c>
      <c r="AA31" s="153"/>
    </row>
    <row r="32" spans="1:28">
      <c r="B32" s="161" t="s">
        <v>444</v>
      </c>
      <c r="E32" s="162">
        <f>E121</f>
        <v>300000</v>
      </c>
      <c r="F32" s="162">
        <f t="shared" ref="F32:P32" si="30">F121</f>
        <v>0</v>
      </c>
      <c r="G32" s="162">
        <f t="shared" si="30"/>
        <v>0</v>
      </c>
      <c r="H32" s="162">
        <f t="shared" si="30"/>
        <v>0</v>
      </c>
      <c r="I32" s="162">
        <f t="shared" si="30"/>
        <v>0</v>
      </c>
      <c r="J32" s="162">
        <f t="shared" si="30"/>
        <v>0</v>
      </c>
      <c r="K32" s="162">
        <f t="shared" si="30"/>
        <v>0</v>
      </c>
      <c r="L32" s="162">
        <f t="shared" si="30"/>
        <v>0</v>
      </c>
      <c r="M32" s="162">
        <f t="shared" si="30"/>
        <v>0</v>
      </c>
      <c r="N32" s="162">
        <f t="shared" si="30"/>
        <v>0</v>
      </c>
      <c r="O32" s="162">
        <f t="shared" si="30"/>
        <v>0</v>
      </c>
      <c r="P32" s="162">
        <f t="shared" si="30"/>
        <v>0</v>
      </c>
      <c r="R32" s="162">
        <f t="shared" si="29"/>
        <v>300000</v>
      </c>
      <c r="AA32" s="153"/>
    </row>
    <row r="33" spans="1:27">
      <c r="B33" s="161" t="s">
        <v>445</v>
      </c>
      <c r="R33" s="162">
        <f t="shared" si="29"/>
        <v>0</v>
      </c>
      <c r="AA33" s="153"/>
    </row>
    <row r="34" spans="1:27">
      <c r="B34" s="161" t="s">
        <v>437</v>
      </c>
      <c r="R34" s="162">
        <f t="shared" si="29"/>
        <v>0</v>
      </c>
      <c r="AA34" s="153"/>
    </row>
    <row r="35" spans="1:27">
      <c r="E35" s="163" t="s">
        <v>412</v>
      </c>
      <c r="F35" s="163" t="s">
        <v>412</v>
      </c>
      <c r="G35" s="163" t="s">
        <v>412</v>
      </c>
      <c r="H35" s="163" t="s">
        <v>412</v>
      </c>
      <c r="I35" s="163" t="s">
        <v>412</v>
      </c>
      <c r="J35" s="163" t="s">
        <v>412</v>
      </c>
      <c r="K35" s="163" t="s">
        <v>412</v>
      </c>
      <c r="L35" s="163" t="s">
        <v>412</v>
      </c>
      <c r="M35" s="163" t="s">
        <v>412</v>
      </c>
      <c r="N35" s="163" t="s">
        <v>412</v>
      </c>
      <c r="O35" s="163" t="s">
        <v>412</v>
      </c>
      <c r="P35" s="163" t="s">
        <v>412</v>
      </c>
      <c r="R35" s="163" t="s">
        <v>412</v>
      </c>
      <c r="AA35" s="153"/>
    </row>
    <row r="36" spans="1:27">
      <c r="A36" s="166" t="s">
        <v>451</v>
      </c>
      <c r="E36" s="162">
        <f>SUM(E30:E35)</f>
        <v>300000</v>
      </c>
      <c r="F36" s="162">
        <f t="shared" ref="F36:R36" si="31">SUM(F30:F35)</f>
        <v>169350</v>
      </c>
      <c r="G36" s="162">
        <f t="shared" si="31"/>
        <v>241850</v>
      </c>
      <c r="H36" s="162">
        <f t="shared" si="31"/>
        <v>222050</v>
      </c>
      <c r="I36" s="162">
        <f t="shared" si="31"/>
        <v>316700</v>
      </c>
      <c r="J36" s="162">
        <f t="shared" si="31"/>
        <v>329050</v>
      </c>
      <c r="K36" s="162">
        <f t="shared" si="31"/>
        <v>346900</v>
      </c>
      <c r="L36" s="162">
        <f t="shared" si="31"/>
        <v>391300</v>
      </c>
      <c r="M36" s="162">
        <f t="shared" si="31"/>
        <v>387500</v>
      </c>
      <c r="N36" s="162">
        <f t="shared" si="31"/>
        <v>405000</v>
      </c>
      <c r="O36" s="162">
        <f t="shared" si="31"/>
        <v>387420</v>
      </c>
      <c r="P36" s="162">
        <f t="shared" si="31"/>
        <v>393000</v>
      </c>
      <c r="R36" s="162">
        <f t="shared" si="31"/>
        <v>3890120</v>
      </c>
      <c r="AA36" s="153"/>
    </row>
    <row r="37" spans="1:27">
      <c r="A37" s="153"/>
      <c r="AA37" s="153"/>
    </row>
    <row r="38" spans="1:27">
      <c r="A38" s="166" t="s">
        <v>446</v>
      </c>
      <c r="AA38" s="153"/>
    </row>
    <row r="39" spans="1:27">
      <c r="B39" s="161" t="s">
        <v>447</v>
      </c>
      <c r="E39" s="162">
        <f>E110</f>
        <v>0</v>
      </c>
      <c r="F39" s="162">
        <f t="shared" ref="F39:P39" si="32">F110</f>
        <v>165041.66666666666</v>
      </c>
      <c r="G39" s="162">
        <f t="shared" si="32"/>
        <v>217033.33333333337</v>
      </c>
      <c r="H39" s="162">
        <f t="shared" si="32"/>
        <v>208212.5</v>
      </c>
      <c r="I39" s="162">
        <f t="shared" si="32"/>
        <v>241504.16666666663</v>
      </c>
      <c r="J39" s="162">
        <f t="shared" si="32"/>
        <v>241691.66666666669</v>
      </c>
      <c r="K39" s="162">
        <f t="shared" si="32"/>
        <v>249325.00000000006</v>
      </c>
      <c r="L39" s="162">
        <f t="shared" si="32"/>
        <v>249625.00000000012</v>
      </c>
      <c r="M39" s="162">
        <f t="shared" si="32"/>
        <v>266199.99999999994</v>
      </c>
      <c r="N39" s="162">
        <f t="shared" si="32"/>
        <v>254533.33333333343</v>
      </c>
      <c r="O39" s="162">
        <f t="shared" si="32"/>
        <v>278491.66666666657</v>
      </c>
      <c r="P39" s="162">
        <f t="shared" si="32"/>
        <v>294116.66666666674</v>
      </c>
      <c r="R39" s="162">
        <f t="shared" ref="R39:R44" si="33">SUM(E39:Q39)</f>
        <v>2665775</v>
      </c>
      <c r="AA39" s="153"/>
    </row>
    <row r="40" spans="1:27">
      <c r="A40" s="153"/>
      <c r="B40" s="161" t="s">
        <v>454</v>
      </c>
      <c r="E40" s="162">
        <f>E122</f>
        <v>0</v>
      </c>
      <c r="F40" s="162">
        <f t="shared" ref="F40:P40" si="34">F122</f>
        <v>0</v>
      </c>
      <c r="G40" s="162">
        <f t="shared" si="34"/>
        <v>0</v>
      </c>
      <c r="H40" s="162">
        <f t="shared" si="34"/>
        <v>25162.491223648096</v>
      </c>
      <c r="I40" s="162">
        <f t="shared" si="34"/>
        <v>25477.022363943695</v>
      </c>
      <c r="J40" s="162">
        <f t="shared" si="34"/>
        <v>25795.485143492995</v>
      </c>
      <c r="K40" s="162">
        <f t="shared" si="34"/>
        <v>26117.928707786657</v>
      </c>
      <c r="L40" s="162">
        <f t="shared" si="34"/>
        <v>26444.402816633989</v>
      </c>
      <c r="M40" s="162">
        <f t="shared" si="34"/>
        <v>26774.957851841915</v>
      </c>
      <c r="N40" s="162">
        <f t="shared" si="34"/>
        <v>27109.644824989937</v>
      </c>
      <c r="O40" s="162">
        <f t="shared" si="34"/>
        <v>27448.515385302315</v>
      </c>
      <c r="P40" s="162">
        <f t="shared" si="34"/>
        <v>27791.62182761859</v>
      </c>
      <c r="R40" s="162">
        <f t="shared" si="33"/>
        <v>238122.07014525816</v>
      </c>
      <c r="AA40" s="153"/>
    </row>
    <row r="41" spans="1:27">
      <c r="A41" s="153"/>
      <c r="B41" s="161" t="s">
        <v>478</v>
      </c>
      <c r="E41" s="162">
        <f>E16</f>
        <v>3750</v>
      </c>
      <c r="F41" s="162">
        <f t="shared" ref="F41:P41" si="35">F16</f>
        <v>7500</v>
      </c>
      <c r="G41" s="162">
        <f t="shared" si="35"/>
        <v>7500</v>
      </c>
      <c r="H41" s="162">
        <f t="shared" si="35"/>
        <v>7500</v>
      </c>
      <c r="I41" s="162">
        <f t="shared" si="35"/>
        <v>7185.4688597043996</v>
      </c>
      <c r="J41" s="162">
        <f t="shared" si="35"/>
        <v>6867.0060801551017</v>
      </c>
      <c r="K41" s="162">
        <f t="shared" si="35"/>
        <v>6544.5625158614394</v>
      </c>
      <c r="L41" s="162">
        <f t="shared" si="35"/>
        <v>6218.0884070141065</v>
      </c>
      <c r="M41" s="162">
        <f t="shared" si="35"/>
        <v>5887.5333718061811</v>
      </c>
      <c r="N41" s="162">
        <f t="shared" si="35"/>
        <v>5552.8463986581583</v>
      </c>
      <c r="O41" s="162">
        <f t="shared" si="35"/>
        <v>5213.9758383457829</v>
      </c>
      <c r="P41" s="162">
        <f t="shared" si="35"/>
        <v>4870.8693960295041</v>
      </c>
      <c r="R41" s="162">
        <f t="shared" si="33"/>
        <v>74590.350867574671</v>
      </c>
      <c r="AA41" s="153"/>
    </row>
    <row r="42" spans="1:27">
      <c r="A42" s="153"/>
      <c r="B42" s="161" t="s">
        <v>449</v>
      </c>
      <c r="E42" s="162">
        <f>E137</f>
        <v>173000</v>
      </c>
      <c r="F42" s="162">
        <f t="shared" ref="F42:P42" si="36">F137</f>
        <v>127000</v>
      </c>
      <c r="G42" s="162">
        <f t="shared" si="36"/>
        <v>0</v>
      </c>
      <c r="H42" s="162">
        <f t="shared" si="36"/>
        <v>0</v>
      </c>
      <c r="I42" s="162">
        <f t="shared" si="36"/>
        <v>0</v>
      </c>
      <c r="J42" s="162">
        <f t="shared" si="36"/>
        <v>0</v>
      </c>
      <c r="K42" s="162">
        <f t="shared" si="36"/>
        <v>0</v>
      </c>
      <c r="L42" s="162">
        <f t="shared" si="36"/>
        <v>0</v>
      </c>
      <c r="M42" s="162">
        <f t="shared" si="36"/>
        <v>0</v>
      </c>
      <c r="N42" s="162">
        <f t="shared" si="36"/>
        <v>0</v>
      </c>
      <c r="O42" s="162">
        <f t="shared" si="36"/>
        <v>0</v>
      </c>
      <c r="P42" s="162">
        <f t="shared" si="36"/>
        <v>0</v>
      </c>
      <c r="R42" s="162">
        <f t="shared" si="33"/>
        <v>300000</v>
      </c>
      <c r="AA42" s="153"/>
    </row>
    <row r="43" spans="1:27">
      <c r="A43" s="153"/>
      <c r="B43" s="161" t="s">
        <v>248</v>
      </c>
      <c r="E43" s="162">
        <f>E14</f>
        <v>0</v>
      </c>
      <c r="F43" s="162">
        <f t="shared" ref="F43:P43" si="37">F14</f>
        <v>4000</v>
      </c>
      <c r="G43" s="162">
        <f t="shared" si="37"/>
        <v>0</v>
      </c>
      <c r="H43" s="162">
        <f t="shared" si="37"/>
        <v>0</v>
      </c>
      <c r="I43" s="162">
        <f t="shared" si="37"/>
        <v>0</v>
      </c>
      <c r="J43" s="162">
        <f t="shared" si="37"/>
        <v>0</v>
      </c>
      <c r="K43" s="162">
        <f t="shared" si="37"/>
        <v>4000</v>
      </c>
      <c r="L43" s="162">
        <f t="shared" si="37"/>
        <v>0</v>
      </c>
      <c r="M43" s="162">
        <f t="shared" si="37"/>
        <v>0</v>
      </c>
      <c r="N43" s="162">
        <f t="shared" si="37"/>
        <v>0</v>
      </c>
      <c r="O43" s="162">
        <f t="shared" si="37"/>
        <v>0</v>
      </c>
      <c r="P43" s="162">
        <f t="shared" si="37"/>
        <v>0</v>
      </c>
      <c r="R43" s="162">
        <f t="shared" si="33"/>
        <v>8000</v>
      </c>
      <c r="AA43" s="153"/>
    </row>
    <row r="44" spans="1:27">
      <c r="A44" s="153"/>
      <c r="B44" s="161" t="s">
        <v>437</v>
      </c>
      <c r="E44" s="162">
        <f>E17</f>
        <v>10000</v>
      </c>
      <c r="F44" s="162">
        <f t="shared" ref="F44:P44" si="38">F17</f>
        <v>10000</v>
      </c>
      <c r="G44" s="162">
        <f t="shared" si="38"/>
        <v>10000</v>
      </c>
      <c r="H44" s="162">
        <f t="shared" si="38"/>
        <v>10000</v>
      </c>
      <c r="I44" s="162">
        <f t="shared" si="38"/>
        <v>10000</v>
      </c>
      <c r="J44" s="162">
        <f t="shared" si="38"/>
        <v>10000</v>
      </c>
      <c r="K44" s="162">
        <f t="shared" si="38"/>
        <v>10000</v>
      </c>
      <c r="L44" s="162">
        <f t="shared" si="38"/>
        <v>10000</v>
      </c>
      <c r="M44" s="162">
        <f t="shared" si="38"/>
        <v>10000</v>
      </c>
      <c r="N44" s="162">
        <f t="shared" si="38"/>
        <v>10000</v>
      </c>
      <c r="O44" s="162">
        <f t="shared" si="38"/>
        <v>10000</v>
      </c>
      <c r="P44" s="162">
        <f t="shared" si="38"/>
        <v>10000</v>
      </c>
      <c r="R44" s="162">
        <f t="shared" si="33"/>
        <v>120000</v>
      </c>
      <c r="AA44" s="153"/>
    </row>
    <row r="45" spans="1:27">
      <c r="A45" s="153"/>
      <c r="E45" s="167" t="s">
        <v>412</v>
      </c>
      <c r="F45" s="167" t="s">
        <v>412</v>
      </c>
      <c r="G45" s="167" t="s">
        <v>412</v>
      </c>
      <c r="H45" s="167" t="s">
        <v>412</v>
      </c>
      <c r="I45" s="167" t="s">
        <v>412</v>
      </c>
      <c r="J45" s="167" t="s">
        <v>412</v>
      </c>
      <c r="K45" s="167" t="s">
        <v>412</v>
      </c>
      <c r="L45" s="167" t="s">
        <v>412</v>
      </c>
      <c r="M45" s="167" t="s">
        <v>412</v>
      </c>
      <c r="N45" s="167" t="s">
        <v>412</v>
      </c>
      <c r="O45" s="167" t="s">
        <v>412</v>
      </c>
      <c r="P45" s="167" t="s">
        <v>412</v>
      </c>
      <c r="Q45" s="167"/>
      <c r="R45" s="167" t="s">
        <v>412</v>
      </c>
      <c r="S45" s="162"/>
      <c r="AA45" s="153"/>
    </row>
    <row r="46" spans="1:27">
      <c r="A46" s="166" t="s">
        <v>450</v>
      </c>
      <c r="B46" s="143"/>
      <c r="E46" s="162">
        <f>SUM(E38:E45)</f>
        <v>186750</v>
      </c>
      <c r="F46" s="162">
        <f t="shared" ref="F46:R46" si="39">SUM(F38:F45)</f>
        <v>313541.66666666663</v>
      </c>
      <c r="G46" s="162">
        <f t="shared" si="39"/>
        <v>234533.33333333337</v>
      </c>
      <c r="H46" s="162">
        <f t="shared" si="39"/>
        <v>250874.9912236481</v>
      </c>
      <c r="I46" s="162">
        <f t="shared" si="39"/>
        <v>284166.6578903147</v>
      </c>
      <c r="J46" s="162">
        <f t="shared" si="39"/>
        <v>284354.15789031476</v>
      </c>
      <c r="K46" s="162">
        <f t="shared" si="39"/>
        <v>295987.49122364813</v>
      </c>
      <c r="L46" s="162">
        <f t="shared" si="39"/>
        <v>292287.49122364819</v>
      </c>
      <c r="M46" s="162">
        <f t="shared" si="39"/>
        <v>308862.49122364807</v>
      </c>
      <c r="N46" s="162">
        <f t="shared" si="39"/>
        <v>297195.82455698156</v>
      </c>
      <c r="O46" s="162">
        <f t="shared" si="39"/>
        <v>321154.15789031464</v>
      </c>
      <c r="P46" s="162">
        <f t="shared" si="39"/>
        <v>336779.15789031482</v>
      </c>
      <c r="Q46" s="162"/>
      <c r="R46" s="162">
        <f t="shared" si="39"/>
        <v>3406487.4210128328</v>
      </c>
      <c r="S46" s="162"/>
      <c r="AA46" s="153"/>
    </row>
    <row r="47" spans="1:27">
      <c r="A47" s="153"/>
      <c r="E47" s="167" t="s">
        <v>412</v>
      </c>
      <c r="F47" s="167" t="s">
        <v>412</v>
      </c>
      <c r="G47" s="167" t="s">
        <v>412</v>
      </c>
      <c r="H47" s="167" t="s">
        <v>412</v>
      </c>
      <c r="I47" s="167" t="s">
        <v>412</v>
      </c>
      <c r="J47" s="167" t="s">
        <v>412</v>
      </c>
      <c r="K47" s="167" t="s">
        <v>412</v>
      </c>
      <c r="L47" s="167" t="s">
        <v>412</v>
      </c>
      <c r="M47" s="167" t="s">
        <v>412</v>
      </c>
      <c r="N47" s="167" t="s">
        <v>412</v>
      </c>
      <c r="O47" s="167" t="s">
        <v>412</v>
      </c>
      <c r="P47" s="167" t="s">
        <v>412</v>
      </c>
      <c r="Q47" s="167"/>
      <c r="R47" s="167" t="s">
        <v>412</v>
      </c>
      <c r="S47" s="162"/>
      <c r="AA47" s="153"/>
    </row>
    <row r="48" spans="1:27">
      <c r="A48" s="166" t="s">
        <v>452</v>
      </c>
      <c r="E48" s="162">
        <f>E36-E46</f>
        <v>113250</v>
      </c>
      <c r="F48" s="162">
        <f t="shared" ref="F48:R48" si="40">F36-F46</f>
        <v>-144191.66666666663</v>
      </c>
      <c r="G48" s="162">
        <f t="shared" si="40"/>
        <v>7316.6666666666279</v>
      </c>
      <c r="H48" s="162">
        <f t="shared" si="40"/>
        <v>-28824.991223648103</v>
      </c>
      <c r="I48" s="162">
        <f t="shared" si="40"/>
        <v>32533.342109685298</v>
      </c>
      <c r="J48" s="162">
        <f t="shared" si="40"/>
        <v>44695.84210968524</v>
      </c>
      <c r="K48" s="162">
        <f t="shared" si="40"/>
        <v>50912.508776351868</v>
      </c>
      <c r="L48" s="162">
        <f t="shared" si="40"/>
        <v>99012.50877635181</v>
      </c>
      <c r="M48" s="162">
        <f t="shared" si="40"/>
        <v>78637.508776351926</v>
      </c>
      <c r="N48" s="162">
        <f t="shared" si="40"/>
        <v>107804.17544301844</v>
      </c>
      <c r="O48" s="162">
        <f t="shared" si="40"/>
        <v>66265.842109685356</v>
      </c>
      <c r="P48" s="162">
        <f t="shared" si="40"/>
        <v>56220.842109685182</v>
      </c>
      <c r="Q48" s="162"/>
      <c r="R48" s="162">
        <f t="shared" si="40"/>
        <v>483632.57898716722</v>
      </c>
      <c r="S48" s="162"/>
      <c r="AA48" s="153"/>
    </row>
    <row r="49" spans="1:27">
      <c r="E49" s="167" t="s">
        <v>412</v>
      </c>
      <c r="F49" s="167" t="s">
        <v>412</v>
      </c>
      <c r="G49" s="167" t="s">
        <v>412</v>
      </c>
      <c r="H49" s="167" t="s">
        <v>412</v>
      </c>
      <c r="I49" s="167" t="s">
        <v>412</v>
      </c>
      <c r="J49" s="167" t="s">
        <v>412</v>
      </c>
      <c r="K49" s="167" t="s">
        <v>412</v>
      </c>
      <c r="L49" s="167" t="s">
        <v>412</v>
      </c>
      <c r="M49" s="167" t="s">
        <v>412</v>
      </c>
      <c r="N49" s="167" t="s">
        <v>412</v>
      </c>
      <c r="O49" s="167" t="s">
        <v>412</v>
      </c>
      <c r="P49" s="167" t="s">
        <v>412</v>
      </c>
      <c r="Q49" s="167"/>
      <c r="R49" s="167" t="s">
        <v>412</v>
      </c>
      <c r="S49" s="162"/>
      <c r="AA49" s="153"/>
    </row>
    <row r="50" spans="1:27">
      <c r="A50" s="143" t="s">
        <v>453</v>
      </c>
      <c r="E50" s="162">
        <f>E28+E48</f>
        <v>133250</v>
      </c>
      <c r="F50" s="162">
        <f t="shared" ref="F50:R50" si="41">F28+F48</f>
        <v>-10941.666666666628</v>
      </c>
      <c r="G50" s="162">
        <f t="shared" si="41"/>
        <v>-3625</v>
      </c>
      <c r="H50" s="162">
        <f t="shared" si="41"/>
        <v>-32449.991223648103</v>
      </c>
      <c r="I50" s="162">
        <f t="shared" si="41"/>
        <v>83.350886037194869</v>
      </c>
      <c r="J50" s="162">
        <f t="shared" si="41"/>
        <v>44779.192995722435</v>
      </c>
      <c r="K50" s="162">
        <f t="shared" si="41"/>
        <v>95691.701772074302</v>
      </c>
      <c r="L50" s="162">
        <f t="shared" si="41"/>
        <v>194704.21054842611</v>
      </c>
      <c r="M50" s="162">
        <f t="shared" si="41"/>
        <v>273341.71932477807</v>
      </c>
      <c r="N50" s="162">
        <f t="shared" si="41"/>
        <v>381145.8947677965</v>
      </c>
      <c r="O50" s="162">
        <f t="shared" si="41"/>
        <v>447411.73687748186</v>
      </c>
      <c r="P50" s="162">
        <f t="shared" si="41"/>
        <v>503632.57898716704</v>
      </c>
      <c r="Q50" s="162"/>
      <c r="R50" s="162">
        <f t="shared" si="41"/>
        <v>503632.57898716722</v>
      </c>
      <c r="S50" s="162"/>
      <c r="AA50" s="153"/>
    </row>
    <row r="51" spans="1:27">
      <c r="E51" s="163" t="s">
        <v>419</v>
      </c>
      <c r="F51" s="163" t="s">
        <v>419</v>
      </c>
      <c r="G51" s="163" t="s">
        <v>419</v>
      </c>
      <c r="H51" s="163" t="s">
        <v>419</v>
      </c>
      <c r="I51" s="163" t="s">
        <v>419</v>
      </c>
      <c r="J51" s="163" t="s">
        <v>419</v>
      </c>
      <c r="K51" s="163" t="s">
        <v>419</v>
      </c>
      <c r="L51" s="163" t="s">
        <v>419</v>
      </c>
      <c r="M51" s="163" t="s">
        <v>419</v>
      </c>
      <c r="N51" s="163" t="s">
        <v>419</v>
      </c>
      <c r="O51" s="163" t="s">
        <v>419</v>
      </c>
      <c r="P51" s="163" t="s">
        <v>419</v>
      </c>
      <c r="Q51" s="162"/>
      <c r="R51" s="163" t="s">
        <v>419</v>
      </c>
      <c r="S51" s="162"/>
      <c r="AA51" s="153"/>
    </row>
    <row r="52" spans="1:27">
      <c r="E52" s="162"/>
      <c r="F52" s="162"/>
      <c r="G52" s="162"/>
      <c r="H52" s="162"/>
      <c r="I52" s="162"/>
      <c r="J52" s="162"/>
      <c r="K52" s="162"/>
      <c r="L52" s="162"/>
      <c r="M52" s="162"/>
      <c r="N52" s="162"/>
      <c r="O52" s="162"/>
      <c r="P52" s="162"/>
      <c r="Q52" s="162"/>
      <c r="R52" s="162"/>
      <c r="S52" s="162"/>
      <c r="AA52" s="153"/>
    </row>
    <row r="53" spans="1:27">
      <c r="AA53" s="153"/>
    </row>
    <row r="54" spans="1:27">
      <c r="A54" s="143" t="s">
        <v>438</v>
      </c>
      <c r="AA54" s="153"/>
    </row>
    <row r="55" spans="1:27">
      <c r="A55" s="143" t="s">
        <v>456</v>
      </c>
      <c r="AA55" s="153"/>
    </row>
    <row r="56" spans="1:27">
      <c r="D56" s="139">
        <v>45657</v>
      </c>
      <c r="E56" s="139">
        <v>45688</v>
      </c>
      <c r="F56" s="139">
        <f t="shared" ref="F56" si="42">E56+33-DAY(E56+33)</f>
        <v>45716</v>
      </c>
      <c r="G56" s="139">
        <f t="shared" ref="G56" si="43">F56+33-DAY(F56+33)</f>
        <v>45747</v>
      </c>
      <c r="H56" s="139">
        <f t="shared" ref="H56" si="44">G56+33-DAY(G56+33)</f>
        <v>45777</v>
      </c>
      <c r="I56" s="139">
        <f t="shared" ref="I56" si="45">H56+33-DAY(H56+33)</f>
        <v>45808</v>
      </c>
      <c r="J56" s="139">
        <f t="shared" ref="J56" si="46">I56+33-DAY(I56+33)</f>
        <v>45838</v>
      </c>
      <c r="K56" s="139">
        <f t="shared" ref="K56" si="47">J56+33-DAY(J56+33)</f>
        <v>45869</v>
      </c>
      <c r="L56" s="139">
        <f t="shared" ref="L56" si="48">K56+33-DAY(K56+33)</f>
        <v>45900</v>
      </c>
      <c r="M56" s="139">
        <f t="shared" ref="M56" si="49">L56+33-DAY(L56+33)</f>
        <v>45930</v>
      </c>
      <c r="N56" s="139">
        <f t="shared" ref="N56" si="50">M56+33-DAY(M56+33)</f>
        <v>45961</v>
      </c>
      <c r="O56" s="139">
        <f t="shared" ref="O56" si="51">N56+33-DAY(N56+33)</f>
        <v>45991</v>
      </c>
      <c r="P56" s="139">
        <f t="shared" ref="P56" si="52">O56+33-DAY(O56+33)</f>
        <v>46022</v>
      </c>
      <c r="Q56" s="143"/>
      <c r="R56" s="144"/>
      <c r="AA56" s="153"/>
    </row>
    <row r="57" spans="1:27">
      <c r="AA57" s="153"/>
    </row>
    <row r="58" spans="1:27">
      <c r="A58" s="161" t="s">
        <v>457</v>
      </c>
      <c r="AA58" s="153"/>
    </row>
    <row r="59" spans="1:27">
      <c r="B59" s="161" t="s">
        <v>458</v>
      </c>
      <c r="D59" s="162">
        <v>20000</v>
      </c>
      <c r="E59" s="162">
        <f>E50</f>
        <v>133250</v>
      </c>
      <c r="F59" s="162">
        <f t="shared" ref="F59:P59" si="53">F50</f>
        <v>-10941.666666666628</v>
      </c>
      <c r="G59" s="162">
        <f t="shared" si="53"/>
        <v>-3625</v>
      </c>
      <c r="H59" s="162">
        <f t="shared" si="53"/>
        <v>-32449.991223648103</v>
      </c>
      <c r="I59" s="162">
        <f t="shared" si="53"/>
        <v>83.350886037194869</v>
      </c>
      <c r="J59" s="162">
        <f t="shared" si="53"/>
        <v>44779.192995722435</v>
      </c>
      <c r="K59" s="162">
        <f t="shared" si="53"/>
        <v>95691.701772074302</v>
      </c>
      <c r="L59" s="162">
        <f t="shared" si="53"/>
        <v>194704.21054842611</v>
      </c>
      <c r="M59" s="162">
        <f t="shared" si="53"/>
        <v>273341.71932477807</v>
      </c>
      <c r="N59" s="162">
        <f t="shared" si="53"/>
        <v>381145.8947677965</v>
      </c>
      <c r="O59" s="162">
        <f t="shared" si="53"/>
        <v>447411.73687748186</v>
      </c>
      <c r="P59" s="162">
        <f t="shared" si="53"/>
        <v>503632.57898716704</v>
      </c>
      <c r="R59" s="162"/>
      <c r="AA59" s="153"/>
    </row>
    <row r="60" spans="1:27">
      <c r="B60" s="161" t="s">
        <v>459</v>
      </c>
      <c r="D60" s="162">
        <v>0</v>
      </c>
      <c r="E60" s="162">
        <f>E100</f>
        <v>174600</v>
      </c>
      <c r="F60" s="162">
        <f t="shared" ref="F60:P60" si="54">F100</f>
        <v>169350</v>
      </c>
      <c r="G60" s="162">
        <f t="shared" si="54"/>
        <v>236600</v>
      </c>
      <c r="H60" s="162">
        <f t="shared" si="54"/>
        <v>294550</v>
      </c>
      <c r="I60" s="162">
        <f t="shared" si="54"/>
        <v>302150</v>
      </c>
      <c r="J60" s="162">
        <f t="shared" si="54"/>
        <v>351200</v>
      </c>
      <c r="K60" s="162">
        <f t="shared" si="54"/>
        <v>373800</v>
      </c>
      <c r="L60" s="162">
        <f t="shared" si="54"/>
        <v>387000</v>
      </c>
      <c r="M60" s="162">
        <f t="shared" si="54"/>
        <v>405000</v>
      </c>
      <c r="N60" s="162">
        <f t="shared" si="54"/>
        <v>405500</v>
      </c>
      <c r="O60" s="162">
        <f t="shared" si="54"/>
        <v>387420</v>
      </c>
      <c r="P60" s="162">
        <f t="shared" si="54"/>
        <v>374920</v>
      </c>
      <c r="R60" s="162"/>
      <c r="AA60" s="153"/>
    </row>
    <row r="61" spans="1:27">
      <c r="B61" s="161" t="s">
        <v>469</v>
      </c>
      <c r="D61" s="162">
        <v>0</v>
      </c>
      <c r="E61" s="162">
        <v>0</v>
      </c>
      <c r="F61" s="162">
        <v>0</v>
      </c>
      <c r="G61" s="162">
        <v>0</v>
      </c>
      <c r="H61" s="162">
        <v>0</v>
      </c>
      <c r="I61" s="162">
        <v>0</v>
      </c>
      <c r="J61" s="162">
        <v>0</v>
      </c>
      <c r="K61" s="162">
        <v>0</v>
      </c>
      <c r="L61" s="162">
        <v>0</v>
      </c>
      <c r="M61" s="162">
        <v>0</v>
      </c>
      <c r="N61" s="162">
        <v>0</v>
      </c>
      <c r="O61" s="162">
        <v>0</v>
      </c>
      <c r="P61" s="162">
        <v>0</v>
      </c>
      <c r="R61" s="162"/>
      <c r="AA61" s="153"/>
    </row>
    <row r="62" spans="1:27">
      <c r="B62" s="161" t="s">
        <v>468</v>
      </c>
      <c r="D62" s="162">
        <v>0</v>
      </c>
      <c r="E62" s="162">
        <v>0</v>
      </c>
      <c r="F62" s="162">
        <v>0</v>
      </c>
      <c r="G62" s="162">
        <v>0</v>
      </c>
      <c r="H62" s="162">
        <v>0</v>
      </c>
      <c r="I62" s="162">
        <v>0</v>
      </c>
      <c r="J62" s="162">
        <v>0</v>
      </c>
      <c r="K62" s="162">
        <v>0</v>
      </c>
      <c r="L62" s="162">
        <v>0</v>
      </c>
      <c r="M62" s="162">
        <v>0</v>
      </c>
      <c r="N62" s="162">
        <v>0</v>
      </c>
      <c r="O62" s="162">
        <v>0</v>
      </c>
      <c r="P62" s="162">
        <v>0</v>
      </c>
      <c r="R62" s="162"/>
      <c r="AA62" s="153"/>
    </row>
    <row r="63" spans="1:27">
      <c r="D63" s="162"/>
      <c r="E63" s="162"/>
      <c r="F63" s="162"/>
      <c r="G63" s="162"/>
      <c r="H63" s="162"/>
      <c r="I63" s="162"/>
      <c r="J63" s="162"/>
      <c r="K63" s="162"/>
      <c r="L63" s="162"/>
      <c r="M63" s="162"/>
      <c r="N63" s="162"/>
      <c r="O63" s="162"/>
      <c r="P63" s="162"/>
      <c r="R63" s="162"/>
      <c r="AA63" s="153"/>
    </row>
    <row r="64" spans="1:27">
      <c r="B64" s="161" t="s">
        <v>460</v>
      </c>
      <c r="D64" s="162">
        <v>300000</v>
      </c>
      <c r="E64" s="162">
        <f>D64+E137</f>
        <v>473000</v>
      </c>
      <c r="F64" s="162">
        <f t="shared" ref="F64:P64" si="55">E64+F137</f>
        <v>600000</v>
      </c>
      <c r="G64" s="162">
        <f t="shared" si="55"/>
        <v>600000</v>
      </c>
      <c r="H64" s="162">
        <f t="shared" si="55"/>
        <v>600000</v>
      </c>
      <c r="I64" s="162">
        <f t="shared" si="55"/>
        <v>600000</v>
      </c>
      <c r="J64" s="162">
        <f t="shared" si="55"/>
        <v>600000</v>
      </c>
      <c r="K64" s="162">
        <f t="shared" si="55"/>
        <v>600000</v>
      </c>
      <c r="L64" s="162">
        <f t="shared" si="55"/>
        <v>600000</v>
      </c>
      <c r="M64" s="162">
        <f t="shared" si="55"/>
        <v>600000</v>
      </c>
      <c r="N64" s="162">
        <f t="shared" si="55"/>
        <v>600000</v>
      </c>
      <c r="O64" s="162">
        <f t="shared" si="55"/>
        <v>600000</v>
      </c>
      <c r="P64" s="162">
        <f t="shared" si="55"/>
        <v>600000</v>
      </c>
      <c r="R64" s="162"/>
      <c r="AA64" s="153"/>
    </row>
    <row r="65" spans="1:27">
      <c r="B65" s="161" t="s">
        <v>461</v>
      </c>
      <c r="D65" s="162">
        <v>-50000</v>
      </c>
      <c r="E65" s="162">
        <f>D65+E15</f>
        <v>-50000</v>
      </c>
      <c r="F65" s="162">
        <f t="shared" ref="F65:P65" si="56">E65+F15</f>
        <v>-50000</v>
      </c>
      <c r="G65" s="162">
        <f t="shared" si="56"/>
        <v>-50000</v>
      </c>
      <c r="H65" s="162">
        <f t="shared" si="56"/>
        <v>-50000</v>
      </c>
      <c r="I65" s="162">
        <f t="shared" si="56"/>
        <v>-50000</v>
      </c>
      <c r="J65" s="162">
        <f t="shared" si="56"/>
        <v>-50000</v>
      </c>
      <c r="K65" s="162">
        <f t="shared" si="56"/>
        <v>-50000</v>
      </c>
      <c r="L65" s="162">
        <f t="shared" si="56"/>
        <v>-50000</v>
      </c>
      <c r="M65" s="162">
        <f t="shared" si="56"/>
        <v>-50000</v>
      </c>
      <c r="N65" s="162">
        <f t="shared" si="56"/>
        <v>-50000</v>
      </c>
      <c r="O65" s="162">
        <f t="shared" si="56"/>
        <v>-50000</v>
      </c>
      <c r="P65" s="162">
        <f t="shared" si="56"/>
        <v>-50000</v>
      </c>
      <c r="R65" s="162"/>
      <c r="AA65" s="153"/>
    </row>
    <row r="66" spans="1:27"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R66" s="162"/>
      <c r="AA66" s="153"/>
    </row>
    <row r="67" spans="1:27">
      <c r="B67" s="161" t="s">
        <v>462</v>
      </c>
      <c r="D67" s="162">
        <v>0</v>
      </c>
      <c r="E67" s="162">
        <v>0</v>
      </c>
      <c r="F67" s="162">
        <v>0</v>
      </c>
      <c r="G67" s="162">
        <v>0</v>
      </c>
      <c r="H67" s="162">
        <v>0</v>
      </c>
      <c r="I67" s="162">
        <v>0</v>
      </c>
      <c r="J67" s="162">
        <v>0</v>
      </c>
      <c r="K67" s="162">
        <v>0</v>
      </c>
      <c r="L67" s="162">
        <v>0</v>
      </c>
      <c r="M67" s="162">
        <v>0</v>
      </c>
      <c r="N67" s="162">
        <v>0</v>
      </c>
      <c r="O67" s="162">
        <v>0</v>
      </c>
      <c r="P67" s="162">
        <v>0</v>
      </c>
      <c r="R67" s="162"/>
      <c r="AA67" s="153"/>
    </row>
    <row r="68" spans="1:27">
      <c r="D68" s="167" t="s">
        <v>412</v>
      </c>
      <c r="E68" s="167" t="s">
        <v>412</v>
      </c>
      <c r="F68" s="167" t="s">
        <v>412</v>
      </c>
      <c r="G68" s="167" t="s">
        <v>412</v>
      </c>
      <c r="H68" s="167" t="s">
        <v>412</v>
      </c>
      <c r="I68" s="167" t="s">
        <v>412</v>
      </c>
      <c r="J68" s="167" t="s">
        <v>412</v>
      </c>
      <c r="K68" s="167" t="s">
        <v>412</v>
      </c>
      <c r="L68" s="167" t="s">
        <v>412</v>
      </c>
      <c r="M68" s="167" t="s">
        <v>412</v>
      </c>
      <c r="N68" s="167" t="s">
        <v>412</v>
      </c>
      <c r="O68" s="167" t="s">
        <v>412</v>
      </c>
      <c r="P68" s="167" t="s">
        <v>412</v>
      </c>
      <c r="R68" s="162"/>
      <c r="AA68" s="153"/>
    </row>
    <row r="69" spans="1:27">
      <c r="B69" s="161" t="s">
        <v>463</v>
      </c>
      <c r="D69" s="162">
        <f>SUM(D58:D68)</f>
        <v>270000</v>
      </c>
      <c r="E69" s="162">
        <f t="shared" ref="E69:P69" si="57">SUM(E58:E68)</f>
        <v>730850</v>
      </c>
      <c r="F69" s="162">
        <f>SUM(F58:F68)</f>
        <v>708408.33333333337</v>
      </c>
      <c r="G69" s="162">
        <f t="shared" si="57"/>
        <v>782975</v>
      </c>
      <c r="H69" s="162">
        <f t="shared" si="57"/>
        <v>812100.00877635193</v>
      </c>
      <c r="I69" s="162">
        <f t="shared" si="57"/>
        <v>852233.35088603722</v>
      </c>
      <c r="J69" s="162">
        <f t="shared" si="57"/>
        <v>945979.19299572241</v>
      </c>
      <c r="K69" s="162">
        <f t="shared" si="57"/>
        <v>1019491.7017720742</v>
      </c>
      <c r="L69" s="162">
        <f t="shared" si="57"/>
        <v>1131704.210548426</v>
      </c>
      <c r="M69" s="162">
        <f t="shared" si="57"/>
        <v>1228341.7193247781</v>
      </c>
      <c r="N69" s="162">
        <f t="shared" si="57"/>
        <v>1336645.8947677966</v>
      </c>
      <c r="O69" s="162">
        <f t="shared" si="57"/>
        <v>1384831.7368774819</v>
      </c>
      <c r="P69" s="162">
        <f t="shared" si="57"/>
        <v>1428552.578987167</v>
      </c>
      <c r="R69" s="162"/>
      <c r="AA69" s="153"/>
    </row>
    <row r="70" spans="1:27">
      <c r="D70" s="163" t="s">
        <v>419</v>
      </c>
      <c r="E70" s="163" t="s">
        <v>419</v>
      </c>
      <c r="F70" s="163" t="s">
        <v>419</v>
      </c>
      <c r="G70" s="163" t="s">
        <v>419</v>
      </c>
      <c r="H70" s="163" t="s">
        <v>419</v>
      </c>
      <c r="I70" s="163" t="s">
        <v>419</v>
      </c>
      <c r="J70" s="163" t="s">
        <v>419</v>
      </c>
      <c r="K70" s="163" t="s">
        <v>419</v>
      </c>
      <c r="L70" s="163" t="s">
        <v>419</v>
      </c>
      <c r="M70" s="163" t="s">
        <v>419</v>
      </c>
      <c r="N70" s="163" t="s">
        <v>419</v>
      </c>
      <c r="O70" s="163" t="s">
        <v>419</v>
      </c>
      <c r="P70" s="163" t="s">
        <v>419</v>
      </c>
      <c r="R70" s="162"/>
      <c r="AA70" s="153"/>
    </row>
    <row r="71" spans="1:27">
      <c r="A71" s="161" t="s">
        <v>464</v>
      </c>
      <c r="R71" s="162"/>
      <c r="AA71" s="153"/>
    </row>
    <row r="72" spans="1:27">
      <c r="B72" s="161" t="s">
        <v>465</v>
      </c>
      <c r="D72" s="162">
        <v>0</v>
      </c>
      <c r="E72" s="162">
        <f>E112</f>
        <v>201950</v>
      </c>
      <c r="F72" s="162">
        <f t="shared" ref="F72:P72" si="58">F112</f>
        <v>231058.33333333334</v>
      </c>
      <c r="G72" s="162">
        <f t="shared" si="58"/>
        <v>252175</v>
      </c>
      <c r="H72" s="162">
        <f t="shared" si="58"/>
        <v>271862.5</v>
      </c>
      <c r="I72" s="162">
        <f t="shared" si="58"/>
        <v>276558.33333333337</v>
      </c>
      <c r="J72" s="162">
        <f t="shared" si="58"/>
        <v>295866.66666666669</v>
      </c>
      <c r="K72" s="162">
        <f t="shared" si="58"/>
        <v>300241.66666666669</v>
      </c>
      <c r="L72" s="162">
        <f t="shared" si="58"/>
        <v>284316.66666666663</v>
      </c>
      <c r="M72" s="162">
        <f t="shared" si="58"/>
        <v>301816.66666666669</v>
      </c>
      <c r="N72" s="162">
        <f t="shared" si="58"/>
        <v>330983.33333333331</v>
      </c>
      <c r="O72" s="162">
        <f t="shared" si="58"/>
        <v>323691.66666666669</v>
      </c>
      <c r="P72" s="162">
        <f t="shared" si="58"/>
        <v>338275</v>
      </c>
      <c r="R72" s="162"/>
      <c r="AA72" s="153"/>
    </row>
    <row r="73" spans="1:27">
      <c r="B73" s="161" t="s">
        <v>467</v>
      </c>
      <c r="D73" s="162">
        <v>0</v>
      </c>
      <c r="E73" s="162">
        <v>0</v>
      </c>
      <c r="F73" s="162">
        <v>0</v>
      </c>
      <c r="G73" s="162">
        <v>0</v>
      </c>
      <c r="H73" s="162">
        <v>0</v>
      </c>
      <c r="I73" s="162">
        <v>0</v>
      </c>
      <c r="J73" s="162">
        <v>0</v>
      </c>
      <c r="K73" s="162">
        <v>0</v>
      </c>
      <c r="L73" s="162">
        <v>0</v>
      </c>
      <c r="M73" s="162">
        <v>0</v>
      </c>
      <c r="N73" s="162">
        <v>0</v>
      </c>
      <c r="O73" s="162">
        <v>0</v>
      </c>
      <c r="P73" s="162">
        <v>0</v>
      </c>
      <c r="R73" s="162"/>
      <c r="AA73" s="153"/>
    </row>
    <row r="74" spans="1:27">
      <c r="B74" s="161" t="s">
        <v>466</v>
      </c>
      <c r="D74" s="162">
        <v>300000</v>
      </c>
      <c r="E74" s="162">
        <f>E125</f>
        <v>600000</v>
      </c>
      <c r="F74" s="162">
        <f t="shared" ref="F74:P74" si="59">F125</f>
        <v>600000</v>
      </c>
      <c r="G74" s="162">
        <f t="shared" si="59"/>
        <v>600000</v>
      </c>
      <c r="H74" s="162">
        <f t="shared" si="59"/>
        <v>574837.50877635193</v>
      </c>
      <c r="I74" s="162">
        <f t="shared" si="59"/>
        <v>549360.48641240818</v>
      </c>
      <c r="J74" s="162">
        <f t="shared" si="59"/>
        <v>523565.00126891519</v>
      </c>
      <c r="K74" s="162">
        <f t="shared" si="59"/>
        <v>497447.07256112853</v>
      </c>
      <c r="L74" s="162">
        <f t="shared" si="59"/>
        <v>471002.66974449455</v>
      </c>
      <c r="M74" s="162">
        <f t="shared" si="59"/>
        <v>444227.71189265262</v>
      </c>
      <c r="N74" s="162">
        <f t="shared" si="59"/>
        <v>417118.06706766266</v>
      </c>
      <c r="O74" s="162">
        <f t="shared" si="59"/>
        <v>389669.55168236035</v>
      </c>
      <c r="P74" s="162">
        <f t="shared" si="59"/>
        <v>361877.92985474179</v>
      </c>
      <c r="R74" s="162"/>
      <c r="AA74" s="153"/>
    </row>
    <row r="75" spans="1:27">
      <c r="D75" s="167" t="s">
        <v>412</v>
      </c>
      <c r="E75" s="167" t="s">
        <v>412</v>
      </c>
      <c r="F75" s="167" t="s">
        <v>412</v>
      </c>
      <c r="G75" s="167" t="s">
        <v>412</v>
      </c>
      <c r="H75" s="167" t="s">
        <v>412</v>
      </c>
      <c r="I75" s="167" t="s">
        <v>412</v>
      </c>
      <c r="J75" s="167" t="s">
        <v>412</v>
      </c>
      <c r="K75" s="167" t="s">
        <v>412</v>
      </c>
      <c r="L75" s="167" t="s">
        <v>412</v>
      </c>
      <c r="M75" s="167" t="s">
        <v>412</v>
      </c>
      <c r="N75" s="167" t="s">
        <v>412</v>
      </c>
      <c r="O75" s="167" t="s">
        <v>412</v>
      </c>
      <c r="P75" s="167" t="s">
        <v>412</v>
      </c>
      <c r="R75" s="162"/>
      <c r="AA75" s="153"/>
    </row>
    <row r="76" spans="1:27">
      <c r="B76" s="161" t="s">
        <v>474</v>
      </c>
      <c r="D76" s="162">
        <f>SUM(D71:D75)</f>
        <v>300000</v>
      </c>
      <c r="E76" s="162">
        <f t="shared" ref="E76:P76" si="60">SUM(E71:E75)</f>
        <v>801950</v>
      </c>
      <c r="F76" s="162">
        <f t="shared" si="60"/>
        <v>831058.33333333337</v>
      </c>
      <c r="G76" s="162">
        <f t="shared" si="60"/>
        <v>852175</v>
      </c>
      <c r="H76" s="162">
        <f t="shared" si="60"/>
        <v>846700.00877635193</v>
      </c>
      <c r="I76" s="162">
        <f t="shared" si="60"/>
        <v>825918.81974574155</v>
      </c>
      <c r="J76" s="162">
        <f t="shared" si="60"/>
        <v>819431.66793558188</v>
      </c>
      <c r="K76" s="162">
        <f t="shared" si="60"/>
        <v>797688.73922779527</v>
      </c>
      <c r="L76" s="162">
        <f t="shared" si="60"/>
        <v>755319.33641116112</v>
      </c>
      <c r="M76" s="162">
        <f t="shared" si="60"/>
        <v>746044.3785593193</v>
      </c>
      <c r="N76" s="162">
        <f t="shared" si="60"/>
        <v>748101.40040099598</v>
      </c>
      <c r="O76" s="162">
        <f t="shared" si="60"/>
        <v>713361.21834902698</v>
      </c>
      <c r="P76" s="162">
        <f t="shared" si="60"/>
        <v>700152.92985474179</v>
      </c>
      <c r="R76" s="162"/>
      <c r="AA76" s="153"/>
    </row>
    <row r="77" spans="1:27">
      <c r="D77" s="162"/>
      <c r="E77" s="162"/>
      <c r="F77" s="162"/>
      <c r="G77" s="162"/>
      <c r="H77" s="162"/>
      <c r="I77" s="162"/>
      <c r="J77" s="162"/>
      <c r="K77" s="162"/>
      <c r="L77" s="162"/>
      <c r="M77" s="162"/>
      <c r="N77" s="162"/>
      <c r="O77" s="162"/>
      <c r="P77" s="162"/>
      <c r="R77" s="162"/>
      <c r="AA77" s="153"/>
    </row>
    <row r="78" spans="1:27">
      <c r="A78" s="161" t="s">
        <v>470</v>
      </c>
      <c r="D78" s="162"/>
      <c r="E78" s="162"/>
      <c r="F78" s="162"/>
      <c r="G78" s="162"/>
      <c r="H78" s="162"/>
      <c r="I78" s="162"/>
      <c r="J78" s="162"/>
      <c r="K78" s="162"/>
      <c r="L78" s="162"/>
      <c r="M78" s="162"/>
      <c r="N78" s="162"/>
      <c r="O78" s="162"/>
      <c r="P78" s="162"/>
      <c r="R78" s="162"/>
      <c r="AA78" s="153"/>
    </row>
    <row r="79" spans="1:27">
      <c r="B79" s="161" t="s">
        <v>471</v>
      </c>
      <c r="D79" s="162">
        <v>-30000</v>
      </c>
      <c r="E79" s="162">
        <f>D79</f>
        <v>-30000</v>
      </c>
      <c r="F79" s="162">
        <f t="shared" ref="F79:P79" si="61">E79</f>
        <v>-30000</v>
      </c>
      <c r="G79" s="162">
        <f t="shared" si="61"/>
        <v>-30000</v>
      </c>
      <c r="H79" s="162">
        <f t="shared" si="61"/>
        <v>-30000</v>
      </c>
      <c r="I79" s="162">
        <f t="shared" si="61"/>
        <v>-30000</v>
      </c>
      <c r="J79" s="162">
        <f t="shared" si="61"/>
        <v>-30000</v>
      </c>
      <c r="K79" s="162">
        <f t="shared" si="61"/>
        <v>-30000</v>
      </c>
      <c r="L79" s="162">
        <f t="shared" si="61"/>
        <v>-30000</v>
      </c>
      <c r="M79" s="162">
        <f t="shared" si="61"/>
        <v>-30000</v>
      </c>
      <c r="N79" s="162">
        <f t="shared" si="61"/>
        <v>-30000</v>
      </c>
      <c r="O79" s="162">
        <f t="shared" si="61"/>
        <v>-30000</v>
      </c>
      <c r="P79" s="162">
        <f t="shared" si="61"/>
        <v>-30000</v>
      </c>
      <c r="R79" s="162"/>
      <c r="AA79" s="153"/>
    </row>
    <row r="80" spans="1:27">
      <c r="B80" s="161" t="s">
        <v>472</v>
      </c>
      <c r="D80" s="162">
        <v>0</v>
      </c>
      <c r="E80" s="162">
        <v>0</v>
      </c>
      <c r="F80" s="162">
        <v>0</v>
      </c>
      <c r="G80" s="162">
        <v>0</v>
      </c>
      <c r="H80" s="162">
        <v>0</v>
      </c>
      <c r="I80" s="162">
        <v>0</v>
      </c>
      <c r="J80" s="162">
        <v>0</v>
      </c>
      <c r="K80" s="162">
        <v>0</v>
      </c>
      <c r="L80" s="162">
        <v>0</v>
      </c>
      <c r="M80" s="162">
        <v>0</v>
      </c>
      <c r="N80" s="162">
        <v>0</v>
      </c>
      <c r="O80" s="162">
        <v>0</v>
      </c>
      <c r="P80" s="162">
        <v>0</v>
      </c>
      <c r="R80" s="162"/>
      <c r="AA80" s="153"/>
    </row>
    <row r="81" spans="1:27">
      <c r="B81" s="161" t="s">
        <v>473</v>
      </c>
      <c r="D81" s="162">
        <v>0</v>
      </c>
      <c r="E81" s="162">
        <f>D81+E21</f>
        <v>-41100</v>
      </c>
      <c r="F81" s="162">
        <f t="shared" ref="F81:P81" si="62">E81+F21</f>
        <v>-92650</v>
      </c>
      <c r="G81" s="162">
        <f t="shared" si="62"/>
        <v>-39200</v>
      </c>
      <c r="H81" s="162">
        <f t="shared" si="62"/>
        <v>-4600</v>
      </c>
      <c r="I81" s="162">
        <f t="shared" si="62"/>
        <v>56314.531140295614</v>
      </c>
      <c r="J81" s="162">
        <f t="shared" si="62"/>
        <v>156547.52506014053</v>
      </c>
      <c r="K81" s="162">
        <f t="shared" si="62"/>
        <v>251802.96254427911</v>
      </c>
      <c r="L81" s="162">
        <f t="shared" si="62"/>
        <v>406384.87413726503</v>
      </c>
      <c r="M81" s="162">
        <f t="shared" si="62"/>
        <v>512297.34076545882</v>
      </c>
      <c r="N81" s="162">
        <f t="shared" si="62"/>
        <v>618544.49436680065</v>
      </c>
      <c r="O81" s="162">
        <f t="shared" si="62"/>
        <v>701470.51852845494</v>
      </c>
      <c r="P81" s="162">
        <f t="shared" si="62"/>
        <v>758399.64913242543</v>
      </c>
      <c r="R81" s="162"/>
      <c r="AA81" s="153"/>
    </row>
    <row r="82" spans="1:27">
      <c r="D82" s="167" t="s">
        <v>412</v>
      </c>
      <c r="E82" s="167" t="s">
        <v>412</v>
      </c>
      <c r="F82" s="167" t="s">
        <v>412</v>
      </c>
      <c r="G82" s="167" t="s">
        <v>412</v>
      </c>
      <c r="H82" s="167" t="s">
        <v>412</v>
      </c>
      <c r="I82" s="167" t="s">
        <v>412</v>
      </c>
      <c r="J82" s="167" t="s">
        <v>412</v>
      </c>
      <c r="K82" s="167" t="s">
        <v>412</v>
      </c>
      <c r="L82" s="167" t="s">
        <v>412</v>
      </c>
      <c r="M82" s="167" t="s">
        <v>412</v>
      </c>
      <c r="N82" s="167" t="s">
        <v>412</v>
      </c>
      <c r="O82" s="167" t="s">
        <v>412</v>
      </c>
      <c r="P82" s="167" t="s">
        <v>412</v>
      </c>
      <c r="R82" s="162"/>
      <c r="AA82" s="153"/>
    </row>
    <row r="83" spans="1:27">
      <c r="B83" s="161" t="s">
        <v>475</v>
      </c>
      <c r="D83" s="162">
        <f>SUM(D78:D82)</f>
        <v>-30000</v>
      </c>
      <c r="E83" s="162">
        <f t="shared" ref="E83:P83" si="63">SUM(E78:E82)</f>
        <v>-71100</v>
      </c>
      <c r="F83" s="162">
        <f t="shared" si="63"/>
        <v>-122650</v>
      </c>
      <c r="G83" s="162">
        <f t="shared" si="63"/>
        <v>-69200</v>
      </c>
      <c r="H83" s="162">
        <f t="shared" si="63"/>
        <v>-34600</v>
      </c>
      <c r="I83" s="162">
        <f t="shared" si="63"/>
        <v>26314.531140295614</v>
      </c>
      <c r="J83" s="162">
        <f t="shared" si="63"/>
        <v>126547.52506014053</v>
      </c>
      <c r="K83" s="162">
        <f t="shared" si="63"/>
        <v>221802.96254427911</v>
      </c>
      <c r="L83" s="162">
        <f t="shared" si="63"/>
        <v>376384.87413726503</v>
      </c>
      <c r="M83" s="162">
        <f t="shared" si="63"/>
        <v>482297.34076545882</v>
      </c>
      <c r="N83" s="162">
        <f t="shared" si="63"/>
        <v>588544.49436680065</v>
      </c>
      <c r="O83" s="162">
        <f t="shared" si="63"/>
        <v>671470.51852845494</v>
      </c>
      <c r="P83" s="162">
        <f t="shared" si="63"/>
        <v>728399.64913242543</v>
      </c>
      <c r="R83" s="162"/>
      <c r="AA83" s="153"/>
    </row>
    <row r="84" spans="1:27">
      <c r="D84" s="167" t="s">
        <v>412</v>
      </c>
      <c r="E84" s="167" t="s">
        <v>412</v>
      </c>
      <c r="F84" s="167" t="s">
        <v>412</v>
      </c>
      <c r="G84" s="167" t="s">
        <v>412</v>
      </c>
      <c r="H84" s="167" t="s">
        <v>412</v>
      </c>
      <c r="I84" s="167" t="s">
        <v>412</v>
      </c>
      <c r="J84" s="167" t="s">
        <v>412</v>
      </c>
      <c r="K84" s="167" t="s">
        <v>412</v>
      </c>
      <c r="L84" s="167" t="s">
        <v>412</v>
      </c>
      <c r="M84" s="167" t="s">
        <v>412</v>
      </c>
      <c r="N84" s="167" t="s">
        <v>412</v>
      </c>
      <c r="O84" s="167" t="s">
        <v>412</v>
      </c>
      <c r="P84" s="167" t="s">
        <v>412</v>
      </c>
      <c r="R84" s="162"/>
      <c r="AA84" s="153"/>
    </row>
    <row r="85" spans="1:27">
      <c r="B85" s="161" t="s">
        <v>476</v>
      </c>
      <c r="D85" s="162">
        <f>D83+D76</f>
        <v>270000</v>
      </c>
      <c r="E85" s="162">
        <f t="shared" ref="E85:P85" si="64">E83+E76</f>
        <v>730850</v>
      </c>
      <c r="F85" s="162">
        <f t="shared" si="64"/>
        <v>708408.33333333337</v>
      </c>
      <c r="G85" s="162">
        <f t="shared" si="64"/>
        <v>782975</v>
      </c>
      <c r="H85" s="162">
        <f t="shared" si="64"/>
        <v>812100.00877635193</v>
      </c>
      <c r="I85" s="162">
        <f t="shared" si="64"/>
        <v>852233.35088603711</v>
      </c>
      <c r="J85" s="162">
        <f t="shared" si="64"/>
        <v>945979.19299572241</v>
      </c>
      <c r="K85" s="162">
        <f t="shared" si="64"/>
        <v>1019491.7017720744</v>
      </c>
      <c r="L85" s="162">
        <f t="shared" si="64"/>
        <v>1131704.210548426</v>
      </c>
      <c r="M85" s="162">
        <f t="shared" si="64"/>
        <v>1228341.7193247781</v>
      </c>
      <c r="N85" s="162">
        <f t="shared" si="64"/>
        <v>1336645.8947677966</v>
      </c>
      <c r="O85" s="162">
        <f t="shared" si="64"/>
        <v>1384831.7368774819</v>
      </c>
      <c r="P85" s="162">
        <f t="shared" si="64"/>
        <v>1428552.5789871672</v>
      </c>
      <c r="R85" s="162"/>
      <c r="AA85" s="153"/>
    </row>
    <row r="86" spans="1:27">
      <c r="D86" s="163" t="s">
        <v>419</v>
      </c>
      <c r="E86" s="163" t="s">
        <v>419</v>
      </c>
      <c r="F86" s="163" t="s">
        <v>419</v>
      </c>
      <c r="G86" s="163" t="s">
        <v>419</v>
      </c>
      <c r="H86" s="163" t="s">
        <v>419</v>
      </c>
      <c r="I86" s="163" t="s">
        <v>419</v>
      </c>
      <c r="J86" s="163" t="s">
        <v>419</v>
      </c>
      <c r="K86" s="163" t="s">
        <v>419</v>
      </c>
      <c r="L86" s="163" t="s">
        <v>419</v>
      </c>
      <c r="M86" s="163" t="s">
        <v>419</v>
      </c>
      <c r="N86" s="163" t="s">
        <v>419</v>
      </c>
      <c r="O86" s="163" t="s">
        <v>419</v>
      </c>
      <c r="P86" s="163" t="s">
        <v>419</v>
      </c>
      <c r="AA86" s="153"/>
    </row>
    <row r="87" spans="1:27">
      <c r="D87" s="162">
        <f>D85-D69</f>
        <v>0</v>
      </c>
      <c r="E87" s="162">
        <f t="shared" ref="E87:P87" si="65">E85-E69</f>
        <v>0</v>
      </c>
      <c r="F87" s="162">
        <f t="shared" si="65"/>
        <v>0</v>
      </c>
      <c r="G87" s="162">
        <f t="shared" si="65"/>
        <v>0</v>
      </c>
      <c r="H87" s="162">
        <f t="shared" si="65"/>
        <v>0</v>
      </c>
      <c r="I87" s="162">
        <f t="shared" si="65"/>
        <v>0</v>
      </c>
      <c r="J87" s="162">
        <f t="shared" si="65"/>
        <v>0</v>
      </c>
      <c r="K87" s="162">
        <f t="shared" si="65"/>
        <v>0</v>
      </c>
      <c r="L87" s="162">
        <f t="shared" si="65"/>
        <v>0</v>
      </c>
      <c r="M87" s="162">
        <f t="shared" si="65"/>
        <v>0</v>
      </c>
      <c r="N87" s="162">
        <f t="shared" si="65"/>
        <v>0</v>
      </c>
      <c r="O87" s="162">
        <f t="shared" si="65"/>
        <v>0</v>
      </c>
      <c r="P87" s="162">
        <f t="shared" si="65"/>
        <v>0</v>
      </c>
      <c r="AA87" s="153"/>
    </row>
    <row r="88" spans="1:27">
      <c r="E88" s="162">
        <f>E87-D87</f>
        <v>0</v>
      </c>
      <c r="F88" s="162">
        <f>F87-E87</f>
        <v>0</v>
      </c>
      <c r="G88" s="162">
        <f>G87-F87</f>
        <v>0</v>
      </c>
      <c r="H88" s="162">
        <f t="shared" ref="H88:P88" si="66">H87-G87</f>
        <v>0</v>
      </c>
      <c r="I88" s="162">
        <f t="shared" si="66"/>
        <v>0</v>
      </c>
      <c r="J88" s="162">
        <f t="shared" si="66"/>
        <v>0</v>
      </c>
      <c r="K88" s="162">
        <f t="shared" si="66"/>
        <v>0</v>
      </c>
      <c r="L88" s="162">
        <f t="shared" si="66"/>
        <v>0</v>
      </c>
      <c r="M88" s="162">
        <f t="shared" si="66"/>
        <v>0</v>
      </c>
      <c r="N88" s="162">
        <f t="shared" si="66"/>
        <v>0</v>
      </c>
      <c r="O88" s="162">
        <f t="shared" si="66"/>
        <v>0</v>
      </c>
      <c r="P88" s="162">
        <f t="shared" si="66"/>
        <v>0</v>
      </c>
      <c r="AA88" s="153"/>
    </row>
    <row r="89" spans="1:27">
      <c r="AA89" s="153"/>
    </row>
    <row r="90" spans="1:27">
      <c r="AA90" s="153"/>
    </row>
    <row r="91" spans="1:27">
      <c r="AA91" s="153"/>
    </row>
    <row r="92" spans="1:27">
      <c r="AA92" s="153"/>
    </row>
    <row r="93" spans="1:27">
      <c r="A93" s="143" t="s">
        <v>438</v>
      </c>
      <c r="AA93" s="153"/>
    </row>
    <row r="94" spans="1:27">
      <c r="A94" s="143" t="s">
        <v>439</v>
      </c>
      <c r="AA94" s="153"/>
    </row>
    <row r="95" spans="1:27">
      <c r="C95" s="143"/>
      <c r="D95" s="143"/>
      <c r="E95" s="139">
        <f t="shared" ref="E95:P95" si="67">E3</f>
        <v>45688</v>
      </c>
      <c r="F95" s="139">
        <f t="shared" si="67"/>
        <v>45716</v>
      </c>
      <c r="G95" s="139">
        <f t="shared" si="67"/>
        <v>45747</v>
      </c>
      <c r="H95" s="139">
        <f t="shared" si="67"/>
        <v>45777</v>
      </c>
      <c r="I95" s="139">
        <f t="shared" si="67"/>
        <v>45808</v>
      </c>
      <c r="J95" s="139">
        <f t="shared" si="67"/>
        <v>45838</v>
      </c>
      <c r="K95" s="139">
        <f t="shared" si="67"/>
        <v>45869</v>
      </c>
      <c r="L95" s="139">
        <f t="shared" si="67"/>
        <v>45900</v>
      </c>
      <c r="M95" s="139">
        <f t="shared" si="67"/>
        <v>45930</v>
      </c>
      <c r="N95" s="139">
        <f t="shared" si="67"/>
        <v>45961</v>
      </c>
      <c r="O95" s="139">
        <f t="shared" si="67"/>
        <v>45991</v>
      </c>
      <c r="P95" s="139">
        <f t="shared" si="67"/>
        <v>46022</v>
      </c>
      <c r="Q95" s="143"/>
      <c r="R95" s="168" t="str">
        <f>R3</f>
        <v>TOTAL</v>
      </c>
      <c r="AA95" s="153"/>
    </row>
    <row r="96" spans="1:27">
      <c r="A96" s="161" t="s">
        <v>421</v>
      </c>
      <c r="E96" s="162">
        <v>0</v>
      </c>
      <c r="F96" s="162">
        <f>E100</f>
        <v>174600</v>
      </c>
      <c r="G96" s="162">
        <f t="shared" ref="G96:P96" si="68">F100</f>
        <v>169350</v>
      </c>
      <c r="H96" s="162">
        <f t="shared" si="68"/>
        <v>236600</v>
      </c>
      <c r="I96" s="162">
        <f t="shared" si="68"/>
        <v>294550</v>
      </c>
      <c r="J96" s="162">
        <f t="shared" si="68"/>
        <v>302150</v>
      </c>
      <c r="K96" s="162">
        <f t="shared" si="68"/>
        <v>351200</v>
      </c>
      <c r="L96" s="162">
        <f t="shared" si="68"/>
        <v>373800</v>
      </c>
      <c r="M96" s="162">
        <f t="shared" si="68"/>
        <v>387000</v>
      </c>
      <c r="N96" s="162">
        <f t="shared" si="68"/>
        <v>405000</v>
      </c>
      <c r="O96" s="162">
        <f t="shared" si="68"/>
        <v>405500</v>
      </c>
      <c r="P96" s="162">
        <f t="shared" si="68"/>
        <v>387420</v>
      </c>
      <c r="R96" s="162">
        <f>E96</f>
        <v>0</v>
      </c>
      <c r="AA96" s="153"/>
    </row>
    <row r="97" spans="1:27">
      <c r="B97" s="161" t="s">
        <v>422</v>
      </c>
      <c r="E97" s="162">
        <f t="shared" ref="E97:P97" si="69">E8</f>
        <v>174600</v>
      </c>
      <c r="F97" s="162">
        <f t="shared" si="69"/>
        <v>164100</v>
      </c>
      <c r="G97" s="162">
        <f t="shared" si="69"/>
        <v>309100</v>
      </c>
      <c r="H97" s="162">
        <f t="shared" si="69"/>
        <v>280000</v>
      </c>
      <c r="I97" s="162">
        <f t="shared" si="69"/>
        <v>324300</v>
      </c>
      <c r="J97" s="162">
        <f t="shared" si="69"/>
        <v>378100</v>
      </c>
      <c r="K97" s="162">
        <f t="shared" si="69"/>
        <v>369500</v>
      </c>
      <c r="L97" s="162">
        <f t="shared" si="69"/>
        <v>404500</v>
      </c>
      <c r="M97" s="162">
        <f t="shared" si="69"/>
        <v>405500</v>
      </c>
      <c r="N97" s="162">
        <f t="shared" si="69"/>
        <v>405500</v>
      </c>
      <c r="O97" s="162">
        <f t="shared" si="69"/>
        <v>369340</v>
      </c>
      <c r="P97" s="162">
        <f t="shared" si="69"/>
        <v>380500</v>
      </c>
      <c r="R97" s="162">
        <f>SUM(E97:Q97)</f>
        <v>3965040</v>
      </c>
      <c r="AA97" s="153"/>
    </row>
    <row r="98" spans="1:27">
      <c r="B98" s="161" t="s">
        <v>423</v>
      </c>
      <c r="E98" s="162"/>
      <c r="F98" s="162">
        <f>F96+F97-F100</f>
        <v>169350</v>
      </c>
      <c r="G98" s="162">
        <f t="shared" ref="G98:P98" si="70">G96+G97-G100</f>
        <v>241850</v>
      </c>
      <c r="H98" s="162">
        <f t="shared" si="70"/>
        <v>222050</v>
      </c>
      <c r="I98" s="162">
        <f t="shared" si="70"/>
        <v>316700</v>
      </c>
      <c r="J98" s="162">
        <f t="shared" si="70"/>
        <v>329050</v>
      </c>
      <c r="K98" s="162">
        <f t="shared" si="70"/>
        <v>346900</v>
      </c>
      <c r="L98" s="162">
        <f t="shared" si="70"/>
        <v>391300</v>
      </c>
      <c r="M98" s="162">
        <f t="shared" si="70"/>
        <v>387500</v>
      </c>
      <c r="N98" s="162">
        <f t="shared" si="70"/>
        <v>405000</v>
      </c>
      <c r="O98" s="162">
        <f t="shared" si="70"/>
        <v>387420</v>
      </c>
      <c r="P98" s="162">
        <f t="shared" si="70"/>
        <v>393000</v>
      </c>
      <c r="R98" s="162">
        <f>SUM(E98:Q98)</f>
        <v>3590120</v>
      </c>
      <c r="AA98" s="153"/>
    </row>
    <row r="99" spans="1:27">
      <c r="E99" s="163" t="s">
        <v>412</v>
      </c>
      <c r="F99" s="163" t="s">
        <v>412</v>
      </c>
      <c r="G99" s="163" t="s">
        <v>412</v>
      </c>
      <c r="H99" s="163" t="s">
        <v>412</v>
      </c>
      <c r="I99" s="163" t="s">
        <v>412</v>
      </c>
      <c r="J99" s="163" t="s">
        <v>412</v>
      </c>
      <c r="K99" s="163" t="s">
        <v>412</v>
      </c>
      <c r="L99" s="163" t="s">
        <v>412</v>
      </c>
      <c r="M99" s="163" t="s">
        <v>412</v>
      </c>
      <c r="N99" s="163" t="s">
        <v>412</v>
      </c>
      <c r="O99" s="163" t="s">
        <v>412</v>
      </c>
      <c r="P99" s="163" t="s">
        <v>412</v>
      </c>
      <c r="R99" s="163" t="s">
        <v>412</v>
      </c>
      <c r="AA99" s="153"/>
    </row>
    <row r="100" spans="1:27">
      <c r="A100" s="161" t="s">
        <v>424</v>
      </c>
      <c r="E100" s="162">
        <f>E96+E97-E98</f>
        <v>174600</v>
      </c>
      <c r="F100" s="162">
        <f>(F97+E97)/60*F102</f>
        <v>169350</v>
      </c>
      <c r="G100" s="162">
        <f t="shared" ref="G100:P100" si="71">(G97+F97)/60*G102</f>
        <v>236600</v>
      </c>
      <c r="H100" s="162">
        <f t="shared" si="71"/>
        <v>294550</v>
      </c>
      <c r="I100" s="162">
        <f t="shared" si="71"/>
        <v>302150</v>
      </c>
      <c r="J100" s="162">
        <f t="shared" si="71"/>
        <v>351200</v>
      </c>
      <c r="K100" s="162">
        <f t="shared" si="71"/>
        <v>373800</v>
      </c>
      <c r="L100" s="162">
        <f t="shared" si="71"/>
        <v>387000</v>
      </c>
      <c r="M100" s="162">
        <f t="shared" si="71"/>
        <v>405000</v>
      </c>
      <c r="N100" s="162">
        <f t="shared" si="71"/>
        <v>405500</v>
      </c>
      <c r="O100" s="162">
        <f t="shared" si="71"/>
        <v>387420</v>
      </c>
      <c r="P100" s="162">
        <f t="shared" si="71"/>
        <v>374920</v>
      </c>
      <c r="R100" s="162">
        <f>R96+R97-R98</f>
        <v>374920</v>
      </c>
      <c r="AA100" s="153"/>
    </row>
    <row r="101" spans="1:27">
      <c r="AA101" s="153"/>
    </row>
    <row r="102" spans="1:27">
      <c r="B102" s="161" t="s">
        <v>426</v>
      </c>
      <c r="F102" s="161">
        <v>30</v>
      </c>
      <c r="G102" s="161">
        <v>30</v>
      </c>
      <c r="H102" s="161">
        <v>30</v>
      </c>
      <c r="I102" s="161">
        <v>30</v>
      </c>
      <c r="J102" s="161">
        <v>30</v>
      </c>
      <c r="K102" s="161">
        <v>30</v>
      </c>
      <c r="L102" s="161">
        <v>30</v>
      </c>
      <c r="M102" s="161">
        <v>30</v>
      </c>
      <c r="N102" s="161">
        <v>30</v>
      </c>
      <c r="O102" s="161">
        <v>30</v>
      </c>
      <c r="P102" s="161">
        <v>30</v>
      </c>
      <c r="AA102" s="153"/>
    </row>
    <row r="103" spans="1:27">
      <c r="AA103" s="153"/>
    </row>
    <row r="104" spans="1:27">
      <c r="AA104" s="153"/>
    </row>
    <row r="105" spans="1:27">
      <c r="A105" s="143" t="s">
        <v>438</v>
      </c>
      <c r="AA105" s="153"/>
    </row>
    <row r="106" spans="1:27">
      <c r="A106" s="143" t="s">
        <v>427</v>
      </c>
      <c r="AA106" s="153"/>
    </row>
    <row r="107" spans="1:27">
      <c r="E107" s="139">
        <f>E95</f>
        <v>45688</v>
      </c>
      <c r="F107" s="139">
        <f t="shared" ref="F107:R107" si="72">F95</f>
        <v>45716</v>
      </c>
      <c r="G107" s="139">
        <f t="shared" si="72"/>
        <v>45747</v>
      </c>
      <c r="H107" s="139">
        <f t="shared" si="72"/>
        <v>45777</v>
      </c>
      <c r="I107" s="139">
        <f t="shared" si="72"/>
        <v>45808</v>
      </c>
      <c r="J107" s="139">
        <f t="shared" si="72"/>
        <v>45838</v>
      </c>
      <c r="K107" s="139">
        <f t="shared" si="72"/>
        <v>45869</v>
      </c>
      <c r="L107" s="139">
        <f t="shared" si="72"/>
        <v>45900</v>
      </c>
      <c r="M107" s="139">
        <f t="shared" si="72"/>
        <v>45930</v>
      </c>
      <c r="N107" s="139">
        <f t="shared" si="72"/>
        <v>45961</v>
      </c>
      <c r="O107" s="139">
        <f t="shared" si="72"/>
        <v>45991</v>
      </c>
      <c r="P107" s="139">
        <f t="shared" si="72"/>
        <v>46022</v>
      </c>
      <c r="Q107" s="139">
        <f t="shared" si="72"/>
        <v>0</v>
      </c>
      <c r="R107" s="168" t="str">
        <f t="shared" si="72"/>
        <v>TOTAL</v>
      </c>
      <c r="AA107" s="153"/>
    </row>
    <row r="108" spans="1:27">
      <c r="A108" s="161" t="s">
        <v>421</v>
      </c>
      <c r="E108" s="162">
        <v>0</v>
      </c>
      <c r="F108" s="162">
        <f>E112</f>
        <v>201950</v>
      </c>
      <c r="G108" s="162">
        <f t="shared" ref="G108:P108" si="73">F112</f>
        <v>231058.33333333334</v>
      </c>
      <c r="H108" s="162">
        <f t="shared" si="73"/>
        <v>252175</v>
      </c>
      <c r="I108" s="162">
        <f t="shared" si="73"/>
        <v>271862.5</v>
      </c>
      <c r="J108" s="162">
        <f t="shared" si="73"/>
        <v>276558.33333333337</v>
      </c>
      <c r="K108" s="162">
        <f t="shared" si="73"/>
        <v>295866.66666666669</v>
      </c>
      <c r="L108" s="162">
        <f t="shared" si="73"/>
        <v>300241.66666666669</v>
      </c>
      <c r="M108" s="162">
        <f t="shared" si="73"/>
        <v>284316.66666666663</v>
      </c>
      <c r="N108" s="162">
        <f t="shared" si="73"/>
        <v>301816.66666666669</v>
      </c>
      <c r="O108" s="162">
        <f t="shared" si="73"/>
        <v>330983.33333333331</v>
      </c>
      <c r="P108" s="162">
        <f t="shared" si="73"/>
        <v>323691.66666666669</v>
      </c>
      <c r="R108" s="162">
        <f>E108</f>
        <v>0</v>
      </c>
      <c r="AA108" s="153"/>
    </row>
    <row r="109" spans="1:27">
      <c r="B109" s="161" t="s">
        <v>428</v>
      </c>
      <c r="E109" s="162">
        <f>SUM(E11,E12,E13)</f>
        <v>201950</v>
      </c>
      <c r="F109" s="162">
        <f t="shared" ref="F109:P109" si="74">SUM(F11,F12,F13)</f>
        <v>194150</v>
      </c>
      <c r="G109" s="162">
        <f t="shared" si="74"/>
        <v>238150</v>
      </c>
      <c r="H109" s="162">
        <f t="shared" si="74"/>
        <v>227900</v>
      </c>
      <c r="I109" s="162">
        <f t="shared" si="74"/>
        <v>246200</v>
      </c>
      <c r="J109" s="162">
        <f t="shared" si="74"/>
        <v>261000</v>
      </c>
      <c r="K109" s="162">
        <f t="shared" si="74"/>
        <v>253700</v>
      </c>
      <c r="L109" s="162">
        <f t="shared" si="74"/>
        <v>233700</v>
      </c>
      <c r="M109" s="162">
        <f t="shared" si="74"/>
        <v>283700</v>
      </c>
      <c r="N109" s="162">
        <f t="shared" si="74"/>
        <v>283700</v>
      </c>
      <c r="O109" s="162">
        <f t="shared" si="74"/>
        <v>271200</v>
      </c>
      <c r="P109" s="162">
        <f t="shared" si="74"/>
        <v>308700</v>
      </c>
      <c r="R109" s="162">
        <f>SUM(E109:Q109)</f>
        <v>3004050</v>
      </c>
      <c r="AA109" s="153"/>
    </row>
    <row r="110" spans="1:27">
      <c r="B110" s="161" t="s">
        <v>429</v>
      </c>
      <c r="E110" s="162"/>
      <c r="F110" s="162">
        <f t="shared" ref="F110:P110" si="75">F108+F109-F112</f>
        <v>165041.66666666666</v>
      </c>
      <c r="G110" s="162">
        <f t="shared" si="75"/>
        <v>217033.33333333337</v>
      </c>
      <c r="H110" s="162">
        <f t="shared" si="75"/>
        <v>208212.5</v>
      </c>
      <c r="I110" s="162">
        <f t="shared" si="75"/>
        <v>241504.16666666663</v>
      </c>
      <c r="J110" s="162">
        <f t="shared" si="75"/>
        <v>241691.66666666669</v>
      </c>
      <c r="K110" s="162">
        <f t="shared" si="75"/>
        <v>249325.00000000006</v>
      </c>
      <c r="L110" s="162">
        <f t="shared" si="75"/>
        <v>249625.00000000012</v>
      </c>
      <c r="M110" s="162">
        <f t="shared" si="75"/>
        <v>266199.99999999994</v>
      </c>
      <c r="N110" s="162">
        <f t="shared" si="75"/>
        <v>254533.33333333343</v>
      </c>
      <c r="O110" s="162">
        <f t="shared" si="75"/>
        <v>278491.66666666657</v>
      </c>
      <c r="P110" s="162">
        <f t="shared" si="75"/>
        <v>294116.66666666674</v>
      </c>
      <c r="R110" s="162">
        <f>SUM(E110:Q110)</f>
        <v>2665775</v>
      </c>
      <c r="AA110" s="153"/>
    </row>
    <row r="111" spans="1:27">
      <c r="E111" s="163" t="s">
        <v>412</v>
      </c>
      <c r="F111" s="163" t="s">
        <v>412</v>
      </c>
      <c r="G111" s="163" t="s">
        <v>412</v>
      </c>
      <c r="H111" s="163" t="s">
        <v>412</v>
      </c>
      <c r="I111" s="163" t="s">
        <v>412</v>
      </c>
      <c r="J111" s="163" t="s">
        <v>412</v>
      </c>
      <c r="K111" s="163" t="s">
        <v>412</v>
      </c>
      <c r="L111" s="163" t="s">
        <v>412</v>
      </c>
      <c r="M111" s="163" t="s">
        <v>412</v>
      </c>
      <c r="N111" s="163" t="s">
        <v>412</v>
      </c>
      <c r="O111" s="163" t="s">
        <v>412</v>
      </c>
      <c r="P111" s="163" t="s">
        <v>412</v>
      </c>
      <c r="R111" s="163" t="s">
        <v>412</v>
      </c>
      <c r="AA111" s="153"/>
    </row>
    <row r="112" spans="1:27">
      <c r="A112" s="161" t="s">
        <v>424</v>
      </c>
      <c r="E112" s="162">
        <f>E108+E109-E110</f>
        <v>201950</v>
      </c>
      <c r="F112" s="162">
        <f t="shared" ref="F112:P112" si="76">(F109+E109)/60*F114</f>
        <v>231058.33333333334</v>
      </c>
      <c r="G112" s="162">
        <f t="shared" si="76"/>
        <v>252175</v>
      </c>
      <c r="H112" s="162">
        <f t="shared" si="76"/>
        <v>271862.5</v>
      </c>
      <c r="I112" s="162">
        <f t="shared" si="76"/>
        <v>276558.33333333337</v>
      </c>
      <c r="J112" s="162">
        <f t="shared" si="76"/>
        <v>295866.66666666669</v>
      </c>
      <c r="K112" s="162">
        <f t="shared" si="76"/>
        <v>300241.66666666669</v>
      </c>
      <c r="L112" s="162">
        <f t="shared" si="76"/>
        <v>284316.66666666663</v>
      </c>
      <c r="M112" s="162">
        <f t="shared" si="76"/>
        <v>301816.66666666669</v>
      </c>
      <c r="N112" s="162">
        <f t="shared" si="76"/>
        <v>330983.33333333331</v>
      </c>
      <c r="O112" s="162">
        <f t="shared" si="76"/>
        <v>323691.66666666669</v>
      </c>
      <c r="P112" s="162">
        <f t="shared" si="76"/>
        <v>338275</v>
      </c>
      <c r="R112" s="162">
        <f>R108+R109-R110</f>
        <v>338275</v>
      </c>
      <c r="AA112" s="153"/>
    </row>
    <row r="113" spans="1:27">
      <c r="AA113" s="153"/>
    </row>
    <row r="114" spans="1:27">
      <c r="B114" s="161" t="s">
        <v>430</v>
      </c>
      <c r="F114" s="161">
        <v>35</v>
      </c>
      <c r="G114" s="161">
        <v>35</v>
      </c>
      <c r="H114" s="161">
        <v>35</v>
      </c>
      <c r="I114" s="161">
        <v>35</v>
      </c>
      <c r="J114" s="161">
        <v>35</v>
      </c>
      <c r="K114" s="161">
        <v>35</v>
      </c>
      <c r="L114" s="161">
        <v>35</v>
      </c>
      <c r="M114" s="161">
        <v>35</v>
      </c>
      <c r="N114" s="161">
        <v>35</v>
      </c>
      <c r="O114" s="161">
        <v>35</v>
      </c>
      <c r="P114" s="161">
        <v>35</v>
      </c>
      <c r="AA114" s="153"/>
    </row>
    <row r="115" spans="1:27">
      <c r="AA115" s="153"/>
    </row>
    <row r="116" spans="1:27">
      <c r="AA116" s="153"/>
    </row>
    <row r="117" spans="1:27">
      <c r="A117" s="143" t="s">
        <v>438</v>
      </c>
      <c r="AA117" s="153"/>
    </row>
    <row r="118" spans="1:27">
      <c r="A118" s="143" t="s">
        <v>435</v>
      </c>
      <c r="AA118" s="153"/>
    </row>
    <row r="119" spans="1:27">
      <c r="E119" s="139">
        <f t="shared" ref="E119:R119" si="77">E107</f>
        <v>45688</v>
      </c>
      <c r="F119" s="139">
        <f t="shared" si="77"/>
        <v>45716</v>
      </c>
      <c r="G119" s="139">
        <f t="shared" si="77"/>
        <v>45747</v>
      </c>
      <c r="H119" s="139">
        <f t="shared" si="77"/>
        <v>45777</v>
      </c>
      <c r="I119" s="139">
        <f t="shared" si="77"/>
        <v>45808</v>
      </c>
      <c r="J119" s="139">
        <f t="shared" si="77"/>
        <v>45838</v>
      </c>
      <c r="K119" s="139">
        <f t="shared" si="77"/>
        <v>45869</v>
      </c>
      <c r="L119" s="139">
        <f t="shared" si="77"/>
        <v>45900</v>
      </c>
      <c r="M119" s="139">
        <f t="shared" si="77"/>
        <v>45930</v>
      </c>
      <c r="N119" s="139">
        <f t="shared" si="77"/>
        <v>45961</v>
      </c>
      <c r="O119" s="139">
        <f t="shared" si="77"/>
        <v>45991</v>
      </c>
      <c r="P119" s="139">
        <f t="shared" si="77"/>
        <v>46022</v>
      </c>
      <c r="Q119" s="139">
        <f t="shared" si="77"/>
        <v>0</v>
      </c>
      <c r="R119" s="168" t="str">
        <f t="shared" si="77"/>
        <v>TOTAL</v>
      </c>
      <c r="AA119" s="153"/>
    </row>
    <row r="120" spans="1:27">
      <c r="A120" s="161" t="s">
        <v>431</v>
      </c>
      <c r="E120" s="162">
        <v>300000</v>
      </c>
      <c r="F120" s="162">
        <f>E125</f>
        <v>600000</v>
      </c>
      <c r="G120" s="162">
        <f t="shared" ref="G120:P120" si="78">F125</f>
        <v>600000</v>
      </c>
      <c r="H120" s="162">
        <f t="shared" si="78"/>
        <v>600000</v>
      </c>
      <c r="I120" s="162">
        <f t="shared" si="78"/>
        <v>574837.50877635193</v>
      </c>
      <c r="J120" s="162">
        <f t="shared" si="78"/>
        <v>549360.48641240818</v>
      </c>
      <c r="K120" s="162">
        <f t="shared" si="78"/>
        <v>523565.00126891519</v>
      </c>
      <c r="L120" s="162">
        <f t="shared" si="78"/>
        <v>497447.07256112853</v>
      </c>
      <c r="M120" s="162">
        <f t="shared" si="78"/>
        <v>471002.66974449455</v>
      </c>
      <c r="N120" s="162">
        <f t="shared" si="78"/>
        <v>444227.71189265262</v>
      </c>
      <c r="O120" s="162">
        <f t="shared" si="78"/>
        <v>417118.06706766266</v>
      </c>
      <c r="P120" s="162">
        <f t="shared" si="78"/>
        <v>389669.55168236035</v>
      </c>
      <c r="R120" s="162">
        <f>E120</f>
        <v>300000</v>
      </c>
      <c r="AA120" s="153"/>
    </row>
    <row r="121" spans="1:27">
      <c r="B121" s="161" t="s">
        <v>432</v>
      </c>
      <c r="E121" s="162">
        <v>300000</v>
      </c>
      <c r="F121" s="162"/>
      <c r="G121" s="162"/>
      <c r="H121" s="162"/>
      <c r="I121" s="162"/>
      <c r="R121" s="162">
        <f t="shared" ref="R121:R123" si="79">SUM(E121:Q121)</f>
        <v>300000</v>
      </c>
      <c r="AA121" s="153"/>
    </row>
    <row r="122" spans="1:27">
      <c r="B122" s="161" t="s">
        <v>434</v>
      </c>
      <c r="E122" s="162"/>
      <c r="F122" s="162"/>
      <c r="G122" s="162"/>
      <c r="H122" s="162">
        <f>-PMT($C$123/12,21,$F$120)-H123</f>
        <v>25162.491223648096</v>
      </c>
      <c r="I122" s="162">
        <f t="shared" ref="I122:P122" si="80">-PMT($C$123/12,21,$F$120)-I123</f>
        <v>25477.022363943695</v>
      </c>
      <c r="J122" s="162">
        <f t="shared" si="80"/>
        <v>25795.485143492995</v>
      </c>
      <c r="K122" s="162">
        <f t="shared" si="80"/>
        <v>26117.928707786657</v>
      </c>
      <c r="L122" s="162">
        <f t="shared" si="80"/>
        <v>26444.402816633989</v>
      </c>
      <c r="M122" s="162">
        <f t="shared" si="80"/>
        <v>26774.957851841915</v>
      </c>
      <c r="N122" s="162">
        <f t="shared" si="80"/>
        <v>27109.644824989937</v>
      </c>
      <c r="O122" s="162">
        <f t="shared" si="80"/>
        <v>27448.515385302315</v>
      </c>
      <c r="P122" s="162">
        <f t="shared" si="80"/>
        <v>27791.62182761859</v>
      </c>
      <c r="R122" s="162">
        <f t="shared" si="79"/>
        <v>238122.07014525816</v>
      </c>
      <c r="AA122" s="153"/>
    </row>
    <row r="123" spans="1:27">
      <c r="B123" s="161" t="s">
        <v>433</v>
      </c>
      <c r="C123" s="169">
        <v>0.15</v>
      </c>
      <c r="E123" s="162">
        <f>E120*$C$123/12</f>
        <v>3750</v>
      </c>
      <c r="F123" s="162">
        <f>F120*$C$123/12</f>
        <v>7500</v>
      </c>
      <c r="G123" s="162">
        <f t="shared" ref="G123:P123" si="81">G120*$C$123/12</f>
        <v>7500</v>
      </c>
      <c r="H123" s="162">
        <f t="shared" si="81"/>
        <v>7500</v>
      </c>
      <c r="I123" s="162">
        <f t="shared" si="81"/>
        <v>7185.4688597043996</v>
      </c>
      <c r="J123" s="162">
        <f t="shared" si="81"/>
        <v>6867.0060801551017</v>
      </c>
      <c r="K123" s="162">
        <f t="shared" si="81"/>
        <v>6544.5625158614394</v>
      </c>
      <c r="L123" s="162">
        <f t="shared" si="81"/>
        <v>6218.0884070141065</v>
      </c>
      <c r="M123" s="162">
        <f t="shared" si="81"/>
        <v>5887.5333718061811</v>
      </c>
      <c r="N123" s="162">
        <f t="shared" si="81"/>
        <v>5552.8463986581583</v>
      </c>
      <c r="O123" s="162">
        <f t="shared" si="81"/>
        <v>5213.9758383457829</v>
      </c>
      <c r="P123" s="162">
        <f t="shared" si="81"/>
        <v>4870.8693960295041</v>
      </c>
      <c r="R123" s="162">
        <f t="shared" si="79"/>
        <v>74590.350867574671</v>
      </c>
      <c r="AA123" s="153"/>
    </row>
    <row r="124" spans="1:27">
      <c r="E124" s="163" t="s">
        <v>412</v>
      </c>
      <c r="F124" s="163" t="s">
        <v>412</v>
      </c>
      <c r="G124" s="163" t="s">
        <v>412</v>
      </c>
      <c r="H124" s="163" t="s">
        <v>412</v>
      </c>
      <c r="I124" s="163" t="s">
        <v>412</v>
      </c>
      <c r="J124" s="163" t="s">
        <v>412</v>
      </c>
      <c r="K124" s="163" t="s">
        <v>412</v>
      </c>
      <c r="L124" s="163" t="s">
        <v>412</v>
      </c>
      <c r="M124" s="163" t="s">
        <v>412</v>
      </c>
      <c r="N124" s="163" t="s">
        <v>412</v>
      </c>
      <c r="O124" s="163" t="s">
        <v>412</v>
      </c>
      <c r="P124" s="163" t="s">
        <v>412</v>
      </c>
      <c r="R124" s="163" t="s">
        <v>412</v>
      </c>
      <c r="AA124" s="153"/>
    </row>
    <row r="125" spans="1:27">
      <c r="A125" s="161" t="s">
        <v>424</v>
      </c>
      <c r="E125" s="162">
        <f>E120+E121-E122</f>
        <v>600000</v>
      </c>
      <c r="F125" s="162">
        <f>F120+F121-F122</f>
        <v>600000</v>
      </c>
      <c r="G125" s="162">
        <f t="shared" ref="G125:R125" si="82">G120+G121-G122</f>
        <v>600000</v>
      </c>
      <c r="H125" s="162">
        <f t="shared" si="82"/>
        <v>574837.50877635193</v>
      </c>
      <c r="I125" s="162">
        <f t="shared" si="82"/>
        <v>549360.48641240818</v>
      </c>
      <c r="J125" s="162">
        <f t="shared" si="82"/>
        <v>523565.00126891519</v>
      </c>
      <c r="K125" s="162">
        <f t="shared" si="82"/>
        <v>497447.07256112853</v>
      </c>
      <c r="L125" s="162">
        <f t="shared" si="82"/>
        <v>471002.66974449455</v>
      </c>
      <c r="M125" s="162">
        <f t="shared" si="82"/>
        <v>444227.71189265262</v>
      </c>
      <c r="N125" s="162">
        <f t="shared" si="82"/>
        <v>417118.06706766266</v>
      </c>
      <c r="O125" s="162">
        <f t="shared" si="82"/>
        <v>389669.55168236035</v>
      </c>
      <c r="P125" s="162">
        <f t="shared" si="82"/>
        <v>361877.92985474179</v>
      </c>
      <c r="R125" s="162">
        <f t="shared" si="82"/>
        <v>361877.92985474184</v>
      </c>
      <c r="AA125" s="153"/>
    </row>
    <row r="126" spans="1:27">
      <c r="AA126" s="153"/>
    </row>
    <row r="127" spans="1:27">
      <c r="AA127" s="153"/>
    </row>
    <row r="128" spans="1:27">
      <c r="AA128" s="153"/>
    </row>
    <row r="129" spans="1:27">
      <c r="A129" s="143" t="s">
        <v>438</v>
      </c>
      <c r="AA129" s="153"/>
    </row>
    <row r="130" spans="1:27">
      <c r="A130" s="166" t="s">
        <v>420</v>
      </c>
      <c r="AA130" s="153"/>
    </row>
    <row r="131" spans="1:27">
      <c r="C131" s="166"/>
      <c r="D131" s="166"/>
      <c r="E131" s="139">
        <f>E119</f>
        <v>45688</v>
      </c>
      <c r="F131" s="139">
        <f t="shared" ref="F131:P131" si="83">F119</f>
        <v>45716</v>
      </c>
      <c r="G131" s="139">
        <f t="shared" si="83"/>
        <v>45747</v>
      </c>
      <c r="H131" s="139">
        <f t="shared" si="83"/>
        <v>45777</v>
      </c>
      <c r="I131" s="139">
        <f t="shared" si="83"/>
        <v>45808</v>
      </c>
      <c r="J131" s="139">
        <f t="shared" si="83"/>
        <v>45838</v>
      </c>
      <c r="K131" s="139">
        <f t="shared" si="83"/>
        <v>45869</v>
      </c>
      <c r="L131" s="139">
        <f t="shared" si="83"/>
        <v>45900</v>
      </c>
      <c r="M131" s="139">
        <f t="shared" si="83"/>
        <v>45930</v>
      </c>
      <c r="N131" s="139">
        <f t="shared" si="83"/>
        <v>45961</v>
      </c>
      <c r="O131" s="139">
        <f t="shared" si="83"/>
        <v>45991</v>
      </c>
      <c r="P131" s="139">
        <f t="shared" si="83"/>
        <v>46022</v>
      </c>
      <c r="Q131" s="139">
        <f t="shared" ref="Q131" si="84">Q118</f>
        <v>0</v>
      </c>
      <c r="R131" s="168" t="str">
        <f>R119</f>
        <v>TOTAL</v>
      </c>
      <c r="AA131" s="153"/>
    </row>
    <row r="132" spans="1:27">
      <c r="B132" s="153" t="s">
        <v>239</v>
      </c>
      <c r="C132" s="153"/>
      <c r="D132" s="153"/>
      <c r="E132" s="162">
        <v>33000</v>
      </c>
      <c r="F132" s="162"/>
      <c r="G132" s="162"/>
      <c r="AA132" s="153"/>
    </row>
    <row r="133" spans="1:27">
      <c r="B133" s="153" t="s">
        <v>241</v>
      </c>
      <c r="C133" s="153"/>
      <c r="D133" s="153"/>
      <c r="E133" s="162">
        <v>140000</v>
      </c>
      <c r="F133" s="162"/>
      <c r="G133" s="162"/>
    </row>
    <row r="134" spans="1:27">
      <c r="B134" s="153" t="s">
        <v>240</v>
      </c>
      <c r="C134" s="153"/>
      <c r="D134" s="153"/>
      <c r="E134" s="162"/>
      <c r="F134" s="162">
        <v>55000</v>
      </c>
      <c r="G134" s="162"/>
    </row>
    <row r="135" spans="1:27">
      <c r="B135" s="153" t="s">
        <v>244</v>
      </c>
      <c r="C135" s="153"/>
      <c r="D135" s="153"/>
      <c r="E135" s="162"/>
      <c r="F135" s="162">
        <v>72000</v>
      </c>
    </row>
    <row r="136" spans="1:27">
      <c r="B136" s="153"/>
      <c r="C136" s="153"/>
      <c r="D136" s="153"/>
      <c r="E136" s="162"/>
      <c r="F136" s="162"/>
      <c r="G136" s="162"/>
    </row>
    <row r="137" spans="1:27">
      <c r="B137" s="153" t="s">
        <v>436</v>
      </c>
      <c r="C137" s="153"/>
      <c r="D137" s="153"/>
      <c r="E137" s="162">
        <f>SUM(E132:E136)</f>
        <v>173000</v>
      </c>
      <c r="F137" s="162">
        <f t="shared" ref="F137:G137" si="85">SUM(F132:F136)</f>
        <v>127000</v>
      </c>
      <c r="G137" s="162">
        <f t="shared" si="85"/>
        <v>0</v>
      </c>
    </row>
    <row r="138" spans="1:27">
      <c r="B138" s="153"/>
      <c r="C138" s="153"/>
      <c r="D138" s="153"/>
      <c r="E138" s="170"/>
      <c r="F138" s="162"/>
      <c r="G138" s="162"/>
    </row>
    <row r="139" spans="1:27">
      <c r="A139" s="166" t="s">
        <v>245</v>
      </c>
      <c r="C139" s="166"/>
      <c r="D139" s="166"/>
      <c r="F139" s="162"/>
      <c r="G139" s="162"/>
    </row>
    <row r="140" spans="1:27">
      <c r="B140" s="153" t="s">
        <v>248</v>
      </c>
      <c r="C140" s="153"/>
      <c r="D140" s="153"/>
      <c r="F140" s="162">
        <f>'Curent Expected Cash Flow- 2025'!AA36</f>
        <v>4000</v>
      </c>
      <c r="G140" s="162"/>
      <c r="K140" s="162">
        <f>F140</f>
        <v>4000</v>
      </c>
    </row>
  </sheetData>
  <pageMargins left="0.24" right="0.26" top="0.57999999999999996" bottom="0.49" header="0.3" footer="0.3"/>
  <pageSetup scale="70" fitToHeight="0" orientation="landscape" verticalDpi="0" r:id="rId1"/>
  <headerFooter>
    <oddFooter>&amp;C&amp;F - &amp;A&amp;RPage &amp;P</oddFooter>
  </headerFooter>
  <rowBreaks count="2" manualBreakCount="2">
    <brk id="51" max="26" man="1"/>
    <brk id="9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F378-49C3-4D3A-AB3F-730ED17FA562}">
  <dimension ref="A3:BF45"/>
  <sheetViews>
    <sheetView zoomScale="75" zoomScaleNormal="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24" sqref="J24"/>
    </sheetView>
  </sheetViews>
  <sheetFormatPr defaultColWidth="8.69921875" defaultRowHeight="14.4"/>
  <cols>
    <col min="1" max="1" width="20.5" style="130" bestFit="1" customWidth="1"/>
    <col min="2" max="2" width="8.69921875" style="130"/>
    <col min="3" max="3" width="10.19921875" style="130" bestFit="1" customWidth="1"/>
    <col min="4" max="4" width="9.19921875" style="130" bestFit="1" customWidth="1"/>
    <col min="5" max="5" width="9.69921875" style="130" customWidth="1"/>
    <col min="6" max="6" width="9.296875" style="130" bestFit="1" customWidth="1"/>
    <col min="7" max="14" width="8.69921875" style="130"/>
    <col min="15" max="15" width="8.5" style="130" customWidth="1"/>
    <col min="16" max="16" width="1.5" style="130" customWidth="1"/>
    <col min="17" max="17" width="9.69921875" style="130" customWidth="1"/>
    <col min="18" max="20" width="8.69921875" style="130"/>
    <col min="21" max="21" width="20.5" style="130" bestFit="1" customWidth="1"/>
    <col min="22" max="22" width="9" style="130" customWidth="1"/>
    <col min="23" max="23" width="4.296875" style="130" customWidth="1"/>
    <col min="24" max="35" width="9.5" style="130" customWidth="1"/>
    <col min="36" max="36" width="1.296875" style="130" customWidth="1"/>
    <col min="37" max="37" width="9.296875" style="130" bestFit="1" customWidth="1"/>
    <col min="38" max="16384" width="8.69921875" style="130"/>
  </cols>
  <sheetData>
    <row r="3" spans="1:39">
      <c r="A3" s="130" t="s">
        <v>406</v>
      </c>
    </row>
    <row r="4" spans="1:39">
      <c r="C4" s="138" t="s">
        <v>411</v>
      </c>
      <c r="D4" s="131">
        <v>45688</v>
      </c>
      <c r="E4" s="131">
        <f t="shared" ref="E4:N4" si="0">D4+33-DAY(D4+33)</f>
        <v>45716</v>
      </c>
      <c r="F4" s="131">
        <f t="shared" si="0"/>
        <v>45747</v>
      </c>
      <c r="G4" s="131">
        <f t="shared" si="0"/>
        <v>45777</v>
      </c>
      <c r="H4" s="131">
        <f t="shared" si="0"/>
        <v>45808</v>
      </c>
      <c r="I4" s="131">
        <f t="shared" si="0"/>
        <v>45838</v>
      </c>
      <c r="J4" s="131">
        <f t="shared" si="0"/>
        <v>45869</v>
      </c>
      <c r="K4" s="131">
        <f t="shared" si="0"/>
        <v>45900</v>
      </c>
      <c r="L4" s="131">
        <f t="shared" si="0"/>
        <v>45930</v>
      </c>
      <c r="M4" s="131">
        <f t="shared" si="0"/>
        <v>45961</v>
      </c>
      <c r="N4" s="131">
        <f t="shared" si="0"/>
        <v>45991</v>
      </c>
      <c r="O4" s="131">
        <f>N4+33-DAY(N4+33)</f>
        <v>46022</v>
      </c>
      <c r="P4" s="131"/>
      <c r="Q4" s="141" t="s">
        <v>408</v>
      </c>
      <c r="X4" s="131">
        <v>45688</v>
      </c>
      <c r="Y4" s="131">
        <f t="shared" ref="Y4" si="1">X4+33-DAY(X4+33)</f>
        <v>45716</v>
      </c>
      <c r="Z4" s="131">
        <f t="shared" ref="Z4" si="2">Y4+33-DAY(Y4+33)</f>
        <v>45747</v>
      </c>
      <c r="AA4" s="131">
        <f t="shared" ref="AA4" si="3">Z4+33-DAY(Z4+33)</f>
        <v>45777</v>
      </c>
      <c r="AB4" s="131">
        <f t="shared" ref="AB4" si="4">AA4+33-DAY(AA4+33)</f>
        <v>45808</v>
      </c>
      <c r="AC4" s="131">
        <f t="shared" ref="AC4" si="5">AB4+33-DAY(AB4+33)</f>
        <v>45838</v>
      </c>
      <c r="AD4" s="131">
        <f t="shared" ref="AD4" si="6">AC4+33-DAY(AC4+33)</f>
        <v>45869</v>
      </c>
      <c r="AE4" s="131">
        <f t="shared" ref="AE4" si="7">AD4+33-DAY(AD4+33)</f>
        <v>45900</v>
      </c>
      <c r="AF4" s="131">
        <f t="shared" ref="AF4" si="8">AE4+33-DAY(AE4+33)</f>
        <v>45930</v>
      </c>
      <c r="AG4" s="131">
        <f t="shared" ref="AG4" si="9">AF4+33-DAY(AF4+33)</f>
        <v>45961</v>
      </c>
      <c r="AH4" s="131">
        <f t="shared" ref="AH4" si="10">AG4+33-DAY(AG4+33)</f>
        <v>45991</v>
      </c>
      <c r="AI4" s="131">
        <f>AH4+33-DAY(AH4+33)</f>
        <v>46022</v>
      </c>
      <c r="AJ4" s="131"/>
      <c r="AK4" s="141" t="s">
        <v>408</v>
      </c>
    </row>
    <row r="5" spans="1:39">
      <c r="A5" s="130" t="s">
        <v>407</v>
      </c>
      <c r="U5" s="140" t="s">
        <v>417</v>
      </c>
    </row>
    <row r="6" spans="1:39" ht="15.6">
      <c r="A6" t="s">
        <v>173</v>
      </c>
      <c r="B6" t="s">
        <v>1</v>
      </c>
      <c r="C6" s="61">
        <f>'Curent Expected Cash Flow- 2025'!T3</f>
        <v>0.38</v>
      </c>
      <c r="D6" s="134">
        <f>'Curent Expected Cash Flow- 2025'!R3*'Curent Expected Cash Flow- 2025'!S3</f>
        <v>40000</v>
      </c>
      <c r="E6" s="134">
        <f>'Curent Expected Cash Flow- 2025'!AB3*'Curent Expected Cash Flow- 2025'!AC3</f>
        <v>20000</v>
      </c>
      <c r="F6" s="134">
        <f>'Curent Expected Cash Flow- 2025'!AL3*'Curent Expected Cash Flow- 2025'!AM3</f>
        <v>20000</v>
      </c>
      <c r="G6" s="134">
        <f>'Curent Expected Cash Flow- 2025'!AV3*'Curent Expected Cash Flow- 2025'!AW3</f>
        <v>40000</v>
      </c>
      <c r="H6" s="134">
        <f>'Curent Expected Cash Flow- 2025'!BF3*'Curent Expected Cash Flow- 2025'!BG3</f>
        <v>40000</v>
      </c>
      <c r="I6" s="134">
        <f>'Curent Expected Cash Flow- 2025'!BP3*'Curent Expected Cash Flow- 2025'!BQ3</f>
        <v>60000</v>
      </c>
      <c r="J6" s="134">
        <f>'Curent Expected Cash Flow- 2025'!BZ3*'Curent Expected Cash Flow- 2025'!CA3</f>
        <v>60000</v>
      </c>
      <c r="K6" s="135">
        <f>'Curent Expected Cash Flow- 2025'!CT3*'Curent Expected Cash Flow- 2025'!CU3</f>
        <v>60000</v>
      </c>
      <c r="L6" s="134">
        <f>'Curent Expected Cash Flow- 2025'!DD3*'Curent Expected Cash Flow- 2025'!DE3</f>
        <v>60000</v>
      </c>
      <c r="M6" s="134">
        <f>'Curent Expected Cash Flow- 2025'!DN3*'Curent Expected Cash Flow- 2025'!DO3</f>
        <v>60000</v>
      </c>
      <c r="N6" s="134">
        <f>'Curent Expected Cash Flow- 2025'!DX3*'Curent Expected Cash Flow- 2025'!DY3</f>
        <v>60000</v>
      </c>
      <c r="O6" s="134">
        <f>'Curent Expected Cash Flow- 2025'!EH3*'Curent Expected Cash Flow- 2025'!EI3</f>
        <v>60000</v>
      </c>
      <c r="P6" s="135"/>
      <c r="Q6" s="135">
        <f>SUM(D6:P6)</f>
        <v>580000</v>
      </c>
      <c r="R6"/>
      <c r="S6"/>
      <c r="T6"/>
      <c r="U6" t="s">
        <v>173</v>
      </c>
      <c r="V6" t="s">
        <v>1</v>
      </c>
      <c r="W6" s="61"/>
      <c r="X6" s="142">
        <f>D6*$C6</f>
        <v>15200</v>
      </c>
      <c r="Y6" s="142">
        <f t="shared" ref="Y6:AI14" si="11">E6*$C6</f>
        <v>7600</v>
      </c>
      <c r="Z6" s="142">
        <f t="shared" si="11"/>
        <v>7600</v>
      </c>
      <c r="AA6" s="142">
        <f t="shared" si="11"/>
        <v>15200</v>
      </c>
      <c r="AB6" s="142">
        <f t="shared" si="11"/>
        <v>15200</v>
      </c>
      <c r="AC6" s="142">
        <f t="shared" si="11"/>
        <v>22800</v>
      </c>
      <c r="AD6" s="142">
        <f t="shared" si="11"/>
        <v>22800</v>
      </c>
      <c r="AE6" s="142">
        <f t="shared" si="11"/>
        <v>22800</v>
      </c>
      <c r="AF6" s="142">
        <f t="shared" si="11"/>
        <v>22800</v>
      </c>
      <c r="AG6" s="142">
        <f t="shared" si="11"/>
        <v>22800</v>
      </c>
      <c r="AH6" s="142">
        <f t="shared" si="11"/>
        <v>22800</v>
      </c>
      <c r="AI6" s="142">
        <f t="shared" si="11"/>
        <v>22800</v>
      </c>
      <c r="AJ6" s="142"/>
      <c r="AK6" s="142">
        <f>SUM(X6:AJ6)</f>
        <v>220400</v>
      </c>
      <c r="AL6"/>
      <c r="AM6" s="1"/>
    </row>
    <row r="7" spans="1:39" ht="15.6">
      <c r="A7" t="s">
        <v>160</v>
      </c>
      <c r="B7" t="s">
        <v>1</v>
      </c>
      <c r="C7" s="61">
        <f>'Curent Expected Cash Flow- 2025'!T4</f>
        <v>0.4</v>
      </c>
      <c r="D7" s="134">
        <f>'Curent Expected Cash Flow- 2025'!R4*'Curent Expected Cash Flow- 2025'!S4</f>
        <v>40000</v>
      </c>
      <c r="E7" s="134">
        <f>'Curent Expected Cash Flow- 2025'!AB4*'Curent Expected Cash Flow- 2025'!AC4</f>
        <v>40000</v>
      </c>
      <c r="F7" s="134">
        <f>'Curent Expected Cash Flow- 2025'!AL4*'Curent Expected Cash Flow- 2025'!AM4</f>
        <v>40000</v>
      </c>
      <c r="G7" s="134">
        <f>'Curent Expected Cash Flow- 2025'!AV4*'Curent Expected Cash Flow- 2025'!AW4</f>
        <v>20000</v>
      </c>
      <c r="H7" s="134">
        <f>'Curent Expected Cash Flow- 2025'!BF4*'Curent Expected Cash Flow- 2025'!BG4</f>
        <v>40000</v>
      </c>
      <c r="I7" s="134">
        <f>'Curent Expected Cash Flow- 2025'!BP4*'Curent Expected Cash Flow- 2025'!BQ4</f>
        <v>60000</v>
      </c>
      <c r="J7" s="134">
        <f>'Curent Expected Cash Flow- 2025'!BZ4*'Curent Expected Cash Flow- 2025'!CA4</f>
        <v>30000</v>
      </c>
      <c r="K7" s="135">
        <f>'Curent Expected Cash Flow- 2025'!CT4*'Curent Expected Cash Flow- 2025'!CU4</f>
        <v>30000</v>
      </c>
      <c r="L7" s="134">
        <f>'Curent Expected Cash Flow- 2025'!DD4*'Curent Expected Cash Flow- 2025'!DE4</f>
        <v>30000</v>
      </c>
      <c r="M7" s="134">
        <f>'Curent Expected Cash Flow- 2025'!DN4*'Curent Expected Cash Flow- 2025'!DO4</f>
        <v>30000</v>
      </c>
      <c r="N7" s="134">
        <f>'Curent Expected Cash Flow- 2025'!DX4*'Curent Expected Cash Flow- 2025'!DY4</f>
        <v>30000</v>
      </c>
      <c r="O7" s="134">
        <f>'Curent Expected Cash Flow- 2025'!EH4*'Curent Expected Cash Flow- 2025'!EI4</f>
        <v>30000</v>
      </c>
      <c r="P7" s="135"/>
      <c r="Q7" s="135">
        <f t="shared" ref="Q7:Q14" si="12">SUM(D7:P7)</f>
        <v>420000</v>
      </c>
      <c r="R7"/>
      <c r="S7"/>
      <c r="T7"/>
      <c r="U7" t="s">
        <v>160</v>
      </c>
      <c r="V7" t="s">
        <v>1</v>
      </c>
      <c r="W7" s="61"/>
      <c r="X7" s="142">
        <f t="shared" ref="X7:X14" si="13">D7*$C7</f>
        <v>16000</v>
      </c>
      <c r="Y7" s="142">
        <f t="shared" si="11"/>
        <v>16000</v>
      </c>
      <c r="Z7" s="142">
        <f t="shared" si="11"/>
        <v>16000</v>
      </c>
      <c r="AA7" s="142">
        <f t="shared" si="11"/>
        <v>8000</v>
      </c>
      <c r="AB7" s="142">
        <f t="shared" si="11"/>
        <v>16000</v>
      </c>
      <c r="AC7" s="142">
        <f t="shared" si="11"/>
        <v>24000</v>
      </c>
      <c r="AD7" s="142">
        <f t="shared" si="11"/>
        <v>12000</v>
      </c>
      <c r="AE7" s="142">
        <f t="shared" si="11"/>
        <v>12000</v>
      </c>
      <c r="AF7" s="142">
        <f t="shared" si="11"/>
        <v>12000</v>
      </c>
      <c r="AG7" s="142">
        <f t="shared" si="11"/>
        <v>12000</v>
      </c>
      <c r="AH7" s="142">
        <f t="shared" si="11"/>
        <v>12000</v>
      </c>
      <c r="AI7" s="142">
        <f t="shared" si="11"/>
        <v>12000</v>
      </c>
      <c r="AJ7" s="142"/>
      <c r="AK7" s="142">
        <f t="shared" ref="AK7:AK14" si="14">SUM(X7:AJ7)</f>
        <v>168000</v>
      </c>
      <c r="AL7"/>
      <c r="AM7" s="1"/>
    </row>
    <row r="8" spans="1:39" ht="15.6">
      <c r="A8" t="s">
        <v>168</v>
      </c>
      <c r="B8" t="s">
        <v>1</v>
      </c>
      <c r="C8" s="61">
        <f>'Curent Expected Cash Flow- 2025'!T5</f>
        <v>0.42</v>
      </c>
      <c r="D8" s="134">
        <f>'Curent Expected Cash Flow- 2025'!R5*'Curent Expected Cash Flow- 2025'!S5</f>
        <v>60000</v>
      </c>
      <c r="E8" s="134">
        <f>'Curent Expected Cash Flow- 2025'!AB5*'Curent Expected Cash Flow- 2025'!AC5</f>
        <v>60000</v>
      </c>
      <c r="F8" s="134">
        <f>'Curent Expected Cash Flow- 2025'!AL5*'Curent Expected Cash Flow- 2025'!AM5</f>
        <v>60000</v>
      </c>
      <c r="G8" s="134">
        <f>'Curent Expected Cash Flow- 2025'!AV5*'Curent Expected Cash Flow- 2025'!AW5</f>
        <v>60000</v>
      </c>
      <c r="H8" s="134">
        <f>'Curent Expected Cash Flow- 2025'!BF5*'Curent Expected Cash Flow- 2025'!BG5</f>
        <v>60000</v>
      </c>
      <c r="I8" s="134">
        <f>'Curent Expected Cash Flow- 2025'!BP5*'Curent Expected Cash Flow- 2025'!BQ5</f>
        <v>60000</v>
      </c>
      <c r="J8" s="134">
        <f>'Curent Expected Cash Flow- 2025'!BZ5*'Curent Expected Cash Flow- 2025'!CA5</f>
        <v>60000</v>
      </c>
      <c r="K8" s="135">
        <f>'Curent Expected Cash Flow- 2025'!CT5*'Curent Expected Cash Flow- 2025'!CU5</f>
        <v>60000</v>
      </c>
      <c r="L8" s="134">
        <f>'Curent Expected Cash Flow- 2025'!DD5*'Curent Expected Cash Flow- 2025'!DE5</f>
        <v>60000</v>
      </c>
      <c r="M8" s="134">
        <f>'Curent Expected Cash Flow- 2025'!DN5*'Curent Expected Cash Flow- 2025'!DO5</f>
        <v>60000</v>
      </c>
      <c r="N8" s="134">
        <f>'Curent Expected Cash Flow- 2025'!DX5*'Curent Expected Cash Flow- 2025'!DY5</f>
        <v>60000</v>
      </c>
      <c r="O8" s="134">
        <f>'Curent Expected Cash Flow- 2025'!EH5*'Curent Expected Cash Flow- 2025'!EI5</f>
        <v>60000</v>
      </c>
      <c r="P8" s="135"/>
      <c r="Q8" s="135">
        <f t="shared" si="12"/>
        <v>720000</v>
      </c>
      <c r="R8"/>
      <c r="S8"/>
      <c r="T8"/>
      <c r="U8" t="s">
        <v>168</v>
      </c>
      <c r="V8" t="s">
        <v>1</v>
      </c>
      <c r="W8" s="61"/>
      <c r="X8" s="142">
        <f t="shared" si="13"/>
        <v>25200</v>
      </c>
      <c r="Y8" s="142">
        <f t="shared" si="11"/>
        <v>25200</v>
      </c>
      <c r="Z8" s="142">
        <f t="shared" si="11"/>
        <v>25200</v>
      </c>
      <c r="AA8" s="142">
        <f t="shared" si="11"/>
        <v>25200</v>
      </c>
      <c r="AB8" s="142">
        <f t="shared" si="11"/>
        <v>25200</v>
      </c>
      <c r="AC8" s="142">
        <f t="shared" si="11"/>
        <v>25200</v>
      </c>
      <c r="AD8" s="142">
        <f t="shared" si="11"/>
        <v>25200</v>
      </c>
      <c r="AE8" s="142">
        <f t="shared" si="11"/>
        <v>25200</v>
      </c>
      <c r="AF8" s="142">
        <f t="shared" si="11"/>
        <v>25200</v>
      </c>
      <c r="AG8" s="142">
        <f t="shared" si="11"/>
        <v>25200</v>
      </c>
      <c r="AH8" s="142">
        <f t="shared" si="11"/>
        <v>25200</v>
      </c>
      <c r="AI8" s="142">
        <f t="shared" si="11"/>
        <v>25200</v>
      </c>
      <c r="AJ8" s="142"/>
      <c r="AK8" s="142">
        <f t="shared" si="14"/>
        <v>302400</v>
      </c>
      <c r="AL8"/>
      <c r="AM8" s="1"/>
    </row>
    <row r="9" spans="1:39" ht="15.6">
      <c r="A9" t="s">
        <v>161</v>
      </c>
      <c r="B9" t="s">
        <v>0</v>
      </c>
      <c r="C9" s="133">
        <f>'Curent Expected Cash Flow- 2025'!AD6</f>
        <v>0.6</v>
      </c>
      <c r="D9" s="134"/>
      <c r="E9" s="134">
        <f>'Curent Expected Cash Flow- 2025'!AB6*'Curent Expected Cash Flow- 2025'!AC6</f>
        <v>40000</v>
      </c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5"/>
      <c r="Q9" s="135">
        <f t="shared" si="12"/>
        <v>40000</v>
      </c>
      <c r="R9"/>
      <c r="S9"/>
      <c r="T9"/>
      <c r="U9" t="s">
        <v>161</v>
      </c>
      <c r="V9" t="s">
        <v>0</v>
      </c>
      <c r="W9" s="133"/>
      <c r="X9" s="142">
        <f t="shared" si="13"/>
        <v>0</v>
      </c>
      <c r="Y9" s="142">
        <f t="shared" si="11"/>
        <v>24000</v>
      </c>
      <c r="Z9" s="142">
        <f t="shared" si="11"/>
        <v>0</v>
      </c>
      <c r="AA9" s="142">
        <f t="shared" si="11"/>
        <v>0</v>
      </c>
      <c r="AB9" s="142">
        <f t="shared" si="11"/>
        <v>0</v>
      </c>
      <c r="AC9" s="142">
        <f t="shared" si="11"/>
        <v>0</v>
      </c>
      <c r="AD9" s="142">
        <f t="shared" si="11"/>
        <v>0</v>
      </c>
      <c r="AE9" s="142">
        <f t="shared" si="11"/>
        <v>0</v>
      </c>
      <c r="AF9" s="142">
        <f t="shared" si="11"/>
        <v>0</v>
      </c>
      <c r="AG9" s="142">
        <f t="shared" si="11"/>
        <v>0</v>
      </c>
      <c r="AH9" s="142">
        <f t="shared" si="11"/>
        <v>0</v>
      </c>
      <c r="AI9" s="142">
        <f t="shared" si="11"/>
        <v>0</v>
      </c>
      <c r="AJ9" s="142"/>
      <c r="AK9" s="142">
        <f t="shared" si="14"/>
        <v>24000</v>
      </c>
      <c r="AL9"/>
      <c r="AM9" s="1"/>
    </row>
    <row r="10" spans="1:39" ht="15.6">
      <c r="A10" t="s">
        <v>2</v>
      </c>
      <c r="B10" t="s">
        <v>0</v>
      </c>
      <c r="C10" s="61">
        <f>'Curent Expected Cash Flow- 2025'!T6</f>
        <v>0.5</v>
      </c>
      <c r="D10" s="134">
        <f>'Curent Expected Cash Flow- 2025'!R6*'Curent Expected Cash Flow- 2025'!S6</f>
        <v>80000</v>
      </c>
      <c r="E10" s="134">
        <f>'Curent Expected Cash Flow- 2025'!AB7*'Curent Expected Cash Flow- 2025'!AC7</f>
        <v>40000</v>
      </c>
      <c r="F10" s="134">
        <f>'Curent Expected Cash Flow- 2025'!AL6*'Curent Expected Cash Flow- 2025'!AM6</f>
        <v>80000</v>
      </c>
      <c r="G10" s="134">
        <f>'Curent Expected Cash Flow- 2025'!AV6*'Curent Expected Cash Flow- 2025'!AW6</f>
        <v>80000</v>
      </c>
      <c r="H10" s="134">
        <f>'Curent Expected Cash Flow- 2025'!BF6*'Curent Expected Cash Flow- 2025'!BG6</f>
        <v>80000</v>
      </c>
      <c r="I10" s="134">
        <f>'Curent Expected Cash Flow- 2025'!BP6*'Curent Expected Cash Flow- 2025'!BQ6</f>
        <v>80000</v>
      </c>
      <c r="J10" s="134">
        <f>'Curent Expected Cash Flow- 2025'!BZ6*'Curent Expected Cash Flow- 2025'!CA6</f>
        <v>80000</v>
      </c>
      <c r="K10" s="135">
        <f>'Curent Expected Cash Flow- 2025'!CT6*'Curent Expected Cash Flow- 2025'!CU6</f>
        <v>80000</v>
      </c>
      <c r="L10" s="134">
        <f>'Curent Expected Cash Flow- 2025'!DD6*'Curent Expected Cash Flow- 2025'!DE6</f>
        <v>80000</v>
      </c>
      <c r="M10" s="134">
        <f>'Curent Expected Cash Flow- 2025'!DN6*'Curent Expected Cash Flow- 2025'!DO6</f>
        <v>80000</v>
      </c>
      <c r="N10" s="134">
        <f>'Curent Expected Cash Flow- 2025'!DX6*'Curent Expected Cash Flow- 2025'!DY6</f>
        <v>80000</v>
      </c>
      <c r="O10" s="134">
        <f>'Curent Expected Cash Flow- 2025'!EH6*'Curent Expected Cash Flow- 2025'!EI6</f>
        <v>80000</v>
      </c>
      <c r="P10" s="135"/>
      <c r="Q10" s="135">
        <f t="shared" si="12"/>
        <v>920000</v>
      </c>
      <c r="R10"/>
      <c r="S10"/>
      <c r="T10"/>
      <c r="U10" t="s">
        <v>2</v>
      </c>
      <c r="V10" t="s">
        <v>0</v>
      </c>
      <c r="W10" s="61"/>
      <c r="X10" s="142">
        <f t="shared" si="13"/>
        <v>40000</v>
      </c>
      <c r="Y10" s="142">
        <f t="shared" si="11"/>
        <v>20000</v>
      </c>
      <c r="Z10" s="142">
        <f t="shared" si="11"/>
        <v>40000</v>
      </c>
      <c r="AA10" s="142">
        <f t="shared" si="11"/>
        <v>40000</v>
      </c>
      <c r="AB10" s="142">
        <f t="shared" si="11"/>
        <v>40000</v>
      </c>
      <c r="AC10" s="142">
        <f t="shared" si="11"/>
        <v>40000</v>
      </c>
      <c r="AD10" s="142">
        <f t="shared" si="11"/>
        <v>40000</v>
      </c>
      <c r="AE10" s="142">
        <f t="shared" si="11"/>
        <v>40000</v>
      </c>
      <c r="AF10" s="142">
        <f t="shared" si="11"/>
        <v>40000</v>
      </c>
      <c r="AG10" s="142">
        <f t="shared" si="11"/>
        <v>40000</v>
      </c>
      <c r="AH10" s="142">
        <f t="shared" si="11"/>
        <v>40000</v>
      </c>
      <c r="AI10" s="142">
        <f t="shared" si="11"/>
        <v>40000</v>
      </c>
      <c r="AJ10" s="142"/>
      <c r="AK10" s="142">
        <f t="shared" si="14"/>
        <v>460000</v>
      </c>
      <c r="AL10"/>
      <c r="AM10" s="1"/>
    </row>
    <row r="11" spans="1:39" ht="15.6">
      <c r="A11" t="s">
        <v>225</v>
      </c>
      <c r="B11" t="s">
        <v>1</v>
      </c>
      <c r="C11" s="61">
        <f>'Curent Expected Cash Flow- 2025'!T7</f>
        <v>0.4</v>
      </c>
      <c r="D11" s="134">
        <f>'Curent Expected Cash Flow- 2025'!R7*'Curent Expected Cash Flow- 2025'!S7</f>
        <v>30000</v>
      </c>
      <c r="E11" s="136"/>
      <c r="F11" s="134"/>
      <c r="G11" s="136"/>
      <c r="H11" s="136"/>
      <c r="I11" s="134"/>
      <c r="J11" s="134"/>
      <c r="K11" s="136"/>
      <c r="L11" s="136"/>
      <c r="M11" s="136"/>
      <c r="N11" s="136"/>
      <c r="O11" s="134"/>
      <c r="P11" s="135"/>
      <c r="Q11" s="135">
        <f t="shared" si="12"/>
        <v>30000</v>
      </c>
      <c r="R11"/>
      <c r="S11"/>
      <c r="T11"/>
      <c r="U11" t="s">
        <v>225</v>
      </c>
      <c r="V11" t="s">
        <v>1</v>
      </c>
      <c r="W11" s="61"/>
      <c r="X11" s="142">
        <f t="shared" si="13"/>
        <v>12000</v>
      </c>
      <c r="Y11" s="142">
        <f t="shared" si="11"/>
        <v>0</v>
      </c>
      <c r="Z11" s="142">
        <f t="shared" si="11"/>
        <v>0</v>
      </c>
      <c r="AA11" s="142">
        <f t="shared" si="11"/>
        <v>0</v>
      </c>
      <c r="AB11" s="142">
        <f t="shared" si="11"/>
        <v>0</v>
      </c>
      <c r="AC11" s="142">
        <f t="shared" si="11"/>
        <v>0</v>
      </c>
      <c r="AD11" s="142">
        <f t="shared" si="11"/>
        <v>0</v>
      </c>
      <c r="AE11" s="142">
        <f t="shared" si="11"/>
        <v>0</v>
      </c>
      <c r="AF11" s="142">
        <f t="shared" si="11"/>
        <v>0</v>
      </c>
      <c r="AG11" s="142">
        <f t="shared" si="11"/>
        <v>0</v>
      </c>
      <c r="AH11" s="142">
        <f t="shared" si="11"/>
        <v>0</v>
      </c>
      <c r="AI11" s="142">
        <f t="shared" si="11"/>
        <v>0</v>
      </c>
      <c r="AJ11" s="142"/>
      <c r="AK11" s="142">
        <f t="shared" si="14"/>
        <v>12000</v>
      </c>
      <c r="AL11"/>
      <c r="AM11" s="1"/>
    </row>
    <row r="12" spans="1:39" ht="15.6">
      <c r="A12" t="s">
        <v>67</v>
      </c>
      <c r="B12" s="1" t="s">
        <v>1</v>
      </c>
      <c r="C12" s="61">
        <f>'Curent Expected Cash Flow- 2025'!AD8</f>
        <v>0.35</v>
      </c>
      <c r="D12" s="134"/>
      <c r="E12" s="134">
        <f>'Curent Expected Cash Flow- 2025'!AB8*'Curent Expected Cash Flow- 2025'!AC8</f>
        <v>16000</v>
      </c>
      <c r="F12" s="137"/>
      <c r="G12" s="134">
        <f>'Curent Expected Cash Flow- 2025'!AV8*'Curent Expected Cash Flow- 2025'!AW8</f>
        <v>48000</v>
      </c>
      <c r="H12" s="134">
        <f>'Curent Expected Cash Flow- 2025'!BF7*'Curent Expected Cash Flow- 2025'!BG7</f>
        <v>16000</v>
      </c>
      <c r="I12" s="136"/>
      <c r="J12" s="134">
        <f>'Curent Expected Cash Flow- 2025'!BZ7*'Curent Expected Cash Flow- 2025'!CA7</f>
        <v>48000</v>
      </c>
      <c r="K12" s="135">
        <f>'Curent Expected Cash Flow- 2025'!CT7*'Curent Expected Cash Flow- 2025'!CU7</f>
        <v>48000</v>
      </c>
      <c r="L12" s="134">
        <f>'Curent Expected Cash Flow- 2025'!DD7*'Curent Expected Cash Flow- 2025'!DE7</f>
        <v>48000</v>
      </c>
      <c r="M12" s="134">
        <f>'Curent Expected Cash Flow- 2025'!DN7*'Curent Expected Cash Flow- 2025'!DO7</f>
        <v>48000</v>
      </c>
      <c r="N12" s="134">
        <f>'Curent Expected Cash Flow- 2025'!DX7*'Curent Expected Cash Flow- 2025'!DY7</f>
        <v>48000</v>
      </c>
      <c r="O12" s="134">
        <f>'Curent Expected Cash Flow- 2025'!EH7*'Curent Expected Cash Flow- 2025'!EI7</f>
        <v>48000</v>
      </c>
      <c r="P12" s="135"/>
      <c r="Q12" s="135">
        <f t="shared" si="12"/>
        <v>368000</v>
      </c>
      <c r="R12"/>
      <c r="S12"/>
      <c r="T12"/>
      <c r="U12" t="s">
        <v>67</v>
      </c>
      <c r="V12" s="1" t="s">
        <v>1</v>
      </c>
      <c r="W12" s="61"/>
      <c r="X12" s="142">
        <f t="shared" si="13"/>
        <v>0</v>
      </c>
      <c r="Y12" s="142">
        <f t="shared" si="11"/>
        <v>5600</v>
      </c>
      <c r="Z12" s="142">
        <f t="shared" si="11"/>
        <v>0</v>
      </c>
      <c r="AA12" s="142">
        <f t="shared" si="11"/>
        <v>16800</v>
      </c>
      <c r="AB12" s="142">
        <f t="shared" si="11"/>
        <v>5600</v>
      </c>
      <c r="AC12" s="142">
        <f t="shared" si="11"/>
        <v>0</v>
      </c>
      <c r="AD12" s="142">
        <f t="shared" si="11"/>
        <v>16800</v>
      </c>
      <c r="AE12" s="142">
        <f t="shared" si="11"/>
        <v>16800</v>
      </c>
      <c r="AF12" s="142">
        <f t="shared" si="11"/>
        <v>16800</v>
      </c>
      <c r="AG12" s="142">
        <f t="shared" si="11"/>
        <v>16800</v>
      </c>
      <c r="AH12" s="142">
        <f t="shared" si="11"/>
        <v>16800</v>
      </c>
      <c r="AI12" s="142">
        <f t="shared" si="11"/>
        <v>16800</v>
      </c>
      <c r="AJ12" s="142"/>
      <c r="AK12" s="142">
        <f t="shared" si="14"/>
        <v>128800</v>
      </c>
      <c r="AL12"/>
      <c r="AM12" s="1"/>
    </row>
    <row r="13" spans="1:39" ht="15.6">
      <c r="A13" s="1" t="s">
        <v>135</v>
      </c>
      <c r="B13" s="1" t="s">
        <v>1</v>
      </c>
      <c r="C13" s="61">
        <f>'Curent Expected Cash Flow- 2025'!BR8</f>
        <v>0.35</v>
      </c>
      <c r="D13" s="134"/>
      <c r="E13" s="134"/>
      <c r="F13" s="137"/>
      <c r="G13" s="134"/>
      <c r="H13" s="134"/>
      <c r="I13" s="134">
        <f>'Curent Expected Cash Flow- 2025'!BP8*'Curent Expected Cash Flow- 2025'!BQ8</f>
        <v>60000</v>
      </c>
      <c r="J13" s="134"/>
      <c r="K13" s="136"/>
      <c r="L13" s="134"/>
      <c r="M13" s="134"/>
      <c r="N13" s="134"/>
      <c r="O13" s="134"/>
      <c r="P13" s="137"/>
      <c r="Q13" s="135">
        <f t="shared" si="12"/>
        <v>60000</v>
      </c>
      <c r="R13"/>
      <c r="S13"/>
      <c r="T13"/>
      <c r="U13" s="1" t="s">
        <v>135</v>
      </c>
      <c r="V13" s="1" t="s">
        <v>1</v>
      </c>
      <c r="W13" s="61"/>
      <c r="X13" s="142">
        <f t="shared" si="13"/>
        <v>0</v>
      </c>
      <c r="Y13" s="142">
        <f t="shared" si="11"/>
        <v>0</v>
      </c>
      <c r="Z13" s="142">
        <f t="shared" si="11"/>
        <v>0</v>
      </c>
      <c r="AA13" s="142">
        <f t="shared" si="11"/>
        <v>0</v>
      </c>
      <c r="AB13" s="142">
        <f t="shared" si="11"/>
        <v>0</v>
      </c>
      <c r="AC13" s="142">
        <f t="shared" si="11"/>
        <v>21000</v>
      </c>
      <c r="AD13" s="142">
        <f t="shared" si="11"/>
        <v>0</v>
      </c>
      <c r="AE13" s="142">
        <f t="shared" si="11"/>
        <v>0</v>
      </c>
      <c r="AF13" s="142">
        <f t="shared" si="11"/>
        <v>0</v>
      </c>
      <c r="AG13" s="142">
        <f t="shared" si="11"/>
        <v>0</v>
      </c>
      <c r="AH13" s="142">
        <f t="shared" si="11"/>
        <v>0</v>
      </c>
      <c r="AI13" s="142">
        <f t="shared" si="11"/>
        <v>0</v>
      </c>
      <c r="AJ13" s="142"/>
      <c r="AK13" s="142">
        <f t="shared" si="14"/>
        <v>21000</v>
      </c>
      <c r="AL13"/>
      <c r="AM13" s="1"/>
    </row>
    <row r="14" spans="1:39" ht="15.6">
      <c r="A14" s="1" t="s">
        <v>134</v>
      </c>
      <c r="B14" s="1" t="s">
        <v>1</v>
      </c>
      <c r="C14" s="61">
        <f>'Curent Expected Cash Flow- 2025'!CB8</f>
        <v>0.4</v>
      </c>
      <c r="D14" s="134"/>
      <c r="E14" s="134"/>
      <c r="F14" s="137"/>
      <c r="G14" s="134"/>
      <c r="H14" s="134"/>
      <c r="I14" s="134"/>
      <c r="J14" s="134">
        <f>'Curent Expected Cash Flow- 2025'!BZ8*'Curent Expected Cash Flow- 2025'!CA8</f>
        <v>60000</v>
      </c>
      <c r="K14" s="135">
        <f>'Curent Expected Cash Flow- 2025'!CT8*'Curent Expected Cash Flow- 2025'!CU8</f>
        <v>60000</v>
      </c>
      <c r="L14" s="134"/>
      <c r="M14" s="134"/>
      <c r="N14" s="134"/>
      <c r="O14" s="137"/>
      <c r="P14" s="137"/>
      <c r="Q14" s="135">
        <f t="shared" si="12"/>
        <v>120000</v>
      </c>
      <c r="R14"/>
      <c r="S14"/>
      <c r="T14"/>
      <c r="U14" s="1" t="s">
        <v>134</v>
      </c>
      <c r="V14" s="1" t="s">
        <v>1</v>
      </c>
      <c r="W14" s="61"/>
      <c r="X14" s="142">
        <f t="shared" si="13"/>
        <v>0</v>
      </c>
      <c r="Y14" s="142">
        <f t="shared" si="11"/>
        <v>0</v>
      </c>
      <c r="Z14" s="142">
        <f t="shared" si="11"/>
        <v>0</v>
      </c>
      <c r="AA14" s="142">
        <f t="shared" si="11"/>
        <v>0</v>
      </c>
      <c r="AB14" s="142">
        <f t="shared" si="11"/>
        <v>0</v>
      </c>
      <c r="AC14" s="142">
        <f t="shared" si="11"/>
        <v>0</v>
      </c>
      <c r="AD14" s="142">
        <f t="shared" si="11"/>
        <v>24000</v>
      </c>
      <c r="AE14" s="142">
        <f t="shared" si="11"/>
        <v>24000</v>
      </c>
      <c r="AF14" s="142">
        <f t="shared" si="11"/>
        <v>0</v>
      </c>
      <c r="AG14" s="142">
        <f t="shared" si="11"/>
        <v>0</v>
      </c>
      <c r="AH14" s="142">
        <f t="shared" si="11"/>
        <v>0</v>
      </c>
      <c r="AI14" s="142">
        <f t="shared" si="11"/>
        <v>0</v>
      </c>
      <c r="AJ14" s="142"/>
      <c r="AK14" s="142">
        <f t="shared" si="14"/>
        <v>48000</v>
      </c>
      <c r="AL14"/>
      <c r="AM14" s="1"/>
    </row>
    <row r="15" spans="1:39" ht="15.6">
      <c r="A15"/>
      <c r="B15"/>
      <c r="C15" s="132"/>
      <c r="D15" s="132" t="s">
        <v>409</v>
      </c>
      <c r="E15" s="132" t="s">
        <v>409</v>
      </c>
      <c r="F15" s="132" t="s">
        <v>409</v>
      </c>
      <c r="G15" s="132" t="s">
        <v>409</v>
      </c>
      <c r="H15" s="132" t="s">
        <v>409</v>
      </c>
      <c r="I15" s="132" t="s">
        <v>409</v>
      </c>
      <c r="J15" s="132" t="s">
        <v>409</v>
      </c>
      <c r="K15" s="132" t="s">
        <v>409</v>
      </c>
      <c r="L15" s="132" t="s">
        <v>409</v>
      </c>
      <c r="M15" s="132" t="s">
        <v>409</v>
      </c>
      <c r="N15" s="132" t="s">
        <v>409</v>
      </c>
      <c r="O15" s="132" t="s">
        <v>409</v>
      </c>
      <c r="P15" s="63"/>
      <c r="Q15" s="132" t="s">
        <v>409</v>
      </c>
      <c r="R15"/>
      <c r="S15"/>
      <c r="T15" s="1"/>
      <c r="U15"/>
      <c r="V15"/>
      <c r="W15" s="132"/>
      <c r="X15" s="132" t="s">
        <v>409</v>
      </c>
      <c r="Y15" s="132" t="s">
        <v>409</v>
      </c>
      <c r="Z15" s="132" t="s">
        <v>409</v>
      </c>
      <c r="AA15" s="132" t="s">
        <v>409</v>
      </c>
      <c r="AB15" s="132" t="s">
        <v>409</v>
      </c>
      <c r="AC15" s="132" t="s">
        <v>409</v>
      </c>
      <c r="AD15" s="132" t="s">
        <v>409</v>
      </c>
      <c r="AE15" s="132" t="s">
        <v>409</v>
      </c>
      <c r="AF15" s="132" t="s">
        <v>409</v>
      </c>
      <c r="AG15" s="132" t="s">
        <v>409</v>
      </c>
      <c r="AH15" s="132" t="s">
        <v>409</v>
      </c>
      <c r="AI15" s="132" t="s">
        <v>409</v>
      </c>
      <c r="AJ15" s="63"/>
      <c r="AK15" s="132" t="s">
        <v>409</v>
      </c>
      <c r="AL15"/>
      <c r="AM15" s="1"/>
    </row>
    <row r="16" spans="1:39" ht="15.6">
      <c r="A16" t="s">
        <v>408</v>
      </c>
      <c r="B16"/>
      <c r="C16"/>
      <c r="D16">
        <f t="shared" ref="D16:F16" si="15">SUM(D5:D15)</f>
        <v>250000</v>
      </c>
      <c r="E16">
        <f t="shared" si="15"/>
        <v>216000</v>
      </c>
      <c r="F16">
        <f t="shared" si="15"/>
        <v>200000</v>
      </c>
      <c r="G16">
        <f t="shared" ref="G16" si="16">SUM(G5:G15)</f>
        <v>248000</v>
      </c>
      <c r="H16">
        <f t="shared" ref="H16" si="17">SUM(H5:H15)</f>
        <v>236000</v>
      </c>
      <c r="I16">
        <f t="shared" ref="I16:Q16" si="18">SUM(I5:I15)</f>
        <v>320000</v>
      </c>
      <c r="J16">
        <f t="shared" si="18"/>
        <v>338000</v>
      </c>
      <c r="K16">
        <f t="shared" si="18"/>
        <v>338000</v>
      </c>
      <c r="L16">
        <f t="shared" si="18"/>
        <v>278000</v>
      </c>
      <c r="M16">
        <f t="shared" si="18"/>
        <v>278000</v>
      </c>
      <c r="N16">
        <f t="shared" si="18"/>
        <v>278000</v>
      </c>
      <c r="O16">
        <f t="shared" si="18"/>
        <v>278000</v>
      </c>
      <c r="Q16">
        <f t="shared" si="18"/>
        <v>3258000</v>
      </c>
      <c r="U16" t="s">
        <v>408</v>
      </c>
      <c r="V16"/>
      <c r="W16"/>
      <c r="X16" s="142">
        <f t="shared" ref="X16:Z16" si="19">SUM(X5:X15)</f>
        <v>108400</v>
      </c>
      <c r="Y16" s="142">
        <f t="shared" si="19"/>
        <v>98400</v>
      </c>
      <c r="Z16" s="142">
        <f t="shared" si="19"/>
        <v>88800</v>
      </c>
      <c r="AA16" s="142">
        <f t="shared" ref="AA16:AI16" si="20">SUM(AA5:AA15)</f>
        <v>105200</v>
      </c>
      <c r="AB16" s="142">
        <f t="shared" si="20"/>
        <v>102000</v>
      </c>
      <c r="AC16" s="142">
        <f t="shared" si="20"/>
        <v>133000</v>
      </c>
      <c r="AD16" s="142">
        <f t="shared" si="20"/>
        <v>140800</v>
      </c>
      <c r="AE16" s="142">
        <f t="shared" si="20"/>
        <v>140800</v>
      </c>
      <c r="AF16" s="142">
        <f t="shared" si="20"/>
        <v>116800</v>
      </c>
      <c r="AG16" s="142">
        <f t="shared" si="20"/>
        <v>116800</v>
      </c>
      <c r="AH16" s="142">
        <f t="shared" si="20"/>
        <v>116800</v>
      </c>
      <c r="AI16" s="142">
        <f t="shared" si="20"/>
        <v>116800</v>
      </c>
      <c r="AJ16" s="142"/>
      <c r="AK16" s="142">
        <f t="shared" ref="AK16" si="21">SUM(AK5:AK15)</f>
        <v>1384600</v>
      </c>
    </row>
    <row r="18" spans="1:58" ht="15.6">
      <c r="B18" s="140" t="s">
        <v>413</v>
      </c>
      <c r="D18" s="130">
        <f>SUMIF($B$5:$B$15,$B18,D$5:D$15)</f>
        <v>80000</v>
      </c>
      <c r="E18" s="130">
        <f t="shared" ref="E18:O19" si="22">SUMIF($B$5:$B$15,$B18,E$5:E$15)</f>
        <v>80000</v>
      </c>
      <c r="F18" s="130">
        <f t="shared" si="22"/>
        <v>80000</v>
      </c>
      <c r="G18" s="130">
        <f t="shared" si="22"/>
        <v>80000</v>
      </c>
      <c r="H18" s="130">
        <f t="shared" si="22"/>
        <v>80000</v>
      </c>
      <c r="I18" s="130">
        <f t="shared" si="22"/>
        <v>80000</v>
      </c>
      <c r="J18" s="130">
        <f t="shared" si="22"/>
        <v>80000</v>
      </c>
      <c r="K18" s="130">
        <f t="shared" si="22"/>
        <v>80000</v>
      </c>
      <c r="L18" s="130">
        <f t="shared" si="22"/>
        <v>80000</v>
      </c>
      <c r="M18" s="130">
        <f t="shared" si="22"/>
        <v>80000</v>
      </c>
      <c r="N18" s="130">
        <f t="shared" si="22"/>
        <v>80000</v>
      </c>
      <c r="O18" s="130">
        <f t="shared" si="22"/>
        <v>80000</v>
      </c>
      <c r="Q18" s="135">
        <f t="shared" ref="Q18:Q19" si="23">SUM(D18:P18)</f>
        <v>960000</v>
      </c>
      <c r="V18" s="140" t="s">
        <v>413</v>
      </c>
      <c r="X18" s="142">
        <f>SUMIF($B$5:$B$15,$B18,X$5:X$15)</f>
        <v>40000</v>
      </c>
      <c r="Y18" s="142">
        <f t="shared" ref="Y18:AI19" si="24">SUMIF($B$5:$B$15,$B18,Y$5:Y$15)</f>
        <v>44000</v>
      </c>
      <c r="Z18" s="142">
        <f t="shared" si="24"/>
        <v>40000</v>
      </c>
      <c r="AA18" s="142">
        <f t="shared" si="24"/>
        <v>40000</v>
      </c>
      <c r="AB18" s="142">
        <f t="shared" si="24"/>
        <v>40000</v>
      </c>
      <c r="AC18" s="142">
        <f t="shared" si="24"/>
        <v>40000</v>
      </c>
      <c r="AD18" s="142">
        <f t="shared" si="24"/>
        <v>40000</v>
      </c>
      <c r="AE18" s="142">
        <f t="shared" si="24"/>
        <v>40000</v>
      </c>
      <c r="AF18" s="142">
        <f t="shared" si="24"/>
        <v>40000</v>
      </c>
      <c r="AG18" s="142">
        <f t="shared" si="24"/>
        <v>40000</v>
      </c>
      <c r="AH18" s="142">
        <f t="shared" si="24"/>
        <v>40000</v>
      </c>
      <c r="AI18" s="142">
        <f t="shared" si="24"/>
        <v>40000</v>
      </c>
      <c r="AJ18" s="142"/>
      <c r="AK18" s="142">
        <f t="shared" ref="AK18:AK19" si="25">SUM(X18:AJ18)</f>
        <v>484000</v>
      </c>
    </row>
    <row r="19" spans="1:58" ht="15.6">
      <c r="B19" s="140" t="s">
        <v>414</v>
      </c>
      <c r="D19" s="130">
        <f>SUMIF($B$5:$B$15,$B19,D$5:D$15)</f>
        <v>170000</v>
      </c>
      <c r="E19" s="130">
        <f t="shared" si="22"/>
        <v>136000</v>
      </c>
      <c r="F19" s="130">
        <f t="shared" si="22"/>
        <v>120000</v>
      </c>
      <c r="G19" s="130">
        <f t="shared" si="22"/>
        <v>168000</v>
      </c>
      <c r="H19" s="130">
        <f t="shared" si="22"/>
        <v>156000</v>
      </c>
      <c r="I19" s="130">
        <f t="shared" si="22"/>
        <v>240000</v>
      </c>
      <c r="J19" s="130">
        <f t="shared" si="22"/>
        <v>258000</v>
      </c>
      <c r="K19" s="130">
        <f t="shared" si="22"/>
        <v>258000</v>
      </c>
      <c r="L19" s="130">
        <f t="shared" si="22"/>
        <v>198000</v>
      </c>
      <c r="M19" s="130">
        <f t="shared" si="22"/>
        <v>198000</v>
      </c>
      <c r="N19" s="130">
        <f t="shared" si="22"/>
        <v>198000</v>
      </c>
      <c r="O19" s="130">
        <f t="shared" si="22"/>
        <v>198000</v>
      </c>
      <c r="Q19" s="135">
        <f t="shared" si="23"/>
        <v>2298000</v>
      </c>
      <c r="V19" s="140" t="s">
        <v>414</v>
      </c>
      <c r="X19" s="142">
        <f>SUMIF($B$5:$B$15,$B19,X$5:X$15)</f>
        <v>68400</v>
      </c>
      <c r="Y19" s="142">
        <f t="shared" si="24"/>
        <v>54400</v>
      </c>
      <c r="Z19" s="142">
        <f t="shared" si="24"/>
        <v>48800</v>
      </c>
      <c r="AA19" s="142">
        <f t="shared" si="24"/>
        <v>65200</v>
      </c>
      <c r="AB19" s="142">
        <f t="shared" si="24"/>
        <v>62000</v>
      </c>
      <c r="AC19" s="142">
        <f t="shared" si="24"/>
        <v>93000</v>
      </c>
      <c r="AD19" s="142">
        <f t="shared" si="24"/>
        <v>100800</v>
      </c>
      <c r="AE19" s="142">
        <f t="shared" si="24"/>
        <v>100800</v>
      </c>
      <c r="AF19" s="142">
        <f t="shared" si="24"/>
        <v>76800</v>
      </c>
      <c r="AG19" s="142">
        <f t="shared" si="24"/>
        <v>76800</v>
      </c>
      <c r="AH19" s="142">
        <f t="shared" si="24"/>
        <v>76800</v>
      </c>
      <c r="AI19" s="142">
        <f t="shared" si="24"/>
        <v>76800</v>
      </c>
      <c r="AJ19" s="142"/>
      <c r="AK19" s="142">
        <f t="shared" si="25"/>
        <v>900600</v>
      </c>
    </row>
    <row r="20" spans="1:58" ht="15.6">
      <c r="D20" s="132" t="s">
        <v>409</v>
      </c>
      <c r="E20" s="132" t="s">
        <v>409</v>
      </c>
      <c r="F20" s="132" t="s">
        <v>409</v>
      </c>
      <c r="G20" s="132" t="s">
        <v>409</v>
      </c>
      <c r="H20" s="132" t="s">
        <v>409</v>
      </c>
      <c r="I20" s="132" t="s">
        <v>409</v>
      </c>
      <c r="J20" s="132" t="s">
        <v>409</v>
      </c>
      <c r="K20" s="132" t="s">
        <v>409</v>
      </c>
      <c r="L20" s="132" t="s">
        <v>409</v>
      </c>
      <c r="M20" s="132" t="s">
        <v>409</v>
      </c>
      <c r="N20" s="132" t="s">
        <v>409</v>
      </c>
      <c r="O20" s="132" t="s">
        <v>409</v>
      </c>
      <c r="P20" s="63"/>
      <c r="Q20" s="132" t="s">
        <v>409</v>
      </c>
      <c r="X20" s="132" t="s">
        <v>409</v>
      </c>
      <c r="Y20" s="132" t="s">
        <v>409</v>
      </c>
      <c r="Z20" s="132" t="s">
        <v>409</v>
      </c>
      <c r="AA20" s="132" t="s">
        <v>409</v>
      </c>
      <c r="AB20" s="132" t="s">
        <v>409</v>
      </c>
      <c r="AC20" s="132" t="s">
        <v>409</v>
      </c>
      <c r="AD20" s="132" t="s">
        <v>409</v>
      </c>
      <c r="AE20" s="132" t="s">
        <v>409</v>
      </c>
      <c r="AF20" s="132" t="s">
        <v>409</v>
      </c>
      <c r="AG20" s="132" t="s">
        <v>409</v>
      </c>
      <c r="AH20" s="132" t="s">
        <v>409</v>
      </c>
      <c r="AI20" s="132" t="s">
        <v>409</v>
      </c>
      <c r="AJ20" s="63"/>
      <c r="AK20" s="132" t="s">
        <v>409</v>
      </c>
    </row>
    <row r="21" spans="1:58" ht="15.6">
      <c r="D21" s="130">
        <f>SUM(D18:D20)</f>
        <v>250000</v>
      </c>
      <c r="E21" s="130">
        <f t="shared" ref="E21:Q21" si="26">SUM(E18:E20)</f>
        <v>216000</v>
      </c>
      <c r="F21" s="130">
        <f t="shared" si="26"/>
        <v>200000</v>
      </c>
      <c r="G21" s="130">
        <f t="shared" si="26"/>
        <v>248000</v>
      </c>
      <c r="H21" s="130">
        <f t="shared" si="26"/>
        <v>236000</v>
      </c>
      <c r="I21" s="130">
        <f t="shared" si="26"/>
        <v>320000</v>
      </c>
      <c r="J21" s="130">
        <f t="shared" si="26"/>
        <v>338000</v>
      </c>
      <c r="K21" s="130">
        <f t="shared" si="26"/>
        <v>338000</v>
      </c>
      <c r="L21" s="130">
        <f t="shared" si="26"/>
        <v>278000</v>
      </c>
      <c r="M21" s="130">
        <f t="shared" si="26"/>
        <v>278000</v>
      </c>
      <c r="N21" s="130">
        <f t="shared" si="26"/>
        <v>278000</v>
      </c>
      <c r="O21" s="130">
        <f t="shared" si="26"/>
        <v>278000</v>
      </c>
      <c r="Q21" s="130">
        <f t="shared" si="26"/>
        <v>3258000</v>
      </c>
      <c r="X21" s="142">
        <f>SUM(X18:X20)</f>
        <v>108400</v>
      </c>
      <c r="Y21" s="142">
        <f t="shared" ref="Y21" si="27">SUM(Y18:Y20)</f>
        <v>98400</v>
      </c>
      <c r="Z21" s="142">
        <f t="shared" ref="Z21" si="28">SUM(Z18:Z20)</f>
        <v>88800</v>
      </c>
      <c r="AA21" s="142">
        <f t="shared" ref="AA21" si="29">SUM(AA18:AA20)</f>
        <v>105200</v>
      </c>
      <c r="AB21" s="142">
        <f t="shared" ref="AB21" si="30">SUM(AB18:AB20)</f>
        <v>102000</v>
      </c>
      <c r="AC21" s="142">
        <f t="shared" ref="AC21" si="31">SUM(AC18:AC20)</f>
        <v>133000</v>
      </c>
      <c r="AD21" s="142">
        <f t="shared" ref="AD21" si="32">SUM(AD18:AD20)</f>
        <v>140800</v>
      </c>
      <c r="AE21" s="142">
        <f t="shared" ref="AE21" si="33">SUM(AE18:AE20)</f>
        <v>140800</v>
      </c>
      <c r="AF21" s="142">
        <f t="shared" ref="AF21" si="34">SUM(AF18:AF20)</f>
        <v>116800</v>
      </c>
      <c r="AG21" s="142">
        <f t="shared" ref="AG21" si="35">SUM(AG18:AG20)</f>
        <v>116800</v>
      </c>
      <c r="AH21" s="142">
        <f t="shared" ref="AH21" si="36">SUM(AH18:AH20)</f>
        <v>116800</v>
      </c>
      <c r="AI21" s="142">
        <f t="shared" ref="AI21" si="37">SUM(AI18:AI20)</f>
        <v>116800</v>
      </c>
      <c r="AJ21" s="142"/>
      <c r="AK21" s="142">
        <f t="shared" ref="AK21" si="38">SUM(AK18:AK20)</f>
        <v>1384600</v>
      </c>
    </row>
    <row r="24" spans="1:58" ht="15.6">
      <c r="A24" s="130" t="s">
        <v>410</v>
      </c>
      <c r="C24" s="138" t="s">
        <v>411</v>
      </c>
      <c r="Q24" s="141" t="s">
        <v>408</v>
      </c>
      <c r="T24" s="1"/>
      <c r="U24" s="140" t="s">
        <v>418</v>
      </c>
      <c r="W24" s="138"/>
      <c r="AK24" s="141" t="s">
        <v>408</v>
      </c>
      <c r="AL24" s="1"/>
      <c r="AM24" s="1"/>
      <c r="AN24" s="1"/>
      <c r="AO24" s="1"/>
      <c r="AP24" s="1"/>
      <c r="AQ24" s="1"/>
    </row>
    <row r="25" spans="1:58" ht="15.6">
      <c r="A25" s="1" t="s">
        <v>212</v>
      </c>
      <c r="B25" s="1" t="s">
        <v>0</v>
      </c>
      <c r="C25" s="133">
        <f>'Curent Expected Cash Flow- 2025'!AY12/('Curent Expected Cash Flow- 2025'!AW12*'Curent Expected Cash Flow- 2025'!AV12)</f>
        <v>5.5</v>
      </c>
      <c r="D25">
        <f>'Curent Expected Cash Flow- 2025'!R11*'Curent Expected Cash Flow- 2025'!S11</f>
        <v>400</v>
      </c>
      <c r="E25">
        <f>'Curent Expected Cash Flow- 2025'!AB12*'Curent Expected Cash Flow- 2025'!AC12</f>
        <v>2400</v>
      </c>
      <c r="F25">
        <f>'Curent Expected Cash Flow- 2025'!AL11*'Curent Expected Cash Flow- 2025'!AM11</f>
        <v>400</v>
      </c>
      <c r="G25">
        <f>'Curent Expected Cash Flow- 2025'!AV12*'Curent Expected Cash Flow- 2025'!AW12</f>
        <v>2400</v>
      </c>
      <c r="H25">
        <f>'Curent Expected Cash Flow- 2025'!BF12*'Curent Expected Cash Flow- 2025'!BG12</f>
        <v>400</v>
      </c>
      <c r="I25" s="1">
        <f>'Curent Expected Cash Flow- 2025'!BP12*'Curent Expected Cash Flow- 2025'!BQ12</f>
        <v>2400</v>
      </c>
      <c r="J25">
        <f>'Curent Expected Cash Flow- 2025'!BZ13*'Curent Expected Cash Flow- 2025'!CA13</f>
        <v>400</v>
      </c>
      <c r="K25" s="1">
        <f>'Curent Expected Cash Flow- 2025'!CT13*'Curent Expected Cash Flow- 2025'!CU13</f>
        <v>400</v>
      </c>
      <c r="L25" s="1">
        <f>'Curent Expected Cash Flow- 2025'!DD12*'Curent Expected Cash Flow- 2025'!DE12</f>
        <v>400</v>
      </c>
      <c r="M25">
        <f>'Curent Expected Cash Flow- 2025'!DN13*'Curent Expected Cash Flow- 2025'!DO13</f>
        <v>400</v>
      </c>
      <c r="N25" s="1">
        <f>'Curent Expected Cash Flow- 2025'!DX13*'Curent Expected Cash Flow- 2025'!DY13</f>
        <v>400</v>
      </c>
      <c r="O25">
        <f>'Curent Expected Cash Flow- 2025'!EH13*'Curent Expected Cash Flow- 2025'!EI13</f>
        <v>400</v>
      </c>
      <c r="P25" s="1"/>
      <c r="Q25" s="135">
        <f t="shared" ref="Q25:Q33" si="39">SUM(D25:P25)</f>
        <v>10800</v>
      </c>
      <c r="T25" s="1"/>
      <c r="U25" s="1" t="s">
        <v>212</v>
      </c>
      <c r="V25" s="1" t="s">
        <v>0</v>
      </c>
      <c r="W25" s="133"/>
      <c r="X25" s="142">
        <f t="shared" ref="X25" si="40">D25*$C25</f>
        <v>2200</v>
      </c>
      <c r="Y25" s="142">
        <f t="shared" ref="Y25" si="41">E25*$C25</f>
        <v>13200</v>
      </c>
      <c r="Z25" s="142">
        <f t="shared" ref="Z25" si="42">F25*$C25</f>
        <v>2200</v>
      </c>
      <c r="AA25" s="142">
        <f t="shared" ref="AA25" si="43">G25*$C25</f>
        <v>13200</v>
      </c>
      <c r="AB25" s="142">
        <f t="shared" ref="AB25" si="44">H25*$C25</f>
        <v>2200</v>
      </c>
      <c r="AC25" s="142">
        <f t="shared" ref="AC25" si="45">I25*$C25</f>
        <v>13200</v>
      </c>
      <c r="AD25" s="142">
        <f t="shared" ref="AD25" si="46">J25*$C25</f>
        <v>2200</v>
      </c>
      <c r="AE25" s="142">
        <f t="shared" ref="AE25" si="47">K25*$C25</f>
        <v>2200</v>
      </c>
      <c r="AF25" s="142">
        <f t="shared" ref="AF25" si="48">L25*$C25</f>
        <v>2200</v>
      </c>
      <c r="AG25" s="142">
        <f t="shared" ref="AG25" si="49">M25*$C25</f>
        <v>2200</v>
      </c>
      <c r="AH25" s="142">
        <f t="shared" ref="AH25" si="50">N25*$C25</f>
        <v>2200</v>
      </c>
      <c r="AI25" s="142">
        <f t="shared" ref="AI25" si="51">O25*$C25</f>
        <v>2200</v>
      </c>
      <c r="AJ25" s="142"/>
      <c r="AK25" s="142">
        <f t="shared" ref="AK25" si="52">Q25*$C25</f>
        <v>59400</v>
      </c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</row>
    <row r="26" spans="1:58" ht="15.6">
      <c r="A26" s="1" t="s">
        <v>252</v>
      </c>
      <c r="B26" s="1" t="s">
        <v>0</v>
      </c>
      <c r="C26" s="133">
        <f>'Curent Expected Cash Flow- 2025'!U12/('Curent Expected Cash Flow- 2025'!R12*'Curent Expected Cash Flow- 2025'!S12)</f>
        <v>13.5</v>
      </c>
      <c r="D26">
        <f>'Curent Expected Cash Flow- 2025'!R12*'Curent Expected Cash Flow- 2025'!S12</f>
        <v>2000</v>
      </c>
      <c r="E26">
        <f>'Curent Expected Cash Flow- 2025'!AB13*'Curent Expected Cash Flow- 2025'!AC13</f>
        <v>800</v>
      </c>
      <c r="F26">
        <f>'Curent Expected Cash Flow- 2025'!AL12*'Curent Expected Cash Flow- 2025'!AM12</f>
        <v>6000</v>
      </c>
      <c r="G26">
        <f>'Curent Expected Cash Flow- 2025'!AV13*'Curent Expected Cash Flow- 2025'!AW13</f>
        <v>2000</v>
      </c>
      <c r="H26">
        <f>'Curent Expected Cash Flow- 2025'!BF13*'Curent Expected Cash Flow- 2025'!BG13</f>
        <v>4000</v>
      </c>
      <c r="I26" s="1">
        <f>'Curent Expected Cash Flow- 2025'!BP13*'Curent Expected Cash Flow- 2025'!BQ13</f>
        <v>4000</v>
      </c>
      <c r="J26">
        <f>'Curent Expected Cash Flow- 2025'!BZ14*'Curent Expected Cash Flow- 2025'!CA14</f>
        <v>4000</v>
      </c>
      <c r="K26" s="1">
        <f>'Curent Expected Cash Flow- 2025'!CT14*'Curent Expected Cash Flow- 2025'!CU14</f>
        <v>4000</v>
      </c>
      <c r="L26" s="1">
        <f>'Curent Expected Cash Flow- 2025'!DD13*'Curent Expected Cash Flow- 2025'!DE13</f>
        <v>4000</v>
      </c>
      <c r="M26">
        <f>'Curent Expected Cash Flow- 2025'!DN14*'Curent Expected Cash Flow- 2025'!DO14</f>
        <v>4000</v>
      </c>
      <c r="N26" s="1">
        <f>'Curent Expected Cash Flow- 2025'!DX14*'Curent Expected Cash Flow- 2025'!DY14</f>
        <v>4000</v>
      </c>
      <c r="O26">
        <f>'Curent Expected Cash Flow- 2025'!EH14*'Curent Expected Cash Flow- 2025'!EI14</f>
        <v>4000</v>
      </c>
      <c r="P26" s="1"/>
      <c r="Q26" s="135">
        <f t="shared" si="39"/>
        <v>42800</v>
      </c>
      <c r="T26" s="1"/>
      <c r="U26" s="1" t="s">
        <v>252</v>
      </c>
      <c r="V26" s="1" t="s">
        <v>0</v>
      </c>
      <c r="W26" s="133"/>
      <c r="X26" s="142">
        <f t="shared" ref="X26:X32" si="53">D26*$C26</f>
        <v>27000</v>
      </c>
      <c r="Y26" s="142">
        <f t="shared" ref="Y26:Y32" si="54">E26*$C26</f>
        <v>10800</v>
      </c>
      <c r="Z26" s="142">
        <f t="shared" ref="Z26:Z32" si="55">F26*$C26</f>
        <v>81000</v>
      </c>
      <c r="AA26" s="142">
        <f t="shared" ref="AA26:AA32" si="56">G26*$C26</f>
        <v>27000</v>
      </c>
      <c r="AB26" s="142">
        <f t="shared" ref="AB26:AB32" si="57">H26*$C26</f>
        <v>54000</v>
      </c>
      <c r="AC26" s="142">
        <f t="shared" ref="AC26:AC32" si="58">I26*$C26</f>
        <v>54000</v>
      </c>
      <c r="AD26" s="142">
        <f t="shared" ref="AD26:AD32" si="59">J26*$C26</f>
        <v>54000</v>
      </c>
      <c r="AE26" s="142">
        <f t="shared" ref="AE26:AE32" si="60">K26*$C26</f>
        <v>54000</v>
      </c>
      <c r="AF26" s="142">
        <f t="shared" ref="AF26:AF32" si="61">L26*$C26</f>
        <v>54000</v>
      </c>
      <c r="AG26" s="142">
        <f t="shared" ref="AG26:AG32" si="62">M26*$C26</f>
        <v>54000</v>
      </c>
      <c r="AH26" s="142">
        <f t="shared" ref="AH26:AH32" si="63">N26*$C26</f>
        <v>54000</v>
      </c>
      <c r="AI26" s="142">
        <f t="shared" ref="AI26:AI32" si="64">O26*$C26</f>
        <v>54000</v>
      </c>
      <c r="AJ26" s="142"/>
      <c r="AK26" s="142">
        <f t="shared" ref="AK26:AK32" si="65">Q26*$C26</f>
        <v>577800</v>
      </c>
      <c r="AL26" s="1"/>
      <c r="AM26" s="1"/>
      <c r="AN26" s="1"/>
      <c r="AO26" s="1"/>
      <c r="AP26" s="1"/>
      <c r="AQ26" s="1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</row>
    <row r="27" spans="1:58" ht="15.6">
      <c r="A27" s="1" t="s">
        <v>66</v>
      </c>
      <c r="B27" s="1" t="s">
        <v>1</v>
      </c>
      <c r="C27" s="133">
        <f>'Curent Expected Cash Flow- 2025'!U13/('Curent Expected Cash Flow- 2025'!R13*'Curent Expected Cash Flow- 2025'!S13)</f>
        <v>0.6333333333333333</v>
      </c>
      <c r="D27">
        <f>'Curent Expected Cash Flow- 2025'!R13*'Curent Expected Cash Flow- 2025'!S13</f>
        <v>30000</v>
      </c>
      <c r="F27">
        <f>'Curent Expected Cash Flow- 2025'!AL13*'Curent Expected Cash Flow- 2025'!AM13</f>
        <v>30000</v>
      </c>
      <c r="I27" s="130">
        <f>'Curent Expected Cash Flow- 2025'!BP18*'Curent Expected Cash Flow- 2025'!BQ18</f>
        <v>30000</v>
      </c>
      <c r="P27" s="1"/>
      <c r="Q27" s="135">
        <f t="shared" si="39"/>
        <v>90000</v>
      </c>
      <c r="U27" s="1" t="s">
        <v>66</v>
      </c>
      <c r="V27" s="1" t="s">
        <v>1</v>
      </c>
      <c r="W27" s="133"/>
      <c r="X27" s="142">
        <f t="shared" si="53"/>
        <v>19000</v>
      </c>
      <c r="Y27" s="142">
        <f t="shared" si="54"/>
        <v>0</v>
      </c>
      <c r="Z27" s="142">
        <f t="shared" si="55"/>
        <v>19000</v>
      </c>
      <c r="AA27" s="142">
        <f t="shared" si="56"/>
        <v>0</v>
      </c>
      <c r="AB27" s="142">
        <f t="shared" si="57"/>
        <v>0</v>
      </c>
      <c r="AC27" s="142">
        <f t="shared" si="58"/>
        <v>19000</v>
      </c>
      <c r="AD27" s="142">
        <f t="shared" si="59"/>
        <v>0</v>
      </c>
      <c r="AE27" s="142">
        <f t="shared" si="60"/>
        <v>0</v>
      </c>
      <c r="AF27" s="142">
        <f t="shared" si="61"/>
        <v>0</v>
      </c>
      <c r="AG27" s="142">
        <f t="shared" si="62"/>
        <v>0</v>
      </c>
      <c r="AH27" s="142">
        <f t="shared" si="63"/>
        <v>0</v>
      </c>
      <c r="AI27" s="142">
        <f t="shared" si="64"/>
        <v>0</v>
      </c>
      <c r="AJ27" s="142"/>
      <c r="AK27" s="142">
        <f t="shared" si="65"/>
        <v>57000</v>
      </c>
      <c r="AL27" s="1"/>
      <c r="AM27" s="1"/>
      <c r="AN27" s="1"/>
      <c r="AO27" s="1"/>
      <c r="AP27" s="1"/>
      <c r="AQ27" s="1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</row>
    <row r="28" spans="1:58" ht="15.6">
      <c r="A28" s="1" t="s">
        <v>249</v>
      </c>
      <c r="B28" s="1" t="s">
        <v>250</v>
      </c>
      <c r="C28" s="133">
        <f>'Curent Expected Cash Flow- 2025'!AO14/('Curent Expected Cash Flow- 2025'!AL14*'Curent Expected Cash Flow- 2025'!AM14)</f>
        <v>0.5</v>
      </c>
      <c r="D28"/>
      <c r="F28">
        <f>'Curent Expected Cash Flow- 2025'!AL14*'Curent Expected Cash Flow- 2025'!AM14</f>
        <v>30000</v>
      </c>
      <c r="G28">
        <f>'Curent Expected Cash Flow- 2025'!AV14*'Curent Expected Cash Flow- 2025'!AW14</f>
        <v>30000</v>
      </c>
      <c r="H28">
        <f>'Curent Expected Cash Flow- 2025'!BF15*'Curent Expected Cash Flow- 2025'!BG15</f>
        <v>30000</v>
      </c>
      <c r="I28" s="1">
        <f>'Curent Expected Cash Flow- 2025'!BP14*'Curent Expected Cash Flow- 2025'!BQ14</f>
        <v>30000</v>
      </c>
      <c r="J28">
        <f>'Curent Expected Cash Flow- 2025'!BZ15*'Curent Expected Cash Flow- 2025'!CA15</f>
        <v>30000</v>
      </c>
      <c r="K28" s="1">
        <f>'Curent Expected Cash Flow- 2025'!CT15*'Curent Expected Cash Flow- 2025'!CU15</f>
        <v>30000</v>
      </c>
      <c r="L28" s="1">
        <f>'Curent Expected Cash Flow- 2025'!DD14*'Curent Expected Cash Flow- 2025'!DE14</f>
        <v>30000</v>
      </c>
      <c r="M28">
        <f>'Curent Expected Cash Flow- 2025'!DN15*'Curent Expected Cash Flow- 2025'!DO15</f>
        <v>30000</v>
      </c>
      <c r="N28" s="1">
        <f>'Curent Expected Cash Flow- 2025'!DX15*'Curent Expected Cash Flow- 2025'!DY15</f>
        <v>30000</v>
      </c>
      <c r="O28">
        <f>'Curent Expected Cash Flow- 2025'!EH15*'Curent Expected Cash Flow- 2025'!EI15</f>
        <v>30000</v>
      </c>
      <c r="P28" s="1"/>
      <c r="Q28" s="135">
        <f t="shared" si="39"/>
        <v>300000</v>
      </c>
      <c r="T28" s="1"/>
      <c r="U28" s="1" t="s">
        <v>249</v>
      </c>
      <c r="V28" s="1" t="s">
        <v>250</v>
      </c>
      <c r="W28" s="133"/>
      <c r="X28" s="142">
        <f t="shared" si="53"/>
        <v>0</v>
      </c>
      <c r="Y28" s="142">
        <f t="shared" si="54"/>
        <v>0</v>
      </c>
      <c r="Z28" s="142">
        <f t="shared" si="55"/>
        <v>15000</v>
      </c>
      <c r="AA28" s="142">
        <f t="shared" si="56"/>
        <v>15000</v>
      </c>
      <c r="AB28" s="142">
        <f t="shared" si="57"/>
        <v>15000</v>
      </c>
      <c r="AC28" s="142">
        <f t="shared" si="58"/>
        <v>15000</v>
      </c>
      <c r="AD28" s="142">
        <f t="shared" si="59"/>
        <v>15000</v>
      </c>
      <c r="AE28" s="142">
        <f t="shared" si="60"/>
        <v>15000</v>
      </c>
      <c r="AF28" s="142">
        <f t="shared" si="61"/>
        <v>15000</v>
      </c>
      <c r="AG28" s="142">
        <f t="shared" si="62"/>
        <v>15000</v>
      </c>
      <c r="AH28" s="142">
        <f t="shared" si="63"/>
        <v>15000</v>
      </c>
      <c r="AI28" s="142">
        <f t="shared" si="64"/>
        <v>15000</v>
      </c>
      <c r="AJ28" s="142"/>
      <c r="AK28" s="142">
        <f t="shared" si="65"/>
        <v>150000</v>
      </c>
      <c r="AL28" s="1"/>
      <c r="AM28" s="1"/>
      <c r="AN28" s="1"/>
      <c r="AO28" s="1"/>
      <c r="AP28" s="1"/>
      <c r="AQ28" s="1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</row>
    <row r="29" spans="1:58" ht="15.6">
      <c r="A29" s="1" t="s">
        <v>262</v>
      </c>
      <c r="B29" s="1" t="s">
        <v>263</v>
      </c>
      <c r="C29" s="133">
        <f>'Curent Expected Cash Flow- 2025'!AO15/('Curent Expected Cash Flow- 2025'!AL15*'Curent Expected Cash Flow- 2025'!AM15)</f>
        <v>6</v>
      </c>
      <c r="E29">
        <f>'Curent Expected Cash Flow- 2025'!AB14*'Curent Expected Cash Flow- 2025'!AC14</f>
        <v>1600</v>
      </c>
      <c r="F29">
        <f>'Curent Expected Cash Flow- 2025'!AL15*'Curent Expected Cash Flow- 2025'!AM15</f>
        <v>1800</v>
      </c>
      <c r="G29">
        <f>'Curent Expected Cash Flow- 2025'!AV15*'Curent Expected Cash Flow- 2025'!AW15</f>
        <v>1800</v>
      </c>
      <c r="H29">
        <f>'Curent Expected Cash Flow- 2025'!BF14*'Curent Expected Cash Flow- 2025'!BG14</f>
        <v>2000</v>
      </c>
      <c r="I29" s="1"/>
      <c r="J29">
        <f>'Curent Expected Cash Flow- 2025'!BZ16*'Curent Expected Cash Flow- 2025'!CA16</f>
        <v>4000</v>
      </c>
      <c r="K29" s="1">
        <f>'Curent Expected Cash Flow- 2025'!CT16*'Curent Expected Cash Flow- 2025'!CU16</f>
        <v>4000</v>
      </c>
      <c r="L29" s="1">
        <f>'Curent Expected Cash Flow- 2025'!DD15*'Curent Expected Cash Flow- 2025'!DE15</f>
        <v>4000</v>
      </c>
      <c r="M29">
        <f>'Curent Expected Cash Flow- 2025'!DN16*'Curent Expected Cash Flow- 2025'!DO16</f>
        <v>4000</v>
      </c>
      <c r="N29" s="1">
        <f>'Curent Expected Cash Flow- 2025'!DX16*'Curent Expected Cash Flow- 2025'!DY16</f>
        <v>4000</v>
      </c>
      <c r="O29">
        <f>'Curent Expected Cash Flow- 2025'!EH16*'Curent Expected Cash Flow- 2025'!EI16</f>
        <v>4000</v>
      </c>
      <c r="P29" s="1"/>
      <c r="Q29" s="135">
        <f t="shared" si="39"/>
        <v>31200</v>
      </c>
      <c r="T29" s="1"/>
      <c r="U29" s="1" t="s">
        <v>262</v>
      </c>
      <c r="V29" s="1" t="s">
        <v>263</v>
      </c>
      <c r="W29" s="133"/>
      <c r="X29" s="142">
        <f t="shared" si="53"/>
        <v>0</v>
      </c>
      <c r="Y29" s="142">
        <f t="shared" si="54"/>
        <v>9600</v>
      </c>
      <c r="Z29" s="142">
        <f t="shared" si="55"/>
        <v>10800</v>
      </c>
      <c r="AA29" s="142">
        <f t="shared" si="56"/>
        <v>10800</v>
      </c>
      <c r="AB29" s="142">
        <f t="shared" si="57"/>
        <v>12000</v>
      </c>
      <c r="AC29" s="142">
        <f t="shared" si="58"/>
        <v>0</v>
      </c>
      <c r="AD29" s="142">
        <f t="shared" si="59"/>
        <v>24000</v>
      </c>
      <c r="AE29" s="142">
        <f t="shared" si="60"/>
        <v>24000</v>
      </c>
      <c r="AF29" s="142">
        <f t="shared" si="61"/>
        <v>24000</v>
      </c>
      <c r="AG29" s="142">
        <f t="shared" si="62"/>
        <v>24000</v>
      </c>
      <c r="AH29" s="142">
        <f t="shared" si="63"/>
        <v>24000</v>
      </c>
      <c r="AI29" s="142">
        <f t="shared" si="64"/>
        <v>24000</v>
      </c>
      <c r="AJ29" s="142"/>
      <c r="AK29" s="142">
        <f t="shared" si="65"/>
        <v>187200</v>
      </c>
      <c r="AL29" s="1"/>
      <c r="AM29" s="1"/>
      <c r="AN29" s="1"/>
      <c r="AO29" s="1"/>
      <c r="AP29" s="1"/>
      <c r="AQ29" s="1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</row>
    <row r="30" spans="1:58" ht="15.6">
      <c r="A30" s="1" t="s">
        <v>264</v>
      </c>
      <c r="B30" s="1" t="s">
        <v>0</v>
      </c>
      <c r="C30" s="133">
        <f>'Curent Expected Cash Flow- 2025'!AO16/('Curent Expected Cash Flow- 2025'!AL16*'Curent Expected Cash Flow- 2025'!AM16)</f>
        <v>14</v>
      </c>
      <c r="E30">
        <f>'Curent Expected Cash Flow- 2025'!AB16*'Curent Expected Cash Flow- 2025'!AC16</f>
        <v>150</v>
      </c>
      <c r="F30">
        <f>'Curent Expected Cash Flow- 2025'!AL16*'Curent Expected Cash Flow- 2025'!AM16</f>
        <v>450</v>
      </c>
      <c r="G30">
        <f>'Curent Expected Cash Flow- 2025'!AV16*'Curent Expected Cash Flow- 2025'!AW16</f>
        <v>200</v>
      </c>
      <c r="H30">
        <f>'Curent Expected Cash Flow- 2025'!BF16*'Curent Expected Cash Flow- 2025'!BG16</f>
        <v>250</v>
      </c>
      <c r="I30" s="1"/>
      <c r="J30">
        <f>'Curent Expected Cash Flow- 2025'!BZ17*'Curent Expected Cash Flow- 2025'!CA17</f>
        <v>250</v>
      </c>
      <c r="K30" s="1">
        <f>'Curent Expected Cash Flow- 2025'!CT17*'Curent Expected Cash Flow- 2025'!CU17</f>
        <v>250</v>
      </c>
      <c r="L30" s="1">
        <f>'Curent Expected Cash Flow- 2025'!DD16*'Curent Expected Cash Flow- 2025'!DE16</f>
        <v>250</v>
      </c>
      <c r="M30">
        <f>'Curent Expected Cash Flow- 2025'!DN17*'Curent Expected Cash Flow- 2025'!DO17</f>
        <v>250</v>
      </c>
      <c r="N30" s="1">
        <f>'Curent Expected Cash Flow- 2025'!DX17*'Curent Expected Cash Flow- 2025'!DY17</f>
        <v>250</v>
      </c>
      <c r="O30">
        <f>'Curent Expected Cash Flow- 2025'!EH17*'Curent Expected Cash Flow- 2025'!EI17</f>
        <v>250</v>
      </c>
      <c r="P30" s="1"/>
      <c r="Q30" s="135">
        <f t="shared" si="39"/>
        <v>2550</v>
      </c>
      <c r="T30" s="1"/>
      <c r="U30" s="1" t="s">
        <v>264</v>
      </c>
      <c r="V30" s="1" t="s">
        <v>0</v>
      </c>
      <c r="W30" s="133"/>
      <c r="X30" s="142">
        <f t="shared" si="53"/>
        <v>0</v>
      </c>
      <c r="Y30" s="142">
        <f t="shared" si="54"/>
        <v>2100</v>
      </c>
      <c r="Z30" s="142">
        <f t="shared" si="55"/>
        <v>6300</v>
      </c>
      <c r="AA30" s="142">
        <f t="shared" si="56"/>
        <v>2800</v>
      </c>
      <c r="AB30" s="142">
        <f t="shared" si="57"/>
        <v>3500</v>
      </c>
      <c r="AC30" s="142">
        <f t="shared" si="58"/>
        <v>0</v>
      </c>
      <c r="AD30" s="142">
        <f t="shared" si="59"/>
        <v>3500</v>
      </c>
      <c r="AE30" s="142">
        <f t="shared" si="60"/>
        <v>3500</v>
      </c>
      <c r="AF30" s="142">
        <f t="shared" si="61"/>
        <v>3500</v>
      </c>
      <c r="AG30" s="142">
        <f t="shared" si="62"/>
        <v>3500</v>
      </c>
      <c r="AH30" s="142">
        <f t="shared" si="63"/>
        <v>3500</v>
      </c>
      <c r="AI30" s="142">
        <f t="shared" si="64"/>
        <v>3500</v>
      </c>
      <c r="AJ30" s="142"/>
      <c r="AK30" s="142">
        <f t="shared" si="65"/>
        <v>35700</v>
      </c>
      <c r="AL30" s="1"/>
      <c r="AM30" s="1"/>
      <c r="AN30" s="1"/>
      <c r="AO30" s="1"/>
      <c r="AP30" s="1"/>
      <c r="AQ30" s="1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</row>
    <row r="31" spans="1:58" ht="15.6">
      <c r="A31" s="1" t="s">
        <v>291</v>
      </c>
      <c r="B31" s="1" t="s">
        <v>292</v>
      </c>
      <c r="C31" s="133">
        <f>'Curent Expected Cash Flow- 2025'!AO17/('Curent Expected Cash Flow- 2025'!AL17*'Curent Expected Cash Flow- 2025'!AM17)</f>
        <v>2</v>
      </c>
      <c r="D31">
        <f>'Curent Expected Cash Flow- 2025'!R14*'Curent Expected Cash Flow- 2025'!S14</f>
        <v>3000</v>
      </c>
      <c r="E31">
        <f>'Curent Expected Cash Flow- 2025'!AB15*'Curent Expected Cash Flow- 2025'!AC15</f>
        <v>3000</v>
      </c>
      <c r="F31">
        <f>'Curent Expected Cash Flow- 2025'!AL17*'Curent Expected Cash Flow- 2025'!AM17</f>
        <v>10000</v>
      </c>
      <c r="G31">
        <f>'Curent Expected Cash Flow- 2025'!AV17*'Curent Expected Cash Flow- 2025'!AW17</f>
        <v>20000</v>
      </c>
      <c r="H31">
        <f>'Curent Expected Cash Flow- 2025'!BF17*'Curent Expected Cash Flow- 2025'!BG17</f>
        <v>30000</v>
      </c>
      <c r="I31" s="1">
        <f>'Curent Expected Cash Flow- 2025'!BP17*'Curent Expected Cash Flow- 2025'!BQ17</f>
        <v>30000</v>
      </c>
      <c r="J31">
        <f>'Curent Expected Cash Flow- 2025'!BZ18*'Curent Expected Cash Flow- 2025'!CA18</f>
        <v>20000</v>
      </c>
      <c r="K31" s="1">
        <f>'Curent Expected Cash Flow- 2025'!CT18*'Curent Expected Cash Flow- 2025'!CU18</f>
        <v>50000</v>
      </c>
      <c r="L31" s="1">
        <f>'Curent Expected Cash Flow- 2025'!DD17*'Curent Expected Cash Flow- 2025'!DE17</f>
        <v>50000</v>
      </c>
      <c r="M31">
        <f>'Curent Expected Cash Flow- 2025'!DN18*'Curent Expected Cash Flow- 2025'!DO18</f>
        <v>50000</v>
      </c>
      <c r="N31" s="1">
        <f>'Curent Expected Cash Flow- 2025'!DX18*'Curent Expected Cash Flow- 2025'!DY18</f>
        <v>50000</v>
      </c>
      <c r="O31">
        <f>'Curent Expected Cash Flow- 2025'!EH18*'Curent Expected Cash Flow- 2025'!EI18</f>
        <v>100000</v>
      </c>
      <c r="P31" s="1"/>
      <c r="Q31" s="135">
        <f t="shared" si="39"/>
        <v>416000</v>
      </c>
      <c r="T31" s="1"/>
      <c r="U31" s="1" t="s">
        <v>291</v>
      </c>
      <c r="V31" s="1" t="s">
        <v>292</v>
      </c>
      <c r="W31" s="133"/>
      <c r="X31" s="142">
        <f t="shared" si="53"/>
        <v>6000</v>
      </c>
      <c r="Y31" s="142">
        <f t="shared" si="54"/>
        <v>6000</v>
      </c>
      <c r="Z31" s="142">
        <f t="shared" si="55"/>
        <v>20000</v>
      </c>
      <c r="AA31" s="142">
        <f t="shared" si="56"/>
        <v>40000</v>
      </c>
      <c r="AB31" s="142">
        <f t="shared" si="57"/>
        <v>60000</v>
      </c>
      <c r="AC31" s="142">
        <f t="shared" si="58"/>
        <v>60000</v>
      </c>
      <c r="AD31" s="142">
        <f t="shared" si="59"/>
        <v>40000</v>
      </c>
      <c r="AE31" s="142">
        <f t="shared" si="60"/>
        <v>100000</v>
      </c>
      <c r="AF31" s="142">
        <f t="shared" si="61"/>
        <v>100000</v>
      </c>
      <c r="AG31" s="142">
        <f t="shared" si="62"/>
        <v>100000</v>
      </c>
      <c r="AH31" s="142">
        <f t="shared" si="63"/>
        <v>100000</v>
      </c>
      <c r="AI31" s="142">
        <f t="shared" si="64"/>
        <v>200000</v>
      </c>
      <c r="AJ31" s="142"/>
      <c r="AK31" s="142">
        <f t="shared" si="65"/>
        <v>832000</v>
      </c>
      <c r="AL31" s="1"/>
      <c r="AM31" s="1"/>
      <c r="AN31" s="1"/>
      <c r="AO31" s="1"/>
      <c r="AP31" s="1"/>
      <c r="AQ31" s="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</row>
    <row r="32" spans="1:58" ht="15.6">
      <c r="A32" s="1" t="s">
        <v>253</v>
      </c>
      <c r="B32" s="1" t="s">
        <v>0</v>
      </c>
      <c r="C32" s="133">
        <f>'Curent Expected Cash Flow- 2025'!AO18/('Curent Expected Cash Flow- 2025'!AM18*'Curent Expected Cash Flow- 2025'!AL18)</f>
        <v>24</v>
      </c>
      <c r="D32">
        <f>'Curent Expected Cash Flow- 2025'!R15*'Curent Expected Cash Flow- 2025'!S15</f>
        <v>500</v>
      </c>
      <c r="E32">
        <f>'Curent Expected Cash Flow- 2025'!AB17*'Curent Expected Cash Flow- 2025'!AC17</f>
        <v>1000</v>
      </c>
      <c r="F32">
        <f>'Curent Expected Cash Flow- 2025'!AL18*'Curent Expected Cash Flow- 2025'!AM18</f>
        <v>1500</v>
      </c>
      <c r="G32">
        <f>'Curent Expected Cash Flow- 2025'!AV18*'Curent Expected Cash Flow- 2025'!AW18</f>
        <v>1500</v>
      </c>
      <c r="H32">
        <f>'Curent Expected Cash Flow- 2025'!BF18*'Curent Expected Cash Flow- 2025'!BG18</f>
        <v>2000</v>
      </c>
      <c r="I32" s="1">
        <f>'Curent Expected Cash Flow- 2025'!BP16*'Curent Expected Cash Flow- 2025'!BQ16</f>
        <v>2100</v>
      </c>
      <c r="J32">
        <f>'Curent Expected Cash Flow- 2025'!BZ19*'Curent Expected Cash Flow- 2025'!CA19</f>
        <v>2500</v>
      </c>
      <c r="K32" s="1">
        <f>'Curent Expected Cash Flow- 2025'!CT19*'Curent Expected Cash Flow- 2025'!CU19</f>
        <v>2500</v>
      </c>
      <c r="L32" s="1">
        <f>'Curent Expected Cash Flow- 2025'!DD18*'Curent Expected Cash Flow- 2025'!DE18</f>
        <v>2500</v>
      </c>
      <c r="M32">
        <f>'Curent Expected Cash Flow- 2025'!DN19*'Curent Expected Cash Flow- 2025'!DO19</f>
        <v>2500</v>
      </c>
      <c r="N32" s="1">
        <f>'Curent Expected Cash Flow- 2025'!DX19*'Curent Expected Cash Flow- 2025'!DY19</f>
        <v>2500</v>
      </c>
      <c r="O32">
        <f>'Curent Expected Cash Flow- 2025'!EH19*'Curent Expected Cash Flow- 2025'!EI19</f>
        <v>2500</v>
      </c>
      <c r="P32" s="1"/>
      <c r="Q32" s="135">
        <f t="shared" si="39"/>
        <v>23600</v>
      </c>
      <c r="T32" s="1"/>
      <c r="U32" s="1" t="s">
        <v>253</v>
      </c>
      <c r="V32" s="1" t="s">
        <v>0</v>
      </c>
      <c r="W32" s="133"/>
      <c r="X32" s="142">
        <f t="shared" si="53"/>
        <v>12000</v>
      </c>
      <c r="Y32" s="142">
        <f t="shared" si="54"/>
        <v>24000</v>
      </c>
      <c r="Z32" s="142">
        <f t="shared" si="55"/>
        <v>36000</v>
      </c>
      <c r="AA32" s="142">
        <f t="shared" si="56"/>
        <v>36000</v>
      </c>
      <c r="AB32" s="142">
        <f t="shared" si="57"/>
        <v>48000</v>
      </c>
      <c r="AC32" s="142">
        <f t="shared" si="58"/>
        <v>50400</v>
      </c>
      <c r="AD32" s="142">
        <f t="shared" si="59"/>
        <v>60000</v>
      </c>
      <c r="AE32" s="142">
        <f t="shared" si="60"/>
        <v>60000</v>
      </c>
      <c r="AF32" s="142">
        <f t="shared" si="61"/>
        <v>60000</v>
      </c>
      <c r="AG32" s="142">
        <f t="shared" si="62"/>
        <v>60000</v>
      </c>
      <c r="AH32" s="142">
        <f t="shared" si="63"/>
        <v>60000</v>
      </c>
      <c r="AI32" s="142">
        <f t="shared" si="64"/>
        <v>60000</v>
      </c>
      <c r="AJ32" s="142"/>
      <c r="AK32" s="142">
        <f t="shared" si="65"/>
        <v>566400</v>
      </c>
      <c r="AL32" s="1"/>
      <c r="AM32" s="1"/>
      <c r="AN32" s="1"/>
      <c r="AO32" s="1"/>
      <c r="AP32" s="1"/>
      <c r="AQ32" s="1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</row>
    <row r="33" spans="1:58" ht="15.6">
      <c r="G33"/>
      <c r="I33" s="1"/>
      <c r="J33"/>
      <c r="O33"/>
      <c r="P33" s="1"/>
      <c r="Q33" s="135">
        <f t="shared" si="39"/>
        <v>0</v>
      </c>
      <c r="T33" s="1"/>
      <c r="AA33"/>
      <c r="AC33" s="1"/>
      <c r="AD33"/>
      <c r="AI33"/>
      <c r="AJ33" s="1"/>
      <c r="AK33" s="135">
        <f t="shared" ref="AK33" si="66">SUM(X33:AJ33)</f>
        <v>0</v>
      </c>
      <c r="AL33" s="1"/>
      <c r="AM33" s="1"/>
      <c r="AN33" s="1"/>
      <c r="AO33" s="1"/>
      <c r="AP33" s="1"/>
      <c r="AQ33" s="1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</row>
    <row r="34" spans="1:58" ht="15.6">
      <c r="A34"/>
      <c r="B34"/>
      <c r="C34" s="132"/>
      <c r="D34" s="132" t="s">
        <v>409</v>
      </c>
      <c r="E34" s="132" t="s">
        <v>409</v>
      </c>
      <c r="F34" s="132" t="s">
        <v>409</v>
      </c>
      <c r="G34" s="132" t="s">
        <v>409</v>
      </c>
      <c r="H34" s="132" t="s">
        <v>409</v>
      </c>
      <c r="I34" s="132" t="s">
        <v>409</v>
      </c>
      <c r="J34" s="132" t="s">
        <v>409</v>
      </c>
      <c r="K34" s="132" t="s">
        <v>409</v>
      </c>
      <c r="L34" s="132" t="s">
        <v>409</v>
      </c>
      <c r="M34" s="132" t="s">
        <v>409</v>
      </c>
      <c r="N34" s="132" t="s">
        <v>409</v>
      </c>
      <c r="O34" s="132" t="s">
        <v>409</v>
      </c>
      <c r="P34" s="63"/>
      <c r="Q34" s="132" t="s">
        <v>409</v>
      </c>
      <c r="U34"/>
      <c r="V34"/>
      <c r="W34" s="132"/>
      <c r="X34" s="132" t="s">
        <v>409</v>
      </c>
      <c r="Y34" s="132" t="s">
        <v>409</v>
      </c>
      <c r="Z34" s="132" t="s">
        <v>409</v>
      </c>
      <c r="AA34" s="132" t="s">
        <v>409</v>
      </c>
      <c r="AB34" s="132" t="s">
        <v>409</v>
      </c>
      <c r="AC34" s="132" t="s">
        <v>409</v>
      </c>
      <c r="AD34" s="132" t="s">
        <v>409</v>
      </c>
      <c r="AE34" s="132" t="s">
        <v>409</v>
      </c>
      <c r="AF34" s="132" t="s">
        <v>409</v>
      </c>
      <c r="AG34" s="132" t="s">
        <v>409</v>
      </c>
      <c r="AH34" s="132" t="s">
        <v>409</v>
      </c>
      <c r="AI34" s="132" t="s">
        <v>409</v>
      </c>
      <c r="AJ34" s="63"/>
      <c r="AK34" s="132" t="s">
        <v>409</v>
      </c>
      <c r="AL34" s="1"/>
      <c r="AM34" s="1"/>
      <c r="AN34" s="1"/>
      <c r="AO34" s="1"/>
      <c r="AP34" s="1"/>
      <c r="AQ34" s="1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</row>
    <row r="35" spans="1:58" ht="15.6">
      <c r="A35" t="s">
        <v>408</v>
      </c>
      <c r="B35"/>
      <c r="C35"/>
      <c r="D35">
        <f t="shared" ref="D35:O35" si="67">SUM(D24:D34)</f>
        <v>35900</v>
      </c>
      <c r="E35">
        <f t="shared" si="67"/>
        <v>8950</v>
      </c>
      <c r="F35">
        <f t="shared" si="67"/>
        <v>80150</v>
      </c>
      <c r="G35">
        <f t="shared" si="67"/>
        <v>57900</v>
      </c>
      <c r="H35">
        <f t="shared" si="67"/>
        <v>68650</v>
      </c>
      <c r="I35">
        <f t="shared" si="67"/>
        <v>98500</v>
      </c>
      <c r="J35">
        <f t="shared" si="67"/>
        <v>61150</v>
      </c>
      <c r="K35">
        <f t="shared" si="67"/>
        <v>91150</v>
      </c>
      <c r="L35">
        <f t="shared" si="67"/>
        <v>91150</v>
      </c>
      <c r="M35">
        <f t="shared" si="67"/>
        <v>91150</v>
      </c>
      <c r="N35">
        <f t="shared" si="67"/>
        <v>91150</v>
      </c>
      <c r="O35">
        <f t="shared" si="67"/>
        <v>141150</v>
      </c>
      <c r="Q35">
        <f>SUM(Q24:Q34)</f>
        <v>916950</v>
      </c>
      <c r="T35" s="1"/>
      <c r="U35" t="s">
        <v>408</v>
      </c>
      <c r="V35"/>
      <c r="W35"/>
      <c r="X35" s="142">
        <f t="shared" ref="X35" si="68">SUM(X24:X34)</f>
        <v>66200</v>
      </c>
      <c r="Y35" s="142">
        <f t="shared" ref="Y35" si="69">SUM(Y24:Y34)</f>
        <v>65700</v>
      </c>
      <c r="Z35" s="142">
        <f t="shared" ref="Z35" si="70">SUM(Z24:Z34)</f>
        <v>190300</v>
      </c>
      <c r="AA35" s="142">
        <f t="shared" ref="AA35" si="71">SUM(AA24:AA34)</f>
        <v>144800</v>
      </c>
      <c r="AB35" s="142">
        <f t="shared" ref="AB35" si="72">SUM(AB24:AB34)</f>
        <v>194700</v>
      </c>
      <c r="AC35" s="142">
        <f t="shared" ref="AC35" si="73">SUM(AC24:AC34)</f>
        <v>211600</v>
      </c>
      <c r="AD35" s="142">
        <f t="shared" ref="AD35" si="74">SUM(AD24:AD34)</f>
        <v>198700</v>
      </c>
      <c r="AE35" s="142">
        <f t="shared" ref="AE35" si="75">SUM(AE24:AE34)</f>
        <v>258700</v>
      </c>
      <c r="AF35" s="142">
        <f t="shared" ref="AF35" si="76">SUM(AF24:AF34)</f>
        <v>258700</v>
      </c>
      <c r="AG35" s="142">
        <f t="shared" ref="AG35" si="77">SUM(AG24:AG34)</f>
        <v>258700</v>
      </c>
      <c r="AH35" s="142">
        <f t="shared" ref="AH35" si="78">SUM(AH24:AH34)</f>
        <v>258700</v>
      </c>
      <c r="AI35" s="142">
        <f t="shared" ref="AI35" si="79">SUM(AI24:AI34)</f>
        <v>358700</v>
      </c>
      <c r="AJ35" s="142"/>
      <c r="AK35" s="142">
        <f>SUM(AK24:AK34)</f>
        <v>2465500</v>
      </c>
    </row>
    <row r="36" spans="1:58" ht="15.6">
      <c r="X36" s="142"/>
      <c r="Y36" s="142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</row>
    <row r="37" spans="1:58" ht="15.6">
      <c r="B37" s="140" t="s">
        <v>413</v>
      </c>
      <c r="D37" s="130">
        <f>SUMIF($B$24:$B$34,$B37,D$24:D$34)</f>
        <v>2900</v>
      </c>
      <c r="E37" s="130">
        <f t="shared" ref="E37:O37" si="80">SUMIF($B$24:$B$34,$B37,E$24:E$34)</f>
        <v>5950</v>
      </c>
      <c r="F37" s="130">
        <f t="shared" si="80"/>
        <v>10150</v>
      </c>
      <c r="G37" s="130">
        <f t="shared" si="80"/>
        <v>7900</v>
      </c>
      <c r="H37" s="130">
        <f t="shared" si="80"/>
        <v>8650</v>
      </c>
      <c r="I37" s="130">
        <f t="shared" si="80"/>
        <v>8500</v>
      </c>
      <c r="J37" s="130">
        <f t="shared" si="80"/>
        <v>11150</v>
      </c>
      <c r="K37" s="130">
        <f t="shared" si="80"/>
        <v>11150</v>
      </c>
      <c r="L37" s="130">
        <f t="shared" si="80"/>
        <v>11150</v>
      </c>
      <c r="M37" s="130">
        <f t="shared" si="80"/>
        <v>11150</v>
      </c>
      <c r="N37" s="130">
        <f t="shared" si="80"/>
        <v>11150</v>
      </c>
      <c r="O37" s="130">
        <f t="shared" si="80"/>
        <v>11150</v>
      </c>
      <c r="Q37" s="135">
        <f t="shared" ref="Q37:Q40" si="81">SUM(D37:P37)</f>
        <v>110950</v>
      </c>
      <c r="V37" s="140" t="s">
        <v>413</v>
      </c>
      <c r="X37" s="142">
        <f>SUMIF($B$24:$B$34,$B37,X$24:X$34)</f>
        <v>41200</v>
      </c>
      <c r="Y37" s="142">
        <f t="shared" ref="Y37:AI37" si="82">SUMIF($B$24:$B$34,$B37,Y$24:Y$34)</f>
        <v>59700</v>
      </c>
      <c r="Z37" s="142">
        <f t="shared" si="82"/>
        <v>136300</v>
      </c>
      <c r="AA37" s="142">
        <f t="shared" si="82"/>
        <v>89800</v>
      </c>
      <c r="AB37" s="142">
        <f t="shared" si="82"/>
        <v>119700</v>
      </c>
      <c r="AC37" s="142">
        <f t="shared" si="82"/>
        <v>117600</v>
      </c>
      <c r="AD37" s="142">
        <f t="shared" si="82"/>
        <v>143700</v>
      </c>
      <c r="AE37" s="142">
        <f t="shared" si="82"/>
        <v>143700</v>
      </c>
      <c r="AF37" s="142">
        <f t="shared" si="82"/>
        <v>143700</v>
      </c>
      <c r="AG37" s="142">
        <f t="shared" si="82"/>
        <v>143700</v>
      </c>
      <c r="AH37" s="142">
        <f t="shared" si="82"/>
        <v>143700</v>
      </c>
      <c r="AI37" s="142">
        <f t="shared" si="82"/>
        <v>143700</v>
      </c>
      <c r="AJ37" s="142"/>
      <c r="AK37" s="142">
        <f t="shared" ref="AK37:AK40" si="83">SUM(X37:AJ37)</f>
        <v>1426500</v>
      </c>
    </row>
    <row r="38" spans="1:58" ht="15.6">
      <c r="B38" s="140" t="s">
        <v>414</v>
      </c>
      <c r="D38" s="130">
        <f t="shared" ref="D38:O40" si="84">SUMIF($B$24:$B$34,$B38,D$24:D$34)</f>
        <v>30000</v>
      </c>
      <c r="E38" s="130">
        <f t="shared" si="84"/>
        <v>0</v>
      </c>
      <c r="F38" s="130">
        <f t="shared" si="84"/>
        <v>30000</v>
      </c>
      <c r="G38" s="130">
        <f t="shared" si="84"/>
        <v>0</v>
      </c>
      <c r="H38" s="130">
        <f t="shared" si="84"/>
        <v>0</v>
      </c>
      <c r="I38" s="130">
        <f t="shared" si="84"/>
        <v>30000</v>
      </c>
      <c r="J38" s="130">
        <f t="shared" si="84"/>
        <v>0</v>
      </c>
      <c r="K38" s="130">
        <f t="shared" si="84"/>
        <v>0</v>
      </c>
      <c r="L38" s="130">
        <f t="shared" si="84"/>
        <v>0</v>
      </c>
      <c r="M38" s="130">
        <f t="shared" si="84"/>
        <v>0</v>
      </c>
      <c r="N38" s="130">
        <f t="shared" si="84"/>
        <v>0</v>
      </c>
      <c r="O38" s="130">
        <f t="shared" si="84"/>
        <v>0</v>
      </c>
      <c r="Q38" s="135">
        <f t="shared" si="81"/>
        <v>90000</v>
      </c>
      <c r="V38" s="140" t="s">
        <v>414</v>
      </c>
      <c r="X38" s="142">
        <f t="shared" ref="X38:AI40" si="85">SUMIF($B$24:$B$34,$B38,X$24:X$34)</f>
        <v>19000</v>
      </c>
      <c r="Y38" s="142">
        <f t="shared" si="85"/>
        <v>0</v>
      </c>
      <c r="Z38" s="142">
        <f t="shared" si="85"/>
        <v>19000</v>
      </c>
      <c r="AA38" s="142">
        <f t="shared" si="85"/>
        <v>0</v>
      </c>
      <c r="AB38" s="142">
        <f t="shared" si="85"/>
        <v>0</v>
      </c>
      <c r="AC38" s="142">
        <f t="shared" si="85"/>
        <v>19000</v>
      </c>
      <c r="AD38" s="142">
        <f t="shared" si="85"/>
        <v>0</v>
      </c>
      <c r="AE38" s="142">
        <f t="shared" si="85"/>
        <v>0</v>
      </c>
      <c r="AF38" s="142">
        <f t="shared" si="85"/>
        <v>0</v>
      </c>
      <c r="AG38" s="142">
        <f t="shared" si="85"/>
        <v>0</v>
      </c>
      <c r="AH38" s="142">
        <f t="shared" si="85"/>
        <v>0</v>
      </c>
      <c r="AI38" s="142">
        <f t="shared" si="85"/>
        <v>0</v>
      </c>
      <c r="AJ38" s="142"/>
      <c r="AK38" s="142">
        <f t="shared" si="83"/>
        <v>57000</v>
      </c>
    </row>
    <row r="39" spans="1:58" ht="15.6">
      <c r="B39" s="140" t="s">
        <v>415</v>
      </c>
      <c r="D39" s="130">
        <f t="shared" si="84"/>
        <v>0</v>
      </c>
      <c r="E39" s="130">
        <f t="shared" si="84"/>
        <v>0</v>
      </c>
      <c r="F39" s="130">
        <f t="shared" si="84"/>
        <v>30000</v>
      </c>
      <c r="G39" s="130">
        <f t="shared" si="84"/>
        <v>30000</v>
      </c>
      <c r="H39" s="130">
        <f t="shared" si="84"/>
        <v>30000</v>
      </c>
      <c r="I39" s="130">
        <f t="shared" si="84"/>
        <v>30000</v>
      </c>
      <c r="J39" s="130">
        <f t="shared" si="84"/>
        <v>30000</v>
      </c>
      <c r="K39" s="130">
        <f t="shared" si="84"/>
        <v>30000</v>
      </c>
      <c r="L39" s="130">
        <f t="shared" si="84"/>
        <v>30000</v>
      </c>
      <c r="M39" s="130">
        <f t="shared" si="84"/>
        <v>30000</v>
      </c>
      <c r="N39" s="130">
        <f t="shared" si="84"/>
        <v>30000</v>
      </c>
      <c r="O39" s="130">
        <f t="shared" si="84"/>
        <v>30000</v>
      </c>
      <c r="Q39" s="135">
        <f t="shared" si="81"/>
        <v>300000</v>
      </c>
      <c r="V39" s="140" t="s">
        <v>415</v>
      </c>
      <c r="X39" s="142">
        <f t="shared" si="85"/>
        <v>0</v>
      </c>
      <c r="Y39" s="142">
        <f t="shared" si="85"/>
        <v>0</v>
      </c>
      <c r="Z39" s="142">
        <f t="shared" si="85"/>
        <v>15000</v>
      </c>
      <c r="AA39" s="142">
        <f t="shared" si="85"/>
        <v>15000</v>
      </c>
      <c r="AB39" s="142">
        <f t="shared" si="85"/>
        <v>15000</v>
      </c>
      <c r="AC39" s="142">
        <f t="shared" si="85"/>
        <v>15000</v>
      </c>
      <c r="AD39" s="142">
        <f t="shared" si="85"/>
        <v>15000</v>
      </c>
      <c r="AE39" s="142">
        <f t="shared" si="85"/>
        <v>15000</v>
      </c>
      <c r="AF39" s="142">
        <f t="shared" si="85"/>
        <v>15000</v>
      </c>
      <c r="AG39" s="142">
        <f t="shared" si="85"/>
        <v>15000</v>
      </c>
      <c r="AH39" s="142">
        <f t="shared" si="85"/>
        <v>15000</v>
      </c>
      <c r="AI39" s="142">
        <f t="shared" si="85"/>
        <v>15000</v>
      </c>
      <c r="AJ39" s="142"/>
      <c r="AK39" s="142">
        <f t="shared" si="83"/>
        <v>150000</v>
      </c>
    </row>
    <row r="40" spans="1:58" ht="15.6">
      <c r="B40" s="140" t="s">
        <v>416</v>
      </c>
      <c r="D40" s="130">
        <f t="shared" si="84"/>
        <v>3000</v>
      </c>
      <c r="E40" s="130">
        <f t="shared" si="84"/>
        <v>3000</v>
      </c>
      <c r="F40" s="130">
        <f t="shared" si="84"/>
        <v>10000</v>
      </c>
      <c r="G40" s="130">
        <f t="shared" si="84"/>
        <v>20000</v>
      </c>
      <c r="H40" s="130">
        <f t="shared" si="84"/>
        <v>30000</v>
      </c>
      <c r="I40" s="130">
        <f t="shared" si="84"/>
        <v>30000</v>
      </c>
      <c r="J40" s="130">
        <f t="shared" si="84"/>
        <v>20000</v>
      </c>
      <c r="K40" s="130">
        <f t="shared" si="84"/>
        <v>50000</v>
      </c>
      <c r="L40" s="130">
        <f t="shared" si="84"/>
        <v>50000</v>
      </c>
      <c r="M40" s="130">
        <f t="shared" si="84"/>
        <v>50000</v>
      </c>
      <c r="N40" s="130">
        <f t="shared" si="84"/>
        <v>50000</v>
      </c>
      <c r="O40" s="130">
        <f t="shared" si="84"/>
        <v>100000</v>
      </c>
      <c r="Q40" s="135">
        <f t="shared" si="81"/>
        <v>416000</v>
      </c>
      <c r="V40" s="140" t="s">
        <v>416</v>
      </c>
      <c r="X40" s="142">
        <f t="shared" si="85"/>
        <v>6000</v>
      </c>
      <c r="Y40" s="142">
        <f t="shared" si="85"/>
        <v>6000</v>
      </c>
      <c r="Z40" s="142">
        <f t="shared" si="85"/>
        <v>20000</v>
      </c>
      <c r="AA40" s="142">
        <f t="shared" si="85"/>
        <v>40000</v>
      </c>
      <c r="AB40" s="142">
        <f t="shared" si="85"/>
        <v>60000</v>
      </c>
      <c r="AC40" s="142">
        <f t="shared" si="85"/>
        <v>60000</v>
      </c>
      <c r="AD40" s="142">
        <f t="shared" si="85"/>
        <v>40000</v>
      </c>
      <c r="AE40" s="142">
        <f t="shared" si="85"/>
        <v>100000</v>
      </c>
      <c r="AF40" s="142">
        <f t="shared" si="85"/>
        <v>100000</v>
      </c>
      <c r="AG40" s="142">
        <f t="shared" si="85"/>
        <v>100000</v>
      </c>
      <c r="AH40" s="142">
        <f t="shared" si="85"/>
        <v>100000</v>
      </c>
      <c r="AI40" s="142">
        <f t="shared" si="85"/>
        <v>200000</v>
      </c>
      <c r="AJ40" s="142"/>
      <c r="AK40" s="142">
        <f t="shared" si="83"/>
        <v>832000</v>
      </c>
    </row>
    <row r="41" spans="1:58" ht="15.6">
      <c r="D41" s="132" t="s">
        <v>409</v>
      </c>
      <c r="E41" s="132" t="s">
        <v>409</v>
      </c>
      <c r="F41" s="132" t="s">
        <v>409</v>
      </c>
      <c r="G41" s="132" t="s">
        <v>409</v>
      </c>
      <c r="H41" s="132" t="s">
        <v>409</v>
      </c>
      <c r="I41" s="132" t="s">
        <v>409</v>
      </c>
      <c r="J41" s="132" t="s">
        <v>409</v>
      </c>
      <c r="K41" s="132" t="s">
        <v>409</v>
      </c>
      <c r="L41" s="132" t="s">
        <v>409</v>
      </c>
      <c r="M41" s="132" t="s">
        <v>409</v>
      </c>
      <c r="N41" s="132" t="s">
        <v>409</v>
      </c>
      <c r="O41" s="132" t="s">
        <v>409</v>
      </c>
      <c r="P41" s="63"/>
      <c r="Q41" s="132" t="s">
        <v>409</v>
      </c>
      <c r="X41" s="132" t="s">
        <v>409</v>
      </c>
      <c r="Y41" s="132" t="s">
        <v>409</v>
      </c>
      <c r="Z41" s="132" t="s">
        <v>409</v>
      </c>
      <c r="AA41" s="132" t="s">
        <v>409</v>
      </c>
      <c r="AB41" s="132" t="s">
        <v>409</v>
      </c>
      <c r="AC41" s="132" t="s">
        <v>409</v>
      </c>
      <c r="AD41" s="132" t="s">
        <v>409</v>
      </c>
      <c r="AE41" s="132" t="s">
        <v>409</v>
      </c>
      <c r="AF41" s="132" t="s">
        <v>409</v>
      </c>
      <c r="AG41" s="132" t="s">
        <v>409</v>
      </c>
      <c r="AH41" s="132" t="s">
        <v>409</v>
      </c>
      <c r="AI41" s="132" t="s">
        <v>409</v>
      </c>
      <c r="AJ41" s="63"/>
      <c r="AK41" s="132" t="s">
        <v>409</v>
      </c>
    </row>
    <row r="42" spans="1:58" ht="15.6">
      <c r="D42" s="130">
        <f>SUM(D37:D41)</f>
        <v>35900</v>
      </c>
      <c r="E42" s="130">
        <f t="shared" ref="E42:N42" si="86">SUM(E37:E41)</f>
        <v>8950</v>
      </c>
      <c r="F42" s="130">
        <f t="shared" si="86"/>
        <v>80150</v>
      </c>
      <c r="G42" s="130">
        <f t="shared" si="86"/>
        <v>57900</v>
      </c>
      <c r="H42" s="130">
        <f t="shared" si="86"/>
        <v>68650</v>
      </c>
      <c r="I42" s="130">
        <f t="shared" si="86"/>
        <v>98500</v>
      </c>
      <c r="J42" s="130">
        <f t="shared" si="86"/>
        <v>61150</v>
      </c>
      <c r="K42" s="130">
        <f t="shared" si="86"/>
        <v>91150</v>
      </c>
      <c r="L42" s="130">
        <f t="shared" si="86"/>
        <v>91150</v>
      </c>
      <c r="M42" s="130">
        <f t="shared" si="86"/>
        <v>91150</v>
      </c>
      <c r="N42" s="130">
        <f t="shared" si="86"/>
        <v>91150</v>
      </c>
      <c r="O42" s="130">
        <f>SUM(O37:O41)</f>
        <v>141150</v>
      </c>
      <c r="Q42" s="130">
        <f>SUM(Q37:Q41)</f>
        <v>916950</v>
      </c>
      <c r="X42" s="142">
        <f>SUM(X37:X41)</f>
        <v>66200</v>
      </c>
      <c r="Y42" s="142">
        <f t="shared" ref="Y42" si="87">SUM(Y37:Y41)</f>
        <v>65700</v>
      </c>
      <c r="Z42" s="142">
        <f t="shared" ref="Z42" si="88">SUM(Z37:Z41)</f>
        <v>190300</v>
      </c>
      <c r="AA42" s="142">
        <f t="shared" ref="AA42" si="89">SUM(AA37:AA41)</f>
        <v>144800</v>
      </c>
      <c r="AB42" s="142">
        <f t="shared" ref="AB42" si="90">SUM(AB37:AB41)</f>
        <v>194700</v>
      </c>
      <c r="AC42" s="142">
        <f t="shared" ref="AC42" si="91">SUM(AC37:AC41)</f>
        <v>211600</v>
      </c>
      <c r="AD42" s="142">
        <f t="shared" ref="AD42" si="92">SUM(AD37:AD41)</f>
        <v>198700</v>
      </c>
      <c r="AE42" s="142">
        <f t="shared" ref="AE42" si="93">SUM(AE37:AE41)</f>
        <v>258700</v>
      </c>
      <c r="AF42" s="142">
        <f t="shared" ref="AF42" si="94">SUM(AF37:AF41)</f>
        <v>258700</v>
      </c>
      <c r="AG42" s="142">
        <f t="shared" ref="AG42" si="95">SUM(AG37:AG41)</f>
        <v>258700</v>
      </c>
      <c r="AH42" s="142">
        <f t="shared" ref="AH42" si="96">SUM(AH37:AH41)</f>
        <v>258700</v>
      </c>
      <c r="AI42" s="142">
        <f>SUM(AI37:AI41)</f>
        <v>358700</v>
      </c>
      <c r="AJ42" s="142"/>
      <c r="AK42" s="142">
        <f>SUM(AK37:AK41)</f>
        <v>2465500</v>
      </c>
    </row>
    <row r="44" spans="1:58">
      <c r="X44" s="159">
        <f>X42+X21</f>
        <v>174600</v>
      </c>
      <c r="Y44" s="159">
        <f t="shared" ref="Y44:AK44" si="97">Y42+Y21</f>
        <v>164100</v>
      </c>
      <c r="Z44" s="159">
        <f t="shared" si="97"/>
        <v>279100</v>
      </c>
      <c r="AA44" s="159">
        <f t="shared" si="97"/>
        <v>250000</v>
      </c>
      <c r="AB44" s="159">
        <f t="shared" si="97"/>
        <v>296700</v>
      </c>
      <c r="AC44" s="159">
        <f t="shared" si="97"/>
        <v>344600</v>
      </c>
      <c r="AD44" s="159">
        <f t="shared" si="97"/>
        <v>339500</v>
      </c>
      <c r="AE44" s="159">
        <f t="shared" si="97"/>
        <v>399500</v>
      </c>
      <c r="AF44" s="159">
        <f t="shared" si="97"/>
        <v>375500</v>
      </c>
      <c r="AG44" s="159">
        <f t="shared" si="97"/>
        <v>375500</v>
      </c>
      <c r="AH44" s="159">
        <f t="shared" si="97"/>
        <v>375500</v>
      </c>
      <c r="AI44" s="159">
        <f t="shared" si="97"/>
        <v>475500</v>
      </c>
      <c r="AK44" s="159">
        <f t="shared" si="97"/>
        <v>3850100</v>
      </c>
    </row>
    <row r="45" spans="1:58">
      <c r="X45" s="160" t="s">
        <v>419</v>
      </c>
      <c r="Y45" s="160" t="s">
        <v>419</v>
      </c>
      <c r="Z45" s="160" t="s">
        <v>419</v>
      </c>
      <c r="AA45" s="160" t="s">
        <v>419</v>
      </c>
      <c r="AB45" s="160" t="s">
        <v>419</v>
      </c>
      <c r="AC45" s="160" t="s">
        <v>419</v>
      </c>
      <c r="AD45" s="160" t="s">
        <v>419</v>
      </c>
      <c r="AE45" s="160" t="s">
        <v>419</v>
      </c>
      <c r="AF45" s="160" t="s">
        <v>419</v>
      </c>
      <c r="AG45" s="160" t="s">
        <v>419</v>
      </c>
      <c r="AH45" s="160" t="s">
        <v>419</v>
      </c>
      <c r="AI45" s="160" t="s">
        <v>419</v>
      </c>
      <c r="AK45" s="160" t="s">
        <v>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224B-645E-4C03-B21A-BEE21CDF05EF}">
  <dimension ref="A4:P113"/>
  <sheetViews>
    <sheetView zoomScale="80" zoomScaleNormal="80" workbookViewId="0">
      <selection activeCell="H29" sqref="H29"/>
    </sheetView>
  </sheetViews>
  <sheetFormatPr defaultColWidth="8.69921875" defaultRowHeight="14.4"/>
  <cols>
    <col min="1" max="1" width="24.19921875" style="140" customWidth="1"/>
    <col min="2" max="2" width="16.796875" style="140" customWidth="1"/>
    <col min="3" max="3" width="15" style="140" customWidth="1"/>
    <col min="4" max="4" width="15" style="140" bestFit="1" customWidth="1"/>
    <col min="5" max="5" width="14.69921875" style="140" bestFit="1" customWidth="1"/>
    <col min="6" max="6" width="15.796875" style="140" customWidth="1"/>
    <col min="7" max="7" width="15.19921875" style="140" bestFit="1" customWidth="1"/>
    <col min="8" max="8" width="13.296875" style="140" customWidth="1"/>
    <col min="9" max="10" width="13" style="140" customWidth="1"/>
    <col min="11" max="11" width="24.5" style="140" customWidth="1"/>
    <col min="12" max="12" width="17.5" style="140" customWidth="1"/>
    <col min="13" max="13" width="16.296875" style="140" customWidth="1"/>
    <col min="14" max="14" width="15.296875" style="140" customWidth="1"/>
    <col min="15" max="15" width="10.69921875" style="140"/>
    <col min="16" max="18" width="17.296875" style="140" customWidth="1"/>
    <col min="19" max="19" width="13.5" style="140" customWidth="1"/>
    <col min="20" max="20" width="10.69921875" style="140"/>
    <col min="21" max="21" width="25.69921875" style="140" customWidth="1"/>
    <col min="22" max="23" width="13.5" style="140" customWidth="1"/>
    <col min="24" max="24" width="14.19921875" style="140" customWidth="1"/>
    <col min="25" max="25" width="10.69921875" style="140"/>
    <col min="26" max="28" width="14.19921875" style="140" customWidth="1"/>
    <col min="29" max="30" width="14.5" style="140" customWidth="1"/>
    <col min="31" max="31" width="23.19921875" style="140" customWidth="1"/>
    <col min="32" max="32" width="16" style="140" customWidth="1"/>
    <col min="33" max="33" width="13.296875" style="140" customWidth="1"/>
    <col min="34" max="34" width="14" style="140" customWidth="1"/>
    <col min="35" max="35" width="10.69921875" style="140"/>
    <col min="36" max="36" width="14.796875" style="140" customWidth="1"/>
    <col min="37" max="38" width="12.5" style="140" customWidth="1"/>
    <col min="39" max="40" width="13.796875" style="140" customWidth="1"/>
    <col min="41" max="41" width="26.796875" style="140" customWidth="1"/>
    <col min="42" max="42" width="16.19921875" style="140" customWidth="1"/>
    <col min="43" max="43" width="14" style="140" customWidth="1"/>
    <col min="44" max="44" width="14.796875" style="140" customWidth="1"/>
    <col min="45" max="45" width="10.796875" style="140"/>
    <col min="46" max="48" width="14" style="140" customWidth="1"/>
    <col min="49" max="49" width="14.796875" style="140" customWidth="1"/>
    <col min="50" max="50" width="10.69921875" style="140"/>
    <col min="51" max="51" width="22.796875" style="140" customWidth="1"/>
    <col min="52" max="52" width="15" style="140" customWidth="1"/>
    <col min="53" max="53" width="14" style="140" customWidth="1"/>
    <col min="54" max="54" width="16.69921875" style="140" customWidth="1"/>
    <col min="55" max="55" width="10.796875" style="140"/>
    <col min="56" max="56" width="15.796875" style="140" customWidth="1"/>
    <col min="57" max="57" width="19.19921875" style="140" customWidth="1"/>
    <col min="58" max="58" width="16" style="140" customWidth="1"/>
    <col min="59" max="59" width="15.296875" style="140" customWidth="1"/>
    <col min="60" max="60" width="10.69921875" style="140"/>
    <col min="61" max="61" width="25.19921875" style="140" customWidth="1"/>
    <col min="62" max="62" width="17" style="140" customWidth="1"/>
    <col min="63" max="63" width="18" style="140" customWidth="1"/>
    <col min="64" max="64" width="19.69921875" style="140" customWidth="1"/>
    <col min="65" max="65" width="10.69921875" style="140"/>
    <col min="66" max="66" width="17.69921875" style="140" customWidth="1"/>
    <col min="67" max="67" width="21.69921875" style="140" customWidth="1"/>
    <col min="68" max="68" width="16.796875" style="140" customWidth="1"/>
    <col min="69" max="69" width="16.5" style="140" customWidth="1"/>
    <col min="70" max="70" width="10.69921875" style="140"/>
    <col min="71" max="71" width="23.19921875" style="140" customWidth="1"/>
    <col min="72" max="72" width="13.5" style="140" customWidth="1"/>
    <col min="73" max="73" width="13.796875" style="140" customWidth="1"/>
    <col min="74" max="74" width="17.19921875" style="140" customWidth="1"/>
    <col min="75" max="75" width="18.69921875" style="140" customWidth="1"/>
    <col min="76" max="76" width="24.19921875" style="140" customWidth="1"/>
    <col min="77" max="77" width="25.19921875" style="140" customWidth="1"/>
    <col min="78" max="78" width="23" style="140" customWidth="1"/>
    <col min="79" max="79" width="25" style="140" customWidth="1"/>
    <col min="80" max="80" width="10.69921875" style="140"/>
    <col min="81" max="81" width="21.5" style="140" customWidth="1"/>
    <col min="82" max="82" width="15.296875" style="140" customWidth="1"/>
    <col min="83" max="83" width="16.5" style="140" customWidth="1"/>
    <col min="84" max="85" width="18.19921875" style="140" customWidth="1"/>
    <col min="86" max="86" width="17.5" style="140" customWidth="1"/>
    <col min="87" max="87" width="21" style="140" customWidth="1"/>
    <col min="88" max="88" width="13.296875" style="140" customWidth="1"/>
    <col min="89" max="89" width="15.69921875" style="140" customWidth="1"/>
    <col min="90" max="90" width="10.69921875" style="140"/>
    <col min="91" max="91" width="23.5" style="140" customWidth="1"/>
    <col min="92" max="92" width="22.19921875" style="140" customWidth="1"/>
    <col min="93" max="93" width="16.19921875" style="140" customWidth="1"/>
    <col min="94" max="94" width="18.19921875" style="140" customWidth="1"/>
    <col min="95" max="95" width="10.69921875" style="140"/>
    <col min="96" max="96" width="18.5" style="140" customWidth="1"/>
    <col min="97" max="98" width="20.19921875" style="140" customWidth="1"/>
    <col min="99" max="99" width="16.296875" style="140" customWidth="1"/>
    <col min="100" max="100" width="10.69921875" style="140"/>
    <col min="101" max="101" width="21.5" style="140" customWidth="1"/>
    <col min="102" max="102" width="15.296875" style="140" customWidth="1"/>
    <col min="103" max="103" width="25.19921875" style="140" customWidth="1"/>
    <col min="104" max="104" width="20.69921875" style="140" customWidth="1"/>
    <col min="105" max="105" width="10.69921875" style="140"/>
    <col min="106" max="106" width="17.5" style="140" customWidth="1"/>
    <col min="107" max="107" width="21.69921875" style="140" customWidth="1"/>
    <col min="108" max="108" width="17.296875" style="140" customWidth="1"/>
    <col min="109" max="109" width="15" style="140" customWidth="1"/>
    <col min="110" max="110" width="10.69921875" style="140"/>
    <col min="111" max="111" width="22.296875" style="140" customWidth="1"/>
    <col min="112" max="112" width="15.796875" style="140" customWidth="1"/>
    <col min="113" max="113" width="16" style="140" customWidth="1"/>
    <col min="114" max="114" width="17" style="140" customWidth="1"/>
    <col min="115" max="115" width="10.69921875" style="140"/>
    <col min="116" max="116" width="23.69921875" style="140" customWidth="1"/>
    <col min="117" max="117" width="20" style="140" customWidth="1"/>
    <col min="118" max="118" width="14.796875" style="140" customWidth="1"/>
    <col min="119" max="119" width="15.5" style="140" customWidth="1"/>
    <col min="120" max="16384" width="8.69921875" style="140"/>
  </cols>
  <sheetData>
    <row r="4" spans="1:7">
      <c r="A4" s="145">
        <v>45657</v>
      </c>
      <c r="B4" s="146" t="s">
        <v>83</v>
      </c>
      <c r="C4" s="146" t="s">
        <v>207</v>
      </c>
      <c r="D4" s="146" t="s">
        <v>206</v>
      </c>
      <c r="E4" s="146" t="s">
        <v>205</v>
      </c>
    </row>
    <row r="5" spans="1:7">
      <c r="A5" s="147"/>
      <c r="B5" s="140" t="s">
        <v>201</v>
      </c>
      <c r="C5" s="148">
        <f>'Curent Expected Cash Flow- 2025'!G41</f>
        <v>42800</v>
      </c>
      <c r="D5" s="148">
        <f>'Curent Expected Cash Flow- 2025'!H41</f>
        <v>97768.475452196377</v>
      </c>
      <c r="E5" s="148">
        <f>'Curent Expected Cash Flow- 2025'!I41</f>
        <v>48884.237726098188</v>
      </c>
    </row>
    <row r="6" spans="1:7">
      <c r="A6" s="147"/>
      <c r="B6" s="140" t="s">
        <v>203</v>
      </c>
      <c r="C6" s="148">
        <f>'Curent Expected Cash Flow- 2025'!G42</f>
        <v>111500</v>
      </c>
      <c r="D6" s="148">
        <f>'Curent Expected Cash Flow- 2025'!H42</f>
        <v>177905.68475452199</v>
      </c>
      <c r="E6" s="148">
        <f>'Curent Expected Cash Flow- 2025'!I42</f>
        <v>67604.160206718356</v>
      </c>
    </row>
    <row r="7" spans="1:7">
      <c r="A7" s="147"/>
      <c r="B7" s="140" t="s">
        <v>202</v>
      </c>
      <c r="C7" s="148">
        <f>'Curent Expected Cash Flow- 2025'!G43</f>
        <v>0</v>
      </c>
      <c r="D7" s="148">
        <f>'Curent Expected Cash Flow- 2025'!H43</f>
        <v>107493.54005167959</v>
      </c>
      <c r="E7" s="148">
        <f>'Curent Expected Cash Flow- 2025'!I43</f>
        <v>32248.062015503878</v>
      </c>
    </row>
    <row r="8" spans="1:7">
      <c r="A8" s="147"/>
      <c r="B8" s="140" t="s">
        <v>204</v>
      </c>
      <c r="C8" s="148">
        <f>'Curent Expected Cash Flow- 2025'!G44</f>
        <v>0</v>
      </c>
      <c r="D8" s="148">
        <f>'Curent Expected Cash Flow- 2025'!H44</f>
        <v>355555.55555555556</v>
      </c>
      <c r="E8" s="148">
        <f>'Curent Expected Cash Flow- 2025'!I44</f>
        <v>17777.777777777777</v>
      </c>
    </row>
    <row r="9" spans="1:7">
      <c r="A9" s="147"/>
      <c r="C9" s="148">
        <f>SUM(C5:C8)</f>
        <v>154300</v>
      </c>
      <c r="D9" s="148">
        <f>SUM(D5:D8)</f>
        <v>738723.25581395347</v>
      </c>
      <c r="E9" s="149">
        <f>SUM(E5:E8)</f>
        <v>166514.23772609819</v>
      </c>
    </row>
    <row r="10" spans="1:7">
      <c r="A10" s="147"/>
    </row>
    <row r="11" spans="1:7">
      <c r="A11" s="147"/>
    </row>
    <row r="12" spans="1:7">
      <c r="A12" s="145">
        <f>A4+33-DAY(A4+33)</f>
        <v>45688</v>
      </c>
      <c r="B12" s="150" t="s">
        <v>227</v>
      </c>
      <c r="C12" s="146" t="s">
        <v>207</v>
      </c>
      <c r="D12" s="146" t="s">
        <v>206</v>
      </c>
      <c r="E12" s="146" t="s">
        <v>205</v>
      </c>
      <c r="G12" s="146" t="s">
        <v>274</v>
      </c>
    </row>
    <row r="13" spans="1:7">
      <c r="A13" s="147"/>
      <c r="B13" s="140" t="s">
        <v>201</v>
      </c>
      <c r="C13" s="148">
        <f>'Curent Expected Cash Flow- 2025'!Q41</f>
        <v>82900</v>
      </c>
      <c r="D13" s="148">
        <f>'Curent Expected Cash Flow- 2025'!R41</f>
        <v>57668.475452196377</v>
      </c>
      <c r="E13" s="148">
        <f>'Curent Expected Cash Flow- 2025'!S41</f>
        <v>28834.237726098188</v>
      </c>
      <c r="G13" s="151">
        <f>D13+D5</f>
        <v>155436.95090439275</v>
      </c>
    </row>
    <row r="14" spans="1:7">
      <c r="A14" s="147"/>
      <c r="B14" s="140" t="s">
        <v>203</v>
      </c>
      <c r="C14" s="148">
        <f>'Curent Expected Cash Flow- 2025'!Q42</f>
        <v>170000</v>
      </c>
      <c r="D14" s="148">
        <f>'Curent Expected Cash Flow- 2025'!R42</f>
        <v>119405.68475452199</v>
      </c>
      <c r="E14" s="148">
        <f>'Curent Expected Cash Flow- 2025'!S42</f>
        <v>45374.160206718356</v>
      </c>
      <c r="G14" s="151">
        <f>D14+D6</f>
        <v>297311.36950904399</v>
      </c>
    </row>
    <row r="15" spans="1:7">
      <c r="A15" s="147"/>
      <c r="B15" s="140" t="s">
        <v>202</v>
      </c>
      <c r="C15" s="148">
        <f>'Curent Expected Cash Flow- 2025'!Q43</f>
        <v>3000</v>
      </c>
      <c r="D15" s="148">
        <f>'Curent Expected Cash Flow- 2025'!R43</f>
        <v>104493.54005167959</v>
      </c>
      <c r="E15" s="148">
        <f>'Curent Expected Cash Flow- 2025'!S43</f>
        <v>31348.062015503878</v>
      </c>
      <c r="G15" s="151">
        <f>D15+D7</f>
        <v>211987.08010335919</v>
      </c>
    </row>
    <row r="16" spans="1:7">
      <c r="A16" s="147"/>
      <c r="B16" s="140" t="s">
        <v>204</v>
      </c>
      <c r="C16" s="148">
        <f>'Curent Expected Cash Flow- 2025'!Q44</f>
        <v>0</v>
      </c>
      <c r="D16" s="148">
        <f>'Curent Expected Cash Flow- 2025'!R44</f>
        <v>355555.55555555556</v>
      </c>
      <c r="E16" s="148">
        <f>'Curent Expected Cash Flow- 2025'!S44</f>
        <v>17777.777777777777</v>
      </c>
      <c r="G16" s="151">
        <f>D16+D8</f>
        <v>711111.11111111112</v>
      </c>
    </row>
    <row r="17" spans="1:13">
      <c r="A17" s="147"/>
      <c r="C17" s="148">
        <f>SUM(C13:C16)</f>
        <v>255900</v>
      </c>
      <c r="D17" s="148">
        <f>SUM(D13:D16)</f>
        <v>637123.25581395347</v>
      </c>
      <c r="E17" s="149">
        <f>SUM(E13:E16)</f>
        <v>123334.2377260982</v>
      </c>
    </row>
    <row r="18" spans="1:13">
      <c r="A18" s="147"/>
    </row>
    <row r="19" spans="1:13">
      <c r="A19" s="147"/>
    </row>
    <row r="20" spans="1:13">
      <c r="A20" s="145">
        <f>A12+33-DAY(A12+33)</f>
        <v>45716</v>
      </c>
      <c r="B20" s="146" t="s">
        <v>83</v>
      </c>
      <c r="C20" s="146" t="s">
        <v>207</v>
      </c>
      <c r="D20" s="146" t="s">
        <v>206</v>
      </c>
      <c r="E20" s="146" t="s">
        <v>205</v>
      </c>
      <c r="G20" s="146" t="s">
        <v>274</v>
      </c>
    </row>
    <row r="21" spans="1:13">
      <c r="A21" s="147"/>
      <c r="B21" s="140" t="s">
        <v>201</v>
      </c>
      <c r="C21" s="148">
        <f>'Curent Expected Cash Flow- 2025'!AA41</f>
        <v>86950.5</v>
      </c>
      <c r="D21" s="148">
        <f>'Curent Expected Cash Flow- 2025'!AB41</f>
        <v>140568.47545219638</v>
      </c>
      <c r="E21" s="148">
        <f>'Curent Expected Cash Flow- 2025'!AC41</f>
        <v>70284.237726098188</v>
      </c>
      <c r="G21" s="151">
        <f>G13+D21</f>
        <v>296005.42635658913</v>
      </c>
    </row>
    <row r="22" spans="1:13">
      <c r="A22" s="147"/>
      <c r="B22" s="140" t="s">
        <v>203</v>
      </c>
      <c r="C22" s="148">
        <f>'Curent Expected Cash Flow- 2025'!AA42</f>
        <v>136000</v>
      </c>
      <c r="D22" s="148">
        <f>'Curent Expected Cash Flow- 2025'!AB42</f>
        <v>289405.68475452199</v>
      </c>
      <c r="E22" s="148">
        <f>'Curent Expected Cash Flow- 2025'!AC42</f>
        <v>109974.16020671836</v>
      </c>
      <c r="G22" s="151">
        <f>G14+D22</f>
        <v>586717.05426356592</v>
      </c>
    </row>
    <row r="23" spans="1:13">
      <c r="A23" s="147"/>
      <c r="B23" s="140" t="s">
        <v>202</v>
      </c>
      <c r="C23" s="148">
        <f>'Curent Expected Cash Flow- 2025'!AA43</f>
        <v>3000</v>
      </c>
      <c r="D23" s="148">
        <f>'Curent Expected Cash Flow- 2025'!AB43</f>
        <v>107493.54005167959</v>
      </c>
      <c r="E23" s="148">
        <f>'Curent Expected Cash Flow- 2025'!AC43</f>
        <v>32248.062015503878</v>
      </c>
      <c r="G23" s="151">
        <f>G15+D23</f>
        <v>319480.62015503878</v>
      </c>
    </row>
    <row r="24" spans="1:13">
      <c r="A24" s="147"/>
      <c r="B24" s="140" t="s">
        <v>204</v>
      </c>
      <c r="C24" s="148">
        <f>'Curent Expected Cash Flow- 2025'!AA44</f>
        <v>0</v>
      </c>
      <c r="D24" s="148">
        <f>'Curent Expected Cash Flow- 2025'!AB44</f>
        <v>355555.55555555556</v>
      </c>
      <c r="E24" s="148">
        <f>'Curent Expected Cash Flow- 2025'!AC44</f>
        <v>17777.777777777777</v>
      </c>
      <c r="G24" s="151">
        <f>G16+D24</f>
        <v>1066666.6666666667</v>
      </c>
    </row>
    <row r="25" spans="1:13">
      <c r="A25" s="147"/>
      <c r="C25" s="148">
        <f>SUM(C21:C24)</f>
        <v>225950.5</v>
      </c>
      <c r="D25" s="148">
        <f>SUM(D21:D24)</f>
        <v>893023.25581395347</v>
      </c>
      <c r="E25" s="149">
        <f>SUM(E21:E24)</f>
        <v>230284.23772609819</v>
      </c>
    </row>
    <row r="26" spans="1:13">
      <c r="A26" s="147"/>
    </row>
    <row r="27" spans="1:13">
      <c r="A27" s="147"/>
    </row>
    <row r="28" spans="1:13">
      <c r="A28" s="145">
        <f>A20+33-DAY(A20+33)</f>
        <v>45747</v>
      </c>
      <c r="B28" s="150" t="s">
        <v>83</v>
      </c>
      <c r="C28" s="146" t="s">
        <v>207</v>
      </c>
      <c r="D28" s="146" t="s">
        <v>206</v>
      </c>
      <c r="E28" s="146" t="s">
        <v>205</v>
      </c>
      <c r="G28" s="146" t="s">
        <v>274</v>
      </c>
    </row>
    <row r="29" spans="1:13">
      <c r="A29" s="147"/>
      <c r="B29" s="140" t="s">
        <v>201</v>
      </c>
      <c r="C29" s="148">
        <f>'Curent Expected Cash Flow- 2025'!AK42</f>
        <v>116400</v>
      </c>
      <c r="D29" s="148">
        <f>'Curent Expected Cash Flow- 2025'!AL42</f>
        <v>24168.475452196377</v>
      </c>
      <c r="E29" s="148">
        <f>'Curent Expected Cash Flow- 2025'!AM42</f>
        <v>12084.237726098188</v>
      </c>
      <c r="G29" s="151">
        <f>D29+G21</f>
        <v>320173.90180878551</v>
      </c>
      <c r="M29" s="148">
        <f>'Curent Expected Cash Flow- 2025'!AU42</f>
        <v>117202.5</v>
      </c>
    </row>
    <row r="30" spans="1:13">
      <c r="A30" s="147"/>
      <c r="B30" s="140" t="s">
        <v>203</v>
      </c>
      <c r="C30" s="148">
        <f>'Curent Expected Cash Flow- 2025'!AK43</f>
        <v>150000</v>
      </c>
      <c r="D30" s="148">
        <f>'Curent Expected Cash Flow- 2025'!AL43</f>
        <v>139405.68475452199</v>
      </c>
      <c r="E30" s="148">
        <f>'Curent Expected Cash Flow- 2025'!AM43</f>
        <v>52974.160206718356</v>
      </c>
      <c r="G30" s="151">
        <f>D30+G22</f>
        <v>726122.73901808797</v>
      </c>
    </row>
    <row r="31" spans="1:13">
      <c r="A31" s="147"/>
      <c r="B31" s="140" t="s">
        <v>202</v>
      </c>
      <c r="C31" s="148">
        <f>'Curent Expected Cash Flow- 2025'!AK44</f>
        <v>10000</v>
      </c>
      <c r="D31" s="148">
        <f>'Curent Expected Cash Flow- 2025'!AL44</f>
        <v>97493.540051679593</v>
      </c>
      <c r="E31" s="148">
        <f>'Curent Expected Cash Flow- 2025'!AM44</f>
        <v>29248.062015503878</v>
      </c>
      <c r="G31" s="151">
        <f>D31+G23</f>
        <v>416974.16020671837</v>
      </c>
    </row>
    <row r="32" spans="1:13">
      <c r="A32" s="147"/>
      <c r="B32" s="140" t="s">
        <v>204</v>
      </c>
      <c r="C32" s="148">
        <f>'Curent Expected Cash Flow- 2025'!AK45</f>
        <v>30000</v>
      </c>
      <c r="D32" s="148">
        <f>'Curent Expected Cash Flow- 2025'!AL45</f>
        <v>325555.55555555556</v>
      </c>
      <c r="E32" s="148">
        <f>'Curent Expected Cash Flow- 2025'!AM45</f>
        <v>16277.777777777779</v>
      </c>
      <c r="G32" s="151">
        <f>D32+G24</f>
        <v>1392222.2222222222</v>
      </c>
    </row>
    <row r="33" spans="1:7">
      <c r="A33" s="147"/>
      <c r="C33" s="148">
        <f>SUM(C29:C32)</f>
        <v>306400</v>
      </c>
      <c r="D33" s="148">
        <f>SUM(D29:D32)</f>
        <v>586623.25581395347</v>
      </c>
      <c r="E33" s="149">
        <f>SUM(E29:E32)</f>
        <v>110584.2377260982</v>
      </c>
    </row>
    <row r="34" spans="1:7">
      <c r="A34" s="147"/>
    </row>
    <row r="35" spans="1:7">
      <c r="A35" s="147"/>
    </row>
    <row r="36" spans="1:7">
      <c r="A36" s="145">
        <f>A28+33-DAY(A28+33)</f>
        <v>45777</v>
      </c>
      <c r="B36" s="146" t="s">
        <v>227</v>
      </c>
      <c r="C36" s="146" t="s">
        <v>207</v>
      </c>
      <c r="D36" s="146" t="s">
        <v>206</v>
      </c>
      <c r="E36" s="146" t="s">
        <v>205</v>
      </c>
      <c r="G36" s="146" t="s">
        <v>274</v>
      </c>
    </row>
    <row r="37" spans="1:7">
      <c r="A37" s="147"/>
      <c r="B37" s="140" t="s">
        <v>201</v>
      </c>
      <c r="C37" s="148">
        <f>'Curent Expected Cash Flow- 2025'!AU42</f>
        <v>117202.5</v>
      </c>
      <c r="D37" s="148">
        <f>'Curent Expected Cash Flow- 2025'!AV42</f>
        <v>23365.975452196377</v>
      </c>
      <c r="E37" s="148">
        <f>'Curent Expected Cash Flow- 2025'!AW42</f>
        <v>11682.987726098188</v>
      </c>
      <c r="G37" s="151">
        <f>G29+D37</f>
        <v>343539.87726098188</v>
      </c>
    </row>
    <row r="38" spans="1:7">
      <c r="A38" s="147"/>
      <c r="B38" s="140" t="s">
        <v>203</v>
      </c>
      <c r="C38" s="148">
        <f>'Curent Expected Cash Flow- 2025'!AU43</f>
        <v>168000</v>
      </c>
      <c r="D38" s="148">
        <f>'Curent Expected Cash Flow- 2025'!AV43</f>
        <v>121405.68475452199</v>
      </c>
      <c r="E38" s="148">
        <f>'Curent Expected Cash Flow- 2025'!AW43</f>
        <v>46134.160206718356</v>
      </c>
      <c r="G38" s="151">
        <f>G30+D38</f>
        <v>847528.42377261003</v>
      </c>
    </row>
    <row r="39" spans="1:7">
      <c r="A39" s="147"/>
      <c r="B39" s="140" t="s">
        <v>202</v>
      </c>
      <c r="C39" s="148">
        <f>'Curent Expected Cash Flow- 2025'!AU44</f>
        <v>20000</v>
      </c>
      <c r="D39" s="148">
        <f>'Curent Expected Cash Flow- 2025'!AV44</f>
        <v>87493.540051679593</v>
      </c>
      <c r="E39" s="148">
        <f>'Curent Expected Cash Flow- 2025'!AW44</f>
        <v>26248.062015503878</v>
      </c>
      <c r="G39" s="151">
        <f>G31+D39</f>
        <v>504467.70025839796</v>
      </c>
    </row>
    <row r="40" spans="1:7">
      <c r="A40" s="147"/>
      <c r="B40" s="140" t="s">
        <v>204</v>
      </c>
      <c r="C40" s="148">
        <f>'Curent Expected Cash Flow- 2025'!AU45</f>
        <v>30000</v>
      </c>
      <c r="D40" s="148">
        <f>'Curent Expected Cash Flow- 2025'!AV45</f>
        <v>325555.55555555556</v>
      </c>
      <c r="E40" s="148">
        <f>'Curent Expected Cash Flow- 2025'!AW45</f>
        <v>16277.777777777779</v>
      </c>
      <c r="G40" s="151">
        <f>G32+D40</f>
        <v>1717777.7777777778</v>
      </c>
    </row>
    <row r="41" spans="1:7">
      <c r="A41" s="147"/>
      <c r="C41" s="148">
        <f>SUM(C37:C40)</f>
        <v>335202.5</v>
      </c>
      <c r="D41" s="148">
        <f>SUM(D37:D40)</f>
        <v>557820.75581395347</v>
      </c>
      <c r="E41" s="149">
        <f>SUM(E37:E40)</f>
        <v>100342.9877260982</v>
      </c>
    </row>
    <row r="42" spans="1:7">
      <c r="A42" s="147"/>
    </row>
    <row r="43" spans="1:7">
      <c r="A43" s="147"/>
    </row>
    <row r="44" spans="1:7">
      <c r="A44" s="145">
        <f>A36+33-DAY(A36+33)</f>
        <v>45808</v>
      </c>
      <c r="B44" s="150" t="s">
        <v>83</v>
      </c>
      <c r="C44" s="146" t="s">
        <v>207</v>
      </c>
      <c r="D44" s="146" t="s">
        <v>206</v>
      </c>
      <c r="E44" s="146" t="s">
        <v>205</v>
      </c>
      <c r="G44" s="146" t="s">
        <v>274</v>
      </c>
    </row>
    <row r="45" spans="1:7">
      <c r="A45" s="147"/>
      <c r="B45" s="140" t="s">
        <v>201</v>
      </c>
      <c r="C45" s="148">
        <f>'Curent Expected Cash Flow- 2025'!BE42</f>
        <v>110001</v>
      </c>
      <c r="D45" s="148">
        <f>'Curent Expected Cash Flow- 2025'!BF42</f>
        <v>30567.475452196377</v>
      </c>
      <c r="E45" s="148">
        <f>'Curent Expected Cash Flow- 2025'!BG42</f>
        <v>15283.737726098188</v>
      </c>
      <c r="G45" s="151">
        <f>G37+D45</f>
        <v>374107.35271317826</v>
      </c>
    </row>
    <row r="46" spans="1:7">
      <c r="A46" s="147"/>
      <c r="B46" s="140" t="s">
        <v>203</v>
      </c>
      <c r="C46" s="148">
        <f>'Curent Expected Cash Flow- 2025'!BE43</f>
        <v>156000</v>
      </c>
      <c r="D46" s="148">
        <f>'Curent Expected Cash Flow- 2025'!BF43</f>
        <v>133405.68475452199</v>
      </c>
      <c r="E46" s="148">
        <f>'Curent Expected Cash Flow- 2025'!BG43</f>
        <v>50694.160206718356</v>
      </c>
      <c r="G46" s="151">
        <f>G38+D46</f>
        <v>980934.10852713208</v>
      </c>
    </row>
    <row r="47" spans="1:7">
      <c r="A47" s="147"/>
      <c r="B47" s="140" t="s">
        <v>202</v>
      </c>
      <c r="C47" s="148">
        <f>'Curent Expected Cash Flow- 2025'!BE44</f>
        <v>30000</v>
      </c>
      <c r="D47" s="148">
        <f>'Curent Expected Cash Flow- 2025'!BF44</f>
        <v>77493.540051679593</v>
      </c>
      <c r="E47" s="148">
        <f>'Curent Expected Cash Flow- 2025'!BG44</f>
        <v>23248.062015503878</v>
      </c>
      <c r="G47" s="151">
        <f>G39+D47</f>
        <v>581961.24031007756</v>
      </c>
    </row>
    <row r="48" spans="1:7">
      <c r="A48" s="147"/>
      <c r="B48" s="140" t="s">
        <v>204</v>
      </c>
      <c r="C48" s="148">
        <f>'Curent Expected Cash Flow- 2025'!BE45</f>
        <v>30000</v>
      </c>
      <c r="D48" s="148">
        <f>'Curent Expected Cash Flow- 2025'!BF45</f>
        <v>325555.55555555556</v>
      </c>
      <c r="E48" s="148">
        <f>'Curent Expected Cash Flow- 2025'!BG45</f>
        <v>16277.777777777779</v>
      </c>
      <c r="G48" s="151">
        <f>G40+D48</f>
        <v>2043333.3333333333</v>
      </c>
    </row>
    <row r="49" spans="1:8">
      <c r="A49" s="147"/>
      <c r="C49" s="148">
        <f>SUM(C45:C48)</f>
        <v>326001</v>
      </c>
      <c r="D49" s="148">
        <f>SUM(D45:D48)</f>
        <v>567022.25581395347</v>
      </c>
      <c r="E49" s="149">
        <f>SUM(E45:E48)</f>
        <v>105503.7377260982</v>
      </c>
    </row>
    <row r="50" spans="1:8">
      <c r="A50" s="147"/>
    </row>
    <row r="51" spans="1:8">
      <c r="A51" s="147"/>
    </row>
    <row r="52" spans="1:8">
      <c r="A52" s="145">
        <f>A44+33-DAY(A44+33)</f>
        <v>45838</v>
      </c>
      <c r="B52" s="150" t="s">
        <v>83</v>
      </c>
      <c r="C52" s="150" t="s">
        <v>207</v>
      </c>
      <c r="D52" s="150" t="s">
        <v>206</v>
      </c>
      <c r="E52" s="150" t="s">
        <v>205</v>
      </c>
      <c r="F52" s="152"/>
      <c r="G52" s="150" t="s">
        <v>274</v>
      </c>
    </row>
    <row r="53" spans="1:8">
      <c r="A53" s="147"/>
      <c r="B53" s="153" t="s">
        <v>201</v>
      </c>
      <c r="C53" s="148">
        <f>'Curent Expected Cash Flow- 2025'!BO41</f>
        <v>110000</v>
      </c>
      <c r="D53" s="148">
        <f>'Curent Expected Cash Flow- 2025'!BP41</f>
        <v>30568.475452196377</v>
      </c>
      <c r="E53" s="148">
        <f>'Curent Expected Cash Flow- 2025'!BQ41</f>
        <v>15284.237726098188</v>
      </c>
      <c r="F53" s="152"/>
      <c r="G53" s="151">
        <f>G45+D53</f>
        <v>404675.82816537464</v>
      </c>
    </row>
    <row r="54" spans="1:8">
      <c r="A54" s="147"/>
      <c r="B54" s="153" t="s">
        <v>203</v>
      </c>
      <c r="C54" s="148">
        <f>'Curent Expected Cash Flow- 2025'!BO42</f>
        <v>210000</v>
      </c>
      <c r="D54" s="148">
        <f>'Curent Expected Cash Flow- 2025'!BP42</f>
        <v>79405.684754521993</v>
      </c>
      <c r="E54" s="148">
        <f>'Curent Expected Cash Flow- 2025'!BQ42</f>
        <v>30174.160206718359</v>
      </c>
      <c r="F54" s="152"/>
      <c r="G54" s="151">
        <f>G46+D54</f>
        <v>1060339.7932816541</v>
      </c>
    </row>
    <row r="55" spans="1:8">
      <c r="A55" s="147"/>
      <c r="B55" s="153" t="s">
        <v>202</v>
      </c>
      <c r="C55" s="148">
        <f>'Curent Expected Cash Flow- 2025'!BO43</f>
        <v>30000</v>
      </c>
      <c r="D55" s="148">
        <f>'Curent Expected Cash Flow- 2025'!BP43</f>
        <v>77493.540051679593</v>
      </c>
      <c r="E55" s="148">
        <f>'Curent Expected Cash Flow- 2025'!BQ43</f>
        <v>23248.062015503878</v>
      </c>
      <c r="F55" s="152"/>
      <c r="G55" s="151">
        <f>G47+D55</f>
        <v>659454.78036175715</v>
      </c>
    </row>
    <row r="56" spans="1:8">
      <c r="A56" s="147"/>
      <c r="B56" s="153" t="s">
        <v>204</v>
      </c>
      <c r="C56" s="148">
        <f>'Curent Expected Cash Flow- 2025'!BO44</f>
        <v>30000</v>
      </c>
      <c r="D56" s="148">
        <f>'Curent Expected Cash Flow- 2025'!BP44</f>
        <v>325555.55555555556</v>
      </c>
      <c r="E56" s="148">
        <f>'Curent Expected Cash Flow- 2025'!BQ44</f>
        <v>16277.777777777779</v>
      </c>
      <c r="F56" s="152"/>
      <c r="G56" s="151">
        <f>G48+D56</f>
        <v>2368888.888888889</v>
      </c>
    </row>
    <row r="57" spans="1:8">
      <c r="A57" s="147"/>
      <c r="B57" s="153"/>
      <c r="C57" s="148">
        <f>SUM(C53:C56)</f>
        <v>380000</v>
      </c>
      <c r="D57" s="148">
        <f>SUM(D53:D56)</f>
        <v>513023.25581395352</v>
      </c>
      <c r="E57" s="154">
        <f>SUM(E53:E56)</f>
        <v>84984.237726098203</v>
      </c>
      <c r="F57" s="152"/>
    </row>
    <row r="58" spans="1:8">
      <c r="A58" s="147"/>
    </row>
    <row r="59" spans="1:8">
      <c r="A59" s="147"/>
    </row>
    <row r="60" spans="1:8">
      <c r="A60" s="145">
        <f>A52+33-DAY(A52+33)</f>
        <v>45869</v>
      </c>
      <c r="B60" s="150" t="s">
        <v>83</v>
      </c>
      <c r="C60" s="150" t="s">
        <v>207</v>
      </c>
      <c r="D60" s="150" t="s">
        <v>206</v>
      </c>
      <c r="E60" s="150" t="s">
        <v>205</v>
      </c>
      <c r="F60" s="152"/>
      <c r="G60" s="150" t="s">
        <v>274</v>
      </c>
      <c r="H60" s="150" t="s">
        <v>214</v>
      </c>
    </row>
    <row r="61" spans="1:8">
      <c r="A61" s="147"/>
      <c r="B61" s="153" t="s">
        <v>201</v>
      </c>
      <c r="C61" s="148">
        <f>'Curent Expected Cash Flow- 2025'!BY42</f>
        <v>110000</v>
      </c>
      <c r="D61" s="148">
        <f>'Curent Expected Cash Flow- 2025'!BZ42</f>
        <v>30568.475452196377</v>
      </c>
      <c r="E61" s="148">
        <f>'Curent Expected Cash Flow- 2025'!CA42</f>
        <v>15284.237726098188</v>
      </c>
      <c r="F61" s="152"/>
      <c r="G61" s="151">
        <f>D61+G53</f>
        <v>435244.30361757101</v>
      </c>
      <c r="H61" s="148">
        <f>'Curent Expected Cash Flow- 2025'!CD42</f>
        <v>217622.15180878551</v>
      </c>
    </row>
    <row r="62" spans="1:8">
      <c r="A62" s="147"/>
      <c r="B62" s="153" t="s">
        <v>203</v>
      </c>
      <c r="C62" s="148">
        <f>'Curent Expected Cash Flow- 2025'!BY43</f>
        <v>198000</v>
      </c>
      <c r="D62" s="148">
        <f>'Curent Expected Cash Flow- 2025'!BZ43</f>
        <v>91405.684754521993</v>
      </c>
      <c r="E62" s="148">
        <f>'Curent Expected Cash Flow- 2025'!CA43</f>
        <v>34734.160206718356</v>
      </c>
      <c r="F62" s="152"/>
      <c r="G62" s="151">
        <f>D62+G54</f>
        <v>1151745.4780361762</v>
      </c>
      <c r="H62" s="148">
        <f>'Curent Expected Cash Flow- 2025'!CD43</f>
        <v>437663.28165374696</v>
      </c>
    </row>
    <row r="63" spans="1:8">
      <c r="A63" s="147"/>
      <c r="B63" s="153" t="s">
        <v>202</v>
      </c>
      <c r="C63" s="148">
        <f>'Curent Expected Cash Flow- 2025'!BY44</f>
        <v>20000</v>
      </c>
      <c r="D63" s="148">
        <f>'Curent Expected Cash Flow- 2025'!BZ44</f>
        <v>87493.540051679593</v>
      </c>
      <c r="E63" s="148">
        <f>'Curent Expected Cash Flow- 2025'!CA44</f>
        <v>26248.062015503878</v>
      </c>
      <c r="F63" s="152"/>
      <c r="G63" s="151">
        <f>D63+G55</f>
        <v>746948.32041343674</v>
      </c>
      <c r="H63" s="148">
        <f>'Curent Expected Cash Flow- 2025'!CD44</f>
        <v>224084.49612403102</v>
      </c>
    </row>
    <row r="64" spans="1:8">
      <c r="A64" s="147"/>
      <c r="B64" s="153" t="s">
        <v>204</v>
      </c>
      <c r="C64" s="148">
        <f>'Curent Expected Cash Flow- 2025'!BY45</f>
        <v>30000</v>
      </c>
      <c r="D64" s="148">
        <f>'Curent Expected Cash Flow- 2025'!BZ45</f>
        <v>325555.55555555556</v>
      </c>
      <c r="E64" s="148">
        <f>'Curent Expected Cash Flow- 2025'!CA45</f>
        <v>16277.777777777779</v>
      </c>
      <c r="F64" s="152"/>
      <c r="G64" s="151">
        <f>D64+G56</f>
        <v>2694444.4444444445</v>
      </c>
      <c r="H64" s="148">
        <f>'Curent Expected Cash Flow- 2025'!CD45</f>
        <v>134722.22222222222</v>
      </c>
    </row>
    <row r="65" spans="1:16">
      <c r="A65" s="147"/>
      <c r="B65" s="153"/>
      <c r="C65" s="148">
        <f>SUM(C61:C64)</f>
        <v>358000</v>
      </c>
      <c r="D65" s="148">
        <f>SUM(D61:D64)</f>
        <v>535023.25581395347</v>
      </c>
      <c r="E65" s="154">
        <f>SUM(E61:E64)</f>
        <v>92544.237726098203</v>
      </c>
      <c r="F65" s="152"/>
      <c r="H65" s="155">
        <f>SUM(H61:H64)</f>
        <v>1014092.1518087857</v>
      </c>
    </row>
    <row r="66" spans="1:16">
      <c r="A66" s="147"/>
    </row>
    <row r="67" spans="1:16">
      <c r="A67" s="147"/>
    </row>
    <row r="68" spans="1:16">
      <c r="A68" s="145">
        <f>A60</f>
        <v>45869</v>
      </c>
      <c r="B68" s="150" t="s">
        <v>83</v>
      </c>
      <c r="C68" s="150" t="s">
        <v>207</v>
      </c>
      <c r="D68" s="150" t="s">
        <v>206</v>
      </c>
      <c r="E68" s="150" t="s">
        <v>205</v>
      </c>
      <c r="F68" s="152"/>
      <c r="G68" s="150" t="s">
        <v>274</v>
      </c>
      <c r="H68" s="150" t="s">
        <v>214</v>
      </c>
    </row>
    <row r="69" spans="1:16">
      <c r="B69" s="153" t="s">
        <v>201</v>
      </c>
      <c r="C69" s="148">
        <f>'Curent Expected Cash Flow- 2025'!CI41</f>
        <v>91150</v>
      </c>
      <c r="D69" s="148">
        <f>'Curent Expected Cash Flow- 2025'!CJ41</f>
        <v>19072.849999999999</v>
      </c>
      <c r="E69" s="148">
        <f>'Curent Expected Cash Flow- 2025'!CK41</f>
        <v>9536.4249999999993</v>
      </c>
      <c r="F69" s="152"/>
      <c r="G69" s="151">
        <f>G61+D69</f>
        <v>454317.15361757099</v>
      </c>
      <c r="H69" s="148">
        <f>'Curent Expected Cash Flow- 2025'!CN41</f>
        <v>227158.5768087855</v>
      </c>
      <c r="L69" s="148" t="str">
        <f>'Curent Expected Cash Flow- 2025'!CR42</f>
        <v>Lb Fiber sold</v>
      </c>
      <c r="N69" s="148">
        <f>'Curent Expected Cash Flow- 2025'!CT42</f>
        <v>19418.475452196377</v>
      </c>
      <c r="O69" s="148">
        <f>'Curent Expected Cash Flow- 2025'!CU42</f>
        <v>9709.2377260981884</v>
      </c>
      <c r="P69" s="148">
        <f>'Curent Expected Cash Flow- 2025'!CV42</f>
        <v>0</v>
      </c>
    </row>
    <row r="70" spans="1:16">
      <c r="B70" s="153" t="s">
        <v>203</v>
      </c>
      <c r="C70" s="148">
        <f>'Curent Expected Cash Flow- 2025'!CI42</f>
        <v>198000</v>
      </c>
      <c r="D70" s="148">
        <f>'Curent Expected Cash Flow- 2025'!CJ42</f>
        <v>91405.684754521993</v>
      </c>
      <c r="E70" s="148">
        <f>'Curent Expected Cash Flow- 2025'!CK42</f>
        <v>34734.160206718356</v>
      </c>
      <c r="F70" s="152"/>
      <c r="G70" s="151">
        <f>G62+D70</f>
        <v>1243151.1627906982</v>
      </c>
      <c r="H70" s="148">
        <f>'Curent Expected Cash Flow- 2025'!CN42</f>
        <v>472397.44186046533</v>
      </c>
    </row>
    <row r="71" spans="1:16">
      <c r="B71" s="153" t="s">
        <v>202</v>
      </c>
      <c r="C71" s="148">
        <f>'Curent Expected Cash Flow- 2025'!CI43</f>
        <v>50000</v>
      </c>
      <c r="D71" s="148">
        <f>'Curent Expected Cash Flow- 2025'!CJ43</f>
        <v>57493.540051679593</v>
      </c>
      <c r="E71" s="148">
        <f>'Curent Expected Cash Flow- 2025'!CK43</f>
        <v>17248.062015503878</v>
      </c>
      <c r="F71" s="152"/>
      <c r="G71" s="151">
        <f>G63+D71</f>
        <v>804441.86046511633</v>
      </c>
      <c r="H71" s="148">
        <f>'Curent Expected Cash Flow- 2025'!CN43</f>
        <v>241332.5581395349</v>
      </c>
    </row>
    <row r="72" spans="1:16">
      <c r="B72" s="153" t="s">
        <v>204</v>
      </c>
      <c r="C72" s="148">
        <f>'Curent Expected Cash Flow- 2025'!CI44</f>
        <v>30000</v>
      </c>
      <c r="D72" s="148">
        <f>'Curent Expected Cash Flow- 2025'!CJ44</f>
        <v>325555.55555555556</v>
      </c>
      <c r="E72" s="148">
        <f>'Curent Expected Cash Flow- 2025'!CK44</f>
        <v>16277.777777777779</v>
      </c>
      <c r="F72" s="152"/>
      <c r="G72" s="151">
        <f>G64+D72</f>
        <v>3020000</v>
      </c>
      <c r="H72" s="148">
        <f>'Curent Expected Cash Flow- 2025'!CN44</f>
        <v>151000</v>
      </c>
    </row>
    <row r="73" spans="1:16">
      <c r="B73" s="153"/>
      <c r="C73" s="148">
        <f>SUM(C69:C72)</f>
        <v>369150</v>
      </c>
      <c r="D73" s="148">
        <f>SUM(D69:D72)</f>
        <v>493527.63036175712</v>
      </c>
      <c r="E73" s="154">
        <f>SUM(E69:E72)</f>
        <v>77796.425000000017</v>
      </c>
      <c r="F73" s="152"/>
      <c r="H73" s="155">
        <f>SUM(H69:H72)</f>
        <v>1091888.5768087858</v>
      </c>
    </row>
    <row r="76" spans="1:16">
      <c r="A76" s="145">
        <f>A60+33-DAY(A60+33)</f>
        <v>45900</v>
      </c>
      <c r="B76" s="150" t="s">
        <v>83</v>
      </c>
      <c r="C76" s="150" t="s">
        <v>207</v>
      </c>
      <c r="D76" s="150" t="s">
        <v>206</v>
      </c>
      <c r="E76" s="150" t="s">
        <v>205</v>
      </c>
      <c r="F76" s="152"/>
      <c r="G76" s="150" t="s">
        <v>274</v>
      </c>
      <c r="H76" s="150" t="s">
        <v>214</v>
      </c>
    </row>
    <row r="77" spans="1:16">
      <c r="A77" s="147"/>
      <c r="B77" s="153" t="s">
        <v>201</v>
      </c>
      <c r="C77" s="148">
        <f>'Curent Expected Cash Flow- 2025'!CS42</f>
        <v>121150</v>
      </c>
      <c r="D77" s="148">
        <f>'Curent Expected Cash Flow- 2025'!CT42</f>
        <v>19418.475452196377</v>
      </c>
      <c r="E77" s="148">
        <f>'Curent Expected Cash Flow- 2025'!CU42</f>
        <v>9709.2377260981884</v>
      </c>
      <c r="F77" s="152"/>
      <c r="G77" s="151">
        <f>G69+D77</f>
        <v>473735.62906976737</v>
      </c>
      <c r="H77" s="155">
        <f>G77*'Curent Expected Cash Flow- 2025'!$C$11</f>
        <v>236867.81453488368</v>
      </c>
    </row>
    <row r="78" spans="1:16">
      <c r="A78" s="147"/>
      <c r="B78" s="153" t="s">
        <v>203</v>
      </c>
      <c r="C78" s="148">
        <f>'Curent Expected Cash Flow- 2025'!CS43</f>
        <v>198000</v>
      </c>
      <c r="D78" s="148">
        <f>'Curent Expected Cash Flow- 2025'!CT43</f>
        <v>91405.684754521993</v>
      </c>
      <c r="E78" s="148">
        <f>'Curent Expected Cash Flow- 2025'!CU43</f>
        <v>34734.160206718356</v>
      </c>
      <c r="F78" s="152"/>
      <c r="G78" s="151">
        <f>G70+D78</f>
        <v>1334556.8475452203</v>
      </c>
      <c r="H78" s="155">
        <f>G78*'Curent Expected Cash Flow- 2025'!$C$12</f>
        <v>507131.6020671837</v>
      </c>
    </row>
    <row r="79" spans="1:16">
      <c r="A79" s="147"/>
      <c r="B79" s="153" t="s">
        <v>202</v>
      </c>
      <c r="C79" s="148">
        <f>'Curent Expected Cash Flow- 2025'!CS44</f>
        <v>50000</v>
      </c>
      <c r="D79" s="148">
        <f>'Curent Expected Cash Flow- 2025'!CT44</f>
        <v>57493.540051679593</v>
      </c>
      <c r="E79" s="148">
        <f>'Curent Expected Cash Flow- 2025'!CU44</f>
        <v>17248.062015503878</v>
      </c>
      <c r="F79" s="152"/>
      <c r="G79" s="151">
        <f>G71+D79</f>
        <v>861935.40051679593</v>
      </c>
      <c r="H79" s="155">
        <f>G79*'Curent Expected Cash Flow- 2025'!$C$13</f>
        <v>258580.62015503878</v>
      </c>
    </row>
    <row r="80" spans="1:16">
      <c r="A80" s="147"/>
      <c r="B80" s="153" t="s">
        <v>204</v>
      </c>
      <c r="C80" s="148">
        <f>'Curent Expected Cash Flow- 2025'!CS45</f>
        <v>30000</v>
      </c>
      <c r="D80" s="148">
        <f>'Curent Expected Cash Flow- 2025'!CT45</f>
        <v>325555.55555555556</v>
      </c>
      <c r="E80" s="148">
        <f>'Curent Expected Cash Flow- 2025'!CU45</f>
        <v>16277.777777777779</v>
      </c>
      <c r="F80" s="152"/>
      <c r="G80" s="151">
        <f>G72+D80</f>
        <v>3345555.5555555555</v>
      </c>
      <c r="H80" s="155">
        <f>G80*'Curent Expected Cash Flow- 2025'!$C$14</f>
        <v>167277.77777777778</v>
      </c>
    </row>
    <row r="81" spans="1:8">
      <c r="A81" s="147"/>
      <c r="B81" s="153"/>
      <c r="C81" s="148">
        <f>SUM(C77:C80)</f>
        <v>399150</v>
      </c>
      <c r="D81" s="148">
        <f>SUM(D77:D80)</f>
        <v>493873.25581395352</v>
      </c>
      <c r="E81" s="154">
        <f>SUM(E77:E80)</f>
        <v>77969.237726098203</v>
      </c>
      <c r="F81" s="152"/>
      <c r="H81" s="155">
        <f>SUM(H77:H80)</f>
        <v>1169857.8145348839</v>
      </c>
    </row>
    <row r="82" spans="1:8">
      <c r="A82" s="147"/>
    </row>
    <row r="83" spans="1:8">
      <c r="A83" s="147"/>
    </row>
    <row r="84" spans="1:8">
      <c r="A84" s="145">
        <f>A76+33-DAY(A76+33)</f>
        <v>45930</v>
      </c>
      <c r="B84" s="150" t="s">
        <v>83</v>
      </c>
      <c r="C84" s="150" t="s">
        <v>207</v>
      </c>
      <c r="D84" s="150" t="s">
        <v>206</v>
      </c>
      <c r="E84" s="150" t="s">
        <v>205</v>
      </c>
      <c r="F84" s="152"/>
      <c r="G84" s="150" t="s">
        <v>274</v>
      </c>
      <c r="H84" s="150" t="s">
        <v>214</v>
      </c>
    </row>
    <row r="85" spans="1:8">
      <c r="B85" s="153" t="s">
        <v>201</v>
      </c>
      <c r="C85" s="148">
        <f>'Curent Expected Cash Flow- 2025'!DC42</f>
        <v>121150</v>
      </c>
      <c r="D85" s="148">
        <f>'Curent Expected Cash Flow- 2025'!DD42</f>
        <v>19072.849999999999</v>
      </c>
      <c r="E85" s="148">
        <f>'Curent Expected Cash Flow- 2025'!DE42</f>
        <v>9536.4249999999993</v>
      </c>
      <c r="F85" s="152"/>
      <c r="G85" s="151">
        <f>G77+D85</f>
        <v>492808.47906976735</v>
      </c>
      <c r="H85" s="155">
        <f>G85*'Curent Expected Cash Flow- 2025'!$C$11</f>
        <v>246404.23953488367</v>
      </c>
    </row>
    <row r="86" spans="1:8">
      <c r="B86" s="153" t="s">
        <v>203</v>
      </c>
      <c r="C86" s="148">
        <f>'Curent Expected Cash Flow- 2025'!DC43</f>
        <v>198000</v>
      </c>
      <c r="D86" s="148">
        <f>'Curent Expected Cash Flow- 2025'!DD43</f>
        <v>91405.684754521993</v>
      </c>
      <c r="E86" s="148">
        <f>'Curent Expected Cash Flow- 2025'!DE43</f>
        <v>34734.160206718356</v>
      </c>
      <c r="F86" s="152"/>
      <c r="G86" s="151">
        <f>G78+D86</f>
        <v>1425962.5322997423</v>
      </c>
      <c r="H86" s="155">
        <f>G86*'Curent Expected Cash Flow- 2025'!$C$12</f>
        <v>541865.76227390207</v>
      </c>
    </row>
    <row r="87" spans="1:8">
      <c r="B87" s="153" t="s">
        <v>202</v>
      </c>
      <c r="C87" s="148">
        <f>'Curent Expected Cash Flow- 2025'!DC44</f>
        <v>50000</v>
      </c>
      <c r="D87" s="148">
        <f>'Curent Expected Cash Flow- 2025'!DD44</f>
        <v>-49986</v>
      </c>
      <c r="E87" s="148">
        <f>'Curent Expected Cash Flow- 2025'!DE44</f>
        <v>-14995.8</v>
      </c>
      <c r="F87" s="152"/>
      <c r="G87" s="151">
        <f>G79+D87</f>
        <v>811949.40051679593</v>
      </c>
      <c r="H87" s="155">
        <f>G87*'Curent Expected Cash Flow- 2025'!$C$13</f>
        <v>243584.82015503876</v>
      </c>
    </row>
    <row r="88" spans="1:8">
      <c r="B88" s="153" t="s">
        <v>204</v>
      </c>
      <c r="C88" s="148">
        <f>'Curent Expected Cash Flow- 2025'!DC45</f>
        <v>30000</v>
      </c>
      <c r="D88" s="148">
        <f>'Curent Expected Cash Flow- 2025'!DD45</f>
        <v>-29992.5</v>
      </c>
      <c r="E88" s="148">
        <f>'Curent Expected Cash Flow- 2025'!DE45</f>
        <v>-1499.625</v>
      </c>
      <c r="F88" s="152"/>
      <c r="G88" s="151">
        <f>G80+D88</f>
        <v>3315563.0555555555</v>
      </c>
      <c r="H88" s="155">
        <f>G88*'Curent Expected Cash Flow- 2025'!$C$14</f>
        <v>165778.15277777778</v>
      </c>
    </row>
    <row r="89" spans="1:8">
      <c r="B89" s="153"/>
      <c r="C89" s="148">
        <f>SUM(C85:C88)</f>
        <v>399150</v>
      </c>
      <c r="D89" s="148">
        <f>SUM(D85:D88)</f>
        <v>30500.034754521999</v>
      </c>
      <c r="E89" s="154">
        <f>SUM(E85:E88)</f>
        <v>27775.160206718359</v>
      </c>
      <c r="F89" s="152"/>
      <c r="H89" s="155">
        <f>SUM(H85:H88)</f>
        <v>1197632.9747416023</v>
      </c>
    </row>
    <row r="92" spans="1:8">
      <c r="A92" s="145">
        <f>A84+33-DAY(A84+33)</f>
        <v>45961</v>
      </c>
      <c r="B92" s="150" t="s">
        <v>83</v>
      </c>
      <c r="C92" s="150" t="s">
        <v>207</v>
      </c>
      <c r="D92" s="150" t="s">
        <v>206</v>
      </c>
      <c r="E92" s="150" t="s">
        <v>205</v>
      </c>
      <c r="F92" s="152"/>
      <c r="G92" s="150" t="s">
        <v>274</v>
      </c>
      <c r="H92" s="150" t="s">
        <v>214</v>
      </c>
    </row>
    <row r="93" spans="1:8">
      <c r="A93" s="147"/>
      <c r="B93" s="153" t="s">
        <v>201</v>
      </c>
      <c r="C93" s="148">
        <f>'Curent Expected Cash Flow- 2025'!DM42</f>
        <v>121150</v>
      </c>
      <c r="D93" s="148">
        <f>'Curent Expected Cash Flow- 2025'!DN42</f>
        <v>19418.475452196377</v>
      </c>
      <c r="E93" s="148">
        <f>'Curent Expected Cash Flow- 2025'!DO42</f>
        <v>9709.2377260981884</v>
      </c>
      <c r="F93" s="152"/>
      <c r="G93" s="151">
        <f>G85+D93</f>
        <v>512226.95452196372</v>
      </c>
      <c r="H93" s="155">
        <f>G93*'Curent Expected Cash Flow- 2025'!$C$11</f>
        <v>256113.47726098186</v>
      </c>
    </row>
    <row r="94" spans="1:8">
      <c r="A94" s="147"/>
      <c r="B94" s="153" t="s">
        <v>203</v>
      </c>
      <c r="C94" s="148">
        <f>'Curent Expected Cash Flow- 2025'!DM43</f>
        <v>198000</v>
      </c>
      <c r="D94" s="148">
        <f>'Curent Expected Cash Flow- 2025'!DN43</f>
        <v>91405.684754521993</v>
      </c>
      <c r="E94" s="148">
        <f>'Curent Expected Cash Flow- 2025'!DO43</f>
        <v>34734.160206718356</v>
      </c>
      <c r="F94" s="152"/>
      <c r="G94" s="151">
        <f>G86+D94</f>
        <v>1517368.2170542644</v>
      </c>
      <c r="H94" s="155">
        <f>G94*'Curent Expected Cash Flow- 2025'!$C$12</f>
        <v>576599.92248062044</v>
      </c>
    </row>
    <row r="95" spans="1:8">
      <c r="A95" s="147"/>
      <c r="B95" s="153" t="s">
        <v>202</v>
      </c>
      <c r="C95" s="148">
        <f>'Curent Expected Cash Flow- 2025'!DM44</f>
        <v>50000</v>
      </c>
      <c r="D95" s="148">
        <f>'Curent Expected Cash Flow- 2025'!DN44</f>
        <v>57493.540051679593</v>
      </c>
      <c r="E95" s="148">
        <f>'Curent Expected Cash Flow- 2025'!DO44</f>
        <v>17248.062015503878</v>
      </c>
      <c r="F95" s="152"/>
      <c r="G95" s="151">
        <f>G87+D95</f>
        <v>869442.94056847552</v>
      </c>
      <c r="H95" s="155">
        <f>G95*'Curent Expected Cash Flow- 2025'!$C$13</f>
        <v>260832.88217054264</v>
      </c>
    </row>
    <row r="96" spans="1:8">
      <c r="A96" s="147"/>
      <c r="B96" s="153" t="s">
        <v>204</v>
      </c>
      <c r="C96" s="148">
        <f>'Curent Expected Cash Flow- 2025'!DM45</f>
        <v>30000</v>
      </c>
      <c r="D96" s="148">
        <f>'Curent Expected Cash Flow- 2025'!DN45</f>
        <v>325555.55555555556</v>
      </c>
      <c r="E96" s="148">
        <f>'Curent Expected Cash Flow- 2025'!DO45</f>
        <v>16277.777777777779</v>
      </c>
      <c r="F96" s="152"/>
      <c r="G96" s="151">
        <f>G88+D96</f>
        <v>3641118.611111111</v>
      </c>
      <c r="H96" s="155">
        <f>G96*'Curent Expected Cash Flow- 2025'!$C$14</f>
        <v>182055.93055555556</v>
      </c>
    </row>
    <row r="97" spans="1:10">
      <c r="A97" s="147"/>
      <c r="B97" s="153"/>
      <c r="C97" s="148">
        <f>SUM(C93:C96)</f>
        <v>399150</v>
      </c>
      <c r="D97" s="148">
        <f>SUM(D93:D96)</f>
        <v>493873.25581395352</v>
      </c>
      <c r="E97" s="154">
        <f>SUM(E93:E96)</f>
        <v>77969.237726098203</v>
      </c>
      <c r="F97" s="152"/>
      <c r="H97" s="155">
        <f>SUM(H93:H96)</f>
        <v>1275602.2124677005</v>
      </c>
    </row>
    <row r="98" spans="1:10">
      <c r="A98" s="147"/>
    </row>
    <row r="99" spans="1:10">
      <c r="A99" s="147"/>
    </row>
    <row r="100" spans="1:10">
      <c r="A100" s="145">
        <f>A92+33-DAY(A92+33)</f>
        <v>45991</v>
      </c>
      <c r="B100" s="156" t="s">
        <v>83</v>
      </c>
      <c r="C100" s="156" t="s">
        <v>207</v>
      </c>
      <c r="D100" s="156" t="s">
        <v>206</v>
      </c>
      <c r="E100" s="156" t="s">
        <v>205</v>
      </c>
      <c r="F100" s="154"/>
      <c r="G100" s="156" t="s">
        <v>274</v>
      </c>
      <c r="H100" s="156" t="s">
        <v>214</v>
      </c>
      <c r="I100" s="153"/>
      <c r="J100" s="153"/>
    </row>
    <row r="101" spans="1:10">
      <c r="A101" s="147"/>
      <c r="B101" s="153" t="s">
        <v>201</v>
      </c>
      <c r="C101" s="148">
        <f>'Curent Expected Cash Flow- 2025'!DW42</f>
        <v>91150</v>
      </c>
      <c r="D101" s="148">
        <f>'Curent Expected Cash Flow- 2025'!DX42</f>
        <v>49418.475452196377</v>
      </c>
      <c r="E101" s="148">
        <f>'Curent Expected Cash Flow- 2025'!DY42</f>
        <v>24709.237726098188</v>
      </c>
      <c r="F101" s="154"/>
      <c r="G101" s="157">
        <f>D101+G93</f>
        <v>561645.42997416016</v>
      </c>
      <c r="H101" s="155">
        <f>G101*'Curent Expected Cash Flow- 2025'!$C$11</f>
        <v>280822.71498708008</v>
      </c>
      <c r="I101" s="153"/>
      <c r="J101" s="153"/>
    </row>
    <row r="102" spans="1:10">
      <c r="A102" s="147"/>
      <c r="B102" s="153" t="s">
        <v>203</v>
      </c>
      <c r="C102" s="148">
        <f>'Curent Expected Cash Flow- 2025'!DW43</f>
        <v>198000</v>
      </c>
      <c r="D102" s="148">
        <f>'Curent Expected Cash Flow- 2025'!DX43</f>
        <v>91405.684754521993</v>
      </c>
      <c r="E102" s="148">
        <f>'Curent Expected Cash Flow- 2025'!DY43</f>
        <v>34734.160206718356</v>
      </c>
      <c r="F102" s="154"/>
      <c r="G102" s="157">
        <f>D102+G94</f>
        <v>1608773.9018087864</v>
      </c>
      <c r="H102" s="155">
        <f>G102*'Curent Expected Cash Flow- 2025'!$C$12</f>
        <v>611334.08268733881</v>
      </c>
      <c r="I102" s="153"/>
      <c r="J102" s="153"/>
    </row>
    <row r="103" spans="1:10">
      <c r="A103" s="147"/>
      <c r="B103" s="153" t="s">
        <v>202</v>
      </c>
      <c r="C103" s="148">
        <f>'Curent Expected Cash Flow- 2025'!DW44</f>
        <v>50000</v>
      </c>
      <c r="D103" s="148">
        <f>'Curent Expected Cash Flow- 2025'!DX44</f>
        <v>57493.540051679593</v>
      </c>
      <c r="E103" s="148">
        <f>'Curent Expected Cash Flow- 2025'!DY44</f>
        <v>17248.062015503878</v>
      </c>
      <c r="F103" s="154"/>
      <c r="G103" s="157">
        <f>D103+G95</f>
        <v>926936.48062015511</v>
      </c>
      <c r="H103" s="155">
        <f>G103*'Curent Expected Cash Flow- 2025'!$C$13</f>
        <v>278080.94418604654</v>
      </c>
      <c r="I103" s="153"/>
      <c r="J103" s="153"/>
    </row>
    <row r="104" spans="1:10">
      <c r="A104" s="147"/>
      <c r="B104" s="153" t="s">
        <v>204</v>
      </c>
      <c r="C104" s="148">
        <f>'Curent Expected Cash Flow- 2025'!DW45</f>
        <v>30000</v>
      </c>
      <c r="D104" s="148">
        <f>'Curent Expected Cash Flow- 2025'!DX45</f>
        <v>325555.55555555556</v>
      </c>
      <c r="E104" s="148">
        <f>'Curent Expected Cash Flow- 2025'!DY45</f>
        <v>16277.777777777779</v>
      </c>
      <c r="F104" s="154"/>
      <c r="G104" s="157">
        <f>D104+G96</f>
        <v>3966674.1666666665</v>
      </c>
      <c r="H104" s="155">
        <f>G104*'Curent Expected Cash Flow- 2025'!$C$14</f>
        <v>198333.70833333334</v>
      </c>
      <c r="I104" s="153"/>
      <c r="J104" s="153"/>
    </row>
    <row r="105" spans="1:10">
      <c r="A105" s="147"/>
      <c r="B105" s="153"/>
      <c r="C105" s="148">
        <f>SUM(C101:C104)</f>
        <v>369150</v>
      </c>
      <c r="D105" s="148">
        <f>SUM(D101:D104)</f>
        <v>523873.25581395352</v>
      </c>
      <c r="E105" s="154">
        <f>SUM(E101:E104)</f>
        <v>92969.237726098203</v>
      </c>
      <c r="F105" s="154"/>
      <c r="G105" s="153"/>
      <c r="H105" s="155">
        <f>SUM(H101:H104)</f>
        <v>1368571.4501937986</v>
      </c>
      <c r="I105" s="153"/>
      <c r="J105" s="153"/>
    </row>
    <row r="106" spans="1:10">
      <c r="A106" s="147"/>
    </row>
    <row r="107" spans="1:10">
      <c r="A107" s="147"/>
    </row>
    <row r="108" spans="1:10">
      <c r="A108" s="145">
        <f>A100+33-DAY(A100+33)</f>
        <v>46022</v>
      </c>
      <c r="B108" s="156" t="s">
        <v>83</v>
      </c>
      <c r="C108" s="156" t="s">
        <v>207</v>
      </c>
      <c r="D108" s="156" t="s">
        <v>206</v>
      </c>
      <c r="E108" s="156" t="s">
        <v>205</v>
      </c>
      <c r="F108" s="154"/>
      <c r="G108" s="156" t="s">
        <v>274</v>
      </c>
      <c r="H108" s="156" t="s">
        <v>214</v>
      </c>
      <c r="I108" s="153"/>
      <c r="J108" s="153"/>
    </row>
    <row r="109" spans="1:10">
      <c r="A109" s="147"/>
      <c r="B109" s="153" t="s">
        <v>201</v>
      </c>
      <c r="C109" s="158">
        <f>'Curent Expected Cash Flow- 2025'!EG42</f>
        <v>118650</v>
      </c>
      <c r="D109" s="158">
        <f>'Curent Expected Cash Flow- 2025'!EH42</f>
        <v>21918.475452196377</v>
      </c>
      <c r="E109" s="158">
        <f>'Curent Expected Cash Flow- 2025'!EI42</f>
        <v>10959.237726098188</v>
      </c>
      <c r="F109" s="154"/>
      <c r="G109" s="157">
        <f>D109+G101</f>
        <v>583563.90542635648</v>
      </c>
      <c r="H109" s="155">
        <f>G109*'Curent Expected Cash Flow- 2025'!$C$11</f>
        <v>291781.95271317824</v>
      </c>
      <c r="I109" s="153"/>
      <c r="J109" s="153"/>
    </row>
    <row r="110" spans="1:10">
      <c r="A110" s="147"/>
      <c r="B110" s="153" t="s">
        <v>203</v>
      </c>
      <c r="C110" s="158">
        <f>'Curent Expected Cash Flow- 2025'!EG43</f>
        <v>168002</v>
      </c>
      <c r="D110" s="158">
        <f>'Curent Expected Cash Flow- 2025'!EH43</f>
        <v>121403.68475452199</v>
      </c>
      <c r="E110" s="158">
        <f>'Curent Expected Cash Flow- 2025'!EI43</f>
        <v>46133.400206718361</v>
      </c>
      <c r="F110" s="154"/>
      <c r="G110" s="157">
        <f>D110+G102</f>
        <v>1730177.5865633085</v>
      </c>
      <c r="H110" s="155">
        <f>G110*'Curent Expected Cash Flow- 2025'!$C$12</f>
        <v>657467.48289405729</v>
      </c>
      <c r="I110" s="153"/>
      <c r="J110" s="153"/>
    </row>
    <row r="111" spans="1:10">
      <c r="A111" s="147"/>
      <c r="B111" s="153" t="s">
        <v>202</v>
      </c>
      <c r="C111" s="158">
        <f>'Curent Expected Cash Flow- 2025'!EG44</f>
        <v>100000</v>
      </c>
      <c r="D111" s="158">
        <f>'Curent Expected Cash Flow- 2025'!EH44</f>
        <v>7493.5400516795926</v>
      </c>
      <c r="E111" s="158">
        <f>'Curent Expected Cash Flow- 2025'!EI44</f>
        <v>2248.0620155038778</v>
      </c>
      <c r="F111" s="154"/>
      <c r="G111" s="157">
        <f>D111+G103</f>
        <v>934430.0206718347</v>
      </c>
      <c r="H111" s="155">
        <f>G111*'Curent Expected Cash Flow- 2025'!$C$13</f>
        <v>280329.00620155042</v>
      </c>
      <c r="I111" s="153"/>
      <c r="J111" s="153"/>
    </row>
    <row r="112" spans="1:10">
      <c r="A112" s="147"/>
      <c r="B112" s="153" t="s">
        <v>204</v>
      </c>
      <c r="C112" s="158">
        <f>'Curent Expected Cash Flow- 2025'!EG45</f>
        <v>30000</v>
      </c>
      <c r="D112" s="158">
        <f>'Curent Expected Cash Flow- 2025'!EH45</f>
        <v>325555.55555555556</v>
      </c>
      <c r="E112" s="158">
        <f>'Curent Expected Cash Flow- 2025'!EI45</f>
        <v>16277.777777777779</v>
      </c>
      <c r="F112" s="154"/>
      <c r="G112" s="157">
        <f>D112+G104</f>
        <v>4292229.722222222</v>
      </c>
      <c r="H112" s="155">
        <f>G112*'Curent Expected Cash Flow- 2025'!$C$14</f>
        <v>214611.48611111112</v>
      </c>
      <c r="I112" s="153"/>
      <c r="J112" s="153"/>
    </row>
    <row r="113" spans="2:10">
      <c r="B113" s="153"/>
      <c r="C113" s="148">
        <f>SUM(C109:C112)</f>
        <v>416652</v>
      </c>
      <c r="D113" s="148">
        <f>SUM(D109:D112)</f>
        <v>476371.25581395352</v>
      </c>
      <c r="E113" s="154">
        <f>SUM(E109:E112)</f>
        <v>75618.477726098208</v>
      </c>
      <c r="F113" s="154"/>
      <c r="G113" s="153"/>
      <c r="H113" s="155">
        <f>SUM(H109:H112)</f>
        <v>1444189.9279198973</v>
      </c>
      <c r="I113" s="153"/>
      <c r="J113" s="15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A953-91CB-1945-A028-8366139AA656}">
  <dimension ref="A1:F80"/>
  <sheetViews>
    <sheetView tabSelected="1" zoomScale="117" workbookViewId="0">
      <selection activeCell="A102" sqref="A102"/>
    </sheetView>
  </sheetViews>
  <sheetFormatPr defaultColWidth="10.796875" defaultRowHeight="15.6"/>
  <cols>
    <col min="1" max="1" width="68.296875" style="52" customWidth="1"/>
    <col min="2" max="2" width="17.796875" style="75" customWidth="1"/>
    <col min="3" max="3" width="23" style="75" customWidth="1"/>
    <col min="4" max="4" width="25.5" style="52" customWidth="1"/>
    <col min="5" max="16384" width="10.796875" style="52"/>
  </cols>
  <sheetData>
    <row r="1" spans="1:5">
      <c r="A1" s="52" t="s">
        <v>390</v>
      </c>
      <c r="B1" s="75" t="s">
        <v>388</v>
      </c>
      <c r="C1" s="75" t="s">
        <v>389</v>
      </c>
    </row>
    <row r="2" spans="1:5">
      <c r="A2" s="53" t="s">
        <v>372</v>
      </c>
      <c r="B2" s="76"/>
      <c r="C2" s="76"/>
      <c r="D2" s="55"/>
      <c r="E2" s="54"/>
    </row>
    <row r="3" spans="1:5">
      <c r="A3" s="54" t="s">
        <v>272</v>
      </c>
      <c r="B3" s="77">
        <v>20000</v>
      </c>
      <c r="C3" s="76">
        <v>0</v>
      </c>
      <c r="D3" s="115"/>
      <c r="E3" s="54"/>
    </row>
    <row r="4" spans="1:5">
      <c r="A4" s="54" t="s">
        <v>273</v>
      </c>
      <c r="B4" s="77">
        <v>3000</v>
      </c>
      <c r="C4" s="76">
        <v>3000</v>
      </c>
      <c r="D4" s="115"/>
      <c r="E4" s="54"/>
    </row>
    <row r="5" spans="1:5">
      <c r="A5" s="54" t="s">
        <v>267</v>
      </c>
      <c r="B5" s="77">
        <v>35000</v>
      </c>
      <c r="C5" s="76">
        <v>35000</v>
      </c>
      <c r="D5" s="115"/>
      <c r="E5" s="54"/>
    </row>
    <row r="6" spans="1:5">
      <c r="A6" s="54" t="s">
        <v>271</v>
      </c>
      <c r="B6" s="77">
        <v>15000</v>
      </c>
      <c r="C6" s="76">
        <v>7000</v>
      </c>
      <c r="D6" s="115"/>
      <c r="E6" s="54"/>
    </row>
    <row r="7" spans="1:5">
      <c r="A7" s="54" t="s">
        <v>268</v>
      </c>
      <c r="B7" s="77">
        <v>3000</v>
      </c>
      <c r="C7" s="80">
        <v>1000</v>
      </c>
      <c r="D7" s="115"/>
      <c r="E7" s="54"/>
    </row>
    <row r="8" spans="1:5">
      <c r="A8" s="54" t="s">
        <v>269</v>
      </c>
      <c r="B8" s="77">
        <v>2000</v>
      </c>
      <c r="C8" s="80">
        <v>1000</v>
      </c>
      <c r="D8" s="115"/>
      <c r="E8" s="54"/>
    </row>
    <row r="9" spans="1:5">
      <c r="A9" s="54" t="s">
        <v>270</v>
      </c>
      <c r="B9" s="77">
        <v>5000</v>
      </c>
      <c r="C9" s="80">
        <v>2000</v>
      </c>
      <c r="D9" s="115"/>
      <c r="E9" s="54"/>
    </row>
    <row r="10" spans="1:5">
      <c r="A10" s="54" t="s">
        <v>301</v>
      </c>
      <c r="B10" s="77">
        <v>8000</v>
      </c>
      <c r="C10" s="80">
        <v>0</v>
      </c>
      <c r="D10" s="115"/>
      <c r="E10" s="54"/>
    </row>
    <row r="11" spans="1:5">
      <c r="A11" s="54" t="s">
        <v>5</v>
      </c>
      <c r="B11" s="77">
        <f>SUM(B3:B10)</f>
        <v>91000</v>
      </c>
      <c r="C11" s="80">
        <f>SUM(C3:C10)</f>
        <v>49000</v>
      </c>
      <c r="D11" s="55"/>
      <c r="E11" s="54"/>
    </row>
    <row r="12" spans="1:5">
      <c r="A12" s="54"/>
    </row>
    <row r="13" spans="1:5">
      <c r="A13" s="53" t="s">
        <v>363</v>
      </c>
    </row>
    <row r="14" spans="1:5">
      <c r="A14" s="54" t="s">
        <v>169</v>
      </c>
      <c r="B14" s="75">
        <v>100000</v>
      </c>
      <c r="C14" s="75">
        <v>0</v>
      </c>
    </row>
    <row r="15" spans="1:5">
      <c r="A15" s="52" t="s">
        <v>174</v>
      </c>
      <c r="B15" s="75">
        <v>40000</v>
      </c>
      <c r="C15" s="75">
        <v>0</v>
      </c>
    </row>
    <row r="16" spans="1:5">
      <c r="A16" s="52" t="s">
        <v>355</v>
      </c>
      <c r="B16" s="75">
        <v>72000</v>
      </c>
      <c r="C16" s="75">
        <v>0</v>
      </c>
    </row>
    <row r="17" spans="1:3">
      <c r="A17" s="52" t="s">
        <v>356</v>
      </c>
      <c r="B17" s="75">
        <v>25000</v>
      </c>
      <c r="C17" s="75">
        <v>14000</v>
      </c>
    </row>
    <row r="18" spans="1:3">
      <c r="A18" s="52" t="s">
        <v>175</v>
      </c>
      <c r="B18" s="75">
        <f>SUM(B14:B17)</f>
        <v>237000</v>
      </c>
      <c r="C18" s="75">
        <f>SUM(C14:C17)</f>
        <v>14000</v>
      </c>
    </row>
    <row r="20" spans="1:3">
      <c r="A20" s="53" t="s">
        <v>365</v>
      </c>
    </row>
    <row r="21" spans="1:3">
      <c r="A21" s="54" t="s">
        <v>364</v>
      </c>
      <c r="B21" s="75">
        <f>('Hemp Processing + Products'!B38)*3</f>
        <v>125100</v>
      </c>
      <c r="C21" s="75">
        <v>0</v>
      </c>
    </row>
    <row r="22" spans="1:3">
      <c r="A22" s="54" t="s">
        <v>359</v>
      </c>
      <c r="B22" s="75">
        <f>'Hemp Processing + Products'!D7</f>
        <v>124800</v>
      </c>
      <c r="C22" s="75">
        <v>0</v>
      </c>
    </row>
    <row r="23" spans="1:3">
      <c r="A23" s="54" t="s">
        <v>367</v>
      </c>
      <c r="B23" s="75">
        <f>SUM(B21:B22)</f>
        <v>249900</v>
      </c>
      <c r="C23" s="75">
        <f>SUM(C21:C22)</f>
        <v>0</v>
      </c>
    </row>
    <row r="24" spans="1:3">
      <c r="A24" s="54"/>
    </row>
    <row r="25" spans="1:3">
      <c r="A25" s="56" t="s">
        <v>368</v>
      </c>
      <c r="B25" s="75">
        <f>SUM(B23+B18+B11)</f>
        <v>577900</v>
      </c>
      <c r="C25" s="75">
        <f>SUM(C23+C18+C11)</f>
        <v>63000</v>
      </c>
    </row>
    <row r="27" spans="1:3">
      <c r="A27" s="54"/>
    </row>
    <row r="28" spans="1:3">
      <c r="A28" s="53" t="s">
        <v>360</v>
      </c>
    </row>
    <row r="29" spans="1:3">
      <c r="A29" s="54" t="s">
        <v>171</v>
      </c>
      <c r="B29" s="75">
        <v>9000</v>
      </c>
      <c r="C29" s="75">
        <v>6700</v>
      </c>
    </row>
    <row r="30" spans="1:3">
      <c r="A30" s="54" t="s">
        <v>172</v>
      </c>
      <c r="B30" s="75">
        <v>4000</v>
      </c>
      <c r="C30" s="75">
        <v>4000</v>
      </c>
    </row>
    <row r="31" spans="1:3">
      <c r="A31" s="54" t="s">
        <v>353</v>
      </c>
      <c r="B31" s="75">
        <v>1000</v>
      </c>
      <c r="C31" s="75">
        <v>1000</v>
      </c>
    </row>
    <row r="32" spans="1:3">
      <c r="A32" s="54" t="s">
        <v>354</v>
      </c>
      <c r="B32" s="75">
        <v>2500</v>
      </c>
      <c r="C32" s="75">
        <v>2500</v>
      </c>
    </row>
    <row r="33" spans="1:6">
      <c r="A33" s="54" t="s">
        <v>170</v>
      </c>
      <c r="B33" s="75">
        <f>SUM(B29:B32)</f>
        <v>16500</v>
      </c>
      <c r="C33" s="75">
        <f>SUM(C29:C32)</f>
        <v>14200</v>
      </c>
    </row>
    <row r="35" spans="1:6">
      <c r="A35" s="56" t="s">
        <v>361</v>
      </c>
    </row>
    <row r="36" spans="1:6">
      <c r="A36" s="52" t="s">
        <v>362</v>
      </c>
      <c r="B36" s="75">
        <v>60000</v>
      </c>
      <c r="C36" s="75">
        <v>5000</v>
      </c>
    </row>
    <row r="37" spans="1:6">
      <c r="A37" s="54" t="s">
        <v>366</v>
      </c>
      <c r="B37" s="75">
        <v>10000</v>
      </c>
      <c r="C37" s="75">
        <v>3000</v>
      </c>
    </row>
    <row r="38" spans="1:6">
      <c r="A38" s="52" t="s">
        <v>370</v>
      </c>
      <c r="B38" s="75">
        <f>SUM(B36:B37)</f>
        <v>70000</v>
      </c>
      <c r="C38" s="75">
        <f>SUM(C36:C37)</f>
        <v>8000</v>
      </c>
    </row>
    <row r="40" spans="1:6">
      <c r="A40" s="56" t="s">
        <v>369</v>
      </c>
      <c r="B40" s="75">
        <f>SUM(B33+B38)</f>
        <v>86500</v>
      </c>
      <c r="C40" s="75">
        <f>SUM(C21:C38)</f>
        <v>107400</v>
      </c>
    </row>
    <row r="43" spans="1:6">
      <c r="A43" s="120" t="s">
        <v>371</v>
      </c>
      <c r="B43" s="121">
        <f>B40+B25</f>
        <v>664400</v>
      </c>
      <c r="C43" s="121">
        <f>C40+C25</f>
        <v>170400</v>
      </c>
    </row>
    <row r="47" spans="1:6">
      <c r="A47" s="56" t="s">
        <v>357</v>
      </c>
    </row>
    <row r="48" spans="1:6">
      <c r="A48" s="52" t="s">
        <v>191</v>
      </c>
      <c r="B48" s="75" t="s">
        <v>192</v>
      </c>
      <c r="D48" s="116"/>
      <c r="E48" s="117"/>
      <c r="F48" s="117"/>
    </row>
    <row r="49" spans="1:6">
      <c r="A49" s="57" t="s">
        <v>176</v>
      </c>
      <c r="B49" s="78">
        <v>56000</v>
      </c>
      <c r="D49" s="58"/>
      <c r="E49" s="118"/>
      <c r="F49" s="118"/>
    </row>
    <row r="50" spans="1:6">
      <c r="A50" s="57" t="s">
        <v>177</v>
      </c>
      <c r="B50" s="78">
        <v>40000</v>
      </c>
      <c r="D50" s="119"/>
      <c r="E50" s="118"/>
      <c r="F50" s="118"/>
    </row>
    <row r="51" spans="1:6">
      <c r="A51" s="57" t="s">
        <v>178</v>
      </c>
      <c r="B51" s="78">
        <v>7500</v>
      </c>
      <c r="D51" s="58"/>
      <c r="E51" s="118"/>
      <c r="F51" s="118"/>
    </row>
    <row r="52" spans="1:6">
      <c r="A52" s="57" t="s">
        <v>179</v>
      </c>
      <c r="B52" s="78">
        <v>18000</v>
      </c>
      <c r="D52" s="58"/>
      <c r="E52" s="118"/>
      <c r="F52" s="118"/>
    </row>
    <row r="53" spans="1:6">
      <c r="A53" s="57" t="s">
        <v>180</v>
      </c>
      <c r="B53" s="78">
        <v>26000</v>
      </c>
      <c r="D53" s="58"/>
      <c r="E53" s="118"/>
      <c r="F53" s="118"/>
    </row>
    <row r="54" spans="1:6">
      <c r="A54" s="57" t="s">
        <v>181</v>
      </c>
      <c r="B54" s="78">
        <v>20000</v>
      </c>
      <c r="D54" s="58"/>
      <c r="E54" s="118"/>
      <c r="F54" s="118"/>
    </row>
    <row r="55" spans="1:6">
      <c r="A55" s="57" t="s">
        <v>182</v>
      </c>
      <c r="B55" s="78">
        <v>7100</v>
      </c>
      <c r="D55" s="58"/>
      <c r="E55" s="118"/>
      <c r="F55" s="118"/>
    </row>
    <row r="56" spans="1:6">
      <c r="A56" s="57" t="s">
        <v>183</v>
      </c>
      <c r="B56" s="78">
        <v>2000</v>
      </c>
      <c r="D56" s="58"/>
      <c r="E56" s="118"/>
      <c r="F56" s="118"/>
    </row>
    <row r="57" spans="1:6">
      <c r="A57" s="58" t="s">
        <v>184</v>
      </c>
      <c r="B57" s="79">
        <v>2500</v>
      </c>
      <c r="D57" s="119"/>
      <c r="E57" s="118"/>
      <c r="F57" s="118"/>
    </row>
    <row r="58" spans="1:6">
      <c r="A58" s="59" t="s">
        <v>182</v>
      </c>
      <c r="B58" s="78">
        <v>6500</v>
      </c>
      <c r="D58" s="119"/>
      <c r="E58" s="118"/>
      <c r="F58" s="118"/>
    </row>
    <row r="59" spans="1:6">
      <c r="A59" s="59" t="s">
        <v>183</v>
      </c>
      <c r="B59" s="78">
        <v>3200</v>
      </c>
      <c r="D59" s="58"/>
      <c r="E59" s="118"/>
      <c r="F59" s="118"/>
    </row>
    <row r="60" spans="1:6">
      <c r="A60" s="57" t="s">
        <v>185</v>
      </c>
      <c r="B60" s="78">
        <v>20000</v>
      </c>
      <c r="D60" s="58"/>
      <c r="E60" s="118"/>
      <c r="F60" s="118"/>
    </row>
    <row r="61" spans="1:6">
      <c r="A61" s="57" t="s">
        <v>186</v>
      </c>
      <c r="B61" s="78">
        <v>8000</v>
      </c>
      <c r="D61" s="58"/>
      <c r="E61" s="118"/>
      <c r="F61" s="118"/>
    </row>
    <row r="62" spans="1:6">
      <c r="A62" s="57" t="s">
        <v>187</v>
      </c>
      <c r="B62" s="78">
        <v>4000</v>
      </c>
      <c r="D62" s="58"/>
      <c r="E62" s="118"/>
      <c r="F62" s="118"/>
    </row>
    <row r="63" spans="1:6">
      <c r="A63" s="57" t="s">
        <v>183</v>
      </c>
      <c r="B63" s="78">
        <v>2000</v>
      </c>
      <c r="D63" s="58"/>
      <c r="E63" s="118"/>
      <c r="F63" s="118"/>
    </row>
    <row r="64" spans="1:6">
      <c r="A64" s="59" t="s">
        <v>188</v>
      </c>
      <c r="B64" s="78">
        <v>30000</v>
      </c>
      <c r="D64" s="58"/>
      <c r="E64" s="118"/>
      <c r="F64" s="118"/>
    </row>
    <row r="65" spans="1:6">
      <c r="A65" s="59" t="s">
        <v>182</v>
      </c>
      <c r="B65" s="78">
        <v>10000</v>
      </c>
      <c r="D65" s="58"/>
      <c r="E65" s="118"/>
      <c r="F65" s="118"/>
    </row>
    <row r="66" spans="1:6">
      <c r="A66" s="59" t="s">
        <v>189</v>
      </c>
      <c r="B66" s="78">
        <v>2500</v>
      </c>
      <c r="D66" s="58"/>
      <c r="E66" s="118"/>
      <c r="F66" s="118"/>
    </row>
    <row r="67" spans="1:6">
      <c r="A67" s="57" t="s">
        <v>190</v>
      </c>
      <c r="B67" s="78">
        <v>20000</v>
      </c>
      <c r="E67" s="118"/>
      <c r="F67" s="118"/>
    </row>
    <row r="68" spans="1:6">
      <c r="A68" s="52" t="s">
        <v>5</v>
      </c>
      <c r="B68" s="73">
        <f>SUM(B49:B67)</f>
        <v>285300</v>
      </c>
    </row>
    <row r="69" spans="1:6">
      <c r="B69" s="73"/>
    </row>
    <row r="70" spans="1:6">
      <c r="A70" s="56" t="s">
        <v>358</v>
      </c>
      <c r="B70" s="81"/>
    </row>
    <row r="71" spans="1:6">
      <c r="A71" s="52" t="s">
        <v>193</v>
      </c>
      <c r="B71" s="73">
        <v>200000</v>
      </c>
    </row>
    <row r="72" spans="1:6">
      <c r="A72" s="52" t="s">
        <v>276</v>
      </c>
      <c r="B72" s="74">
        <v>0.15</v>
      </c>
    </row>
    <row r="73" spans="1:6">
      <c r="A73" s="52" t="s">
        <v>277</v>
      </c>
      <c r="B73" s="73">
        <f>(B71*B72)+B71</f>
        <v>230000</v>
      </c>
    </row>
    <row r="74" spans="1:6">
      <c r="A74" s="52" t="s">
        <v>278</v>
      </c>
      <c r="B74" s="72">
        <v>36</v>
      </c>
    </row>
    <row r="75" spans="1:6">
      <c r="A75" s="52" t="s">
        <v>279</v>
      </c>
      <c r="B75" s="73">
        <f>B73/B74</f>
        <v>6388.8888888888887</v>
      </c>
    </row>
    <row r="76" spans="1:6">
      <c r="B76" s="73"/>
    </row>
    <row r="77" spans="1:6">
      <c r="A77" s="52" t="s">
        <v>280</v>
      </c>
      <c r="B77" s="73">
        <v>300000</v>
      </c>
    </row>
    <row r="78" spans="1:6">
      <c r="A78" s="52" t="s">
        <v>281</v>
      </c>
      <c r="B78" s="73">
        <f>((B77+B71)*B72)+B71+B77</f>
        <v>575000</v>
      </c>
    </row>
    <row r="79" spans="1:6">
      <c r="A79" s="52" t="s">
        <v>283</v>
      </c>
      <c r="B79" s="73">
        <f>B78-(B71+B73)</f>
        <v>145000</v>
      </c>
    </row>
    <row r="80" spans="1:6">
      <c r="A80" s="52" t="s">
        <v>282</v>
      </c>
      <c r="B80" s="7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Hemp Processing + Products</vt:lpstr>
      <vt:lpstr>Curent Expected Cash Flow- 2025</vt:lpstr>
      <vt:lpstr>Model</vt:lpstr>
      <vt:lpstr>2025 LBS Sold</vt:lpstr>
      <vt:lpstr>Rolls</vt:lpstr>
      <vt:lpstr>Expenditures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Battaglia</dc:creator>
  <cp:keywords/>
  <dc:description/>
  <cp:lastModifiedBy>Niharika Neelam</cp:lastModifiedBy>
  <cp:revision/>
  <cp:lastPrinted>2025-01-08T13:50:07Z</cp:lastPrinted>
  <dcterms:created xsi:type="dcterms:W3CDTF">2023-11-08T19:11:26Z</dcterms:created>
  <dcterms:modified xsi:type="dcterms:W3CDTF">2025-03-07T19:02:35Z</dcterms:modified>
  <cp:category/>
  <cp:contentStatus/>
</cp:coreProperties>
</file>