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5A17DF86-69D9-4624-BD57-F3800D98F42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K" sheetId="7" r:id="rId1"/>
    <sheet name="Sheet2" sheetId="16" r:id="rId2"/>
    <sheet name="Sheet1" sheetId="15" r:id="rId3"/>
    <sheet name="RK Working Hrs" sheetId="10" r:id="rId4"/>
    <sheet name="Expenses (2)" sheetId="8" r:id="rId5"/>
    <sheet name="2023" sheetId="12" r:id="rId6"/>
    <sheet name="2023 Exp" sheetId="13" r:id="rId7"/>
    <sheet name="2023 Hrs" sheetId="14" r:id="rId8"/>
  </sheets>
  <definedNames>
    <definedName name="_xlnm._FilterDatabase" localSheetId="5" hidden="1">'2023'!$A$2:$P$26</definedName>
    <definedName name="_xlnm._FilterDatabase" localSheetId="6" hidden="1">'2023 Exp'!$A$2:$Q$31</definedName>
    <definedName name="_xlnm._FilterDatabase" localSheetId="7" hidden="1">'2023 Hrs'!$A$2:$P$26</definedName>
    <definedName name="_xlnm._FilterDatabase" localSheetId="0" hidden="1">RK!$A$2:$Q$31</definedName>
    <definedName name="_xlnm._FilterDatabase" localSheetId="3" hidden="1">'RK Working Hrs'!$A$1:$P$6</definedName>
  </definedNames>
  <calcPr calcId="191029"/>
</workbook>
</file>

<file path=xl/calcChain.xml><?xml version="1.0" encoding="utf-8"?>
<calcChain xmlns="http://schemas.openxmlformats.org/spreadsheetml/2006/main">
  <c r="AJ4" i="7" l="1"/>
  <c r="AJ3" i="7"/>
  <c r="AJ6" i="7" s="1"/>
  <c r="AC3" i="7"/>
  <c r="AF16" i="7"/>
  <c r="AD35" i="7"/>
  <c r="AF15" i="7"/>
  <c r="AF14" i="7"/>
  <c r="Z5" i="7"/>
  <c r="Z4" i="7"/>
  <c r="Z9" i="7"/>
  <c r="Z6" i="7"/>
  <c r="Z16" i="7"/>
  <c r="Z35" i="7" s="1"/>
  <c r="Z15" i="7"/>
  <c r="Z12" i="7"/>
  <c r="Z24" i="7"/>
  <c r="Z30" i="7" s="1"/>
  <c r="X16" i="7"/>
  <c r="X35" i="7" s="1"/>
  <c r="Y16" i="7"/>
  <c r="Y35" i="7" s="1"/>
  <c r="Y9" i="7"/>
  <c r="Y3" i="7"/>
  <c r="Y6" i="7"/>
  <c r="Y7" i="7"/>
  <c r="Y8" i="7"/>
  <c r="Y12" i="7"/>
  <c r="Y24" i="7"/>
  <c r="X21" i="7"/>
  <c r="X7" i="7"/>
  <c r="X6" i="7"/>
  <c r="X8" i="7"/>
  <c r="X18" i="7"/>
  <c r="X12" i="7"/>
  <c r="X19" i="7"/>
  <c r="X25" i="7"/>
  <c r="X30" i="7" s="1"/>
  <c r="W12" i="7"/>
  <c r="V18" i="7"/>
  <c r="V24" i="7"/>
  <c r="O35" i="7"/>
  <c r="M35" i="7"/>
  <c r="K35" i="7"/>
  <c r="J35" i="7"/>
  <c r="I35" i="7"/>
  <c r="H35" i="7"/>
  <c r="AG19" i="7"/>
  <c r="AE19" i="7"/>
  <c r="AC19" i="7"/>
  <c r="AF13" i="7"/>
  <c r="AF12" i="7"/>
  <c r="Z19" i="7"/>
  <c r="Y4" i="7"/>
  <c r="Y19" i="7"/>
  <c r="Y15" i="7"/>
  <c r="Y29" i="7"/>
  <c r="X5" i="7"/>
  <c r="X9" i="7"/>
  <c r="X15" i="7"/>
  <c r="X4" i="7"/>
  <c r="W15" i="7"/>
  <c r="W9" i="7"/>
  <c r="W7" i="7"/>
  <c r="W4" i="7"/>
  <c r="W6" i="7"/>
  <c r="W16" i="7"/>
  <c r="W35" i="7" s="1"/>
  <c r="W18" i="7"/>
  <c r="V8" i="7"/>
  <c r="V9" i="7"/>
  <c r="V16" i="7"/>
  <c r="V35" i="7" s="1"/>
  <c r="V4" i="7"/>
  <c r="V6" i="7"/>
  <c r="U20" i="7"/>
  <c r="V7" i="7"/>
  <c r="U18" i="7"/>
  <c r="U17" i="7"/>
  <c r="U16" i="7"/>
  <c r="U35" i="7" s="1"/>
  <c r="U9" i="7"/>
  <c r="U7" i="7"/>
  <c r="U6" i="7"/>
  <c r="U8" i="7"/>
  <c r="U19" i="7"/>
  <c r="T9" i="7"/>
  <c r="Q19" i="7"/>
  <c r="H2" i="15"/>
  <c r="I2" i="15" s="1"/>
  <c r="K2" i="15" s="1"/>
  <c r="F2" i="15"/>
  <c r="G2" i="15" s="1"/>
  <c r="B2" i="15"/>
  <c r="A2" i="15"/>
  <c r="S5" i="7"/>
  <c r="S12" i="7"/>
  <c r="R6" i="7"/>
  <c r="R12" i="7"/>
  <c r="R24" i="7"/>
  <c r="R30" i="7" s="1"/>
  <c r="Q24" i="7"/>
  <c r="T5" i="7"/>
  <c r="T6" i="7"/>
  <c r="T7" i="7"/>
  <c r="T13" i="7"/>
  <c r="T35" i="7" s="1"/>
  <c r="T16" i="7"/>
  <c r="S18" i="7"/>
  <c r="S15" i="7"/>
  <c r="S8" i="7"/>
  <c r="S6" i="7"/>
  <c r="S9" i="7"/>
  <c r="S16" i="7"/>
  <c r="S13" i="7"/>
  <c r="S35" i="7" s="1"/>
  <c r="S29" i="7"/>
  <c r="R5" i="7"/>
  <c r="R9" i="7"/>
  <c r="R16" i="7"/>
  <c r="R10" i="7"/>
  <c r="R20" i="7"/>
  <c r="Q5" i="10"/>
  <c r="Q6" i="10"/>
  <c r="M5" i="10"/>
  <c r="I5" i="10"/>
  <c r="N5" i="10" s="1"/>
  <c r="R5" i="10" s="1"/>
  <c r="S5" i="10" s="1"/>
  <c r="T5" i="10" s="1"/>
  <c r="Q3" i="10"/>
  <c r="Q4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M3" i="10"/>
  <c r="M4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I3" i="10"/>
  <c r="I4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N26" i="10" s="1"/>
  <c r="R26" i="10" s="1"/>
  <c r="S26" i="10" s="1"/>
  <c r="T26" i="10" s="1"/>
  <c r="Q2" i="10"/>
  <c r="M2" i="10"/>
  <c r="I2" i="10"/>
  <c r="I32" i="10"/>
  <c r="Q22" i="14"/>
  <c r="N22" i="14"/>
  <c r="R22" i="14" s="1"/>
  <c r="S22" i="14" s="1"/>
  <c r="M22" i="14"/>
  <c r="Q21" i="14"/>
  <c r="M21" i="14"/>
  <c r="I21" i="14"/>
  <c r="N21" i="14" s="1"/>
  <c r="R21" i="14" s="1"/>
  <c r="S21" i="14" s="1"/>
  <c r="Q20" i="14"/>
  <c r="M20" i="14"/>
  <c r="I20" i="14"/>
  <c r="N20" i="14" s="1"/>
  <c r="Q19" i="14"/>
  <c r="M19" i="14"/>
  <c r="I19" i="14"/>
  <c r="N19" i="14" s="1"/>
  <c r="R19" i="14" s="1"/>
  <c r="S19" i="14" s="1"/>
  <c r="Q18" i="14"/>
  <c r="M18" i="14"/>
  <c r="I18" i="14"/>
  <c r="Q17" i="14"/>
  <c r="M17" i="14"/>
  <c r="I17" i="14"/>
  <c r="N17" i="14" s="1"/>
  <c r="R17" i="14" s="1"/>
  <c r="S17" i="14" s="1"/>
  <c r="Q16" i="14"/>
  <c r="N16" i="14"/>
  <c r="O16" i="14" s="1"/>
  <c r="M16" i="14"/>
  <c r="I16" i="14"/>
  <c r="Q15" i="14"/>
  <c r="M15" i="14"/>
  <c r="I15" i="14"/>
  <c r="N15" i="14" s="1"/>
  <c r="R15" i="14" s="1"/>
  <c r="S15" i="14" s="1"/>
  <c r="Q14" i="14"/>
  <c r="M14" i="14"/>
  <c r="I14" i="14"/>
  <c r="Q13" i="14"/>
  <c r="M13" i="14"/>
  <c r="I13" i="14"/>
  <c r="Q12" i="14"/>
  <c r="M12" i="14"/>
  <c r="I12" i="14"/>
  <c r="N12" i="14" s="1"/>
  <c r="R12" i="14" s="1"/>
  <c r="S12" i="14" s="1"/>
  <c r="Q11" i="14"/>
  <c r="M11" i="14"/>
  <c r="I11" i="14"/>
  <c r="N11" i="14" s="1"/>
  <c r="Q10" i="14"/>
  <c r="M10" i="14"/>
  <c r="I10" i="14"/>
  <c r="N10" i="14" s="1"/>
  <c r="R10" i="14" s="1"/>
  <c r="S10" i="14" s="1"/>
  <c r="Q9" i="14"/>
  <c r="M9" i="14"/>
  <c r="I9" i="14"/>
  <c r="Q8" i="14"/>
  <c r="M8" i="14"/>
  <c r="I8" i="14"/>
  <c r="Q7" i="14"/>
  <c r="M7" i="14"/>
  <c r="I7" i="14"/>
  <c r="N7" i="14" s="1"/>
  <c r="Q6" i="14"/>
  <c r="M6" i="14"/>
  <c r="I6" i="14"/>
  <c r="N6" i="14" s="1"/>
  <c r="R6" i="14" s="1"/>
  <c r="S6" i="14" s="1"/>
  <c r="Q5" i="14"/>
  <c r="M5" i="14"/>
  <c r="I5" i="14"/>
  <c r="Q4" i="14"/>
  <c r="M4" i="14"/>
  <c r="N4" i="14" s="1"/>
  <c r="R4" i="14" s="1"/>
  <c r="S4" i="14" s="1"/>
  <c r="I4" i="14"/>
  <c r="M3" i="14"/>
  <c r="I3" i="14"/>
  <c r="N3" i="14" s="1"/>
  <c r="Q1" i="14"/>
  <c r="M1" i="14"/>
  <c r="L1" i="14"/>
  <c r="K1" i="14"/>
  <c r="J1" i="14"/>
  <c r="I1" i="14"/>
  <c r="H1" i="14"/>
  <c r="F1" i="14"/>
  <c r="D1" i="14"/>
  <c r="B46" i="13"/>
  <c r="B41" i="13"/>
  <c r="Z34" i="13"/>
  <c r="Y34" i="13"/>
  <c r="X34" i="13"/>
  <c r="W34" i="13"/>
  <c r="V34" i="13"/>
  <c r="U34" i="13"/>
  <c r="T34" i="13"/>
  <c r="S34" i="13"/>
  <c r="E34" i="13"/>
  <c r="D34" i="13"/>
  <c r="C34" i="13"/>
  <c r="D33" i="13"/>
  <c r="C33" i="13"/>
  <c r="B33" i="13"/>
  <c r="Z30" i="13"/>
  <c r="Y30" i="13"/>
  <c r="X30" i="13"/>
  <c r="W30" i="13"/>
  <c r="V30" i="13"/>
  <c r="U30" i="13"/>
  <c r="T30" i="13"/>
  <c r="S30" i="13"/>
  <c r="R30" i="13"/>
  <c r="Q30" i="13"/>
  <c r="B52" i="13" s="1"/>
  <c r="P30" i="13"/>
  <c r="B51" i="13" s="1"/>
  <c r="K30" i="13"/>
  <c r="J30" i="13"/>
  <c r="B45" i="13" s="1"/>
  <c r="H30" i="13"/>
  <c r="B43" i="13" s="1"/>
  <c r="F30" i="13"/>
  <c r="E30" i="13"/>
  <c r="B40" i="13" s="1"/>
  <c r="D30" i="13"/>
  <c r="B39" i="13" s="1"/>
  <c r="C30" i="13"/>
  <c r="O29" i="13"/>
  <c r="O30" i="13" s="1"/>
  <c r="B50" i="13" s="1"/>
  <c r="B28" i="13"/>
  <c r="I27" i="13"/>
  <c r="I30" i="13" s="1"/>
  <c r="B44" i="13" s="1"/>
  <c r="D44" i="13" s="1"/>
  <c r="H27" i="13"/>
  <c r="G27" i="13"/>
  <c r="P26" i="13"/>
  <c r="B26" i="13"/>
  <c r="N25" i="13"/>
  <c r="M25" i="13"/>
  <c r="B25" i="13" s="1"/>
  <c r="L25" i="13"/>
  <c r="L30" i="13" s="1"/>
  <c r="B47" i="13" s="1"/>
  <c r="N24" i="13"/>
  <c r="N30" i="13" s="1"/>
  <c r="B49" i="13" s="1"/>
  <c r="M24" i="13"/>
  <c r="G24" i="13"/>
  <c r="B24" i="13" s="1"/>
  <c r="Z23" i="13"/>
  <c r="Y23" i="13"/>
  <c r="X23" i="13"/>
  <c r="W23" i="13"/>
  <c r="V23" i="13"/>
  <c r="U23" i="13"/>
  <c r="T23" i="13"/>
  <c r="S23" i="13"/>
  <c r="B22" i="13"/>
  <c r="O21" i="13"/>
  <c r="N21" i="13"/>
  <c r="M21" i="13"/>
  <c r="L21" i="13"/>
  <c r="B21" i="13" s="1"/>
  <c r="R20" i="13"/>
  <c r="H20" i="13"/>
  <c r="B20" i="13" s="1"/>
  <c r="Q19" i="13"/>
  <c r="H19" i="13"/>
  <c r="B19" i="13"/>
  <c r="M18" i="13"/>
  <c r="K18" i="13"/>
  <c r="J18" i="13"/>
  <c r="I18" i="13"/>
  <c r="H18" i="13"/>
  <c r="G18" i="13"/>
  <c r="F17" i="13"/>
  <c r="B17" i="13"/>
  <c r="R16" i="13"/>
  <c r="Q16" i="13"/>
  <c r="P16" i="13"/>
  <c r="N16" i="13"/>
  <c r="L16" i="13"/>
  <c r="R15" i="13"/>
  <c r="Q15" i="13"/>
  <c r="N15" i="13"/>
  <c r="M15" i="13"/>
  <c r="L15" i="13"/>
  <c r="K15" i="13"/>
  <c r="I15" i="13"/>
  <c r="N14" i="13"/>
  <c r="M14" i="13"/>
  <c r="B14" i="13" s="1"/>
  <c r="R13" i="13"/>
  <c r="Q13" i="13"/>
  <c r="P13" i="13"/>
  <c r="N13" i="13"/>
  <c r="L13" i="13"/>
  <c r="G13" i="13"/>
  <c r="F13" i="13"/>
  <c r="E13" i="13"/>
  <c r="E23" i="13" s="1"/>
  <c r="C40" i="13" s="1"/>
  <c r="D13" i="13"/>
  <c r="D23" i="13" s="1"/>
  <c r="C39" i="13" s="1"/>
  <c r="C13" i="13"/>
  <c r="C23" i="13" s="1"/>
  <c r="M12" i="13"/>
  <c r="L12" i="13"/>
  <c r="K12" i="13"/>
  <c r="J12" i="13"/>
  <c r="I12" i="13"/>
  <c r="H12" i="13"/>
  <c r="B12" i="13"/>
  <c r="P11" i="13"/>
  <c r="O11" i="13"/>
  <c r="N11" i="13"/>
  <c r="M11" i="13"/>
  <c r="B10" i="13"/>
  <c r="R9" i="13"/>
  <c r="Q9" i="13"/>
  <c r="P9" i="13"/>
  <c r="O9" i="13"/>
  <c r="N9" i="13"/>
  <c r="M9" i="13"/>
  <c r="L9" i="13"/>
  <c r="K9" i="13"/>
  <c r="J9" i="13"/>
  <c r="I9" i="13"/>
  <c r="H9" i="13"/>
  <c r="B9" i="13" s="1"/>
  <c r="G9" i="13"/>
  <c r="P8" i="13"/>
  <c r="O8" i="13"/>
  <c r="M8" i="13"/>
  <c r="B8" i="13" s="1"/>
  <c r="R7" i="13"/>
  <c r="F7" i="13"/>
  <c r="B7" i="13" s="1"/>
  <c r="Q6" i="13"/>
  <c r="P6" i="13"/>
  <c r="O6" i="13"/>
  <c r="N6" i="13"/>
  <c r="M6" i="13"/>
  <c r="L6" i="13"/>
  <c r="K6" i="13"/>
  <c r="J6" i="13"/>
  <c r="I6" i="13"/>
  <c r="H6" i="13"/>
  <c r="F6" i="13"/>
  <c r="F23" i="13" s="1"/>
  <c r="C41" i="13" s="1"/>
  <c r="R5" i="13"/>
  <c r="Q5" i="13"/>
  <c r="N5" i="13"/>
  <c r="K5" i="13"/>
  <c r="I5" i="13"/>
  <c r="I23" i="13" s="1"/>
  <c r="C44" i="13" s="1"/>
  <c r="H5" i="13"/>
  <c r="H23" i="13" s="1"/>
  <c r="C43" i="13" s="1"/>
  <c r="G5" i="13"/>
  <c r="G23" i="13" s="1"/>
  <c r="C42" i="13" s="1"/>
  <c r="Q4" i="13"/>
  <c r="P4" i="13"/>
  <c r="O4" i="13"/>
  <c r="M4" i="13"/>
  <c r="L4" i="13"/>
  <c r="K4" i="13"/>
  <c r="J4" i="13"/>
  <c r="J34" i="13" s="1"/>
  <c r="AD3" i="13"/>
  <c r="M3" i="13"/>
  <c r="B3" i="13" s="1"/>
  <c r="Q16" i="7"/>
  <c r="Q15" i="7"/>
  <c r="R15" i="7"/>
  <c r="Q5" i="7"/>
  <c r="W30" i="7"/>
  <c r="V30" i="7"/>
  <c r="U30" i="7"/>
  <c r="T30" i="7"/>
  <c r="S30" i="7"/>
  <c r="R7" i="7"/>
  <c r="R13" i="7"/>
  <c r="R35" i="7" s="1"/>
  <c r="Q9" i="7"/>
  <c r="Q13" i="7"/>
  <c r="Q35" i="7" s="1"/>
  <c r="Q6" i="7"/>
  <c r="P16" i="7"/>
  <c r="Q4" i="7"/>
  <c r="P4" i="7"/>
  <c r="P8" i="7"/>
  <c r="P9" i="7"/>
  <c r="P13" i="7"/>
  <c r="P35" i="7" s="1"/>
  <c r="O21" i="7"/>
  <c r="O4" i="7"/>
  <c r="O9" i="7"/>
  <c r="O8" i="7"/>
  <c r="P6" i="7"/>
  <c r="O6" i="7"/>
  <c r="H20" i="7"/>
  <c r="O29" i="7"/>
  <c r="N14" i="7"/>
  <c r="N21" i="7"/>
  <c r="N5" i="7"/>
  <c r="N9" i="7"/>
  <c r="P11" i="7"/>
  <c r="P26" i="7"/>
  <c r="O11" i="7"/>
  <c r="N13" i="7"/>
  <c r="N35" i="7" s="1"/>
  <c r="N11" i="7"/>
  <c r="N15" i="7"/>
  <c r="Q22" i="12"/>
  <c r="M22" i="12"/>
  <c r="N22" i="12" s="1"/>
  <c r="R22" i="12" s="1"/>
  <c r="S22" i="12" s="1"/>
  <c r="Q21" i="12"/>
  <c r="M21" i="12"/>
  <c r="I21" i="12"/>
  <c r="N21" i="12" s="1"/>
  <c r="R21" i="12" s="1"/>
  <c r="S21" i="12" s="1"/>
  <c r="Q20" i="12"/>
  <c r="M20" i="12"/>
  <c r="N20" i="12" s="1"/>
  <c r="R20" i="12" s="1"/>
  <c r="S20" i="12" s="1"/>
  <c r="I20" i="12"/>
  <c r="Q19" i="12"/>
  <c r="M19" i="12"/>
  <c r="I19" i="12"/>
  <c r="N19" i="12" s="1"/>
  <c r="R19" i="12" s="1"/>
  <c r="S19" i="12" s="1"/>
  <c r="Q18" i="12"/>
  <c r="M18" i="12"/>
  <c r="I18" i="12"/>
  <c r="Q17" i="12"/>
  <c r="M17" i="12"/>
  <c r="I17" i="12"/>
  <c r="N17" i="12" s="1"/>
  <c r="R17" i="12" s="1"/>
  <c r="S17" i="12" s="1"/>
  <c r="Q16" i="12"/>
  <c r="M16" i="12"/>
  <c r="I16" i="12"/>
  <c r="N16" i="12" s="1"/>
  <c r="Q15" i="12"/>
  <c r="M15" i="12"/>
  <c r="N15" i="12" s="1"/>
  <c r="R15" i="12" s="1"/>
  <c r="S15" i="12" s="1"/>
  <c r="I15" i="12"/>
  <c r="Q14" i="12"/>
  <c r="M14" i="12"/>
  <c r="I14" i="12"/>
  <c r="Q13" i="12"/>
  <c r="M13" i="12"/>
  <c r="I13" i="12"/>
  <c r="Q12" i="12"/>
  <c r="M12" i="12"/>
  <c r="I12" i="12"/>
  <c r="N12" i="12" s="1"/>
  <c r="R12" i="12" s="1"/>
  <c r="S12" i="12" s="1"/>
  <c r="Q11" i="12"/>
  <c r="M11" i="12"/>
  <c r="I11" i="12"/>
  <c r="N11" i="12" s="1"/>
  <c r="Q10" i="12"/>
  <c r="M10" i="12"/>
  <c r="N10" i="12" s="1"/>
  <c r="R10" i="12" s="1"/>
  <c r="S10" i="12" s="1"/>
  <c r="I10" i="12"/>
  <c r="Q9" i="12"/>
  <c r="M9" i="12"/>
  <c r="I9" i="12"/>
  <c r="Q8" i="12"/>
  <c r="M8" i="12"/>
  <c r="I8" i="12"/>
  <c r="Q7" i="12"/>
  <c r="M7" i="12"/>
  <c r="I7" i="12"/>
  <c r="N7" i="12" s="1"/>
  <c r="Q6" i="12"/>
  <c r="M6" i="12"/>
  <c r="I6" i="12"/>
  <c r="N6" i="12" s="1"/>
  <c r="R6" i="12" s="1"/>
  <c r="S6" i="12" s="1"/>
  <c r="Q5" i="12"/>
  <c r="M5" i="12"/>
  <c r="I5" i="12"/>
  <c r="N5" i="12" s="1"/>
  <c r="Q4" i="12"/>
  <c r="M4" i="12"/>
  <c r="N4" i="12" s="1"/>
  <c r="R4" i="12" s="1"/>
  <c r="S4" i="12" s="1"/>
  <c r="I4" i="12"/>
  <c r="M3" i="12"/>
  <c r="I3" i="12"/>
  <c r="N3" i="12" s="1"/>
  <c r="L1" i="12"/>
  <c r="K1" i="12"/>
  <c r="J1" i="12"/>
  <c r="H1" i="12"/>
  <c r="F1" i="12"/>
  <c r="D1" i="12"/>
  <c r="Q49" i="10"/>
  <c r="M49" i="10"/>
  <c r="N49" i="10" s="1"/>
  <c r="R49" i="10" s="1"/>
  <c r="S49" i="10" s="1"/>
  <c r="M48" i="10"/>
  <c r="I48" i="10"/>
  <c r="Q48" i="10"/>
  <c r="N24" i="7"/>
  <c r="N25" i="7"/>
  <c r="N6" i="7"/>
  <c r="N16" i="7"/>
  <c r="L6" i="7"/>
  <c r="L4" i="7"/>
  <c r="L16" i="7"/>
  <c r="M9" i="7"/>
  <c r="M47" i="10"/>
  <c r="I47" i="10"/>
  <c r="Q47" i="10"/>
  <c r="M14" i="7"/>
  <c r="M46" i="10"/>
  <c r="I46" i="10"/>
  <c r="Q46" i="10"/>
  <c r="Q45" i="10"/>
  <c r="M45" i="10"/>
  <c r="I45" i="10"/>
  <c r="M11" i="7"/>
  <c r="M8" i="7"/>
  <c r="M6" i="7"/>
  <c r="M4" i="7"/>
  <c r="M21" i="7"/>
  <c r="M15" i="7"/>
  <c r="M3" i="7"/>
  <c r="M12" i="7"/>
  <c r="M25" i="7"/>
  <c r="M18" i="7"/>
  <c r="M24" i="7"/>
  <c r="L12" i="7"/>
  <c r="L15" i="7"/>
  <c r="L13" i="7"/>
  <c r="L35" i="7" s="1"/>
  <c r="L25" i="7"/>
  <c r="N34" i="7" l="1"/>
  <c r="K23" i="13"/>
  <c r="C46" i="13" s="1"/>
  <c r="N9" i="12"/>
  <c r="N14" i="12"/>
  <c r="N23" i="13"/>
  <c r="C49" i="13" s="1"/>
  <c r="L34" i="13"/>
  <c r="G30" i="13"/>
  <c r="B42" i="13" s="1"/>
  <c r="R23" i="13"/>
  <c r="O23" i="13"/>
  <c r="C50" i="13" s="1"/>
  <c r="D50" i="13" s="1"/>
  <c r="B18" i="13"/>
  <c r="D46" i="13"/>
  <c r="N5" i="14"/>
  <c r="N14" i="14"/>
  <c r="L23" i="13"/>
  <c r="C47" i="13" s="1"/>
  <c r="D47" i="13" s="1"/>
  <c r="P23" i="13"/>
  <c r="C51" i="13" s="1"/>
  <c r="D51" i="13" s="1"/>
  <c r="R34" i="13"/>
  <c r="B16" i="13"/>
  <c r="B29" i="13"/>
  <c r="B15" i="13"/>
  <c r="J23" i="13"/>
  <c r="C45" i="13" s="1"/>
  <c r="D45" i="13"/>
  <c r="N8" i="14"/>
  <c r="R8" i="14" s="1"/>
  <c r="S8" i="14" s="1"/>
  <c r="M23" i="13"/>
  <c r="C48" i="13" s="1"/>
  <c r="D48" i="13" s="1"/>
  <c r="Q34" i="13"/>
  <c r="N8" i="12"/>
  <c r="R8" i="12" s="1"/>
  <c r="S8" i="12" s="1"/>
  <c r="N13" i="12"/>
  <c r="R13" i="12" s="1"/>
  <c r="S13" i="12" s="1"/>
  <c r="N18" i="12"/>
  <c r="B6" i="13"/>
  <c r="B11" i="13"/>
  <c r="B13" i="13"/>
  <c r="Q23" i="13"/>
  <c r="C52" i="13" s="1"/>
  <c r="D52" i="13" s="1"/>
  <c r="C31" i="13"/>
  <c r="D2" i="13" s="1"/>
  <c r="D31" i="13" s="1"/>
  <c r="E2" i="13" s="1"/>
  <c r="E31" i="13" s="1"/>
  <c r="F2" i="13" s="1"/>
  <c r="F31" i="13" s="1"/>
  <c r="G2" i="13" s="1"/>
  <c r="G31" i="13" s="1"/>
  <c r="H2" i="13" s="1"/>
  <c r="H31" i="13" s="1"/>
  <c r="I2" i="13" s="1"/>
  <c r="I31" i="13" s="1"/>
  <c r="J2" i="13" s="1"/>
  <c r="J31" i="13" s="1"/>
  <c r="K2" i="13" s="1"/>
  <c r="K31" i="13" s="1"/>
  <c r="L2" i="13" s="1"/>
  <c r="L31" i="13" s="1"/>
  <c r="M2" i="13" s="1"/>
  <c r="M31" i="13" s="1"/>
  <c r="N2" i="13" s="1"/>
  <c r="N31" i="13" s="1"/>
  <c r="O2" i="13" s="1"/>
  <c r="O31" i="13" s="1"/>
  <c r="P2" i="13" s="1"/>
  <c r="P31" i="13" s="1"/>
  <c r="Q2" i="13" s="1"/>
  <c r="Q31" i="13" s="1"/>
  <c r="R2" i="13" s="1"/>
  <c r="R31" i="13" s="1"/>
  <c r="S2" i="13" s="1"/>
  <c r="S31" i="13" s="1"/>
  <c r="T2" i="13" s="1"/>
  <c r="T31" i="13" s="1"/>
  <c r="U2" i="13" s="1"/>
  <c r="U31" i="13" s="1"/>
  <c r="V2" i="13" s="1"/>
  <c r="V31" i="13" s="1"/>
  <c r="W2" i="13" s="1"/>
  <c r="W31" i="13" s="1"/>
  <c r="X2" i="13" s="1"/>
  <c r="X31" i="13" s="1"/>
  <c r="Y2" i="13" s="1"/>
  <c r="Y31" i="13" s="1"/>
  <c r="Z2" i="13" s="1"/>
  <c r="Z31" i="13" s="1"/>
  <c r="N34" i="13"/>
  <c r="D39" i="13"/>
  <c r="N13" i="14"/>
  <c r="R13" i="14" s="1"/>
  <c r="S13" i="14" s="1"/>
  <c r="Y30" i="7"/>
  <c r="B4" i="13"/>
  <c r="I34" i="13"/>
  <c r="B27" i="13"/>
  <c r="D40" i="13"/>
  <c r="AF19" i="7"/>
  <c r="M30" i="13"/>
  <c r="B48" i="13" s="1"/>
  <c r="B38" i="13"/>
  <c r="N9" i="14"/>
  <c r="N18" i="14"/>
  <c r="Z34" i="7"/>
  <c r="Z23" i="7"/>
  <c r="Y34" i="7"/>
  <c r="Y23" i="7"/>
  <c r="X23" i="7"/>
  <c r="X34" i="7"/>
  <c r="W34" i="7"/>
  <c r="W23" i="7"/>
  <c r="V34" i="7"/>
  <c r="V23" i="7"/>
  <c r="U34" i="7"/>
  <c r="U23" i="7"/>
  <c r="S23" i="7"/>
  <c r="S34" i="7"/>
  <c r="T23" i="7"/>
  <c r="T34" i="7"/>
  <c r="N19" i="10"/>
  <c r="R19" i="10" s="1"/>
  <c r="S19" i="10" s="1"/>
  <c r="T19" i="10" s="1"/>
  <c r="N11" i="10"/>
  <c r="R11" i="10" s="1"/>
  <c r="S11" i="10" s="1"/>
  <c r="T11" i="10" s="1"/>
  <c r="N22" i="10"/>
  <c r="R22" i="10" s="1"/>
  <c r="S22" i="10" s="1"/>
  <c r="T22" i="10" s="1"/>
  <c r="N23" i="10"/>
  <c r="R23" i="10" s="1"/>
  <c r="S23" i="10" s="1"/>
  <c r="T23" i="10" s="1"/>
  <c r="N14" i="10"/>
  <c r="R14" i="10" s="1"/>
  <c r="S14" i="10" s="1"/>
  <c r="T14" i="10" s="1"/>
  <c r="N15" i="10"/>
  <c r="R15" i="10" s="1"/>
  <c r="S15" i="10" s="1"/>
  <c r="T15" i="10" s="1"/>
  <c r="N18" i="10"/>
  <c r="R18" i="10" s="1"/>
  <c r="S18" i="10" s="1"/>
  <c r="T18" i="10" s="1"/>
  <c r="N2" i="10"/>
  <c r="R2" i="10" s="1"/>
  <c r="S2" i="10" s="1"/>
  <c r="T2" i="10" s="1"/>
  <c r="N20" i="10"/>
  <c r="R20" i="10" s="1"/>
  <c r="S20" i="10" s="1"/>
  <c r="T20" i="10" s="1"/>
  <c r="N10" i="10"/>
  <c r="R10" i="10" s="1"/>
  <c r="S10" i="10" s="1"/>
  <c r="T10" i="10" s="1"/>
  <c r="N7" i="10"/>
  <c r="R7" i="10" s="1"/>
  <c r="S7" i="10" s="1"/>
  <c r="T7" i="10" s="1"/>
  <c r="N45" i="10"/>
  <c r="R45" i="10" s="1"/>
  <c r="S45" i="10" s="1"/>
  <c r="T45" i="10" s="1"/>
  <c r="N47" i="10"/>
  <c r="N25" i="10"/>
  <c r="N9" i="10"/>
  <c r="N13" i="10"/>
  <c r="N12" i="10"/>
  <c r="R12" i="10" s="1"/>
  <c r="S12" i="10" s="1"/>
  <c r="T12" i="10" s="1"/>
  <c r="N17" i="10"/>
  <c r="N8" i="10"/>
  <c r="R8" i="10" s="1"/>
  <c r="S8" i="10" s="1"/>
  <c r="T8" i="10" s="1"/>
  <c r="N16" i="10"/>
  <c r="R16" i="10" s="1"/>
  <c r="S16" i="10" s="1"/>
  <c r="T16" i="10" s="1"/>
  <c r="N24" i="10"/>
  <c r="R24" i="10" s="1"/>
  <c r="S24" i="10" s="1"/>
  <c r="T24" i="10" s="1"/>
  <c r="N21" i="10"/>
  <c r="N6" i="10"/>
  <c r="R6" i="10" s="1"/>
  <c r="S6" i="10" s="1"/>
  <c r="T6" i="10" s="1"/>
  <c r="N4" i="10"/>
  <c r="N3" i="10"/>
  <c r="R5" i="14"/>
  <c r="S5" i="14" s="1"/>
  <c r="O5" i="14"/>
  <c r="R14" i="14"/>
  <c r="S14" i="14" s="1"/>
  <c r="O14" i="14"/>
  <c r="O3" i="14"/>
  <c r="N1" i="14"/>
  <c r="R20" i="14"/>
  <c r="S20" i="14" s="1"/>
  <c r="O20" i="14"/>
  <c r="R9" i="14"/>
  <c r="S9" i="14" s="1"/>
  <c r="O9" i="14"/>
  <c r="R18" i="14"/>
  <c r="S18" i="14" s="1"/>
  <c r="O18" i="14"/>
  <c r="R7" i="14"/>
  <c r="S7" i="14" s="1"/>
  <c r="O7" i="14"/>
  <c r="O11" i="14"/>
  <c r="R11" i="14"/>
  <c r="S11" i="14" s="1"/>
  <c r="R16" i="14"/>
  <c r="S16" i="14" s="1"/>
  <c r="B53" i="13"/>
  <c r="C38" i="13"/>
  <c r="C53" i="13" s="1"/>
  <c r="D49" i="13"/>
  <c r="D42" i="13"/>
  <c r="D41" i="13"/>
  <c r="D43" i="13"/>
  <c r="K34" i="13"/>
  <c r="B5" i="13"/>
  <c r="B30" i="13"/>
  <c r="F34" i="13"/>
  <c r="M34" i="13"/>
  <c r="G34" i="13"/>
  <c r="O34" i="13"/>
  <c r="H34" i="13"/>
  <c r="P34" i="13"/>
  <c r="R23" i="7"/>
  <c r="R34" i="7"/>
  <c r="Q34" i="7"/>
  <c r="N30" i="7"/>
  <c r="N1" i="12"/>
  <c r="O3" i="12"/>
  <c r="O11" i="12"/>
  <c r="R11" i="12"/>
  <c r="S11" i="12" s="1"/>
  <c r="R9" i="12"/>
  <c r="S9" i="12" s="1"/>
  <c r="O9" i="12"/>
  <c r="R14" i="12"/>
  <c r="S14" i="12" s="1"/>
  <c r="O14" i="12"/>
  <c r="O5" i="12"/>
  <c r="R5" i="12"/>
  <c r="S5" i="12" s="1"/>
  <c r="R18" i="12"/>
  <c r="S18" i="12" s="1"/>
  <c r="O18" i="12"/>
  <c r="O16" i="12"/>
  <c r="R16" i="12"/>
  <c r="S16" i="12" s="1"/>
  <c r="R7" i="12"/>
  <c r="S7" i="12" s="1"/>
  <c r="O7" i="12"/>
  <c r="M1" i="12"/>
  <c r="O20" i="12"/>
  <c r="I1" i="12"/>
  <c r="N46" i="10"/>
  <c r="R46" i="10" s="1"/>
  <c r="S46" i="10" s="1"/>
  <c r="T46" i="10" s="1"/>
  <c r="N48" i="10"/>
  <c r="R48" i="10" s="1"/>
  <c r="S48" i="10" s="1"/>
  <c r="T48" i="10" s="1"/>
  <c r="M44" i="10"/>
  <c r="I44" i="10"/>
  <c r="Q44" i="10"/>
  <c r="L21" i="7"/>
  <c r="L9" i="7"/>
  <c r="B23" i="13" l="1"/>
  <c r="B31" i="13"/>
  <c r="O19" i="10"/>
  <c r="O15" i="10"/>
  <c r="O23" i="10"/>
  <c r="R25" i="10"/>
  <c r="S25" i="10" s="1"/>
  <c r="T25" i="10" s="1"/>
  <c r="O25" i="10"/>
  <c r="O11" i="10"/>
  <c r="O7" i="10"/>
  <c r="O13" i="10"/>
  <c r="R13" i="10"/>
  <c r="S13" i="10" s="1"/>
  <c r="T13" i="10" s="1"/>
  <c r="R9" i="10"/>
  <c r="S9" i="10" s="1"/>
  <c r="T9" i="10" s="1"/>
  <c r="O9" i="10"/>
  <c r="O21" i="10"/>
  <c r="R21" i="10"/>
  <c r="S21" i="10" s="1"/>
  <c r="T21" i="10" s="1"/>
  <c r="R47" i="10"/>
  <c r="S47" i="10" s="1"/>
  <c r="T47" i="10" s="1"/>
  <c r="O47" i="10"/>
  <c r="R17" i="10"/>
  <c r="S17" i="10" s="1"/>
  <c r="T17" i="10" s="1"/>
  <c r="O17" i="10"/>
  <c r="R4" i="10"/>
  <c r="S4" i="10" s="1"/>
  <c r="T4" i="10" s="1"/>
  <c r="O4" i="10"/>
  <c r="O2" i="10"/>
  <c r="R3" i="10"/>
  <c r="S3" i="10" s="1"/>
  <c r="T3" i="10" s="1"/>
  <c r="D38" i="13"/>
  <c r="D53" i="13"/>
  <c r="N44" i="10"/>
  <c r="R44" i="10" s="1"/>
  <c r="S44" i="10" s="1"/>
  <c r="T44" i="10" s="1"/>
  <c r="L34" i="7"/>
  <c r="M43" i="10"/>
  <c r="I43" i="10"/>
  <c r="Q43" i="10"/>
  <c r="K12" i="7"/>
  <c r="Q42" i="10"/>
  <c r="M42" i="10"/>
  <c r="I42" i="10"/>
  <c r="N42" i="10" s="1"/>
  <c r="R42" i="10" s="1"/>
  <c r="S42" i="10" s="1"/>
  <c r="T42" i="10" s="1"/>
  <c r="K9" i="7"/>
  <c r="K4" i="7"/>
  <c r="K15" i="7"/>
  <c r="Q34" i="10"/>
  <c r="Q32" i="10"/>
  <c r="Q33" i="10"/>
  <c r="Q35" i="10"/>
  <c r="Q36" i="10"/>
  <c r="Q37" i="10"/>
  <c r="Q38" i="10"/>
  <c r="Q39" i="10"/>
  <c r="Q40" i="10"/>
  <c r="Q41" i="10"/>
  <c r="Q31" i="10"/>
  <c r="M41" i="10"/>
  <c r="I41" i="10"/>
  <c r="K5" i="7"/>
  <c r="K6" i="7"/>
  <c r="K18" i="7"/>
  <c r="O45" i="10"/>
  <c r="M40" i="10"/>
  <c r="I40" i="10"/>
  <c r="P34" i="7"/>
  <c r="O34" i="7"/>
  <c r="M34" i="7"/>
  <c r="E34" i="7"/>
  <c r="D34" i="7"/>
  <c r="C34" i="7"/>
  <c r="I5" i="7"/>
  <c r="I18" i="7"/>
  <c r="H5" i="7"/>
  <c r="H18" i="7"/>
  <c r="G18" i="7"/>
  <c r="G5" i="7"/>
  <c r="J12" i="7"/>
  <c r="N43" i="10" l="1"/>
  <c r="R43" i="10" s="1"/>
  <c r="S43" i="10" s="1"/>
  <c r="T43" i="10" s="1"/>
  <c r="N40" i="10"/>
  <c r="R40" i="10" s="1"/>
  <c r="S40" i="10" s="1"/>
  <c r="T40" i="10" s="1"/>
  <c r="K34" i="7"/>
  <c r="N41" i="10"/>
  <c r="J6" i="7"/>
  <c r="J18" i="7"/>
  <c r="J9" i="7"/>
  <c r="I37" i="10"/>
  <c r="I38" i="10"/>
  <c r="I39" i="10"/>
  <c r="I36" i="10"/>
  <c r="I33" i="10"/>
  <c r="I31" i="10"/>
  <c r="I30" i="10"/>
  <c r="I35" i="10"/>
  <c r="I34" i="10"/>
  <c r="M39" i="10"/>
  <c r="M38" i="10"/>
  <c r="M37" i="10"/>
  <c r="M35" i="10"/>
  <c r="M34" i="10"/>
  <c r="M33" i="10"/>
  <c r="M32" i="10"/>
  <c r="M31" i="10"/>
  <c r="M30" i="10"/>
  <c r="M36" i="10"/>
  <c r="J4" i="7"/>
  <c r="O43" i="10" l="1"/>
  <c r="J34" i="7"/>
  <c r="N39" i="10"/>
  <c r="R39" i="10" s="1"/>
  <c r="S39" i="10" s="1"/>
  <c r="T39" i="10" s="1"/>
  <c r="O41" i="10"/>
  <c r="R41" i="10"/>
  <c r="S41" i="10" s="1"/>
  <c r="T41" i="10" s="1"/>
  <c r="N36" i="10"/>
  <c r="R36" i="10" s="1"/>
  <c r="S36" i="10" s="1"/>
  <c r="T36" i="10" s="1"/>
  <c r="N34" i="10"/>
  <c r="R34" i="10" s="1"/>
  <c r="S34" i="10" s="1"/>
  <c r="T34" i="10" s="1"/>
  <c r="N30" i="10"/>
  <c r="N38" i="10"/>
  <c r="N35" i="10"/>
  <c r="R35" i="10" s="1"/>
  <c r="S35" i="10" s="1"/>
  <c r="T35" i="10" s="1"/>
  <c r="N33" i="10"/>
  <c r="R33" i="10" s="1"/>
  <c r="S33" i="10" s="1"/>
  <c r="T33" i="10" s="1"/>
  <c r="N31" i="10"/>
  <c r="R31" i="10" s="1"/>
  <c r="S31" i="10" s="1"/>
  <c r="T31" i="10" s="1"/>
  <c r="N32" i="10"/>
  <c r="R32" i="10" s="1"/>
  <c r="S32" i="10" s="1"/>
  <c r="T32" i="10" s="1"/>
  <c r="I6" i="7"/>
  <c r="I15" i="7"/>
  <c r="R38" i="10" l="1"/>
  <c r="S38" i="10" s="1"/>
  <c r="T38" i="10" s="1"/>
  <c r="O38" i="10"/>
  <c r="O30" i="10"/>
  <c r="O34" i="10"/>
  <c r="O32" i="10"/>
  <c r="N37" i="10"/>
  <c r="I27" i="7"/>
  <c r="R37" i="10" l="1"/>
  <c r="S37" i="10" s="1"/>
  <c r="T37" i="10" s="1"/>
  <c r="O36" i="10"/>
  <c r="I12" i="7"/>
  <c r="I9" i="7" l="1"/>
  <c r="I34" i="7" s="1"/>
  <c r="H19" i="7"/>
  <c r="H12" i="7" l="1"/>
  <c r="H27" i="7"/>
  <c r="H9" i="7" l="1"/>
  <c r="H6" i="7"/>
  <c r="H34" i="7" l="1"/>
  <c r="B29" i="7"/>
  <c r="B28" i="7"/>
  <c r="B26" i="7"/>
  <c r="B25" i="7"/>
  <c r="B22" i="7"/>
  <c r="B21" i="7"/>
  <c r="B20" i="7"/>
  <c r="B19" i="7"/>
  <c r="B16" i="7"/>
  <c r="B15" i="7"/>
  <c r="B14" i="7"/>
  <c r="B12" i="7"/>
  <c r="B11" i="7"/>
  <c r="B10" i="7"/>
  <c r="B8" i="7"/>
  <c r="B5" i="7"/>
  <c r="B4" i="7"/>
  <c r="B3" i="7"/>
  <c r="G9" i="7"/>
  <c r="G27" i="7"/>
  <c r="B27" i="7" s="1"/>
  <c r="G24" i="7"/>
  <c r="B24" i="7" s="1"/>
  <c r="B18" i="7"/>
  <c r="G13" i="7"/>
  <c r="G35" i="7" s="1"/>
  <c r="F13" i="7"/>
  <c r="F35" i="7" s="1"/>
  <c r="B9" i="7" l="1"/>
  <c r="G34" i="7"/>
  <c r="G23" i="7"/>
  <c r="C42" i="7" s="1"/>
  <c r="H23" i="7"/>
  <c r="C43" i="7" s="1"/>
  <c r="I23" i="7"/>
  <c r="J23" i="7"/>
  <c r="C45" i="7" s="1"/>
  <c r="K23" i="7"/>
  <c r="C46" i="7" s="1"/>
  <c r="L23" i="7"/>
  <c r="C47" i="7" s="1"/>
  <c r="M23" i="7"/>
  <c r="C48" i="7" s="1"/>
  <c r="N23" i="7"/>
  <c r="C49" i="7" s="1"/>
  <c r="O23" i="7"/>
  <c r="C50" i="7" s="1"/>
  <c r="P23" i="7"/>
  <c r="C51" i="7" s="1"/>
  <c r="Q23" i="7"/>
  <c r="C52" i="7" s="1"/>
  <c r="F17" i="7"/>
  <c r="B17" i="7" s="1"/>
  <c r="F7" i="7"/>
  <c r="B7" i="7" s="1"/>
  <c r="F6" i="7"/>
  <c r="D33" i="7"/>
  <c r="C33" i="7"/>
  <c r="E13" i="7"/>
  <c r="D13" i="7"/>
  <c r="C13" i="7"/>
  <c r="C35" i="7" s="1"/>
  <c r="D23" i="7" l="1"/>
  <c r="C39" i="7" s="1"/>
  <c r="D35" i="7"/>
  <c r="B35" i="7" s="1"/>
  <c r="E23" i="7"/>
  <c r="C40" i="7" s="1"/>
  <c r="E35" i="7"/>
  <c r="B6" i="7"/>
  <c r="F34" i="7"/>
  <c r="B34" i="7" s="1"/>
  <c r="C23" i="7"/>
  <c r="C38" i="7" s="1"/>
  <c r="B13" i="7"/>
  <c r="C44" i="7"/>
  <c r="B33" i="7"/>
  <c r="F23" i="7"/>
  <c r="C41" i="7" s="1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D44" i="8"/>
  <c r="E41" i="8"/>
  <c r="E44" i="8" s="1"/>
  <c r="G39" i="8"/>
  <c r="F39" i="8"/>
  <c r="E39" i="8"/>
  <c r="D39" i="8"/>
  <c r="M34" i="8"/>
  <c r="K33" i="8"/>
  <c r="F30" i="8"/>
  <c r="M29" i="8"/>
  <c r="Q28" i="8"/>
  <c r="E28" i="8"/>
  <c r="P27" i="8"/>
  <c r="E27" i="8"/>
  <c r="P26" i="8"/>
  <c r="E26" i="8"/>
  <c r="V25" i="8"/>
  <c r="V26" i="8" s="1"/>
  <c r="Q25" i="8"/>
  <c r="E25" i="8"/>
  <c r="Q24" i="8"/>
  <c r="E24" i="8"/>
  <c r="K23" i="8"/>
  <c r="K22" i="8"/>
  <c r="R20" i="8"/>
  <c r="Q20" i="8"/>
  <c r="P20" i="8"/>
  <c r="O20" i="8"/>
  <c r="N20" i="8"/>
  <c r="M20" i="8"/>
  <c r="L20" i="8"/>
  <c r="K20" i="8"/>
  <c r="J20" i="8"/>
  <c r="I20" i="8"/>
  <c r="H20" i="8"/>
  <c r="F19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H13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R7" i="8"/>
  <c r="Q7" i="8"/>
  <c r="P7" i="8"/>
  <c r="O7" i="8"/>
  <c r="N7" i="8"/>
  <c r="M7" i="8"/>
  <c r="L7" i="8"/>
  <c r="L40" i="8" s="1"/>
  <c r="K7" i="8"/>
  <c r="J7" i="8"/>
  <c r="I7" i="8"/>
  <c r="H7" i="8"/>
  <c r="G7" i="8"/>
  <c r="F7" i="8"/>
  <c r="E7" i="8"/>
  <c r="D7" i="8"/>
  <c r="D40" i="8" s="1"/>
  <c r="D45" i="8" s="1"/>
  <c r="E3" i="8" s="1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F4" i="8"/>
  <c r="F40" i="8" s="1"/>
  <c r="D3" i="8"/>
  <c r="E40" i="8" l="1"/>
  <c r="E45" i="8" s="1"/>
  <c r="F3" i="8" s="1"/>
  <c r="F45" i="8" s="1"/>
  <c r="G3" i="8" s="1"/>
  <c r="G45" i="8" s="1"/>
  <c r="H3" i="8" s="1"/>
  <c r="H45" i="8" s="1"/>
  <c r="I3" i="8" s="1"/>
  <c r="I45" i="8" s="1"/>
  <c r="J3" i="8" s="1"/>
  <c r="J45" i="8" s="1"/>
  <c r="K3" i="8" s="1"/>
  <c r="K45" i="8" s="1"/>
  <c r="L3" i="8" s="1"/>
  <c r="L45" i="8" s="1"/>
  <c r="M3" i="8" s="1"/>
  <c r="M45" i="8" s="1"/>
  <c r="N3" i="8" s="1"/>
  <c r="N45" i="8" s="1"/>
  <c r="O3" i="8" s="1"/>
  <c r="O45" i="8" s="1"/>
  <c r="P3" i="8" s="1"/>
  <c r="P45" i="8" s="1"/>
  <c r="Q3" i="8" s="1"/>
  <c r="Q45" i="8" s="1"/>
  <c r="R3" i="8" s="1"/>
  <c r="R45" i="8" s="1"/>
  <c r="M40" i="8"/>
  <c r="H40" i="8"/>
  <c r="P40" i="8"/>
  <c r="I40" i="8"/>
  <c r="Q40" i="8"/>
  <c r="J40" i="8"/>
  <c r="N40" i="8"/>
  <c r="G40" i="8"/>
  <c r="O40" i="8"/>
  <c r="R40" i="8"/>
  <c r="K40" i="8"/>
  <c r="B23" i="7"/>
  <c r="C53" i="7"/>
  <c r="O30" i="7" l="1"/>
  <c r="K30" i="7"/>
  <c r="B46" i="7" s="1"/>
  <c r="D46" i="7" s="1"/>
  <c r="B49" i="7"/>
  <c r="D49" i="7" s="1"/>
  <c r="Q30" i="7"/>
  <c r="B52" i="7" s="1"/>
  <c r="D52" i="7" s="1"/>
  <c r="M30" i="7"/>
  <c r="B48" i="7" s="1"/>
  <c r="D48" i="7" s="1"/>
  <c r="P30" i="7"/>
  <c r="B51" i="7" s="1"/>
  <c r="D51" i="7" s="1"/>
  <c r="L30" i="7"/>
  <c r="B47" i="7" s="1"/>
  <c r="D47" i="7" s="1"/>
  <c r="B50" i="7" l="1"/>
  <c r="D50" i="7" s="1"/>
  <c r="E30" i="7"/>
  <c r="B40" i="7" s="1"/>
  <c r="D40" i="7" s="1"/>
  <c r="C30" i="7"/>
  <c r="D30" i="7"/>
  <c r="B39" i="7" s="1"/>
  <c r="D39" i="7" s="1"/>
  <c r="F30" i="7"/>
  <c r="B41" i="7" s="1"/>
  <c r="D41" i="7" s="1"/>
  <c r="G30" i="7"/>
  <c r="B42" i="7" s="1"/>
  <c r="D42" i="7" s="1"/>
  <c r="H30" i="7"/>
  <c r="I30" i="7"/>
  <c r="B44" i="7" s="1"/>
  <c r="J30" i="7"/>
  <c r="B45" i="7" s="1"/>
  <c r="D45" i="7" s="1"/>
  <c r="B30" i="7" l="1"/>
  <c r="B31" i="7" s="1"/>
  <c r="B38" i="7"/>
  <c r="D38" i="7" s="1"/>
  <c r="C31" i="7"/>
  <c r="D2" i="7" s="1"/>
  <c r="D31" i="7" s="1"/>
  <c r="E2" i="7" s="1"/>
  <c r="B43" i="7"/>
  <c r="D43" i="7" s="1"/>
  <c r="D44" i="7"/>
  <c r="B53" i="7" l="1"/>
  <c r="D53" i="7" s="1"/>
  <c r="E31" i="7"/>
  <c r="F2" i="7" s="1"/>
  <c r="F31" i="7" s="1"/>
  <c r="G2" i="7" s="1"/>
  <c r="G31" i="7" s="1"/>
  <c r="H2" i="7" s="1"/>
  <c r="H31" i="7" s="1"/>
  <c r="I2" i="7" s="1"/>
  <c r="I31" i="7" s="1"/>
  <c r="J2" i="7" l="1"/>
  <c r="J31" i="7" s="1"/>
  <c r="K2" i="7" s="1"/>
  <c r="K31" i="7" s="1"/>
  <c r="L2" i="7" l="1"/>
  <c r="L31" i="7" s="1"/>
  <c r="M2" i="7" l="1"/>
  <c r="M31" i="7" s="1"/>
  <c r="N2" i="7" l="1"/>
  <c r="N31" i="7" s="1"/>
  <c r="O2" i="7" l="1"/>
  <c r="O31" i="7" s="1"/>
  <c r="P2" i="7" l="1"/>
  <c r="P31" i="7" s="1"/>
  <c r="Q2" i="7" l="1"/>
  <c r="Q31" i="7" s="1"/>
  <c r="R2" i="7" s="1"/>
  <c r="R31" i="7" s="1"/>
  <c r="S2" i="7" s="1"/>
  <c r="S31" i="7" s="1"/>
  <c r="T2" i="7" s="1"/>
  <c r="T31" i="7" s="1"/>
  <c r="U2" i="7" s="1"/>
  <c r="U31" i="7" s="1"/>
  <c r="V2" i="7" s="1"/>
  <c r="V31" i="7" s="1"/>
  <c r="W2" i="7" s="1"/>
  <c r="W31" i="7" s="1"/>
  <c r="X2" i="7" s="1"/>
  <c r="X31" i="7" s="1"/>
  <c r="Y2" i="7" s="1"/>
  <c r="Y31" i="7" s="1"/>
  <c r="Z2" i="7" s="1"/>
  <c r="Z31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3" authorId="0" shapeId="0" xr:uid="{E4F09DC7-DAC5-49DC-9CE3-E6093335702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4.52 : Hand Gloves</t>
        </r>
      </text>
    </comment>
    <comment ref="I4" authorId="0" shapeId="0" xr:uid="{47E82792-9A02-4E44-8BEA-5855F73F048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40.85 : Fruits + Chips</t>
        </r>
      </text>
    </comment>
    <comment ref="J4" authorId="0" shapeId="0" xr:uid="{644427F2-8976-4DAE-892C-EB1D5A5E43E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1.68 : Banana</t>
        </r>
      </text>
    </comment>
    <comment ref="K4" authorId="0" shapeId="0" xr:uid="{68376771-7663-4586-BBCB-E4B888AA061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5.09 : Apple &amp; Banana
5.89 : Milk
1.87 : Banana</t>
        </r>
      </text>
    </comment>
    <comment ref="L4" authorId="0" shapeId="0" xr:uid="{4799694D-8DA0-482F-912E-016AA781838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4.99 : Chapman's Ice Cream Leena Aunty
14.37 : Milk, Garlic Bread, Beet, Banana
8.57 : Banana, Milk
1.85 : Banana
6 : Ice Cream
1.93 : Banana
1.82 : Banana
1.85 : Banana
6.55 : Banana &amp; Pear</t>
        </r>
      </text>
    </comment>
    <comment ref="M4" authorId="0" shapeId="0" xr:uid="{8A7BC778-A501-4936-A3A8-0F91D409F2E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6.55 - Freshco
8.55 - Freshco</t>
        </r>
      </text>
    </comment>
    <comment ref="G5" authorId="0" shapeId="0" xr:uid="{9C96F045-A8DC-4968-BE2D-1FC67498F39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 : Tims at college
4.45 : Govardhan Dabeli
120 : Grocery-Pizza
5 : Govardhan</t>
        </r>
      </text>
    </comment>
    <comment ref="H5" authorId="0" shapeId="0" xr:uid="{5E6E74E4-D81F-43BC-9BBE-EDDBF64C1A1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22 : Food
5 : Khandavi
13.78 : 2*Milk for Home on 13 June 2023
16 : Pizza Depot Rahul &amp; Neha 17 June 2023
30 : Ice cream 4 flavours for 30 17 June 2023
7.5 : ChaiTime on Anniversary</t>
        </r>
      </text>
    </comment>
    <comment ref="I5" authorId="0" shapeId="0" xr:uid="{66B90569-66D4-44B6-8B9B-89DF78AAB6F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164 : Kitchen Sharing
15.80 : Pizza Depot on 23/07/23</t>
        </r>
      </text>
    </comment>
    <comment ref="K5" authorId="0" shapeId="0" xr:uid="{BBFBD027-0DDF-43C4-9635-7090F1ED981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 : Canada Dry
24.85 : Pizza Depot</t>
        </r>
      </text>
    </comment>
    <comment ref="N5" authorId="0" shapeId="0" xr:uid="{A5CD1305-86AE-40FF-816C-9B1A42EAC3A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32.70 Pizza Depot
9 : Tims Potato Wadges
10.51 : Samosa
19.96 : Butter from Shoppers</t>
        </r>
      </text>
    </comment>
    <comment ref="O5" authorId="0" shapeId="0" xr:uid="{63EF8FB6-1D85-49D1-B2C3-D0C1AD6D10E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26.68 : Pizza</t>
        </r>
      </text>
    </comment>
    <comment ref="Q5" authorId="0" shapeId="0" xr:uid="{20A9BDA6-E3BC-4BB2-B3C4-D05BB428922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17.10 : Datta Samosa
10.15 : Surati (Kachori, Namak Para, Bhungala, Meetha Mix Chevdo)
14.35 : Canbe Samosa
14.34 : Tims RNT
16 : Datta
20.17 : Bombay Bites</t>
        </r>
      </text>
    </comment>
    <comment ref="R5" authorId="0" shapeId="0" xr:uid="{B9599DB0-331F-418D-BE7D-1451869C489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9.49 : Dates from Costco
8.28 : Surati (Punjabi Biscuits, Pista Cookies)
2.10 : Embassy Samosa King
5.65 : Datta Dosa
9.49 : Dates from Costco
5.65 : Datta
11.30 : Datta</t>
        </r>
      </text>
    </comment>
    <comment ref="S5" authorId="0" shapeId="0" xr:uid="{C85C7F56-F9D8-4A35-82F3-28A956541F0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10.15 : Kulcha Bites (Return to Kitchener)
23.71 : Royal Punjab Grill (Return to Kitchener)
22.59 : Jaini for Pista
40 : Veggies from Market
15 : Veggies from Market
12 : Metro Cake</t>
        </r>
      </text>
    </comment>
    <comment ref="T5" authorId="0" shapeId="0" xr:uid="{F77469BE-F513-47A2-A046-3619F093470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5.65 : Datta
5.65 : Datta</t>
        </r>
      </text>
    </comment>
    <comment ref="X5" authorId="0" shapeId="0" xr:uid="{27B3BC6A-0D28-4447-AE58-34C06C78D93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5.65 : Datta
33.35 : Kinjal + 10 for RMD = 43.35</t>
        </r>
      </text>
    </comment>
    <comment ref="Z5" authorId="0" shapeId="0" xr:uid="{52D5A9AE-DB0B-4108-811F-F7E5C598FCF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2.45 : Datta</t>
        </r>
      </text>
    </comment>
    <comment ref="H6" authorId="0" shapeId="0" xr:uid="{4BB93AB0-A379-4E06-A53D-EA3B12004F7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13.78 : Milk
1 : 2*Monaco</t>
        </r>
      </text>
    </comment>
    <comment ref="I6" authorId="0" shapeId="0" xr:uid="{A1DBABE0-05D9-43FE-84FE-F914978DB55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 : Snacks on Neha's B'Day
2.5 : Saffron
2.8 : Rajagara No Lot
3.4 : Aloo Bhujia
54.70 : Milk, Mamara, Chips, Ketch Up, Cashew, Potato, Onion, Ginger, Pista, Ginger, Lemon, Green Mango, Tam Tam, Valol, Green Chilly</t>
        </r>
      </text>
    </comment>
    <comment ref="J6" authorId="0" shapeId="0" xr:uid="{13283B89-6817-4E6A-997A-02FEE90BFC5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21.5 : Veg., Sakar, Green Mango, Tomato, Sugar, Coconut Hair Oil
20 : Veg., Radish, Salt, Grocery, Kurkure, Crunchex, Mamara
6 : Milk
3.29 : Curd
1.12 : Canada Dry
12.64 : Milk, Lemon, Ginger, Hing
9 : Schezwan Chutney, Pasta Masala
5 : Veggie - Neha
5.99 : Milk
1.2 : Banana</t>
        </r>
      </text>
    </comment>
    <comment ref="K6" authorId="0" shapeId="0" xr:uid="{0F30F46D-7C1A-4509-B9CD-B6EB2C85941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51 : Besan, Mamra, Makai Paua, Green Onion, Tamtam, Veggies, Poha, Soji
1 : Green Chilly
3 : Veg</t>
        </r>
      </text>
    </comment>
    <comment ref="L6" authorId="0" shapeId="0" xr:uid="{AC6E1225-BC4A-4777-A780-C342F644A43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7.32 : Aloo Bhujia, Bottle Guard, Ginger
29.86 : Pista Halwo, Mung Dal, Bourbon Choco, Bourbon, Khajur, Balaji, Monaco, Good Day, Garlic, Veggies, Green Chilly
3.35 : Kurkure Mirch Masala
30.09 : Green Resin, Almond, Cashew, Good Day Cookies, HS Café Mocha
5.63 : Neha Chataka Pataka, Biscuits
72.55 : Parle G, Dates, Snacks, Walnut, Cashew, Almonds, Pista, Mango, Veggies, Tomato, Sugar Candy
34.97 : Jaggery, Spices, Saffron, Veggies</t>
        </r>
      </text>
    </comment>
    <comment ref="M6" authorId="0" shapeId="0" xr:uid="{84DC2BBF-A0C9-47D5-96E6-83C4078C5F7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34.97 : Mirch Masala Neha
13.15 : Red Chilli Pow, Coconut, Cookies, Snacks
10.59 : Mirch Masala Neha
14.24 : Mirch Masala</t>
        </r>
      </text>
    </comment>
    <comment ref="N6" authorId="0" shapeId="0" xr:uid="{AE3DD8D5-AA2F-4798-B7B1-DD467BD622E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34.06 : Mirch Masala - Snacks, Veg.,
9.58 : Pani Puri
5.06 : Veg., Potato, Green Chilly, Mint, Coriander Leaves
2.5 : Veg.
4.79 : Pani Puri
7.99 : Ghee
32.70 : Grocery, Mamra
6.89 : Milk</t>
        </r>
      </text>
    </comment>
    <comment ref="O6" authorId="0" shapeId="0" xr:uid="{4277362F-EDD8-482B-A2DB-2029878E3C5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50 : Mirch Masala</t>
        </r>
      </text>
    </comment>
    <comment ref="P6" authorId="0" shapeId="0" xr:uid="{93FA0AEE-06FF-4F42-A2E6-D66A9BDDC77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 : Brinda Grocery
12.36 : Grocery</t>
        </r>
      </text>
    </comment>
    <comment ref="T6" authorId="0" shapeId="0" xr:uid="{7FFFF4C6-617C-4C2A-A42C-F08860B0248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44.75 : Floor, Veggies, Kurkure, Papad, Sago Papad, Snacks</t>
        </r>
      </text>
    </comment>
    <comment ref="H7" authorId="0" shapeId="0" xr:uid="{E674B811-0C38-49C6-A013-6745F6253D2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Fruits</t>
        </r>
      </text>
    </comment>
    <comment ref="I7" authorId="0" shapeId="0" xr:uid="{21A4EFF3-466A-41D8-BE9B-1ABACB1F181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Banana, Corn, French Fries, Kurkure, Sher Atta</t>
        </r>
      </text>
    </comment>
    <comment ref="M7" authorId="0" shapeId="0" xr:uid="{247B70F1-D916-4E0D-B881-197CCACD07D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43.86 : Flour</t>
        </r>
      </text>
    </comment>
    <comment ref="R7" authorId="0" shapeId="0" xr:uid="{3D36BF9F-7134-4CDA-82C4-801DEEFE31C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33.02 : Grapes
17.78 : Ashirwaad Atta + Fundoo Biscuits
1.88 : Tomatoes</t>
        </r>
      </text>
    </comment>
    <comment ref="T7" authorId="0" shapeId="0" xr:uid="{04CD698A-9659-433C-866C-1BB6913AF73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14.32 : Cherry, Cheese, Grapes, Mandarin
6.84 : Dudhi, Grapes, Peaches, Banana</t>
        </r>
      </text>
    </comment>
    <comment ref="H8" authorId="0" shapeId="0" xr:uid="{4D060893-8E80-49E5-BE14-ACF5CD82380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21.47 (14.98 - 7.49*2 Red + 6.49*1 Blue)</t>
        </r>
      </text>
    </comment>
    <comment ref="M8" authorId="0" shapeId="0" xr:uid="{91A8F2D9-0CCD-4CC9-B3D0-1A751E76340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2.49 : Pasta Masala Neha
11.98 : Namaste Neha
18.53 : Dada Anjeer &amp; Papad
6.49 : Kinjal Custard &amp; Sev Mamara
16.30 : Kinjal</t>
        </r>
      </text>
    </comment>
    <comment ref="R8" authorId="0" shapeId="0" xr:uid="{31D4B4F3-78DB-4184-BA1D-B8AD04C32CE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20.49 : Chana Jor Garam, Samosa and Veggies</t>
        </r>
      </text>
    </comment>
    <comment ref="G9" authorId="0" shapeId="0" xr:uid="{548D4FC1-4C3F-491B-8523-9926657A1CD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89.72 : Walmart
9.85 : Received short from Nilesh Uncle</t>
        </r>
      </text>
    </comment>
    <comment ref="H9" authorId="0" shapeId="0" xr:uid="{200AC26A-C1A1-4236-ACFA-C57EFD310B2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28.42 : Almonds, Cocktail Mix Mixed Dry Fruits, Fruits, Chips Ahoy
11.95 : Banana, Grapes, Kurkure
87.96 : Fruits &amp; Dry Fruits</t>
        </r>
      </text>
    </comment>
    <comment ref="I9" authorId="0" shapeId="0" xr:uid="{1583D603-3D23-47F0-A18A-DF5174A5FDA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40 : Dry Fruits &amp; Chocolates to India</t>
        </r>
      </text>
    </comment>
    <comment ref="J9" authorId="0" shapeId="0" xr:uid="{1C3E72E6-2A67-4BDE-8832-B6BFB580656B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7.18 : Banana, Wallnut
</t>
        </r>
      </text>
    </comment>
    <comment ref="K9" authorId="0" shapeId="0" xr:uid="{6FADA823-940A-4BAB-8612-A9453919D31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60.22 (58.81+1.4) : Sher Atta, Milk, Toilet Tissue, Brar Ghee, Hand Wash
17.76 : Fruits, Veg
11.51 : Milk &amp; Canada Dry
14.34 : Banana, Tomatoes, Chocolate, Milk
2.69 : Banana
4.98 : Orange Juice</t>
        </r>
      </text>
    </comment>
    <comment ref="L9" authorId="0" shapeId="0" xr:uid="{BDD4D2EA-E579-48A4-AF62-B3820729BDE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4.98 : Orange Juice
4.98 : Orange Juice
4.44 : Orange Juice (Food Basics)</t>
        </r>
      </text>
    </comment>
    <comment ref="M9" authorId="0" shapeId="0" xr:uid="{2E46A537-D22C-4F80-ADB3-F6F554BCBDBB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6.94 : Apple, Blackberry, Raspberry
5.36 :
19.18 : </t>
        </r>
      </text>
    </comment>
    <comment ref="N9" authorId="0" shapeId="0" xr:uid="{6C002FF4-9D1C-4B44-89B6-CA6E72D3DA5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1.29 : Banana
12.22 : Banana, Apple, Pears
 2.97 : Banana
4 : Spinach</t>
        </r>
      </text>
    </comment>
    <comment ref="C10" authorId="0" shapeId="0" xr:uid="{60CDBE2E-324E-484E-BEA3-E3DCC1ED488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Neha's Rent for Jan'23 Paid by Tarang.
Returned to Tarang on 17-June-2023.</t>
        </r>
      </text>
    </comment>
    <comment ref="D10" authorId="0" shapeId="0" xr:uid="{6C1EE155-88F8-4F7A-BB76-640A9574F5B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Neha's Rent for Feb'23 Paid by Tarang.
Returned to Tarang on 17-June-2023.</t>
        </r>
      </text>
    </comment>
    <comment ref="E10" authorId="0" shapeId="0" xr:uid="{D1E2E58A-DA43-45D7-9E22-8C2B6BBE316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Rent for March 2023 to Dada paid by Neha.</t>
        </r>
      </text>
    </comment>
    <comment ref="F10" authorId="0" shapeId="0" xr:uid="{1FF1E1E6-5677-4B81-9E89-9FD3B2416F7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Rent for April 2023 to Dada paid by Neha (For Neha &amp; Rahul).</t>
        </r>
      </text>
    </comment>
    <comment ref="G10" authorId="0" shapeId="0" xr:uid="{5C71C081-8DA0-41B9-85A6-D9E9BD97E1D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Rent for May 2023 to Dada paid by Neha (For Neha &amp; Rahul).</t>
        </r>
      </text>
    </comment>
    <comment ref="H10" authorId="0" shapeId="0" xr:uid="{F755797D-0047-497B-8437-35D0BDDD64E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Rent for June 2023 to Dada paid by Neha (For Neha &amp; Rahul).</t>
        </r>
      </text>
    </comment>
    <comment ref="I10" authorId="0" shapeId="0" xr:uid="{C3EA70F4-6347-45D4-BB95-E837AAB3F4B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800 : Rent for July 2023 Interac to Dada on 04th July</t>
        </r>
      </text>
    </comment>
    <comment ref="J10" authorId="0" shapeId="0" xr:uid="{90293861-2AF2-4F6F-87B1-0B805EB695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800 : Rent for August 2023 Interac to Dada on 03rd August</t>
        </r>
      </text>
    </comment>
    <comment ref="K10" authorId="0" shapeId="0" xr:uid="{6E505CE6-B2BB-4986-A8D9-5C38A9FB344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800 : Rent for September 2023 Interac to Dada on 06th September</t>
        </r>
      </text>
    </comment>
    <comment ref="L10" authorId="0" shapeId="0" xr:uid="{D18AE66B-383A-4B31-8807-3F2BC6F9E78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800 : Rent for October Paid in Nov</t>
        </r>
      </text>
    </comment>
    <comment ref="M10" authorId="0" shapeId="0" xr:uid="{9A055377-2C46-402A-B8A1-33A78507497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1600 : Rent for Oct &amp; Nov</t>
        </r>
      </text>
    </comment>
    <comment ref="N10" authorId="0" shapeId="0" xr:uid="{82896274-C19A-4D35-8BF9-2E202DF2C44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800 : Dec rent paid on 06 Dec</t>
        </r>
      </text>
    </comment>
    <comment ref="O10" authorId="0" shapeId="0" xr:uid="{9A441DCE-3BE7-4165-AA71-277EA2F43DA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800 : Rent for Jan'24 to Dada</t>
        </r>
      </text>
    </comment>
    <comment ref="P10" authorId="0" shapeId="0" xr:uid="{A2067E91-D94D-4288-A3BA-B2805312A34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800 : Feb 2024 rent to Divyakant Patel</t>
        </r>
      </text>
    </comment>
    <comment ref="Q10" authorId="0" shapeId="0" xr:uid="{A1E5C381-CC66-47A6-9569-76B358B0B75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800 : March 2024 Rent to Divyakant Patel in Cash on 03-Mar-2024</t>
        </r>
      </text>
    </comment>
    <comment ref="R10" authorId="0" shapeId="0" xr:uid="{46B2066E-3821-4EBE-A32B-9EC475F8024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800 : April 2024 Rent to Divyakant Patel in Cash on 03-Apr-2024
800 : May 2024 Rent</t>
        </r>
      </text>
    </comment>
    <comment ref="T10" authorId="0" shapeId="0" xr:uid="{826B3A0F-0003-4EEB-8AAF-7F389793AD1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800 : June'24 Rent to Divyakant Patel in Cash</t>
        </r>
      </text>
    </comment>
    <comment ref="M11" authorId="0" shapeId="0" xr:uid="{EC9AC89B-9987-42D9-987A-80DC276636B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18.07 : Best Buy 18 Nov
38.42 : Fido</t>
        </r>
      </text>
    </comment>
    <comment ref="N11" authorId="0" shapeId="0" xr:uid="{1FB5C7AE-7CE9-43CD-8E7B-A7965B371B7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64.27 : Neha Mobile Bill</t>
        </r>
      </text>
    </comment>
    <comment ref="H12" authorId="0" shapeId="0" xr:uid="{15FE7291-90DA-4817-8BA3-94EDB349B6C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6.15 : Mac D
14.3 : Credit Card Payment
7.92 : Neha Scotia Credit Card charges</t>
        </r>
      </text>
    </comment>
    <comment ref="I12" authorId="0" shapeId="0" xr:uid="{2D741083-4483-441C-A268-26EFA591376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 : Tims
5 : Eye Brow at Prayosha</t>
        </r>
      </text>
    </comment>
    <comment ref="J12" authorId="0" shapeId="0" xr:uid="{95AB5AFB-0812-4CAD-9DCC-629143E6B90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3.25 : Neha TTC Ticket</t>
        </r>
      </text>
    </comment>
    <comment ref="K12" authorId="0" shapeId="0" xr:uid="{AC6D772F-90DD-4DCE-9865-F11E9A4B668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 : Prayosha
1503.95 : Flight Ticket Turkish</t>
        </r>
      </text>
    </comment>
    <comment ref="L12" authorId="0" shapeId="0" xr:uid="{015470A9-B5ED-416D-B95A-A4CDFFD29A3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3.30 : Presto Tap
25.58 : Food Handler Certificate
6.5 : Prayosha</t>
        </r>
      </text>
    </comment>
    <comment ref="M12" authorId="0" shapeId="0" xr:uid="{AA3ABD98-5DED-4D72-B9CB-0C25E83E6BD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9060 : Neha Fees paid on 4th Nov (6560 from Neha + 2500 : From Rahul to Neha for Fees)
6.50 : Prayosha</t>
        </r>
      </text>
    </comment>
    <comment ref="Q12" authorId="0" shapeId="0" xr:uid="{CB42BCE6-F7F7-49B4-BDAB-7DE65EE167D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6.5 : Prayosha</t>
        </r>
      </text>
    </comment>
    <comment ref="R12" authorId="0" shapeId="0" xr:uid="{07163B12-CEF8-4842-AF50-A224C49863F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2380 : College Fees</t>
        </r>
      </text>
    </comment>
    <comment ref="S12" authorId="0" shapeId="0" xr:uid="{14B8CA96-56F4-44E5-B786-334BBB7E26F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 : Prayosha
175.75 : Driving License
60.96 : Pizza (Dada Party)
15.50 : Interac to Brinda (Food &amp; Travel)</t>
        </r>
      </text>
    </comment>
    <comment ref="T12" authorId="0" shapeId="0" xr:uid="{743921EE-6E81-4F6B-9123-E469D0FECDB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 : TPL Penalty</t>
        </r>
      </text>
    </comment>
    <comment ref="W12" authorId="0" shapeId="0" xr:uid="{77F90AC7-C68A-4FF7-9F5F-7AFD4A11D7D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255 : Work Permit
282.50 : SBR Accountant
27.96 : Graduation Day Pass
16.95 : Transcript</t>
        </r>
      </text>
    </comment>
    <comment ref="X12" authorId="0" shapeId="0" xr:uid="{6D9EB66E-9505-41F0-AB17-D4F44E94B1F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 : Prayosha
2000 : Neha withdrawal</t>
        </r>
      </text>
    </comment>
    <comment ref="Y12" authorId="0" shapeId="0" xr:uid="{2A2F470C-1368-4C9C-862A-10F8FB6ED46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 : Prayosha
1000 : Neha Withdrawal</t>
        </r>
      </text>
    </comment>
    <comment ref="Z12" authorId="0" shapeId="0" xr:uid="{C9FC9C3D-6AD9-445A-AA46-8FBCA972766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2000 : Neha withdrawal</t>
        </r>
      </text>
    </comment>
    <comment ref="J13" authorId="0" shapeId="0" xr:uid="{767FDC8E-CED8-4841-8819-1E104C3410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95 : Neha Presto</t>
        </r>
      </text>
    </comment>
    <comment ref="L13" authorId="0" shapeId="0" xr:uid="{1E0DFB59-AEEC-47BF-8F75-6BE06CD0C64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50 : Presto Load
128.15 : Neha Presto Pass for November</t>
        </r>
      </text>
    </comment>
    <comment ref="M13" authorId="0" shapeId="0" xr:uid="{DBF8FF01-DD9B-4E1A-9A0E-325DEE78AF5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128.15 : Neha Presto Pass</t>
        </r>
      </text>
    </comment>
    <comment ref="M14" authorId="0" shapeId="0" xr:uid="{2A949D21-646A-4571-89FD-89D702D84A1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40 : Freedom Prepaid Bill
15.81 : Best Buy Protection</t>
        </r>
      </text>
    </comment>
    <comment ref="N14" authorId="0" shapeId="0" xr:uid="{A42777F0-B386-4AE0-962B-988B081D6D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31.22 : RK Mobile Bill
15.81 : Geek Squad</t>
        </r>
      </text>
    </comment>
    <comment ref="H15" authorId="0" shapeId="0" xr:uid="{EC466BF6-5B87-4788-A18F-81B8D2A7C5E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20.10 - Pizza Depot XL Rahul</t>
        </r>
      </text>
    </comment>
    <comment ref="I15" authorId="0" shapeId="0" xr:uid="{213E3F6B-07C6-439B-967F-294E8FDD412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 : Candles from IKEA
30 : Costco - Containers
50 : Given to Tarang for Neha's Cake
100 : Rahul Physio on 16 July
4 : Miway (Mississauga)
106 : Driving Test Exam Fees</t>
        </r>
      </text>
    </comment>
    <comment ref="J15" authorId="0" shapeId="0" xr:uid="{96B339A2-ADF2-4B5E-BBB9-66A946336CE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16 : DL Exam</t>
        </r>
      </text>
    </comment>
    <comment ref="K15" authorId="0" shapeId="0" xr:uid="{788B66AD-E0E3-43D4-A4BB-35C28597E9E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RK G Exam Fees to Hanif Kathawala on 17 Sep 2023</t>
        </r>
      </text>
    </comment>
    <comment ref="L15" authorId="0" shapeId="0" xr:uid="{AFF04982-905A-43F5-9CEB-59AA5DA8134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365 : Hanif Kathawala for G Test (275+90)
3.40 : Kinjal Snacks</t>
        </r>
      </text>
    </comment>
    <comment ref="M15" authorId="0" shapeId="0" xr:uid="{A20D7DA7-899E-4423-90C8-7D3F7767756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131.04 : Mountain Warehouse (Jacket, Snow Shoes, Socks, Cap)</t>
        </r>
      </text>
    </comment>
    <comment ref="N15" authorId="0" shapeId="0" xr:uid="{74B538D3-521F-4B50-A388-DBA5CCE0AFE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11.19 : Bath &amp; Body Works - Shower Gel &amp; Lotion
39.54 : Rahul Google Charger
503.31 : US Visa Application fees for Me and Neha</t>
        </r>
      </text>
    </comment>
    <comment ref="Q15" authorId="0" shapeId="0" xr:uid="{CEC55CED-B50B-40AB-BFB9-326F294F876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176.72 for Rahul
(150 First Aid and CPR + 26.72 Police Verification) on 25-March-2024</t>
        </r>
      </text>
    </comment>
    <comment ref="R15" authorId="0" shapeId="0" xr:uid="{75BF128C-6E11-4A7B-99C2-4AF51A653DF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90.38 : Marks RK Safety Shoes
60 : Tax Filing for Rahul &amp; Neha
228.88 : Transferred to Tarang
Trimmer	47.88
Shruti Ride	40
Tide	7
Sher Atta	17
Pizza	37
Neha Ride x 2	80</t>
        </r>
      </text>
    </comment>
    <comment ref="S15" authorId="0" shapeId="0" xr:uid="{E1D79C9B-7969-4D93-80B2-208D0FA0A46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39.55 : Security Final Exam</t>
        </r>
      </text>
    </comment>
    <comment ref="T15" authorId="0" shapeId="0" xr:uid="{0CC0AFED-798D-466E-B0C9-CE9032CA1C6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80 : Security Guard License Registration</t>
        </r>
      </text>
    </comment>
    <comment ref="W15" authorId="0" shapeId="0" xr:uid="{4AE7A85C-DB89-429E-AA71-1154F1BECD5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2000 : Car
253.94 : Insurance</t>
        </r>
      </text>
    </comment>
    <comment ref="X15" authorId="0" shapeId="0" xr:uid="{CA3EA5B9-565E-48BC-84A8-936D411E0E4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1000 : Car
253.89 : Insurance</t>
        </r>
      </text>
    </comment>
    <comment ref="Z15" authorId="0" shapeId="0" xr:uid="{96B1A9E9-676E-47E3-A2CA-ED09518B78D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255 : Rahul Work Permit</t>
        </r>
      </text>
    </comment>
    <comment ref="F16" authorId="0" shapeId="0" xr:uid="{61B2D005-901F-4EB2-8216-01B122C2B23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Presto for Rahul, Paid by Neha</t>
        </r>
      </text>
    </comment>
    <comment ref="J16" authorId="0" shapeId="0" xr:uid="{DF873C63-7D00-4363-B9E5-92EC8F25368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60 : Rahul Presto</t>
        </r>
      </text>
    </comment>
    <comment ref="N16" authorId="0" shapeId="0" xr:uid="{24312F74-9EE2-4B12-8A97-C21453771B5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53.3 : Presto
97 : Ride</t>
        </r>
      </text>
    </comment>
    <comment ref="Q16" authorId="0" shapeId="0" xr:uid="{78F2AB5B-9827-454C-80F9-64EA410DD26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120 : 90 - Presto Autoload + 30 Nilesh Uncle for Car Ride</t>
        </r>
      </text>
    </comment>
    <comment ref="F17" authorId="0" shapeId="0" xr:uid="{1B3C9062-9F38-4D86-BEC0-5412D43E3D6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55 Bowling @ Kennedy from Neha's Card
Reply:
    33 Jayshree Aunty to Neha for Bowling</t>
        </r>
      </text>
    </comment>
    <comment ref="J17" authorId="0" shapeId="0" xr:uid="{8211303B-4C8D-44D4-87DC-0A58704568A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25 : Movies</t>
        </r>
      </text>
    </comment>
    <comment ref="U17" authorId="0" shapeId="0" xr:uid="{82B9D3FC-9E00-4139-8E38-817057A294D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Quebec</t>
        </r>
      </text>
    </comment>
    <comment ref="F18" authorId="0" shapeId="0" xr:uid="{5D3F1DD9-DD5F-462A-9665-521FF45311D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Biren Accountant for Neha's Return File</t>
        </r>
      </text>
    </comment>
    <comment ref="G18" authorId="0" shapeId="0" xr:uid="{A20C1F0D-4805-4E52-979F-2DE0AD71F0F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20.5 : Trolly &amp; Mug
61.01 : Nilesh Uncle Petrol</t>
        </r>
      </text>
    </comment>
    <comment ref="H18" authorId="0" shapeId="0" xr:uid="{B0572EB5-1BE2-4FC5-83D9-65F952A3917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 : Preg Test Kit
14.3 : Neha Credit Card Payment (Debit)
-14.3 : Neha Credit Card Payment (Credit)
7.92 : Interest Charges
-3.92 : Returned by Aditi for her shopping</t>
        </r>
      </text>
    </comment>
    <comment ref="I18" authorId="0" shapeId="0" xr:uid="{E12FDD43-12D8-4447-943B-BC56F9E6C36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69 : Fuel to Nilesh Uncle on 03 July
33.90 : Clothes sent to India
21 : Haveli Bhet
11 : Mukhiyaji Bhet</t>
        </r>
      </text>
    </comment>
    <comment ref="J18" authorId="0" shapeId="0" xr:uid="{F2E17E08-E1A7-4E3E-93B2-008E73E6E05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60 : Fuel to NJ
14 : Milk*2 to NJ
3 : Jayshree Aunty for Neha's Bus Ticket
7 : Rakhi</t>
        </r>
      </text>
    </comment>
    <comment ref="K18" authorId="0" shapeId="0" xr:uid="{7C9779AB-DE03-415A-BE1B-17FFB88A78A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39.55 : Shopping for Neha and India</t>
        </r>
      </text>
    </comment>
    <comment ref="M18" authorId="0" shapeId="0" xr:uid="{6F227D37-E6E4-448C-868A-9622514A93A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Tap for Subway coins, Cash received against the same</t>
        </r>
      </text>
    </comment>
    <comment ref="S18" authorId="0" shapeId="0" xr:uid="{B76323F0-DCAF-4D91-A473-47E529A4C39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23 : Munni Aunty Medicines</t>
        </r>
      </text>
    </comment>
    <comment ref="U18" authorId="0" shapeId="0" xr:uid="{C3F04118-1081-4457-ACA7-A7A3A66F7C9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Neha Medicine</t>
        </r>
      </text>
    </comment>
    <comment ref="V18" authorId="0" shapeId="0" xr:uid="{51DF7A1D-9AB5-4913-A2CB-AC2DAD0B55A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18.07 : ORS
9.20 : Uber from SHN Centenary to Home</t>
        </r>
      </text>
    </comment>
    <comment ref="W18" authorId="0" shapeId="0" xr:uid="{587830C6-67AE-4230-834F-FBC1DC26757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185 : BHK Visa</t>
        </r>
      </text>
    </comment>
    <comment ref="X18" authorId="0" shapeId="0" xr:uid="{5251E418-A79F-41C0-AB9F-D3C7B688100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196 : SBR Documentation
30 : Medicine Materna
100 : Mattress
30 : Nainesh Bhai Fuel
185 : BGD Visitor Visa</t>
        </r>
      </text>
    </comment>
    <comment ref="Y18" authorId="0" shapeId="0" xr:uid="{266FC099-F120-4063-9CD3-0F69A573186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65 : Feramax 150 - 100 Caps</t>
        </r>
      </text>
    </comment>
    <comment ref="H19" authorId="0" shapeId="0" xr:uid="{EBD7FB28-B1DC-4450-AC5E-706BCE961E7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to Tarang
113 : Winter Jacket
74 : Winter Shoes
40 : Walmart Clothes
65 : Columbia
750 : Rent Deposit for 2 months
Total 1 : 1042
45 : Neha - Airport to Northyork
45 : Neha : NY to SC
50 : Rahul : Airport to SC
10 : Cloth Washing Liquid : 2*5
35 : Pizza Pizza
50 : Neha : 7 Days Living Expense
3 : Rahul : Lottery @ Tarang's store
Total 2 : 238
Grand Total : 1042+238 = 1280
Reply:
    1000 to Nilesh Uncle on 19 June 2023</t>
        </r>
      </text>
    </comment>
    <comment ref="M19" authorId="0" shapeId="0" xr:uid="{204C7FAD-A48B-4835-8503-4AB972ACC0A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2500 : Neha for Fees</t>
        </r>
      </text>
    </comment>
    <comment ref="N19" authorId="0" shapeId="0" xr:uid="{B2C221A0-E45B-4EBF-8549-561FA3F9E1D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400 : Online Transferred to Divyakant Patel as an Advance for Rent on 25 Dec 2023</t>
        </r>
      </text>
    </comment>
    <comment ref="O19" authorId="0" shapeId="0" xr:uid="{1059EAB8-08A4-4358-BADD-86893C4A95B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400 : Online Transferred to Divyakant Patel as an Advance for Rent on 07 Jan 2024</t>
        </r>
      </text>
    </comment>
    <comment ref="Q19" authorId="0" shapeId="0" xr:uid="{EDF7FDCE-5B63-47A1-880F-F522B0F21A2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176.72 to Siddhi Patel (150 First Aid and CPR + 26.72 Police Verification) on 25-March-2024</t>
        </r>
      </text>
    </comment>
    <comment ref="X19" authorId="0" shapeId="0" xr:uid="{8C50DE2A-A83D-4CF6-9CC1-2607C8D021E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7016.95 : Rahul</t>
        </r>
      </text>
    </comment>
    <comment ref="H20" authorId="0" shapeId="0" xr:uid="{30E766C6-B9C3-40C1-9366-C5BC9CF85FA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250 : Return from Nilesh Uncle on 21 June 2023. 
500 : Return from NJ on 26 Nov 2023 (250+500/1000), No due pending now.</t>
        </r>
      </text>
    </comment>
    <comment ref="R20" authorId="0" shapeId="0" xr:uid="{5DE6539B-F8DF-49A5-B075-086EC1D1F16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5.54 : Jaini Milk &amp; Samosa
9.74 : Disha Butter
2.80 : Jaini</t>
        </r>
      </text>
    </comment>
    <comment ref="U20" authorId="0" shapeId="0" xr:uid="{A03E78EE-8DD1-41AA-A977-8065B184AA2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Siddhi paid</t>
        </r>
      </text>
    </comment>
    <comment ref="L21" authorId="0" shapeId="0" xr:uid="{50647724-6662-44E9-9D2B-A829DC69DDB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218.64 : Puma Shoes 4 pairs
RK : 37.50+50,
NK : 50.99,
TK : 55
63.94 : Neha Shein (Purse)</t>
        </r>
      </text>
    </comment>
    <comment ref="M21" authorId="0" shapeId="0" xr:uid="{700B19AE-10B6-4CFB-8806-776B1DD71EF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33.90 : Fairweather 10 Nov
97.70 : Ardene 12 Nov
10.20 : Ardene 12 Nov
54.87 : Ardene 14 Nov
33.90 : International Clothwear 14 Nov
38.50 : Walmart Chocolates
48.78 : Shein Purse
62.97 : Old Navy</t>
        </r>
      </text>
    </comment>
    <comment ref="N21" authorId="0" shapeId="0" xr:uid="{673AAA56-3CFD-4A9D-BD54-A1DE7EB70F9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7.74 : Jug, Ice Cream Scoop
126.89 : Shein
75.71 : Neha Shoes
93.18 : Under Armour Shoes
11.19 : Bath &amp; Body Works</t>
        </r>
      </text>
    </comment>
    <comment ref="O21" authorId="0" shapeId="0" xr:uid="{62FD84CF-040B-4FBE-A007-6C0B6D49C38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3548 : Dada for India
7252 : Dada Cash for India</t>
        </r>
      </text>
    </comment>
    <comment ref="Q21" authorId="0" shapeId="0" xr:uid="{04F9FA78-50D1-4BF7-9563-96ECF4D6F5B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26 : Pista</t>
        </r>
      </text>
    </comment>
    <comment ref="X21" authorId="0" shapeId="0" xr:uid="{4EE5E286-2ED5-4FA6-9239-58238B011D3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13.56 : Shopping (Blazer, Jacket)
13.56 : Beauty Products, Soap, Body Wash</t>
        </r>
      </text>
    </comment>
    <comment ref="S22" authorId="0" shapeId="0" xr:uid="{301F33C4-29AE-4C56-983F-5F066E61F4F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21 : Bhet</t>
        </r>
      </text>
    </comment>
    <comment ref="E24" authorId="0" shapeId="0" xr:uid="{21A3A509-6B19-4834-BE77-6514E8AA64D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Govardhan</t>
        </r>
      </text>
    </comment>
    <comment ref="F24" authorId="0" shapeId="0" xr:uid="{C58A5D5A-D96B-4D4F-958C-68C70761B20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Govardhan</t>
        </r>
      </text>
    </comment>
    <comment ref="G24" authorId="0" shapeId="0" xr:uid="{E5C4C3D0-820D-473C-8101-51403CC4B2A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785 Govardhan Salary
10.5 Govardhan Tips</t>
        </r>
      </text>
    </comment>
    <comment ref="H24" authorId="0" shapeId="0" xr:uid="{2A377BB0-2FFB-41C8-948B-9F39BBDF953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1085 : Govardhan</t>
        </r>
      </text>
    </comment>
    <comment ref="I24" authorId="0" shapeId="0" xr:uid="{A88C05D1-CE98-4EF3-9419-B97575A8F4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490 : Govardhan</t>
        </r>
      </text>
    </comment>
    <comment ref="L24" authorId="0" shapeId="0" xr:uid="{52F03FDF-FE16-430E-BD88-3F1F072EBB3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1306 : Karnavati</t>
        </r>
      </text>
    </comment>
    <comment ref="M24" authorId="0" shapeId="0" xr:uid="{46D76344-8BBB-40A3-9232-3662690059C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632 : Karnavati</t>
        </r>
      </text>
    </comment>
    <comment ref="N24" authorId="0" shapeId="0" xr:uid="{89AE7B01-ED0B-4825-B896-88C5E5871447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453 : Karnavati
28.12 : Return amount from Shein </t>
        </r>
      </text>
    </comment>
    <comment ref="O24" authorId="0" shapeId="0" xr:uid="{65E4CFE1-2BBD-4227-B2CF-6BA9E714E76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760.30 : Subway</t>
        </r>
      </text>
    </comment>
    <comment ref="Q24" authorId="0" shapeId="0" xr:uid="{8F354A15-C1FC-4962-AE44-D5A28556098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24.68 : Best Buy - Return
23.51 : Best Buy - Return</t>
        </r>
      </text>
    </comment>
    <comment ref="R24" authorId="0" shapeId="0" xr:uid="{6C0C6FCA-409E-452F-BA6B-683462FC42F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339.99 : Tax Refund
81.25 : GST Canada</t>
        </r>
      </text>
    </comment>
    <comment ref="U24" authorId="0" shapeId="0" xr:uid="{EE9682B2-9A7A-4430-97D0-9331FE3D2FB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481 : Carbon Rebate Canada</t>
        </r>
      </text>
    </comment>
    <comment ref="V24" authorId="0" shapeId="0" xr:uid="{46C64604-5F89-4F71-8321-1E16024033F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332.5 : GST Canada
325.54 : Provincial Payment Canada</t>
        </r>
      </text>
    </comment>
    <comment ref="W24" authorId="0" shapeId="0" xr:uid="{BBFDC031-EECA-4F64-9C5E-7ADB35A6F56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76.52 : Provincial Payment Canada</t>
        </r>
      </text>
    </comment>
    <comment ref="X24" authorId="0" shapeId="0" xr:uid="{60D31932-8AC9-4D19-B3C0-B1F4684B78F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2140.33 : Omega</t>
        </r>
      </text>
    </comment>
    <comment ref="Y24" authorId="0" shapeId="0" xr:uid="{1590116D-D918-4365-BC01-FA4CA4AA476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4095.95 : Omega
76.52 : Provincial Payment Canada</t>
        </r>
      </text>
    </comment>
    <comment ref="Z24" authorId="0" shapeId="0" xr:uid="{F248BC97-D0A5-4983-A41A-EFB65EDA157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3797.54 : Omega
20 : Scene Point Redeem
76.52 : Provincial Payment Canada</t>
        </r>
      </text>
    </comment>
    <comment ref="I25" authorId="0" shapeId="0" xr:uid="{EFC27C3C-7A43-43F6-ACA5-5EB2519FAF2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1040 : Karnavati</t>
        </r>
      </text>
    </comment>
    <comment ref="L25" authorId="0" shapeId="0" xr:uid="{1533F5A5-3870-44D8-9FB8-FD0FA917675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Subway :
160.96
336.87</t>
        </r>
      </text>
    </comment>
    <comment ref="M25" authorId="0" shapeId="0" xr:uid="{934B0C49-4AE1-439C-98C3-08D9E912E0A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37 : Subway Tip
24 : Subway Tip
677.41 : Subway
528.06 : Subway
310 : Cash Against Tap for Coins</t>
        </r>
      </text>
    </comment>
    <comment ref="N25" authorId="0" shapeId="0" xr:uid="{7C81AE42-174D-4061-9ACF-5C18B2C0C22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27.60 : Subway Tip
24.80 : Subway Tip
20 : Subway Tip
833.84 : Subway
894.99 : Subway</t>
        </r>
      </text>
    </comment>
    <comment ref="O25" authorId="0" shapeId="0" xr:uid="{AEA0103F-8357-42E9-BB27-BE914FAB3B8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486.67 : Subway</t>
        </r>
      </text>
    </comment>
    <comment ref="X25" authorId="0" shapeId="0" xr:uid="{E02A622C-F14F-4F85-81EF-B992E6CBB65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170 : GST Canada
76.52 : Provincial Payment Canada
210 : Canada Carbon Rebet</t>
        </r>
      </text>
    </comment>
    <comment ref="C26" authorId="0" shapeId="0" xr:uid="{757DB1E5-3C86-492F-A43B-7B59B52B4CB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Neha carried from India</t>
        </r>
      </text>
    </comment>
    <comment ref="E26" authorId="0" shapeId="0" xr:uid="{5F4F0C77-4CB9-434B-BBC7-FDE280761AF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British Airways</t>
        </r>
      </text>
    </comment>
    <comment ref="I26" authorId="0" shapeId="0" xr:uid="{AEDFB312-EDBB-4E64-BCDD-4798EEC541B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Catering Order 08/07/2023</t>
        </r>
      </text>
    </comment>
    <comment ref="K26" authorId="0" shapeId="0" xr:uid="{677209AE-28A9-48F8-BB88-C4EF923203E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150 : Neha's Catering Order on 02nd Sep</t>
        </r>
      </text>
    </comment>
    <comment ref="O26" authorId="0" shapeId="0" xr:uid="{7187F8E4-E662-4CA1-818C-ED6B1D5E06F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581.25 : From CRA</t>
        </r>
      </text>
    </comment>
    <comment ref="P26" authorId="0" shapeId="0" xr:uid="{E39DA5DA-98F5-4AAE-B876-EC95FA43D2B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549.75 : GST Canada
507 : Provincial Payment Canada</t>
        </r>
      </text>
    </comment>
    <comment ref="F27" authorId="0" shapeId="0" xr:uid="{77474F38-7F4C-42F6-8B52-5F1ED4E2106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Shah Trading Company</t>
        </r>
      </text>
    </comment>
    <comment ref="G27" authorId="0" shapeId="0" xr:uid="{BFE7CE84-2B08-4241-974B-A911AB6F877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1101.52 Shah Trading Company
1206.48 Shah Trading Company</t>
        </r>
      </text>
    </comment>
    <comment ref="H27" authorId="0" shapeId="0" xr:uid="{9131DC30-31AE-4CDC-819C-0176BA94E3A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1176.68 Shah Trading Company</t>
        </r>
      </text>
    </comment>
    <comment ref="F29" authorId="0" shapeId="0" xr:uid="{76CEBA8C-15D0-4FD5-B85C-267E84DB6C7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Rahul carried from India</t>
        </r>
      </text>
    </comment>
    <comment ref="I29" authorId="0" shapeId="0" xr:uid="{F9E5A4BE-5997-4FB3-9393-0D33E7511DA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Catering Order 08/07/2023</t>
        </r>
      </text>
    </comment>
    <comment ref="N29" authorId="0" shapeId="0" xr:uid="{ABA196AB-5CC3-4EEB-92CF-E505BF06EBA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1069.75 : Vacation Pay</t>
        </r>
      </text>
    </comment>
    <comment ref="O29" authorId="0" shapeId="0" xr:uid="{6E85C8E3-D531-489A-B6D3-7B3A1E2A50F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33.80 : Puma Return
4.74 : Geek Squad Return</t>
        </r>
      </text>
    </comment>
    <comment ref="R29" authorId="0" shapeId="0" xr:uid="{F309E9CE-691E-4B5B-95D2-EB96D279821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3190.52 : Tax Return from Canada</t>
        </r>
      </text>
    </comment>
    <comment ref="S29" authorId="0" shapeId="0" xr:uid="{4C729786-8935-468F-BF70-633F4C7BBB1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80 : Safety Shoes
250 : Shah Superstar Reward</t>
        </r>
      </text>
    </comment>
    <comment ref="C33" authorId="0" shapeId="0" xr:uid="{A7F2B5E5-DDC1-47B4-8BDE-A6CA9CE7508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2000 in Dec'22
Reply:
    673.93 in Jan'23</t>
        </r>
      </text>
    </comment>
    <comment ref="D33" authorId="0" shapeId="0" xr:uid="{C5A1F756-72C7-45B9-AEE7-5796607C1B9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673.93 : GIC
75 : Promotional Bonus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4" authorId="0" shapeId="0" xr:uid="{CC2BB765-7551-4971-A8C7-A421F967D09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Lic Premiums amount not considered due to already calculated in last month expense</t>
        </r>
      </text>
    </comment>
    <comment ref="G4" authorId="0" shapeId="0" xr:uid="{D2118F08-6ADB-4E92-909E-7827BC78722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Car Insurance amount &amp; GTPL subscription not included as considered in separate line
</t>
        </r>
      </text>
    </comment>
    <comment ref="D13" authorId="0" shapeId="0" xr:uid="{30CC16B5-43CA-48AD-A781-43441E05569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6000 cashback received
</t>
        </r>
      </text>
    </comment>
    <comment ref="D19" authorId="0" shapeId="0" xr:uid="{454BEE11-ACD0-4987-B629-2B34354931B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8469187907 Recharge</t>
        </r>
      </text>
    </comment>
    <comment ref="D20" authorId="0" shapeId="0" xr:uid="{8D755CF8-825F-4B72-86F6-F5B1C7C8A67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15-2-22
25-2-22</t>
        </r>
      </text>
    </comment>
    <comment ref="E20" authorId="0" shapeId="0" xr:uid="{B2BB8B04-C5F4-421A-B9A9-9F4F5B6B78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07-03-2022
16-03-2022
</t>
        </r>
      </text>
    </comment>
    <comment ref="F20" authorId="0" shapeId="0" xr:uid="{FDEB32A7-95AB-47DC-8D3B-5EB0C4E4C5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01-04-2022
05-04-2022
08-04-2022
18-04-2022
27-04-2022</t>
        </r>
      </text>
    </comment>
    <comment ref="G20" authorId="0" shapeId="0" xr:uid="{D9F743C1-0554-4F4B-8A38-B0DACB67052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06-05-2022
14-05-2022
</t>
        </r>
      </text>
    </comment>
    <comment ref="A22" authorId="0" shapeId="0" xr:uid="{B6109A4A-21AB-4961-9C21-87973702C02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21010034212800003029
THE NEW INDIA ASSURANCE CO. LTD.</t>
        </r>
      </text>
    </comment>
    <comment ref="A23" authorId="0" shapeId="0" xr:uid="{E2F37945-4992-49A9-B2FF-152E401339E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21010034212800003029
THE NEW INDIA ASSURANCE CO. LTD.</t>
        </r>
      </text>
    </comment>
    <comment ref="A24" authorId="0" shapeId="0" xr:uid="{85C2D30A-BA66-46D1-8EBE-4E1136F6BF6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C067168778
Tata AIA Life Insurance Company Limited</t>
        </r>
      </text>
    </comment>
    <comment ref="A30" authorId="0" shapeId="0" xr:uid="{168E734C-0ED5-453E-A1E7-D354EB9539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2866 2041 1388 5600 000
HDFC ERGO General Insurance Company Limited</t>
        </r>
      </text>
    </comment>
    <comment ref="F35" authorId="0" shapeId="0" xr:uid="{5255A706-00D6-45A2-ABD1-6DFF2310A20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Liberty Insurance
Transaction Id: CR202220044502
Payment Id: 2675440
Payment Status: SUCCESS
Transaction Amount: 11217.00
Customer Name: ANKIT HIMMATBHAI PATOLIYA
Customer Email: sandipmodi1984@gmail.com
Customer Phone: 9825956256</t>
        </r>
      </text>
    </comment>
    <comment ref="G36" authorId="0" shapeId="0" xr:uid="{44D3AC95-3CB6-49EA-8FDB-78412A0C851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Paid from Axis Joint acct</t>
        </r>
      </text>
    </comment>
    <comment ref="F37" authorId="0" shapeId="0" xr:uid="{D4EBCA6B-413B-4EC9-9DEB-CAAF55221AE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16-Apr-2022</t>
        </r>
      </text>
    </comment>
    <comment ref="D39" authorId="0" shapeId="0" xr:uid="{12ECF9A7-97C4-4E23-9F16-1E24EA2363F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Uber for marriage of Jinkal
2099 Fire truck set
Hiren Sir payment to Chintan
135 DivyaDhara payment to chintan
3286 Swati Food payment
</t>
        </r>
      </text>
    </comment>
    <comment ref="E39" authorId="0" shapeId="0" xr:uid="{44B83109-9995-4D40-91A6-C407251EFD2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500 Paytm Wallet
1000 Paytm Wallet
354 Mandate Reg charges
250 Car wash</t>
        </r>
      </text>
    </comment>
    <comment ref="F39" authorId="0" shapeId="0" xr:uid="{4AAA715D-79B4-49E4-8EE5-224C462554B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2500 Kishormama Doppler imaging
350 Uber to Pushpam maternity
3285 Bhavnagar medicine
198 Jiyaan cap &amp; Specs
1120 Papa Medicine Tenglyn M
800 Mama Nilesh Ghelani appointment
1200 Apollo pharmacy back support
3000 Activa class for ankita
943 Papa medicine for yatra
77.91 Papa medicine Psychotic drug
24+12+12 Buttermilk</t>
        </r>
      </text>
    </comment>
    <comment ref="G39" authorId="0" shapeId="0" xr:uid="{39B6BE38-D3E4-4FFB-A496-8BC7A39C638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Devi dhosa
Milk bill
File folders from anjali stationnary
Sugarcane juice akshardham
Soup</t>
        </r>
      </text>
    </comment>
    <comment ref="E41" authorId="0" shapeId="0" xr:uid="{82D8D789-BF28-46F2-9B4A-5C8E7E7F863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3386 Swati Payment refund</t>
        </r>
      </text>
    </comment>
    <comment ref="F42" authorId="0" shapeId="0" xr:uid="{AA306937-6B3C-4107-90E8-EC09AE86AA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Father</t>
        </r>
      </text>
    </comment>
    <comment ref="G42" authorId="0" shapeId="0" xr:uid="{FFD62F74-CB47-42BA-B9C0-AA5B3C3F21C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Cheque from Joint Axis Account
</t>
        </r>
      </text>
    </comment>
    <comment ref="E43" authorId="0" shapeId="0" xr:uid="{6726DC8E-82E7-43CB-85B4-D4ECE9479A8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Policy maturity bonus
</t>
        </r>
      </text>
    </comment>
    <comment ref="F43" authorId="0" shapeId="0" xr:uid="{C53B0295-4A2E-4CE5-A7AE-94C0EA6579E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1000 SAIL Dividund
</t>
        </r>
      </text>
    </comment>
    <comment ref="G43" authorId="0" shapeId="0" xr:uid="{ED91D7E8-3E8E-47CF-BAA9-AC71C6F176D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Cash from Home</t>
        </r>
      </text>
    </comment>
    <comment ref="K43" authorId="0" shapeId="0" xr:uid="{0A181FED-D33E-4893-998E-317A611B1A65}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RD1
To be used for 8941+31506+1460+2135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3" authorId="0" shapeId="0" xr:uid="{9311E8D8-2E24-459C-A6EA-F34E1124FBB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4.52 : Hand Gloves</t>
        </r>
      </text>
    </comment>
    <comment ref="I4" authorId="0" shapeId="0" xr:uid="{65173FE7-7219-41FE-A275-3C91936F73A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40.85 : Fruits + Chips</t>
        </r>
      </text>
    </comment>
    <comment ref="J4" authorId="0" shapeId="0" xr:uid="{6F2BAD75-8062-43DC-913D-214852CC459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1.68 : Banana</t>
        </r>
      </text>
    </comment>
    <comment ref="K4" authorId="0" shapeId="0" xr:uid="{10A6B276-95FB-4D43-AC6C-E837080985C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5.09 : Apple &amp; Banana
5.89 : Milk
1.87 : Banana</t>
        </r>
      </text>
    </comment>
    <comment ref="L4" authorId="0" shapeId="0" xr:uid="{4ECB6AB1-3BF2-4D2E-BCCE-2C629506AE1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4.99 : Chapman's Ice Cream Leena Aunty
14.37 : Milk, Garlic Bread, Beet, Banana
8.57 : Banana, Milk
1.85 : Banana
6 : Ice Cream
1.93 : Banana
1.82 : Banana
1.85 : Banana
6.55 : Banana &amp; Pear</t>
        </r>
      </text>
    </comment>
    <comment ref="M4" authorId="0" shapeId="0" xr:uid="{5BB7E8B3-34EE-4580-88CE-5AED1DB5990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6.55 - Freshco
8.55 - Freshco</t>
        </r>
      </text>
    </comment>
    <comment ref="G5" authorId="0" shapeId="0" xr:uid="{2F27BE6A-3331-4CD1-A3AB-91A5404F3AA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 : Tims at college
4.45 : Govardhan Dabeli
120 : Grocery-Pizza
5 : Govardhan</t>
        </r>
      </text>
    </comment>
    <comment ref="H5" authorId="0" shapeId="0" xr:uid="{76EA76BF-9AFC-407F-B50D-98678173C65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22 : Food
5 : Khandavi
13.78 : 2*Milk for Home on 13 June 2023
16 : Pizza Depot Rahul &amp; Neha 17 June 2023
30 : Ice cream 4 flavours for 30 17 June 2023
7.5 : ChaiTime on Anniversary</t>
        </r>
      </text>
    </comment>
    <comment ref="I5" authorId="0" shapeId="0" xr:uid="{671A499E-8774-45CD-9184-E12B7D09491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164 : Kitchen Sharing
15.80 : Pizza Depot on 23/07/23</t>
        </r>
      </text>
    </comment>
    <comment ref="K5" authorId="0" shapeId="0" xr:uid="{106B4658-E327-4857-BA80-F44765693DF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 : Canada Dry
24.85 : Pizza Depot</t>
        </r>
      </text>
    </comment>
    <comment ref="N5" authorId="0" shapeId="0" xr:uid="{F3793C79-394E-4016-84BC-C5B44D856A3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32.70 Pizza Depot
9 : Tims Potato Wadges
10.51 : Samosa
19.96 : Butter from Shoppers</t>
        </r>
      </text>
    </comment>
    <comment ref="O5" authorId="0" shapeId="0" xr:uid="{8CABFC2B-3A18-4B4C-8665-1F0436013F1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26.68 : Pizza</t>
        </r>
      </text>
    </comment>
    <comment ref="Q5" authorId="0" shapeId="0" xr:uid="{0797EC5A-CF48-4433-A840-C71887018A1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17.10 : Datta Samosa
10.15 : Surati (Kachori, Namak Para, Bhungala, Meetha Mix Chevdo)
14.35 : Canbe Samosa
14.34 : Tims RNT
16 : Datta
20.17 : Bombay Bites</t>
        </r>
      </text>
    </comment>
    <comment ref="R5" authorId="0" shapeId="0" xr:uid="{0A88436D-5CAC-4D58-8888-B709B241D89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9.49 : Dates from Costco
8.28 : Surati (Punjabi Biscuits, Pista Cookies)
2.10 : Embassy Samosa King
5.65 : Datta Dosa</t>
        </r>
      </text>
    </comment>
    <comment ref="H6" authorId="0" shapeId="0" xr:uid="{14F867E7-EDC3-4FFE-9125-A8CE2B50D40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13.78 : Milk
1 : 2*Monaco</t>
        </r>
      </text>
    </comment>
    <comment ref="I6" authorId="0" shapeId="0" xr:uid="{FC25E406-AD77-4B29-855D-A8350E2BB2E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 : Snacks on Neha's B'Day
2.5 : Saffron
2.8 : Rajagara No Lot
3.4 : Aloo Bhujia
54.70 : Milk, Mamara, Chips, Ketch Up, Cashew, Potato, Onion, Ginger, Pista, Ginger, Lemon, Green Mango, Tam Tam, Valol, Green Chilly</t>
        </r>
      </text>
    </comment>
    <comment ref="J6" authorId="0" shapeId="0" xr:uid="{3BF984C5-A3A1-4498-BB64-7A6533B3B79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21.5 : Veg., Sakar, Green Mango, Tomato, Sugar, Coconut Hair Oil
20 : Veg., Radish, Salt, Grocery, Kurkure, Crunchex, Mamara
6 : Milk
3.29 : Curd
1.12 : Canada Dry
12.64 : Milk, Lemon, Ginger, Hing
9 : Schezwan Chutney, Pasta Masala
5 : Veggie - Neha
5.99 : Milk
1.2 : Banana</t>
        </r>
      </text>
    </comment>
    <comment ref="K6" authorId="0" shapeId="0" xr:uid="{6F9F814B-76D5-46E2-9EC4-DEBF435AE98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51 : Besan, Mamra, Makai Paua, Green Onion, Tamtam, Veggies, Poha, Soji
1 : Green Chilly
3 : Veg</t>
        </r>
      </text>
    </comment>
    <comment ref="L6" authorId="0" shapeId="0" xr:uid="{AD0FF1E2-B3E5-4BD4-B3C0-0858A1A2C97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7.32 : Aloo Bhujia, Bottle Guard, Ginger
29.86 : Pista Halwo, Mung Dal, Bourbon Choco, Bourbon, Khajur, Balaji, Monaco, Good Day, Garlic, Veggies, Green Chilly
3.35 : Kurkure Mirch Masala
30.09 : Green Resin, Almond, Cashew, Good Day Cookies, HS Café Mocha
5.63 : Neha Chataka Pataka, Biscuits
72.55 : Parle G, Dates, Snacks, Walnut, Cashew, Almonds, Pista, Mango, Veggies, Tomato, Sugar Candy
34.97 : Jaggery, Spices, Saffron, Veggies</t>
        </r>
      </text>
    </comment>
    <comment ref="M6" authorId="0" shapeId="0" xr:uid="{9D196FB0-33F9-4616-9401-9FC783E7F41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34.97 : Mirch Masala Neha
13.15 : Red Chilli Pow, Coconut, Cookies, Snacks
10.59 : Mirch Masala Neha
14.24 : Mirch Masala</t>
        </r>
      </text>
    </comment>
    <comment ref="N6" authorId="0" shapeId="0" xr:uid="{B006075D-9DDC-402A-B678-D39DD3C09E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34.06 : Mirch Masala - Snacks, Veg.,
9.58 : Pani Puri
5.06 : Veg., Potato, Green Chilly, Mint, Coriander Leaves
2.5 : Veg.
4.79 : Pani Puri
7.99 : Ghee
32.70 : Grocery, Mamra
6.89 : Milk</t>
        </r>
      </text>
    </comment>
    <comment ref="O6" authorId="0" shapeId="0" xr:uid="{BF3E3462-860E-42C0-9FCD-16E1868D7F9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50 : Mirch Masala</t>
        </r>
      </text>
    </comment>
    <comment ref="P6" authorId="0" shapeId="0" xr:uid="{4FDEFB85-7BED-4D42-9125-809B9436EA8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 : Brinda Grocery
12.36 : Grocery</t>
        </r>
      </text>
    </comment>
    <comment ref="H7" authorId="0" shapeId="0" xr:uid="{AE5B8121-FB7E-4551-AA44-33B8B8B10A7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Fruits</t>
        </r>
      </text>
    </comment>
    <comment ref="I7" authorId="0" shapeId="0" xr:uid="{965A5DA3-9F45-4C31-B9F6-4AEB5D350AC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Banana, Corn, French Fries, Kurkure, Sher Atta</t>
        </r>
      </text>
    </comment>
    <comment ref="M7" authorId="0" shapeId="0" xr:uid="{A16298BF-7CDF-4AB6-8DB2-D2EC7D2A2F4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43.86 : Flour</t>
        </r>
      </text>
    </comment>
    <comment ref="R7" authorId="0" shapeId="0" xr:uid="{7DA737A2-99D9-4CAE-BB65-D3323CF6566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33.02 : Grapes
17.78 : Ashirwaad Atta + Fundoo Biscuits
1.88 : Tomatoes</t>
        </r>
      </text>
    </comment>
    <comment ref="H8" authorId="0" shapeId="0" xr:uid="{F224B544-76D8-4AA9-A84B-693E36D43D8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21.47 (14.98 - 7.49*2 Red + 6.49*1 Blue)</t>
        </r>
      </text>
    </comment>
    <comment ref="M8" authorId="0" shapeId="0" xr:uid="{272C5269-8C28-43EC-B0C4-B5B2F829E72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2.49 : Pasta Masala Neha
11.98 : Namaste Neha
18.53 : Dada Anjeer &amp; Papad
6.49 : Kinjal Custard &amp; Sev Mamara
16.30 : Kinjal</t>
        </r>
      </text>
    </comment>
    <comment ref="R8" authorId="0" shapeId="0" xr:uid="{7E610640-AA37-4B0D-9FB6-F892F7D7470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20.49 : Chana Jor Garam, Samosa and Veggies</t>
        </r>
      </text>
    </comment>
    <comment ref="G9" authorId="0" shapeId="0" xr:uid="{72C6316C-2557-45DC-AC86-F09122FA8B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89.72 : Walmart
9.85 : Received short from Nilesh Uncle</t>
        </r>
      </text>
    </comment>
    <comment ref="H9" authorId="0" shapeId="0" xr:uid="{0789812B-3B40-462E-BE0D-C9DC1576260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28.42 : Almonds, Cocktail Mix Mixed Dry Fruits, Fruits, Chips Ahoy
11.95 : Banana, Grapes, Kurkure
87.96 : Fruits &amp; Dry Fruits</t>
        </r>
      </text>
    </comment>
    <comment ref="I9" authorId="0" shapeId="0" xr:uid="{4C3E86AE-EC90-44D0-9B79-BDB2BB78336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40 : Dry Fruits &amp; Chocolates to India</t>
        </r>
      </text>
    </comment>
    <comment ref="J9" authorId="0" shapeId="0" xr:uid="{57DE0AB6-3696-4E8E-AD97-5420E41FCCD0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7.18 : Banana, Wallnut
</t>
        </r>
      </text>
    </comment>
    <comment ref="K9" authorId="0" shapeId="0" xr:uid="{5FE3429D-04F2-4878-962E-F8B1ADB6B2E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60.22 (58.81+1.4) : Sher Atta, Milk, Toilet Tissue, Brar Ghee, Hand Wash
17.76 : Fruits, Veg
11.51 : Milk &amp; Canada Dry
14.34 : Banana, Tomatoes, Chocolate, Milk
2.69 : Banana
4.98 : Orange Juice</t>
        </r>
      </text>
    </comment>
    <comment ref="L9" authorId="0" shapeId="0" xr:uid="{A41B04DD-02DE-4C15-A4DC-76DF887A8A3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4.98 : Orange Juice
4.98 : Orange Juice
4.44 : Orange Juice (Food Basics)</t>
        </r>
      </text>
    </comment>
    <comment ref="M9" authorId="0" shapeId="0" xr:uid="{E6EE3FA8-AC76-48E8-AEBC-F4DFEDDE27AB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6.94 : Apple, Blackberry, Raspberry
5.36 :
19.18 : </t>
        </r>
      </text>
    </comment>
    <comment ref="N9" authorId="0" shapeId="0" xr:uid="{DA616F94-8510-4BAA-847B-A1E8175BC42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1.29 : Banana
12.22 : Banana, Apple, Pears
 2.97 : Banana
4 : Spinach</t>
        </r>
      </text>
    </comment>
    <comment ref="C10" authorId="0" shapeId="0" xr:uid="{417670EB-C64B-4E30-9B2B-39F0664856A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Neha's Rent for Jan'23 Paid by Tarang.
Returned to Tarang on 17-June-2023.</t>
        </r>
      </text>
    </comment>
    <comment ref="D10" authorId="0" shapeId="0" xr:uid="{9DFFA08C-D7B6-4C2A-A946-54F53C13D30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Neha's Rent for Feb'23 Paid by Tarang.
Returned to Tarang on 17-June-2023.</t>
        </r>
      </text>
    </comment>
    <comment ref="E10" authorId="0" shapeId="0" xr:uid="{0524E7DB-6F85-441A-8848-B27AAA1C13D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Rent for March 2023 to Dada paid by Neha.</t>
        </r>
      </text>
    </comment>
    <comment ref="F10" authorId="0" shapeId="0" xr:uid="{97E47943-A195-4A0F-954F-E8958436E19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Rent for April 2023 to Dada paid by Neha (For Neha &amp; Rahul).</t>
        </r>
      </text>
    </comment>
    <comment ref="G10" authorId="0" shapeId="0" xr:uid="{EA1272AC-798E-41F1-B85D-5B7C933492B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Rent for May 2023 to Dada paid by Neha (For Neha &amp; Rahul).</t>
        </r>
      </text>
    </comment>
    <comment ref="H10" authorId="0" shapeId="0" xr:uid="{7B6A2041-CE44-4A2A-95C8-FA8B38B3D1E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Rent for June 2023 to Dada paid by Neha (For Neha &amp; Rahul).</t>
        </r>
      </text>
    </comment>
    <comment ref="I10" authorId="0" shapeId="0" xr:uid="{8D5323B6-E5EC-434A-A333-954ED821A8D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800 : Rent for July 2023 Interac to Dada on 04th July</t>
        </r>
      </text>
    </comment>
    <comment ref="J10" authorId="0" shapeId="0" xr:uid="{4C9552A3-69CD-4541-AA96-78713B39D5C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800 : Rent for August 2023 Interac to Dada on 03rd August</t>
        </r>
      </text>
    </comment>
    <comment ref="K10" authorId="0" shapeId="0" xr:uid="{F435DDEF-B6EA-4611-8A8D-5C38D59EFBE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800 : Rent for September 2023 Interac to Dada on 06th September</t>
        </r>
      </text>
    </comment>
    <comment ref="L10" authorId="0" shapeId="0" xr:uid="{70D6F617-2E97-40B8-8C0F-3C186BB3809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800 : Rent for October Paid in Nov</t>
        </r>
      </text>
    </comment>
    <comment ref="M10" authorId="0" shapeId="0" xr:uid="{9EFEBDE0-DA43-409C-B835-D42063578B1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1600 : Rent for Oct &amp; Nov</t>
        </r>
      </text>
    </comment>
    <comment ref="N10" authorId="0" shapeId="0" xr:uid="{8CF716B2-105E-4481-92EF-2424D7E7A88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800 : Dec rent paid on 06 Dec</t>
        </r>
      </text>
    </comment>
    <comment ref="O10" authorId="0" shapeId="0" xr:uid="{741E0503-5180-433B-879A-CB956A4FE73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800 : Rent for Jan'24 to Dada</t>
        </r>
      </text>
    </comment>
    <comment ref="P10" authorId="0" shapeId="0" xr:uid="{C5376E5C-A181-4724-B9BD-69138D93689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800 : Feb 2024 rent to Divyakant Patel</t>
        </r>
      </text>
    </comment>
    <comment ref="Q10" authorId="0" shapeId="0" xr:uid="{648412C4-065F-4CB7-964A-CA40F0726A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800 : March 2024 Rent to Divyakant Patel in Cash on 03-Mar-2024</t>
        </r>
      </text>
    </comment>
    <comment ref="R10" authorId="0" shapeId="0" xr:uid="{9A99CAAB-BF85-44C0-BCF2-B8714DE1CFC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800 : April 2024 Rent to Divyakant Patel in Cash on 03-Apr-2024</t>
        </r>
      </text>
    </comment>
    <comment ref="M11" authorId="0" shapeId="0" xr:uid="{6EE7AAAC-862E-4FC7-901F-C31CF29D4F1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18.07 : Best Buy 18 Nov
38.42 : Fido</t>
        </r>
      </text>
    </comment>
    <comment ref="N11" authorId="0" shapeId="0" xr:uid="{9E363E78-464B-4517-95E1-EAE2DE1C930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64.27 : Neha Mobile Bill</t>
        </r>
      </text>
    </comment>
    <comment ref="H12" authorId="0" shapeId="0" xr:uid="{DD344445-79BC-4ACF-9A45-940B4A98A26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6.15 : Mac D
14.3 : Credit Card Payment
7.92 : Neha Scotia Credit Card charges</t>
        </r>
      </text>
    </comment>
    <comment ref="I12" authorId="0" shapeId="0" xr:uid="{3EC53A42-1910-4525-BFA1-07AF4804F01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 : Tims
5 : Eye Brow at Prayosha</t>
        </r>
      </text>
    </comment>
    <comment ref="J12" authorId="0" shapeId="0" xr:uid="{C7B6C185-EBB4-4DB8-A819-0D72645BEDB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3.25 : Neha TTC Ticket</t>
        </r>
      </text>
    </comment>
    <comment ref="K12" authorId="0" shapeId="0" xr:uid="{5C904BA4-E2DF-4BE1-A460-BD1BF5458B4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 : Prayosha
1503.95 : Flight Ticket Turkish</t>
        </r>
      </text>
    </comment>
    <comment ref="L12" authorId="0" shapeId="0" xr:uid="{18829592-5E59-40F6-AABE-A75B6B2A122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3.30 : Presto Tap
25.58 : Food Handler Certificate
6.5 : Prayosha</t>
        </r>
      </text>
    </comment>
    <comment ref="M12" authorId="0" shapeId="0" xr:uid="{88863C77-B1C6-4757-B154-CA2F590EE7F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9060 : Neha Fees paid on 4th Nov (6560 from Neha + 2500 : From Rahul to Neha for Fees)
6.50 : Prayosha</t>
        </r>
      </text>
    </comment>
    <comment ref="Q12" authorId="0" shapeId="0" xr:uid="{E5EA666A-50A4-4DDB-8755-84246FAD278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6.5 : Prayosha</t>
        </r>
      </text>
    </comment>
    <comment ref="J13" authorId="0" shapeId="0" xr:uid="{068C1032-9A35-4CD2-9031-DC60BBEEC08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95 : Neha Presto</t>
        </r>
      </text>
    </comment>
    <comment ref="L13" authorId="0" shapeId="0" xr:uid="{63C3D990-3128-4F16-8C58-1A769B221EC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50 : Presto Load
128.15 : Neha Presto Pass for November</t>
        </r>
      </text>
    </comment>
    <comment ref="M13" authorId="0" shapeId="0" xr:uid="{9877938C-E5C9-44BD-B6DC-B97D524F83F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128.15 : Neha Presto Pass</t>
        </r>
      </text>
    </comment>
    <comment ref="M14" authorId="0" shapeId="0" xr:uid="{945BC328-807A-47A8-B609-AF63B2F0C0D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40 : Freedom Prepaid Bill
15.81 : Best Buy Protection</t>
        </r>
      </text>
    </comment>
    <comment ref="N14" authorId="0" shapeId="0" xr:uid="{1AB798EB-7155-4198-B9DF-D8F04331314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31.22 : RK Mobile Bill
15.81 : Geek Squad</t>
        </r>
      </text>
    </comment>
    <comment ref="H15" authorId="0" shapeId="0" xr:uid="{2E58CF82-8AC5-4021-9E2F-82682FB898B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20.10 - Pizza Depot XL Rahul</t>
        </r>
      </text>
    </comment>
    <comment ref="I15" authorId="0" shapeId="0" xr:uid="{E9BB416B-378B-44F1-928F-D426334B63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 : Candles from IKEA
30 : Costco - Containers
50 : Given to Tarang for Neha's Cake
100 : Rahul Physio on 16 July
4 : Miway (Mississauga)
106 : Driving Test Exam Fees</t>
        </r>
      </text>
    </comment>
    <comment ref="J15" authorId="0" shapeId="0" xr:uid="{821177A8-488C-4C71-B3FB-DB247635CFC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16 : DL Exam</t>
        </r>
      </text>
    </comment>
    <comment ref="K15" authorId="0" shapeId="0" xr:uid="{DE2D7409-0521-49C6-B533-ECA5A6B9730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RK G Exam Fees to Hanif Kathawala on 17 Sep 2023</t>
        </r>
      </text>
    </comment>
    <comment ref="L15" authorId="0" shapeId="0" xr:uid="{484105E8-B512-4073-AE07-70CCFB4E7C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365 : Hanif Kathawala for G Test (275+90)
3.40 : Kinjal Snacks</t>
        </r>
      </text>
    </comment>
    <comment ref="M15" authorId="0" shapeId="0" xr:uid="{484573B5-E8BB-4465-A435-DEBA62FB714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131.04 : Mountain Warehouse (Jacket, Snow Shoes, Socks, Cap)</t>
        </r>
      </text>
    </comment>
    <comment ref="N15" authorId="0" shapeId="0" xr:uid="{A11679F1-F886-4D26-BCF3-3D78B3B5741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11.19 : Bath &amp; Body Works - Shower Gel &amp; Lotion
39.54 : Rahul Google Charger
503.31 : US Visa Application fees for Me and Neha</t>
        </r>
      </text>
    </comment>
    <comment ref="Q15" authorId="0" shapeId="0" xr:uid="{19611B51-A639-4997-A2A1-8801CEB17C8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176.72 for Rahul
(150 First Aid and CPR + 26.72 Police Verification) on 25-March-2024</t>
        </r>
      </text>
    </comment>
    <comment ref="R15" authorId="0" shapeId="0" xr:uid="{813966FA-ED32-4B83-8CCC-95C7B8CF799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90.38 : Marks RK Safety Shoes
60 : Tax Filing for Rahul &amp; Neha
228.88 : Transferred to Tarang
Trimmer	47.88
Shruti Ride	40
Tide	7
Sher Atta	17
Pizza	37
Neha Ride x 2	80</t>
        </r>
      </text>
    </comment>
    <comment ref="F16" authorId="0" shapeId="0" xr:uid="{6BE737D7-9977-4716-A16E-FD2B9E80CAB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Presto for Rahul, Paid by Neha</t>
        </r>
      </text>
    </comment>
    <comment ref="J16" authorId="0" shapeId="0" xr:uid="{5ED09DBF-F78A-42BB-96E7-02E67EC1966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60 : Rahul Presto</t>
        </r>
      </text>
    </comment>
    <comment ref="N16" authorId="0" shapeId="0" xr:uid="{51CAFF55-CA57-4470-9D83-42B6B2BBC5F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53.3 : Presto
97 : Ride</t>
        </r>
      </text>
    </comment>
    <comment ref="Q16" authorId="0" shapeId="0" xr:uid="{29F18A6F-341F-4B78-9A2E-AC0447ED6EDA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120 : 90 - Presto Autoload + 30 Nilesh Uncle for Car Ride
</t>
        </r>
      </text>
    </comment>
    <comment ref="F17" authorId="0" shapeId="0" xr:uid="{AEADF410-F862-466D-B0BE-0BD32599013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55 Bowling @ Kennedy from Neha's Card
Reply:
    33 Jayshree Aunty to Neha for Bowling</t>
        </r>
      </text>
    </comment>
    <comment ref="J17" authorId="0" shapeId="0" xr:uid="{8FE4D4DE-0DB6-4CD2-BB7F-31186FEC37A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25 : Movies</t>
        </r>
      </text>
    </comment>
    <comment ref="F18" authorId="0" shapeId="0" xr:uid="{5A164CC3-E20B-4044-B8CB-1CFA3605962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Biren Accountant for Neha's Return File</t>
        </r>
      </text>
    </comment>
    <comment ref="G18" authorId="0" shapeId="0" xr:uid="{A7E5E938-76BA-474C-AFE4-A909AE42580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20.5 : Trolly &amp; Mug
61.01 : Nilesh Uncle Petrol</t>
        </r>
      </text>
    </comment>
    <comment ref="H18" authorId="0" shapeId="0" xr:uid="{3B6FC05E-BAAA-46B1-AEC9-C9835775CB2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 : Preg Test Kit
14.3 : Neha Credit Card Payment (Debit)
-14.3 : Neha Credit Card Payment (Credit)
7.92 : Interest Charges
-3.92 : Returned by Aditi for her shopping</t>
        </r>
      </text>
    </comment>
    <comment ref="I18" authorId="0" shapeId="0" xr:uid="{C8D37F0C-7675-4809-B4D5-37E44F40406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69 : Fuel to Nilesh Uncle on 03 July
33.90 : Clothes sent to India
21 : Haveli Bhet
11 : Mukhiyaji Bhet</t>
        </r>
      </text>
    </comment>
    <comment ref="J18" authorId="0" shapeId="0" xr:uid="{D8D4E992-C04A-4992-88D7-E5F6BE35E0B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60 : Fuel to NJ
14 : Milk*2 to NJ
3 : Jayshree Aunty for Neha's Bus Ticket
7 : Rakhi</t>
        </r>
      </text>
    </comment>
    <comment ref="K18" authorId="0" shapeId="0" xr:uid="{A948584E-D33C-4F65-BFA7-0D6CD1542B3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39.55 : Shopping for Neha and India</t>
        </r>
      </text>
    </comment>
    <comment ref="M18" authorId="0" shapeId="0" xr:uid="{29AD5EA4-34A1-45C4-AC1E-C8001D371B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Tap for Subway coins, Cash received against the same</t>
        </r>
      </text>
    </comment>
    <comment ref="H19" authorId="0" shapeId="0" xr:uid="{9B52C7DB-7494-4AB2-A3D9-2FADA29323D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to Tarang
113 : Winter Jacket
74 : Winter Shoes
40 : Walmart Clothes
65 : Columbia
750 : Rent Deposit for 2 months
Total 1 : 1042
45 : Neha - Airport to Northyork
45 : Neha : NY to SC
50 : Rahul : Airport to SC
10 : Cloth Washing Liquid : 2*5
35 : Pizza Pizza
50 : Neha : 7 Days Living Expense
3 : Rahul : Lottery @ Tarang's store
Total 2 : 238
Grand Total : 1042+238 = 1280
Reply:
    1000 to Nilesh Uncle on 19 June 2023</t>
        </r>
      </text>
    </comment>
    <comment ref="M19" authorId="0" shapeId="0" xr:uid="{542BCC76-5ED5-432A-8EE9-56B573A46F8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2500 : Neha for Fees</t>
        </r>
      </text>
    </comment>
    <comment ref="N19" authorId="0" shapeId="0" xr:uid="{583F7526-F2D6-44E4-8AAA-FD2644D61E5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400 : Online Transferred to Divyakant Patel as an Advance for Rent on 25 Dec 2023</t>
        </r>
      </text>
    </comment>
    <comment ref="O19" authorId="0" shapeId="0" xr:uid="{D8F0FE0D-D3CF-4D19-9C0E-4E1BAF2A830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400 : Online Transferred to Divyakant Patel as an Advance for Rent on 07 Jan 2024</t>
        </r>
      </text>
    </comment>
    <comment ref="Q19" authorId="0" shapeId="0" xr:uid="{E6AF955E-DF93-4425-864C-712AF80C063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176.72 to Siddhi Patel (150 First Aid and CPR + 26.72 Police Verification) on 25-March-2024</t>
        </r>
      </text>
    </comment>
    <comment ref="R19" authorId="0" shapeId="0" xr:uid="{2E97E416-E6FC-4B82-A748-F830E162552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Kinjal on 21/04/2024</t>
        </r>
      </text>
    </comment>
    <comment ref="H20" authorId="0" shapeId="0" xr:uid="{896A2061-7024-4963-B103-B11885FB505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250 : Return from Nilesh Uncle on 21 June 2023. 
500 : Return from NJ on 26 Nov 2023 (250+500/1000), No due pending now.</t>
        </r>
      </text>
    </comment>
    <comment ref="R20" authorId="0" shapeId="0" xr:uid="{964834A4-1F63-4E14-AF9F-0BB3C4BAA51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5.54 : Jaini Milk &amp; Samosa
9.74 : Disha Butter</t>
        </r>
      </text>
    </comment>
    <comment ref="L21" authorId="0" shapeId="0" xr:uid="{40500A55-D5EC-4030-A4BB-0725ACAEA22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218.64 : Puma Shoes 4 pairs
RK : 37.50+50,
NK : 50.99,
TK : 55
63.94 : Neha Shein (Purse)</t>
        </r>
      </text>
    </comment>
    <comment ref="M21" authorId="0" shapeId="0" xr:uid="{C8805704-942C-4089-B957-5B73A292186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33.90 : Fairweather 10 Nov
97.70 : Ardene 12 Nov
10.20 : Ardene 12 Nov
54.87 : Ardene 14 Nov
33.90 : International Clothwear 14 Nov
38.50 : Walmart Chocolates
48.78 : Shein Purse
62.97 : Old Navy</t>
        </r>
      </text>
    </comment>
    <comment ref="N21" authorId="0" shapeId="0" xr:uid="{40346C95-AC2E-4497-8FBB-4A62AB15238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7.74 : Jug, Ice Cream Scoop
126.89 : Shein
75.71 : Neha Shoes
93.18 : Under Armour Shoes
11.19 : Bath &amp; Body Works</t>
        </r>
      </text>
    </comment>
    <comment ref="O21" authorId="0" shapeId="0" xr:uid="{B793B51F-30B7-40F5-967D-0D658A1F2FA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3548 : Dada for India
7252 : Dada Cash for India</t>
        </r>
      </text>
    </comment>
    <comment ref="Q21" authorId="0" shapeId="0" xr:uid="{F1507E4D-D85C-4523-B69D-7FCF413E7CA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26 : Pista</t>
        </r>
      </text>
    </comment>
    <comment ref="E24" authorId="0" shapeId="0" xr:uid="{20981843-0334-4BF9-82FF-2B132C0A9CF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Govardhan</t>
        </r>
      </text>
    </comment>
    <comment ref="F24" authorId="0" shapeId="0" xr:uid="{7EBE147D-69FE-4B19-8055-F456DD84D0A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Govardhan</t>
        </r>
      </text>
    </comment>
    <comment ref="G24" authorId="0" shapeId="0" xr:uid="{439EF0E7-A184-415F-998E-F7D6EFFE9EF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785 Govardhan Salary
10.5 Govardhan Tips</t>
        </r>
      </text>
    </comment>
    <comment ref="H24" authorId="0" shapeId="0" xr:uid="{B4AD896B-67B1-450E-9108-EBEAEB36556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1085 : Govardhan</t>
        </r>
      </text>
    </comment>
    <comment ref="I24" authorId="0" shapeId="0" xr:uid="{7EBE456E-595C-4ED9-8209-FEB9EDF6710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490 : Govardhan</t>
        </r>
      </text>
    </comment>
    <comment ref="L24" authorId="0" shapeId="0" xr:uid="{EA9B8170-89EE-41BC-A9D0-EB74FF58B60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1306 : Karnavati</t>
        </r>
      </text>
    </comment>
    <comment ref="M24" authorId="0" shapeId="0" xr:uid="{F5735A13-8DC5-453E-B741-FB33CC3CF87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632 : Karnavati</t>
        </r>
      </text>
    </comment>
    <comment ref="N24" authorId="0" shapeId="0" xr:uid="{73C3D54A-FDD0-49E9-9EBF-861922232E42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453 : Karnavati
28.12 : Return amount from Shein </t>
        </r>
      </text>
    </comment>
    <comment ref="O24" authorId="0" shapeId="0" xr:uid="{D0D3DE92-EE9A-4A16-A211-39F11A228CD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760.30 : Subway</t>
        </r>
      </text>
    </comment>
    <comment ref="I25" authorId="0" shapeId="0" xr:uid="{C90B2485-B6CD-4902-B850-2BFA39C34E1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1040 : Karnavati</t>
        </r>
      </text>
    </comment>
    <comment ref="L25" authorId="0" shapeId="0" xr:uid="{296FD51C-6433-4387-8918-AA7F5954A29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Subway :
160.96
336.87</t>
        </r>
      </text>
    </comment>
    <comment ref="M25" authorId="0" shapeId="0" xr:uid="{B07D49AC-E60E-4DE1-915A-8301DE785AB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37 : Subway Tip
24 : Subway Tip
677.41 : Subway
528.06 : Subway
310 : Cash Against Tap for Coins</t>
        </r>
      </text>
    </comment>
    <comment ref="N25" authorId="0" shapeId="0" xr:uid="{0D0E5E92-4EEC-4546-84C9-CBB62FBA994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27.60 : Subway Tip
24.80 : Subway Tip
20 : Subway Tip
833.84 : Subway
894.99 : Subway</t>
        </r>
      </text>
    </comment>
    <comment ref="O25" authorId="0" shapeId="0" xr:uid="{2C5A97CE-A2A6-453A-ABA2-7801E96772C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486.67 : Subway</t>
        </r>
      </text>
    </comment>
    <comment ref="C26" authorId="0" shapeId="0" xr:uid="{88456DF3-565F-481A-A4A2-0732586FE7A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Neha carried from India</t>
        </r>
      </text>
    </comment>
    <comment ref="E26" authorId="0" shapeId="0" xr:uid="{0217310D-8230-4627-A697-30061DB1448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British Airways</t>
        </r>
      </text>
    </comment>
    <comment ref="I26" authorId="0" shapeId="0" xr:uid="{54569BE2-0209-4F01-A7F0-DEDAE720719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Catering Order 08/07/2023</t>
        </r>
      </text>
    </comment>
    <comment ref="K26" authorId="0" shapeId="0" xr:uid="{339B1692-3C5D-47B9-B1FF-12989CE02EE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150 : Neha's Catering Order on 02nd Sep</t>
        </r>
      </text>
    </comment>
    <comment ref="O26" authorId="0" shapeId="0" xr:uid="{A92D5AA1-F730-4DF7-B313-5CB5B37D0F5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581.25 : From CRA</t>
        </r>
      </text>
    </comment>
    <comment ref="P26" authorId="0" shapeId="0" xr:uid="{85574523-412B-4F84-815E-4088B82D638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549.75 : GST Canada
507 : Provincial Payment Canada</t>
        </r>
      </text>
    </comment>
    <comment ref="F27" authorId="0" shapeId="0" xr:uid="{CA20ADB6-C3BD-4868-8873-1A09FF74938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Shah Trading Company</t>
        </r>
      </text>
    </comment>
    <comment ref="G27" authorId="0" shapeId="0" xr:uid="{C934818F-7CA2-4295-BC0E-7790A2A0E6B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1101.52 Shah Trading Company
1206.48 Shah Trading Company</t>
        </r>
      </text>
    </comment>
    <comment ref="H27" authorId="0" shapeId="0" xr:uid="{74D7CE7F-B819-4620-9D35-A0F59D2BE23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1176.68 Shah Trading Company</t>
        </r>
      </text>
    </comment>
    <comment ref="F29" authorId="0" shapeId="0" xr:uid="{C94B20A3-CAAA-4302-8763-AB3118DB3A6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Rahul carried from India</t>
        </r>
      </text>
    </comment>
    <comment ref="I29" authorId="0" shapeId="0" xr:uid="{685EBF34-EE6F-47BD-A5BE-D8BEF1E04CF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Catering Order 08/07/2023</t>
        </r>
      </text>
    </comment>
    <comment ref="N29" authorId="0" shapeId="0" xr:uid="{75552F46-4572-4D5E-ADA4-684F232BBFA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1069.75 : Vacation Pay</t>
        </r>
      </text>
    </comment>
    <comment ref="O29" authorId="0" shapeId="0" xr:uid="{F7B66D72-01A0-4AAB-B07A-6E65C1A7249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33.80 : Puma Return
4.74 : Geek Squad Return</t>
        </r>
      </text>
    </comment>
    <comment ref="C33" authorId="0" shapeId="0" xr:uid="{25794A86-B236-48F5-B1BD-1F9CE715208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2000 in Dec'22
Reply:
    673.93 in Jan'23</t>
        </r>
      </text>
    </comment>
    <comment ref="D33" authorId="0" shapeId="0" xr:uid="{01408865-FEBE-47E5-BC54-7EE1A51BAB4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673.93 : GIC
75 : Promotional Bonus</t>
        </r>
      </text>
    </comment>
  </commentList>
</comments>
</file>

<file path=xl/sharedStrings.xml><?xml version="1.0" encoding="utf-8"?>
<sst xmlns="http://schemas.openxmlformats.org/spreadsheetml/2006/main" count="445" uniqueCount="241">
  <si>
    <t>Amount</t>
  </si>
  <si>
    <t xml:space="preserve">Actual Saving </t>
  </si>
  <si>
    <t>Other income</t>
  </si>
  <si>
    <t>Total Expenses</t>
  </si>
  <si>
    <t>Total Income</t>
  </si>
  <si>
    <t>Expense / Income heads</t>
  </si>
  <si>
    <t>Date</t>
  </si>
  <si>
    <t>Miscellaneous (Service, etc)</t>
  </si>
  <si>
    <t>Electricity Bill</t>
  </si>
  <si>
    <t>OPENING BALANCE</t>
  </si>
  <si>
    <t>RD 1</t>
  </si>
  <si>
    <t>RD 2</t>
  </si>
  <si>
    <t>ATM Withdrawl</t>
  </si>
  <si>
    <t>Transfer to FRIENDS</t>
  </si>
  <si>
    <t>Income 1</t>
  </si>
  <si>
    <t>Income 2</t>
  </si>
  <si>
    <t>Axis Focus 25</t>
  </si>
  <si>
    <t>Mirae Asset Emerging blue chip</t>
  </si>
  <si>
    <t>Invesco India Focus 20 equity</t>
  </si>
  <si>
    <t>HDFC Mid Cap oppertunities</t>
  </si>
  <si>
    <t>Tata Digital India</t>
  </si>
  <si>
    <t>UTI small cap</t>
  </si>
  <si>
    <t>7 &amp; 11</t>
  </si>
  <si>
    <t>Car EMI</t>
  </si>
  <si>
    <t>TV EMI</t>
  </si>
  <si>
    <t>ICICI Amazon Pay</t>
  </si>
  <si>
    <t>ICICI Platinum</t>
  </si>
  <si>
    <t>Bill 7405503138</t>
  </si>
  <si>
    <t>Health Insurance Ankit</t>
  </si>
  <si>
    <t>Health Insurance Parents Prsnl</t>
  </si>
  <si>
    <t>LIC Ankit 834989112</t>
  </si>
  <si>
    <t>Term Plan Ankit</t>
  </si>
  <si>
    <t>Bajaj Discover Insurance</t>
  </si>
  <si>
    <t>Yamaha FZ Insurance</t>
  </si>
  <si>
    <t>HDFC ERGO Top up 20lac</t>
  </si>
  <si>
    <t>Diseal</t>
  </si>
  <si>
    <t>LIC MOM 833998866</t>
  </si>
  <si>
    <t>LIC MOM 834990023</t>
  </si>
  <si>
    <t>LIC PAPA 834989424</t>
  </si>
  <si>
    <t>LIC PAPA 8381669006</t>
  </si>
  <si>
    <t>Mom Recharge</t>
  </si>
  <si>
    <t>Recharge 8905503138</t>
  </si>
  <si>
    <t>Petrol</t>
  </si>
  <si>
    <t>CC</t>
  </si>
  <si>
    <t>Car Insurance Future Generali</t>
  </si>
  <si>
    <t>Recharge 9913528477</t>
  </si>
  <si>
    <t>GTPL Broadband</t>
  </si>
  <si>
    <t>Child School fee</t>
  </si>
  <si>
    <t>Rent</t>
  </si>
  <si>
    <t>Mirch Masala</t>
  </si>
  <si>
    <t>No Frills</t>
  </si>
  <si>
    <t>Wallmart</t>
  </si>
  <si>
    <t>Neha Mobile Bill</t>
  </si>
  <si>
    <t>Rahul Mobile Bill</t>
  </si>
  <si>
    <t>Rahul Presto</t>
  </si>
  <si>
    <t>Neha Presto</t>
  </si>
  <si>
    <t>Rahul Personal Expenses</t>
  </si>
  <si>
    <t>Neha Personal Expenses</t>
  </si>
  <si>
    <t>Freshco</t>
  </si>
  <si>
    <t>Dollarama</t>
  </si>
  <si>
    <t>Rahul Income 1</t>
  </si>
  <si>
    <t>Rahul Income 2</t>
  </si>
  <si>
    <t>Neha Income 1</t>
  </si>
  <si>
    <t>Neha Income 2</t>
  </si>
  <si>
    <t>GIC Scotia</t>
  </si>
  <si>
    <t>Entertainment</t>
  </si>
  <si>
    <t>Transfer to Someone</t>
  </si>
  <si>
    <t>Rahul Other Income</t>
  </si>
  <si>
    <t>Neha Other income</t>
  </si>
  <si>
    <t>Month</t>
  </si>
  <si>
    <t>Expense</t>
  </si>
  <si>
    <t>Balance</t>
  </si>
  <si>
    <t>Total</t>
  </si>
  <si>
    <t>Income</t>
  </si>
  <si>
    <t>Grand Total</t>
  </si>
  <si>
    <t>NA</t>
  </si>
  <si>
    <t>Return from Someone</t>
  </si>
  <si>
    <t>Regular</t>
  </si>
  <si>
    <t>Overtime</t>
  </si>
  <si>
    <t>Stat Holiday</t>
  </si>
  <si>
    <t>Federal Tax</t>
  </si>
  <si>
    <t>EI</t>
  </si>
  <si>
    <t>CPP</t>
  </si>
  <si>
    <t>Net Pay</t>
  </si>
  <si>
    <t>April'23</t>
  </si>
  <si>
    <t>May'23</t>
  </si>
  <si>
    <t>June'23</t>
  </si>
  <si>
    <t>July'23</t>
  </si>
  <si>
    <t>20/07/2023</t>
  </si>
  <si>
    <t>Earning</t>
  </si>
  <si>
    <t>Taxes</t>
  </si>
  <si>
    <t>Aug'23</t>
  </si>
  <si>
    <t>Sep'23</t>
  </si>
  <si>
    <t>06/07/2023</t>
  </si>
  <si>
    <t>17/08/2023</t>
  </si>
  <si>
    <t>27/04/2023</t>
  </si>
  <si>
    <t>11/05/2023</t>
  </si>
  <si>
    <t>25/05/2023</t>
  </si>
  <si>
    <t>Remarks</t>
  </si>
  <si>
    <t>Pay Rate</t>
  </si>
  <si>
    <t>08/06/2023</t>
  </si>
  <si>
    <t>16 &amp; 18</t>
  </si>
  <si>
    <t>60.08+18.08</t>
  </si>
  <si>
    <t>22/06/2023</t>
  </si>
  <si>
    <t>Oct'23</t>
  </si>
  <si>
    <t>Nov'23</t>
  </si>
  <si>
    <t>Dec'23</t>
  </si>
  <si>
    <t>03/08/2023</t>
  </si>
  <si>
    <t>31/08/2023</t>
  </si>
  <si>
    <t>Grocery</t>
  </si>
  <si>
    <t>Kitchen Sharing / Food</t>
  </si>
  <si>
    <t>14/09/2023</t>
  </si>
  <si>
    <t>Total Hrs</t>
  </si>
  <si>
    <t>On Hand %</t>
  </si>
  <si>
    <t>Tax Deduction %</t>
  </si>
  <si>
    <t>28/09/2023</t>
  </si>
  <si>
    <t>12/10/2023</t>
  </si>
  <si>
    <t>Shopping</t>
  </si>
  <si>
    <t>UPDATED ON</t>
  </si>
  <si>
    <t>26/10/2023</t>
  </si>
  <si>
    <t>Namaste / Panchvati</t>
  </si>
  <si>
    <t>09/11/2023</t>
  </si>
  <si>
    <t>23/11/2023</t>
  </si>
  <si>
    <t>07/12/2023</t>
  </si>
  <si>
    <t>21/12/2023</t>
  </si>
  <si>
    <t>V A C A T I O N         P A Y</t>
  </si>
  <si>
    <t>Jan'24</t>
  </si>
  <si>
    <t>Oct'24</t>
  </si>
  <si>
    <t>Nov'24</t>
  </si>
  <si>
    <t>Dec'24</t>
  </si>
  <si>
    <t>Feb'24</t>
  </si>
  <si>
    <t>Mar'24</t>
  </si>
  <si>
    <t>April'24</t>
  </si>
  <si>
    <t>May'24</t>
  </si>
  <si>
    <t>June'24</t>
  </si>
  <si>
    <t>July'24</t>
  </si>
  <si>
    <t>Aug'24</t>
  </si>
  <si>
    <t>Sep'24</t>
  </si>
  <si>
    <t>17/03/2024</t>
  </si>
  <si>
    <t>Things to Buy</t>
  </si>
  <si>
    <t>Wooden Spatula</t>
  </si>
  <si>
    <t>Mixer</t>
  </si>
  <si>
    <t>Knife</t>
  </si>
  <si>
    <t>Mortor &amp; Pestle</t>
  </si>
  <si>
    <t>Wooden Bhakhari Press</t>
  </si>
  <si>
    <t>Lemon Squeezer</t>
  </si>
  <si>
    <t>To</t>
  </si>
  <si>
    <t>21/04/2024</t>
  </si>
  <si>
    <t>Return Expected</t>
  </si>
  <si>
    <t>09/05/2024</t>
  </si>
  <si>
    <t>25/03/2024</t>
  </si>
  <si>
    <t>Siddhi Patel</t>
  </si>
  <si>
    <t>Kinjal Patel</t>
  </si>
  <si>
    <t>Awaited</t>
  </si>
  <si>
    <t>Red Grater for Cheeze</t>
  </si>
  <si>
    <t>04/01/2024</t>
  </si>
  <si>
    <t>18/01/2024</t>
  </si>
  <si>
    <t>01/02/2024</t>
  </si>
  <si>
    <t>15/02/2024</t>
  </si>
  <si>
    <t>29/02/2024</t>
  </si>
  <si>
    <t>14/03/2024</t>
  </si>
  <si>
    <t>28/03/2024</t>
  </si>
  <si>
    <t>11/04/2024</t>
  </si>
  <si>
    <t>25/04/2024</t>
  </si>
  <si>
    <t>Krishna</t>
  </si>
  <si>
    <t>Biweekly Income</t>
  </si>
  <si>
    <t>Monthly</t>
  </si>
  <si>
    <t>20/06/2024</t>
  </si>
  <si>
    <t>After Tax</t>
  </si>
  <si>
    <t>Expenses</t>
  </si>
  <si>
    <t>Neha</t>
  </si>
  <si>
    <t>Car</t>
  </si>
  <si>
    <t>Mobile</t>
  </si>
  <si>
    <t>Tarang paid for My car</t>
  </si>
  <si>
    <t>14/09/2024</t>
  </si>
  <si>
    <t>27/09/2024</t>
  </si>
  <si>
    <t>Done</t>
  </si>
  <si>
    <t>Check</t>
  </si>
  <si>
    <t>Neha's</t>
  </si>
  <si>
    <t>Amount Paid</t>
  </si>
  <si>
    <t>Amount Received</t>
  </si>
  <si>
    <t>Difference</t>
  </si>
  <si>
    <t>250+ Tax to SBR Accountant</t>
  </si>
  <si>
    <t>SBR for Dox</t>
  </si>
  <si>
    <t>Hrs</t>
  </si>
  <si>
    <t>2745.8 for 16 Sep to end Sep</t>
  </si>
  <si>
    <t>5760.15 for Oct'2024</t>
  </si>
  <si>
    <t>5257.76 for Nov'2024</t>
  </si>
  <si>
    <t>Transportation</t>
  </si>
  <si>
    <t>5508.95 for Dec'2024</t>
  </si>
  <si>
    <t>Name</t>
  </si>
  <si>
    <t>Address</t>
  </si>
  <si>
    <t>Email</t>
  </si>
  <si>
    <t>Password</t>
  </si>
  <si>
    <t>Huggies</t>
  </si>
  <si>
    <t>Enfamil</t>
  </si>
  <si>
    <t>Similac</t>
  </si>
  <si>
    <t>Baby Freebies</t>
  </si>
  <si>
    <t>Pampers</t>
  </si>
  <si>
    <t>Tarang Kaswala</t>
  </si>
  <si>
    <t>38, Hasbrooke Drive,
North York
Ontario
M9L 1A1</t>
  </si>
  <si>
    <t>Tarangkaswala@gmail.com</t>
  </si>
  <si>
    <t>Huggies@tarang123</t>
  </si>
  <si>
    <t>Y</t>
  </si>
  <si>
    <t>Enfamil@tarang123</t>
  </si>
  <si>
    <t>Nehaben Kaswala</t>
  </si>
  <si>
    <t>53, Mountland Drive</t>
  </si>
  <si>
    <t>Niyabavishi@gmail.com</t>
  </si>
  <si>
    <t>Satyam Dobariya</t>
  </si>
  <si>
    <t>806 Scarborough Golf Club Road, Scarborough, Ontario M1G 1J3</t>
  </si>
  <si>
    <t>satyamdobariya98@gmail.com</t>
  </si>
  <si>
    <t>Huggies@satyam123</t>
  </si>
  <si>
    <t>Vikas Patel</t>
  </si>
  <si>
    <t>2305-30 Meadowglen Place, Scarborough, M1G 0A6</t>
  </si>
  <si>
    <t>antarkhabar@gmail.com</t>
  </si>
  <si>
    <t>Huggies@vikas123</t>
  </si>
  <si>
    <t>Enfamil@vikas123</t>
  </si>
  <si>
    <t>Jayshree Aunty</t>
  </si>
  <si>
    <t>Tuxedo</t>
  </si>
  <si>
    <t>writersstich@gmail.com</t>
  </si>
  <si>
    <t>Subhash Bhai</t>
  </si>
  <si>
    <t>rk4theworld@gmail.com</t>
  </si>
  <si>
    <t>4503 for Jan'2025</t>
  </si>
  <si>
    <t>Kinjal (Govardhan Food + RMD) (For Amandeep)</t>
  </si>
  <si>
    <t>Tarang</t>
  </si>
  <si>
    <t>Walnut - 2 LB</t>
  </si>
  <si>
    <t>Pecan - 2 LB</t>
  </si>
  <si>
    <t>Kesar</t>
  </si>
  <si>
    <t>Pumpkin Seed x 2</t>
  </si>
  <si>
    <t xml:space="preserve">Almond </t>
  </si>
  <si>
    <t>Cashew</t>
  </si>
  <si>
    <t>Pistachios</t>
  </si>
  <si>
    <t>Panipuri x 2</t>
  </si>
  <si>
    <t>Ney Patel</t>
  </si>
  <si>
    <t>Enfamil@satyam123</t>
  </si>
  <si>
    <t>Nestle</t>
  </si>
  <si>
    <t>Johnson's Baby</t>
  </si>
  <si>
    <t>Baby Box Canada</t>
  </si>
  <si>
    <t>Huggies@rk123</t>
  </si>
  <si>
    <t>Enfamil@rk123</t>
  </si>
  <si>
    <t>22 Ensign Place, Scarborough, M1G 2R1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</si>
</sst>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3">
    <xf numFmtId="0" fontId="0" fillId="0" borderId="0"/>
    <xf numFmtId="0" fontId="2" fillId="0" borderId="0" applyNumberFormat="0" applyFont="0" applyFill="0" applyBorder="0" applyAlignment="0" applyProtection="0"/>
    <xf numFmtId="0" fontId="17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top"/>
    </xf>
    <xf numFmtId="4" fontId="1" fillId="3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top"/>
    </xf>
    <xf numFmtId="17" fontId="1" fillId="4" borderId="1" xfId="0" applyNumberFormat="1" applyFont="1" applyFill="1" applyBorder="1" applyAlignment="1">
      <alignment horizontal="center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/>
    </xf>
    <xf numFmtId="4" fontId="3" fillId="5" borderId="1" xfId="0" applyNumberFormat="1" applyFont="1" applyFill="1" applyBorder="1" applyAlignment="1">
      <alignment horizontal="center" vertical="top"/>
    </xf>
    <xf numFmtId="0" fontId="5" fillId="0" borderId="1" xfId="0" applyFont="1" applyBorder="1"/>
    <xf numFmtId="0" fontId="5" fillId="0" borderId="1" xfId="0" applyFont="1" applyBorder="1" applyAlignment="1">
      <alignment horizontal="center" vertical="top"/>
    </xf>
    <xf numFmtId="3" fontId="5" fillId="0" borderId="1" xfId="0" applyNumberFormat="1" applyFont="1" applyBorder="1" applyAlignment="1">
      <alignment horizontal="center" vertical="top"/>
    </xf>
    <xf numFmtId="15" fontId="5" fillId="0" borderId="1" xfId="0" applyNumberFormat="1" applyFont="1" applyBorder="1" applyAlignment="1">
      <alignment horizontal="center" vertical="top"/>
    </xf>
    <xf numFmtId="0" fontId="6" fillId="4" borderId="1" xfId="0" applyFont="1" applyFill="1" applyBorder="1"/>
    <xf numFmtId="0" fontId="6" fillId="4" borderId="1" xfId="0" applyFont="1" applyFill="1" applyBorder="1" applyAlignment="1">
      <alignment horizontal="center" vertical="top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 vertical="top"/>
    </xf>
    <xf numFmtId="3" fontId="5" fillId="0" borderId="1" xfId="0" quotePrefix="1" applyNumberFormat="1" applyFont="1" applyBorder="1" applyAlignment="1">
      <alignment horizontal="center" vertical="top"/>
    </xf>
    <xf numFmtId="3" fontId="5" fillId="6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/>
    </xf>
    <xf numFmtId="0" fontId="5" fillId="6" borderId="1" xfId="0" quotePrefix="1" applyFont="1" applyFill="1" applyBorder="1" applyAlignment="1">
      <alignment horizontal="center" vertical="top"/>
    </xf>
    <xf numFmtId="15" fontId="0" fillId="0" borderId="0" xfId="0" applyNumberFormat="1"/>
    <xf numFmtId="0" fontId="6" fillId="0" borderId="1" xfId="0" applyFont="1" applyBorder="1"/>
    <xf numFmtId="0" fontId="5" fillId="7" borderId="1" xfId="0" applyFont="1" applyFill="1" applyBorder="1"/>
    <xf numFmtId="0" fontId="5" fillId="8" borderId="1" xfId="0" applyFont="1" applyFill="1" applyBorder="1"/>
    <xf numFmtId="4" fontId="5" fillId="0" borderId="1" xfId="0" applyNumberFormat="1" applyFont="1" applyBorder="1" applyAlignment="1">
      <alignment horizontal="center" vertical="top"/>
    </xf>
    <xf numFmtId="4" fontId="5" fillId="7" borderId="1" xfId="0" applyNumberFormat="1" applyFont="1" applyFill="1" applyBorder="1" applyAlignment="1">
      <alignment horizontal="center" vertical="top"/>
    </xf>
    <xf numFmtId="0" fontId="5" fillId="9" borderId="1" xfId="0" applyFont="1" applyFill="1" applyBorder="1"/>
    <xf numFmtId="4" fontId="6" fillId="4" borderId="1" xfId="0" applyNumberFormat="1" applyFont="1" applyFill="1" applyBorder="1" applyAlignment="1">
      <alignment horizontal="center" vertical="top"/>
    </xf>
    <xf numFmtId="4" fontId="5" fillId="8" borderId="1" xfId="0" applyNumberFormat="1" applyFont="1" applyFill="1" applyBorder="1" applyAlignment="1">
      <alignment horizontal="center" vertical="top"/>
    </xf>
    <xf numFmtId="4" fontId="5" fillId="2" borderId="1" xfId="0" applyNumberFormat="1" applyFont="1" applyFill="1" applyBorder="1" applyAlignment="1">
      <alignment horizontal="center" vertical="top"/>
    </xf>
    <xf numFmtId="0" fontId="0" fillId="0" borderId="1" xfId="0" applyBorder="1"/>
    <xf numFmtId="4" fontId="6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17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" fontId="0" fillId="0" borderId="1" xfId="0" applyNumberFormat="1" applyBorder="1"/>
    <xf numFmtId="4" fontId="6" fillId="7" borderId="1" xfId="0" applyNumberFormat="1" applyFont="1" applyFill="1" applyBorder="1" applyAlignment="1">
      <alignment horizontal="center" vertical="top"/>
    </xf>
    <xf numFmtId="4" fontId="6" fillId="8" borderId="1" xfId="0" applyNumberFormat="1" applyFont="1" applyFill="1" applyBorder="1" applyAlignment="1">
      <alignment horizontal="center" vertical="top"/>
    </xf>
    <xf numFmtId="4" fontId="6" fillId="2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" fontId="0" fillId="0" borderId="0" xfId="0" applyNumberFormat="1"/>
    <xf numFmtId="4" fontId="5" fillId="12" borderId="1" xfId="0" applyNumberFormat="1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2" fontId="0" fillId="0" borderId="1" xfId="0" applyNumberFormat="1" applyBorder="1"/>
    <xf numFmtId="2" fontId="0" fillId="8" borderId="1" xfId="0" applyNumberFormat="1" applyFill="1" applyBorder="1"/>
    <xf numFmtId="2" fontId="0" fillId="10" borderId="1" xfId="0" applyNumberFormat="1" applyFill="1" applyBorder="1"/>
    <xf numFmtId="2" fontId="0" fillId="11" borderId="1" xfId="0" applyNumberFormat="1" applyFill="1" applyBorder="1"/>
    <xf numFmtId="0" fontId="0" fillId="0" borderId="1" xfId="0" applyBorder="1" applyAlignment="1">
      <alignment vertical="top"/>
    </xf>
    <xf numFmtId="2" fontId="0" fillId="0" borderId="1" xfId="0" applyNumberFormat="1" applyBorder="1" applyAlignment="1">
      <alignment vertical="top"/>
    </xf>
    <xf numFmtId="2" fontId="0" fillId="8" borderId="1" xfId="0" applyNumberFormat="1" applyFill="1" applyBorder="1" applyAlignment="1">
      <alignment vertical="top"/>
    </xf>
    <xf numFmtId="2" fontId="0" fillId="10" borderId="1" xfId="0" applyNumberFormat="1" applyFill="1" applyBorder="1" applyAlignment="1">
      <alignment vertical="top"/>
    </xf>
    <xf numFmtId="2" fontId="0" fillId="11" borderId="1" xfId="0" applyNumberForma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5" fillId="13" borderId="1" xfId="0" applyFont="1" applyFill="1" applyBorder="1"/>
    <xf numFmtId="4" fontId="6" fillId="13" borderId="1" xfId="0" applyNumberFormat="1" applyFont="1" applyFill="1" applyBorder="1" applyAlignment="1">
      <alignment horizontal="center" vertical="top"/>
    </xf>
    <xf numFmtId="4" fontId="5" fillId="13" borderId="1" xfId="0" applyNumberFormat="1" applyFont="1" applyFill="1" applyBorder="1" applyAlignment="1">
      <alignment horizontal="center" vertical="top"/>
    </xf>
    <xf numFmtId="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vertical="top"/>
    </xf>
    <xf numFmtId="0" fontId="0" fillId="0" borderId="2" xfId="0" applyBorder="1"/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14" borderId="1" xfId="0" applyFill="1" applyBorder="1"/>
    <xf numFmtId="4" fontId="5" fillId="0" borderId="0" xfId="0" applyNumberFormat="1" applyFont="1" applyAlignment="1">
      <alignment horizontal="center" vertical="top"/>
    </xf>
    <xf numFmtId="0" fontId="14" fillId="6" borderId="0" xfId="0" applyFont="1" applyFill="1"/>
    <xf numFmtId="4" fontId="15" fillId="6" borderId="1" xfId="0" applyNumberFormat="1" applyFont="1" applyFill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" fontId="15" fillId="0" borderId="1" xfId="0" applyNumberFormat="1" applyFont="1" applyBorder="1" applyAlignment="1">
      <alignment horizontal="center" vertical="top"/>
    </xf>
    <xf numFmtId="9" fontId="0" fillId="0" borderId="0" xfId="0" applyNumberFormat="1"/>
    <xf numFmtId="0" fontId="16" fillId="0" borderId="8" xfId="0" applyFont="1" applyBorder="1" applyAlignment="1">
      <alignment wrapText="1"/>
    </xf>
    <xf numFmtId="15" fontId="16" fillId="0" borderId="8" xfId="0" applyNumberFormat="1" applyFont="1" applyBorder="1" applyAlignment="1">
      <alignment horizontal="right" wrapText="1"/>
    </xf>
    <xf numFmtId="0" fontId="1" fillId="15" borderId="0" xfId="0" applyFont="1" applyFill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0" fillId="14" borderId="2" xfId="0" applyNumberFormat="1" applyFill="1" applyBorder="1" applyAlignment="1">
      <alignment horizontal="center"/>
    </xf>
    <xf numFmtId="2" fontId="0" fillId="14" borderId="3" xfId="0" applyNumberFormat="1" applyFill="1" applyBorder="1" applyAlignment="1">
      <alignment horizontal="center"/>
    </xf>
    <xf numFmtId="2" fontId="0" fillId="14" borderId="4" xfId="0" applyNumberFormat="1" applyFill="1" applyBorder="1" applyAlignment="1">
      <alignment horizontal="center"/>
    </xf>
    <xf numFmtId="0" fontId="16" fillId="0" borderId="9" xfId="0" applyFont="1" applyFill="1" applyBorder="1" applyAlignment="1">
      <alignment wrapText="1"/>
    </xf>
    <xf numFmtId="0" fontId="17" fillId="0" borderId="8" xfId="2" applyBorder="1" applyAlignment="1">
      <alignment wrapText="1"/>
    </xf>
    <xf numFmtId="15" fontId="16" fillId="0" borderId="8" xfId="0" applyNumberFormat="1" applyFont="1" applyBorder="1" applyAlignment="1">
      <alignment wrapText="1"/>
    </xf>
    <xf numFmtId="0" fontId="16" fillId="6" borderId="8" xfId="0" applyFont="1" applyFill="1" applyBorder="1" applyAlignment="1">
      <alignment wrapText="1"/>
    </xf>
    <xf numFmtId="15" fontId="16" fillId="6" borderId="8" xfId="0" applyNumberFormat="1" applyFont="1" applyFill="1" applyBorder="1" applyAlignment="1">
      <alignment horizontal="right" wrapText="1"/>
    </xf>
    <xf numFmtId="0" fontId="16" fillId="6" borderId="9" xfId="0" applyFont="1" applyFill="1" applyBorder="1" applyAlignment="1">
      <alignment wrapText="1"/>
    </xf>
    <xf numFmtId="0" fontId="0" fillId="6" borderId="0" xfId="0" applyFill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0</xdr:colOff>
      <xdr:row>19</xdr:row>
      <xdr:rowOff>83820</xdr:rowOff>
    </xdr:from>
    <xdr:to>
      <xdr:col>29</xdr:col>
      <xdr:colOff>1149458</xdr:colOff>
      <xdr:row>36</xdr:row>
      <xdr:rowOff>58880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04AFD-7AAF-4A26-B859-3FBF27597E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423"/>
        <a:stretch/>
      </xdr:blipFill>
      <xdr:spPr>
        <a:xfrm>
          <a:off x="22677120" y="3558540"/>
          <a:ext cx="2818238" cy="308402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" dT="2023-11-27T04:16:20.49" personId="{00000000-0000-0000-0000-000000000000}" id="{E4F09DC7-DAC5-49DC-9CE3-E6093335702B}">
    <text>4.52 : Hand Gloves</text>
  </threadedComment>
  <threadedComment ref="I4" dT="2023-07-23T06:25:07.75" personId="{00000000-0000-0000-0000-000000000000}" id="{47E82792-9A02-4E44-8BEA-5855F73F0488}">
    <text>40.85 : Fruits + Chips</text>
  </threadedComment>
  <threadedComment ref="J4" dT="2023-08-20T02:51:41.97" personId="{00000000-0000-0000-0000-000000000000}" id="{644427F2-8976-4DAE-892C-EB1D5A5E43E4}">
    <text>1.68 : Banana</text>
  </threadedComment>
  <threadedComment ref="K4" dT="2023-10-01T15:07:17.59" personId="{00000000-0000-0000-0000-000000000000}" id="{68376771-7663-4586-BBCB-E4B888AA061D}">
    <text>5.09 : Apple &amp; Banana
5.89 : Milk
1.87 : Banana</text>
  </threadedComment>
  <threadedComment ref="L4" dT="2023-10-01T20:51:17.67" personId="{00000000-0000-0000-0000-000000000000}" id="{4799694D-8DA0-482F-912E-016AA7818389}">
    <text>4.99 : Chapman's Ice Cream Leena Aunty
14.37 : Milk, Garlic Bread, Beet, Banana
8.57 : Banana, Milk
1.85 : Banana
6 : Ice Cream
1.93 : Banana
1.82 : Banana
1.85 : Banana
6.55 : Banana &amp; Pear</text>
  </threadedComment>
  <threadedComment ref="M4" dT="2023-11-27T04:42:30.20" personId="{00000000-0000-0000-0000-000000000000}" id="{8A7BC778-A501-4936-A3A8-0F91D409F2EF}">
    <text>6.55 - Freshco
8.55 - Freshco</text>
  </threadedComment>
  <threadedComment ref="G5" dT="2023-09-02T17:12:27.40" personId="{00000000-0000-0000-0000-000000000000}" id="{9C96F045-A8DC-4968-BE2D-1FC67498F392}">
    <text>6 : Tims at college
4.45 : Govardhan Dabeli
120 : Grocery-Pizza
5 : Govardhan</text>
  </threadedComment>
  <threadedComment ref="H5" dT="2023-09-02T17:15:02.02" personId="{00000000-0000-0000-0000-000000000000}" id="{5E6E74E4-D81F-43BC-9BBE-EDDBF64C1A16}">
    <text>22 : Food
5 : Khandavi
13.78 : 2*Milk for Home on 13 June 2023
16 : Pizza Depot Rahul &amp; Neha 17 June 2023
30 : Ice cream 4 flavours for 30 17 June 2023
7.5 : ChaiTime on Anniversary</text>
  </threadedComment>
  <threadedComment ref="I5" dT="2023-09-02T17:17:45.13" personId="{00000000-0000-0000-0000-000000000000}" id="{66B90569-66D4-44B6-8B9B-89DF78AAB6FB}">
    <text>164 : Kitchen Sharing
15.80 : Pizza Depot on 23/07/23</text>
  </threadedComment>
  <threadedComment ref="K5" dT="2023-09-04T20:21:54.27" personId="{00000000-0000-0000-0000-000000000000}" id="{BBFBD027-0DDF-43C4-9635-7090F1ED9817}">
    <text>4 : Canada Dry
24.85 : Pizza Depot</text>
  </threadedComment>
  <threadedComment ref="N5" dT="2023-12-28T02:37:15.32" personId="{00000000-0000-0000-0000-000000000000}" id="{A5CD1305-86AE-40FF-816C-9B1A42EAC3A4}">
    <text>32.70 Pizza Depot
9 : Tims Potato Wadges
10.51 : Samosa
19.96 : Butter from Shoppers</text>
  </threadedComment>
  <threadedComment ref="O5" dT="2024-03-03T18:14:18.55" personId="{00000000-0000-0000-0000-000000000000}" id="{63EF8FB6-1D85-49D1-B2C3-D0C1AD6D10E4}">
    <text>26.68 : Pizza</text>
  </threadedComment>
  <threadedComment ref="Q5" dT="2024-03-17T20:22:41.09" personId="{00000000-0000-0000-0000-000000000000}" id="{20A9BDA6-E3BC-4BB2-B3C4-D05BB428922B}">
    <text>17.10 : Datta Samosa
10.15 : Surati (Kachori, Namak Para, Bhungala, Meetha Mix Chevdo)
14.35 : Canbe Samosa
14.34 : Tims RNT
16 : Datta
20.17 : Bombay Bites</text>
  </threadedComment>
  <threadedComment ref="R5" dT="2024-04-20T19:58:15.21" personId="{00000000-0000-0000-0000-000000000000}" id="{B9599DB0-331F-418D-BE7D-1451869C489C}">
    <text>9.49 : Dates from Costco
8.28 : Surati (Punjabi Biscuits, Pista Cookies)
2.10 : Embassy Samosa King
5.65 : Datta Dosa
9.49 : Dates from Costco
5.65 : Datta
11.30 : Datta</text>
  </threadedComment>
  <threadedComment ref="S5" dT="2024-06-15T21:27:13.38" personId="{00000000-0000-0000-0000-000000000000}" id="{C85C7F56-F9D8-4A35-82F3-28A956541F0A}">
    <text>10.15 : Kulcha Bites (Return to Kitchener)
23.71 : Royal Punjab Grill (Return to Kitchener)
22.59 : Jaini for Pista
40 : Veggies from Market
15 : Veggies from Market
12 : Metro Cake</text>
  </threadedComment>
  <threadedComment ref="T5" dT="2024-06-15T21:39:40.67" personId="{00000000-0000-0000-0000-000000000000}" id="{F77469BE-F513-47A2-A046-3619F093470E}">
    <text>5.65 : Datta
5.65 : Datta</text>
  </threadedComment>
  <threadedComment ref="X5" dT="2024-12-04T03:34:56.23" personId="{00000000-0000-0000-0000-000000000000}" id="{27B3BC6A-0D28-4447-AE58-34C06C78D93C}">
    <text>5.65 : Datta
33.35 : Kinjal + 10 for RMD = 43.35</text>
  </threadedComment>
  <threadedComment ref="Z5" dT="2024-12-11T23:42:18.03" personId="{00000000-0000-0000-0000-000000000000}" id="{52D5A9AE-DB0B-4108-811F-F7E5C598FCFF}">
    <text>2.45 : Datta</text>
  </threadedComment>
  <threadedComment ref="H6" dT="2023-06-21T01:56:12.96" personId="{00000000-0000-0000-0000-000000000000}" id="{4BB93AB0-A379-4E06-A53D-EA3B12004F7D}">
    <text>13.78 : Milk
1 : 2*Monaco</text>
  </threadedComment>
  <threadedComment ref="I6" dT="2023-07-12T02:26:59.23" personId="{00000000-0000-0000-0000-000000000000}" id="{A1DBABE0-05D9-43FE-84FE-F914978DB556}">
    <text>20 : Snacks on Neha's B'Day
2.5 : Saffron
2.8 : Rajagara No Lot
3.4 : Aloo Bhujia
54.70 : Milk, Mamara, Chips, Ketch Up, Cashew, Potato, Onion, Ginger, Pista, Ginger, Lemon, Green Mango, Tam Tam, Valol, Green Chilly</text>
  </threadedComment>
  <threadedComment ref="J6" dT="2023-08-12T03:26:37.31" personId="{00000000-0000-0000-0000-000000000000}" id="{13283B89-6817-4E6A-997A-02FEE90BFC5B}">
    <text>21.5 : Veg., Sakar, Green Mango, Tomato, Sugar, Coconut Hair Oil
20 : Veg., Radish, Salt, Grocery, Kurkure, Crunchex, Mamara
6 : Milk
3.29 : Curd
1.12 : Canada Dry
12.64 : Milk, Lemon, Ginger, Hing
9 : Schezwan Chutney, Pasta Masala
5 : Veggie - Neha
5.99 : Milk
1.2 : Banana</text>
  </threadedComment>
  <threadedComment ref="K6" dT="2023-09-04T20:22:22.74" personId="{00000000-0000-0000-0000-000000000000}" id="{0F30F46D-7C1A-4509-B9CD-B6EB2C85941D}">
    <text>51 : Besan, Mamra, Makai Paua, Green Onion, Tamtam, Veggies, Poha, Soji
1 : Green Chilly
3 : Veg</text>
  </threadedComment>
  <threadedComment ref="L6" dT="2023-10-08T04:23:09.30" personId="{00000000-0000-0000-0000-000000000000}" id="{AC6E1225-BC4A-4777-A780-C342F644A430}">
    <text>7.32 : Aloo Bhujia, Bottle Guard, Ginger
29.86 : Pista Halwo, Mung Dal, Bourbon Choco, Bourbon, Khajur, Balaji, Monaco, Good Day, Garlic, Veggies, Green Chilly
3.35 : Kurkure Mirch Masala
30.09 : Green Resin, Almond, Cashew, Good Day Cookies, HS Café Mocha
5.63 : Neha Chataka Pataka, Biscuits
72.55 : Parle G, Dates, Snacks, Walnut, Cashew, Almonds, Pista, Mango, Veggies, Tomato, Sugar Candy
34.97 : Jaggery, Spices, Saffron, Veggies</text>
  </threadedComment>
  <threadedComment ref="M6" dT="2023-11-27T03:25:23.98" personId="{00000000-0000-0000-0000-000000000000}" id="{84DC2BBF-A0C9-47D5-96E6-83C4078C5F7B}">
    <text>34.97 : Mirch Masala Neha
13.15 : Red Chilli Pow, Coconut, Cookies, Snacks
10.59 : Mirch Masala Neha
14.24 : Mirch Masala</text>
  </threadedComment>
  <threadedComment ref="N6" dT="2023-12-18T05:22:59.76" personId="{00000000-0000-0000-0000-000000000000}" id="{AE3DD8D5-AA2F-4798-B7B1-DD467BD622E2}">
    <text>34.06 : Mirch Masala - Snacks, Veg.,
9.58 : Pani Puri
5.06 : Veg., Potato, Green Chilly, Mint, Coriander Leaves
2.5 : Veg.
4.79 : Pani Puri
7.99 : Ghee
32.70 : Grocery, Mamra
6.89 : Milk</text>
  </threadedComment>
  <threadedComment ref="O6" dT="2024-03-17T19:27:48.58" personId="{00000000-0000-0000-0000-000000000000}" id="{4277362F-EDD8-482B-A2DB-2029878E3C5F}">
    <text>50 : Mirch Masala</text>
  </threadedComment>
  <threadedComment ref="P6" dT="2024-03-03T18:18:04.73" personId="{00000000-0000-0000-0000-000000000000}" id="{93FA0AEE-06FF-4F42-A2E6-D66A9BDDC77B}">
    <text>10 : Brinda Grocery
12.36 : Grocery</text>
  </threadedComment>
  <threadedComment ref="T6" dT="2024-06-15T21:38:27.93" personId="{00000000-0000-0000-0000-000000000000}" id="{7FFFF4C6-617C-4C2A-A42C-F08860B02484}">
    <text>44.75 : Floor, Veggies, Kurkure, Papad, Sago Papad, Snacks</text>
  </threadedComment>
  <threadedComment ref="H7" dT="2023-06-18T03:14:00.53" personId="{00000000-0000-0000-0000-000000000000}" id="{E674B811-0C38-49C6-A013-6745F6253D21}" done="1">
    <text>Fruits</text>
  </threadedComment>
  <threadedComment ref="I7" dT="2023-08-07T03:23:32.13" personId="{00000000-0000-0000-0000-000000000000}" id="{21A4EFF3-466A-41D8-BE9B-1ABACB1F1814}">
    <text>Banana, Corn, French Fries, Kurkure, Sher Atta</text>
  </threadedComment>
  <threadedComment ref="M7" dT="2023-11-10T01:54:54.58" personId="{00000000-0000-0000-0000-000000000000}" id="{247B70F1-D916-4E0D-B881-197CCACD07D9}">
    <text>43.86 : Flour</text>
  </threadedComment>
  <threadedComment ref="R7" dT="2024-04-21T05:12:50.88" personId="{00000000-0000-0000-0000-000000000000}" id="{3D36BF9F-7134-4CDA-82C4-801DEEFE31C6}">
    <text>33.02 : Grapes
17.78 : Ashirwaad Atta + Fundoo Biscuits
1.88 : Tomatoes</text>
  </threadedComment>
  <threadedComment ref="T7" dT="2024-06-15T21:36:07.44" personId="{00000000-0000-0000-0000-000000000000}" id="{04CD698A-9659-433C-866C-1BB6913AF739}">
    <text>14.32 : Cherry, Cheese, Grapes, Mandarin
6.84 : Dudhi, Grapes, Peaches, Banana</text>
  </threadedComment>
  <threadedComment ref="H8" dT="2023-07-01T19:42:07.53" personId="{00000000-0000-0000-0000-000000000000}" id="{4D060893-8E80-49E5-BE14-ACF5CD823808}">
    <text>21.47 (14.98 - 7.49*2 Red + 6.49*1 Blue)</text>
  </threadedComment>
  <threadedComment ref="M8" dT="2023-11-27T03:23:59.65" personId="{00000000-0000-0000-0000-000000000000}" id="{91A8F2D9-0CCD-4CC9-B3D0-1A751E76340F}">
    <text>2.49 : Pasta Masala Neha
11.98 : Namaste Neha
18.53 : Dada Anjeer &amp; Papad
6.49 : Kinjal Custard &amp; Sev Mamara
16.30 : Kinjal</text>
  </threadedComment>
  <threadedComment ref="R8" dT="2024-04-21T05:13:50.10" personId="{00000000-0000-0000-0000-000000000000}" id="{31D4B4F3-78DB-4184-BA1D-B8AD04C32CE2}">
    <text>20.49 : Chana Jor Garam, Samosa and Veggies</text>
  </threadedComment>
  <threadedComment ref="G9" dT="2023-06-18T04:00:41.21" personId="{00000000-0000-0000-0000-000000000000}" id="{548D4FC1-4C3F-491B-8523-9926657A1CD9}">
    <text>89.72 : Walmart
9.85 : Received short from Nilesh Uncle</text>
  </threadedComment>
  <threadedComment ref="H9" dT="2023-06-18T03:21:49.83" personId="{00000000-0000-0000-0000-000000000000}" id="{200AC26A-C1A1-4236-ACFA-C57EFD310B22}">
    <text>28.42 : Almonds, Cocktail Mix Mixed Dry Fruits, Fruits, Chips Ahoy
11.95 : Banana, Grapes, Kurkure
87.96 : Fruits &amp; Dry Fruits</text>
  </threadedComment>
  <threadedComment ref="I9" dT="2023-07-12T02:25:38.35" personId="{00000000-0000-0000-0000-000000000000}" id="{1583D603-3D23-47F0-A18A-DF5174A5FDA6}">
    <text>40 : Dry Fruits &amp; Chocolates to India</text>
  </threadedComment>
  <threadedComment ref="J9" dT="2023-08-31T01:50:20.44" personId="{00000000-0000-0000-0000-000000000000}" id="{1C3E72E6-2A67-4BDE-8832-B6BFB580656B}">
    <text xml:space="preserve">7.18 : Banana, Wallnut
</text>
  </threadedComment>
  <threadedComment ref="K9" dT="2023-09-04T20:24:33.75" personId="{00000000-0000-0000-0000-000000000000}" id="{6FADA823-940A-4BAB-8612-A9453919D31D}">
    <text>60.22 (58.81+1.4) : Sher Atta, Milk, Toilet Tissue, Brar Ghee, Hand Wash
17.76 : Fruits, Veg
11.51 : Milk &amp; Canada Dry
14.34 : Banana, Tomatoes, Chocolate, Milk
2.69 : Banana
4.98 : Orange Juice</text>
  </threadedComment>
  <threadedComment ref="L9" dT="2023-10-08T04:22:29.31" personId="{00000000-0000-0000-0000-000000000000}" id="{BDD4D2EA-E579-48A4-AF62-B3820729BDE5}">
    <text>4.98 : Orange Juice
4.98 : Orange Juice
4.44 : Orange Juice (Food Basics)</text>
  </threadedComment>
  <threadedComment ref="M9" dT="2023-12-18T05:29:40.03" personId="{00000000-0000-0000-0000-000000000000}" id="{2E46A537-D22C-4F80-ADB3-F6F554BCBDBB}">
    <text xml:space="preserve">6.94 : Apple, Blackberry, Raspberry
5.36 :
19.18 : </text>
  </threadedComment>
  <threadedComment ref="N9" dT="2023-12-18T05:18:37.68" personId="{00000000-0000-0000-0000-000000000000}" id="{6C002FF4-9D1C-4B44-89B6-CA6E72D3DA52}">
    <text>1.29 : Banana
12.22 : Banana, Apple, Pears
 2.97 : Banana
4 : Spinach</text>
  </threadedComment>
  <threadedComment ref="C10" dT="2023-06-18T02:23:34.14" personId="{00000000-0000-0000-0000-000000000000}" id="{60CDBE2E-324E-484E-BEA3-E3DCC1ED4883}" done="1">
    <text>Neha's Rent for Jan'23 Paid by Tarang.
Returned to Tarang on 17-June-2023.</text>
  </threadedComment>
  <threadedComment ref="D10" dT="2023-06-18T02:23:50.74" personId="{00000000-0000-0000-0000-000000000000}" id="{6C1EE155-88F8-4F7A-BB76-640A9574F5BC}" done="1">
    <text>Neha's Rent for Feb'23 Paid by Tarang.
Returned to Tarang on 17-June-2023.</text>
  </threadedComment>
  <threadedComment ref="E10" dT="2023-06-18T02:24:23.65" personId="{00000000-0000-0000-0000-000000000000}" id="{D1E2E58A-DA43-45D7-9E22-8C2B6BBE3164}" done="1">
    <text>Rent for March 2023 to Dada paid by Neha.</text>
  </threadedComment>
  <threadedComment ref="F10" dT="2023-06-18T02:25:36.54" personId="{00000000-0000-0000-0000-000000000000}" id="{1FF1E1E6-5677-4B81-9E89-9FD3B2416F7A}" done="1">
    <text>Rent for April 2023 to Dada paid by Neha (For Neha &amp; Rahul).</text>
  </threadedComment>
  <threadedComment ref="G10" dT="2023-06-18T02:25:54.87" personId="{00000000-0000-0000-0000-000000000000}" id="{5C71C081-8DA0-41B9-85A6-D9E9BD97E1D6}" done="1">
    <text>Rent for May 2023 to Dada paid by Neha (For Neha &amp; Rahul).</text>
  </threadedComment>
  <threadedComment ref="H10" dT="2023-06-18T02:26:13.80" personId="{00000000-0000-0000-0000-000000000000}" id="{F755797D-0047-497B-8437-35D0BDDD64E8}" done="1">
    <text>Rent for June 2023 to Dada paid by Neha (For Neha &amp; Rahul).</text>
  </threadedComment>
  <threadedComment ref="I10" dT="2023-07-12T02:15:54.82" personId="{00000000-0000-0000-0000-000000000000}" id="{C3EA70F4-6347-45D4-BB95-E837AAB3F4BB}">
    <text>800 : Rent for July 2023 Interac to Dada on 04th July</text>
  </threadedComment>
  <threadedComment ref="J10" dT="2023-08-07T03:33:26.28" personId="{00000000-0000-0000-0000-000000000000}" id="{90293861-2AF2-4F6F-87B1-0B805EB695D5}">
    <text>800 : Rent for August 2023 Interac to Dada on 03rd August</text>
  </threadedComment>
  <threadedComment ref="K10" dT="2023-09-10T00:55:50.33" personId="{00000000-0000-0000-0000-000000000000}" id="{6E505CE6-B2BB-4986-A8D9-5C38A9FB3440}">
    <text>800 : Rent for September 2023 Interac to Dada on 06th September</text>
  </threadedComment>
  <threadedComment ref="L10" dT="2023-10-01T15:04:20.67" personId="{00000000-0000-0000-0000-000000000000}" id="{D18AE66B-383A-4B31-8807-3F2BC6F9E786}">
    <text>800 : Rent for October Paid in Nov</text>
  </threadedComment>
  <threadedComment ref="M10" dT="2023-11-27T04:12:48.59" personId="{00000000-0000-0000-0000-000000000000}" id="{9A055377-2C46-402A-B8A1-33A78507497A}">
    <text>1600 : Rent for Oct &amp; Nov</text>
  </threadedComment>
  <threadedComment ref="N10" dT="2023-12-08T03:51:45.42" personId="{00000000-0000-0000-0000-000000000000}" id="{82896274-C19A-4D35-8BF9-2E202DF2C445}">
    <text>800 : Dec rent paid on 06 Dec</text>
  </threadedComment>
  <threadedComment ref="O10" dT="2024-03-17T19:32:53.29" personId="{00000000-0000-0000-0000-000000000000}" id="{9A441DCE-3BE7-4165-AA71-277EA2F43DA1}">
    <text>800 : Rent for Jan'24 to Dada</text>
  </threadedComment>
  <threadedComment ref="P10" dT="2024-03-17T19:33:21.76" personId="{00000000-0000-0000-0000-000000000000}" id="{A2067E91-D94D-4288-A3BA-B2805312A341}">
    <text>800 : Feb 2024 rent to Divyakant Patel</text>
  </threadedComment>
  <threadedComment ref="Q10" dT="2024-03-17T19:31:40.64" personId="{00000000-0000-0000-0000-000000000000}" id="{A1E5C381-CC66-47A6-9569-76B358B0B75C}">
    <text>800 : March 2024 Rent to Divyakant Patel in Cash on 03-Mar-2024</text>
  </threadedComment>
  <threadedComment ref="R10" dT="2024-03-17T19:31:40.64" personId="{00000000-0000-0000-0000-000000000000}" id="{46B2066E-3821-4EBE-A32B-9EC475F80248}">
    <text>800 : April 2024 Rent to Divyakant Patel in Cash on 03-Apr-2024
800 : May 2024 Rent</text>
  </threadedComment>
  <threadedComment ref="T10" dT="2024-06-15T21:33:50.27" personId="{00000000-0000-0000-0000-000000000000}" id="{826B3A0F-0003-4EEB-8AAF-7F389793AD1D}">
    <text>800 : June'24 Rent to Divyakant Patel in Cash</text>
  </threadedComment>
  <threadedComment ref="M11" dT="2023-11-27T03:14:19.13" personId="{00000000-0000-0000-0000-000000000000}" id="{EC9AC89B-9987-42D9-987A-80DC276636BA}">
    <text>18.07 : Best Buy 18 Nov
38.42 : Fido</text>
  </threadedComment>
  <threadedComment ref="N11" dT="2023-12-28T02:36:41.17" personId="{00000000-0000-0000-0000-000000000000}" id="{1FB5C7AE-7CE9-43CD-8E7B-A7965B371B76}">
    <text>64.27 : Neha Mobile Bill</text>
  </threadedComment>
  <threadedComment ref="H12" dT="2023-07-01T19:48:57.23" personId="{00000000-0000-0000-0000-000000000000}" id="{15FE7291-90DA-4817-8BA3-94EDB349B6C7}">
    <text>6.15 : Mac D
14.3 : Credit Card Payment
7.92 : Neha Scotia Credit Card charges</text>
  </threadedComment>
  <threadedComment ref="I12" dT="2023-07-12T02:18:35.32" personId="{00000000-0000-0000-0000-000000000000}" id="{2D741083-4483-441C-A268-26EFA5913766}">
    <text>3 : Tims
5 : Eye Brow at Prayosha</text>
  </threadedComment>
  <threadedComment ref="J12" dT="2023-08-20T02:54:42.47" personId="{00000000-0000-0000-0000-000000000000}" id="{95AB5AFB-0812-4CAD-9DCC-629143E6B903}">
    <text>3.25 : Neha TTC Ticket</text>
  </threadedComment>
  <threadedComment ref="K12" dT="2023-09-10T00:56:11.56" personId="{00000000-0000-0000-0000-000000000000}" id="{AC6D772F-90DD-4DCE-9865-F11E9A4B6687}">
    <text>5 : Prayosha
1503.95 : Flight Ticket Turkish</text>
  </threadedComment>
  <threadedComment ref="L12" dT="2023-10-30T00:34:19.61" personId="{00000000-0000-0000-0000-000000000000}" id="{015470A9-B5ED-416D-B95A-A4CDFFD29A37}">
    <text>3.30 : Presto Tap
25.58 : Food Handler Certificate
6.5 : Prayosha</text>
  </threadedComment>
  <threadedComment ref="M12" dT="2023-11-27T03:06:08.37" personId="{00000000-0000-0000-0000-000000000000}" id="{AA3ABD98-5DED-4D72-B9CB-0C25E83E6BD0}">
    <text>9060 : Neha Fees paid on 4th Nov (6560 from Neha + 2500 : From Rahul to Neha for Fees)
6.50 : Prayosha</text>
  </threadedComment>
  <threadedComment ref="Q12" dT="2024-04-01T03:28:01.52" personId="{00000000-0000-0000-0000-000000000000}" id="{CB42BCE6-F7F7-49B4-BDAB-7DE65EE167D2}">
    <text>6.5 : Prayosha</text>
  </threadedComment>
  <threadedComment ref="R12" dT="2024-06-20T01:25:31.52" personId="{00000000-0000-0000-0000-000000000000}" id="{07163B12-CEF8-4842-AF50-A224C49863F9}">
    <text>2380 : College Fees</text>
  </threadedComment>
  <threadedComment ref="S12" dT="2024-06-15T21:47:17.48" personId="{00000000-0000-0000-0000-000000000000}" id="{14B8CA96-56F4-44E5-B786-334BBB7E26F2}">
    <text>5 : Prayosha
175.75 : Driving License
60.96 : Pizza (Dada Party)
15.50 : Interac to Brinda (Food &amp; Travel)</text>
  </threadedComment>
  <threadedComment ref="T12" dT="2024-06-15T21:47:34.84" personId="{00000000-0000-0000-0000-000000000000}" id="{743921EE-6E81-4F6B-9123-E469D0FECDBC}">
    <text>3 : TPL Penalty</text>
  </threadedComment>
  <threadedComment ref="W12" dT="2024-12-04T02:47:10.53" personId="{00000000-0000-0000-0000-000000000000}" id="{77F90AC7-C68A-4FF7-9F5F-7AFD4A11D7DA}">
    <text>255 : Work Permit
282.50 : SBR Accountant
27.96 : Graduation Day Pass
16.95 : Transcript</text>
  </threadedComment>
  <threadedComment ref="X12" dT="2024-12-11T23:14:12.19" personId="{00000000-0000-0000-0000-000000000000}" id="{6D9EB66E-9505-41F0-AB17-D4F44E94B1F3}">
    <text>5 : Prayosha
2000 : Neha withdrawal</text>
  </threadedComment>
  <threadedComment ref="Y12" dT="2024-12-11T23:14:19.64" personId="{00000000-0000-0000-0000-000000000000}" id="{2A2F470C-1368-4C9C-862A-10F8FB6ED46B}">
    <text>5 : Prayosha
1000 : Neha Withdrawal</text>
  </threadedComment>
  <threadedComment ref="Z12" dT="2024-12-11T23:39:05.82" personId="{00000000-0000-0000-0000-000000000000}" id="{C9FC9C3D-6AD9-445A-AA46-8FBCA9727662}">
    <text>2000 : Neha withdrawal</text>
  </threadedComment>
  <threadedComment ref="J13" dT="2023-08-31T01:59:36.23" personId="{00000000-0000-0000-0000-000000000000}" id="{767FDC8E-CED8-4841-8819-1E104C3410F6}">
    <text>95 : Neha Presto</text>
  </threadedComment>
  <threadedComment ref="L13" dT="2023-11-10T01:53:24.27" personId="{00000000-0000-0000-0000-000000000000}" id="{1E0DFB59-AEEC-47BF-8F75-6BE06CD0C645}">
    <text>50 : Presto Load
128.15 : Neha Presto Pass for November</text>
  </threadedComment>
  <threadedComment ref="M13" dT="2023-12-03T02:18:43.50" personId="{00000000-0000-0000-0000-000000000000}" id="{DBF8FF01-DD9B-4E1A-9A0E-325DEE78AF59}">
    <text>128.15 : Neha Presto Pass</text>
  </threadedComment>
  <threadedComment ref="M14" dT="2023-11-27T04:17:55.03" personId="{00000000-0000-0000-0000-000000000000}" id="{2A949D21-646A-4571-89FD-89D702D84A12}">
    <text>40 : Freedom Prepaid Bill
15.81 : Best Buy Protection</text>
  </threadedComment>
  <threadedComment ref="N14" dT="2023-12-04T00:43:07.88" personId="{00000000-0000-0000-0000-000000000000}" id="{A42777F0-B386-4AE0-962B-988B081D6DD8}">
    <text>31.22 : RK Mobile Bill
15.81 : Geek Squad</text>
  </threadedComment>
  <threadedComment ref="H15" dT="2023-06-19T01:43:19.94" personId="{00000000-0000-0000-0000-000000000000}" id="{EC466BF6-5B87-4788-A18F-81B8D2A7C5EC}">
    <text>20.10 - Pizza Depot XL Rahul</text>
  </threadedComment>
  <threadedComment ref="I15" dT="2023-07-12T02:06:16.59" personId="{00000000-0000-0000-0000-000000000000}" id="{213E3F6B-07C6-439B-967F-294E8FDD4125}">
    <text>10 : Candles from IKEA
30 : Costco - Containers
50 : Given to Tarang for Neha's Cake
100 : Rahul Physio on 16 July
4 : Miway (Mississauga)
106 : Driving Test Exam Fees</text>
  </threadedComment>
  <threadedComment ref="J15" dT="2023-08-31T01:48:14.72" personId="{00000000-0000-0000-0000-000000000000}" id="{96B339A2-ADF2-4B5E-BBB9-66A946336CE3}">
    <text>16 : DL Exam</text>
  </threadedComment>
  <threadedComment ref="K15" dT="2023-09-17T20:29:15.57" personId="{00000000-0000-0000-0000-000000000000}" id="{788B66AD-E0E3-43D4-A4BB-35C28597E9EE}">
    <text>RK G Exam Fees to Hanif Kathawala on 17 Sep 2023</text>
  </threadedComment>
  <threadedComment ref="L15" dT="2023-10-08T04:26:50.82" personId="{00000000-0000-0000-0000-000000000000}" id="{AFF04982-905A-43F5-9CEB-59AA5DA81340}">
    <text>365 : Hanif Kathawala for G Test (275+90)
3.40 : Kinjal Snacks</text>
  </threadedComment>
  <threadedComment ref="M15" dT="2023-11-27T04:17:11.99" personId="{00000000-0000-0000-0000-000000000000}" id="{A20D7DA7-899E-4423-90C8-7D3F7767756F}">
    <text>131.04 : Mountain Warehouse (Jacket, Snow Shoes, Socks, Cap)</text>
  </threadedComment>
  <threadedComment ref="N15" dT="2023-12-28T02:23:19.14" personId="{00000000-0000-0000-0000-000000000000}" id="{74B538D3-521F-4B50-A388-DBA5CCE0AFEB}">
    <text>11.19 : Bath &amp; Body Works - Shower Gel &amp; Lotion
39.54 : Rahul Google Charger
503.31 : US Visa Application fees for Me and Neha</text>
  </threadedComment>
  <threadedComment ref="Q15" dT="2024-04-19T23:29:28.30" personId="{00000000-0000-0000-0000-000000000000}" id="{CEC55CED-B50B-40AB-BFB9-326F294F8761}">
    <text>176.72 for Rahul
(150 First Aid and CPR + 26.72 Police Verification) on 25-March-2024</text>
  </threadedComment>
  <threadedComment ref="R15" dT="2024-04-20T19:39:06.64" personId="{00000000-0000-0000-0000-000000000000}" id="{75BF128C-6E11-4A7B-99C2-4AF51A653DF0}">
    <text>90.38 : Marks RK Safety Shoes
60 : Tax Filing for Rahul &amp; Neha
228.88 : Transferred to Tarang
Trimmer	47.88
Shruti Ride	40
Tide	7
Sher Atta	17
Pizza	37
Neha Ride x 2	80</text>
  </threadedComment>
  <threadedComment ref="S15" dT="2024-06-15T21:24:15.45" personId="{00000000-0000-0000-0000-000000000000}" id="{E1D79C9B-7969-4D93-80B2-208D0FA0A464}">
    <text>39.55 : Security Final Exam</text>
  </threadedComment>
  <threadedComment ref="T15" dT="2024-06-15T21:35:08.51" personId="{00000000-0000-0000-0000-000000000000}" id="{0CC0AFED-798D-466E-B0C9-CE9032CA1C66}">
    <text>80 : Security Guard License Registration</text>
  </threadedComment>
  <threadedComment ref="W15" dT="2024-12-04T02:46:57.28" personId="{00000000-0000-0000-0000-000000000000}" id="{4AE7A85C-DB89-429E-AA71-1154F1BECD5F}">
    <text>2000 : Car
253.94 : Insurance</text>
  </threadedComment>
  <threadedComment ref="X15" dT="2024-12-04T02:56:55.62" personId="{00000000-0000-0000-0000-000000000000}" id="{CA3EA5B9-565E-48BC-84A8-936D411E0E43}">
    <text>1000 : Car
253.89 : Insurance</text>
  </threadedComment>
  <threadedComment ref="Z15" dT="2024-12-11T23:39:41.19" personId="{00000000-0000-0000-0000-000000000000}" id="{96B1A9E9-676E-47E3-A2CA-ED09518B78D6}">
    <text>255 : Rahul Work Permit</text>
  </threadedComment>
  <threadedComment ref="F16" dT="2023-06-11T00:06:23.30" personId="{00000000-0000-0000-0000-000000000000}" id="{61B2D005-901F-4EB2-8216-01B122C2B23A}" done="1">
    <text>Presto for Rahul, Paid by Neha</text>
  </threadedComment>
  <threadedComment ref="J16" dT="2023-08-13T04:03:14.53" personId="{00000000-0000-0000-0000-000000000000}" id="{DF873C63-7D00-4363-B9E5-92EC8F253688}">
    <text>60 : Rahul Presto</text>
  </threadedComment>
  <threadedComment ref="N16" dT="2023-12-28T02:18:15.10" personId="{00000000-0000-0000-0000-000000000000}" id="{24312F74-9EE2-4B12-8A97-C21453771B50}">
    <text>53.3 : Presto
97 : Ride</text>
  </threadedComment>
  <threadedComment ref="Q16" dT="2024-04-22T04:02:39.23" personId="{00000000-0000-0000-0000-000000000000}" id="{78F2AB5B-9827-454C-80F9-64EA410DD263}">
    <text>120 : 90 - Presto Autoload + 30 Nilesh Uncle for Car Ride</text>
  </threadedComment>
  <threadedComment ref="F17" dT="2023-06-11T00:03:01.67" personId="{00000000-0000-0000-0000-000000000000}" id="{1B3C9062-9F38-4D86-BEC0-5412D43E3D6F}" done="1">
    <text>55 Bowling @ Kennedy from Neha's Card</text>
  </threadedComment>
  <threadedComment ref="F17" dT="2023-06-11T00:04:13.29" personId="{00000000-0000-0000-0000-000000000000}" id="{204BEE8F-C307-4F09-B4EA-93D1A6316141}" parentId="{1B3C9062-9F38-4D86-BEC0-5412D43E3D6F}">
    <text>33 Jayshree Aunty to Neha for Bowling</text>
  </threadedComment>
  <threadedComment ref="J17" dT="2023-08-31T02:00:07.31" personId="{00000000-0000-0000-0000-000000000000}" id="{8211303B-4C8D-44D4-87DC-0A58704568A9}">
    <text>25 : Movies</text>
  </threadedComment>
  <threadedComment ref="U17" dT="2024-12-04T02:21:10.95" personId="{00000000-0000-0000-0000-000000000000}" id="{82B9D3FC-9E00-4139-8E38-817057A294D3}">
    <text>Quebec</text>
  </threadedComment>
  <threadedComment ref="F18" dT="2023-06-11T00:09:19.41" personId="{00000000-0000-0000-0000-000000000000}" id="{5D3F1DD9-DD5F-462A-9665-521FF45311D0}">
    <text>Biren Accountant for Neha's Return File</text>
  </threadedComment>
  <threadedComment ref="G18" dT="2023-06-18T03:02:50.99" personId="{00000000-0000-0000-0000-000000000000}" id="{A20C1F0D-4805-4E52-979F-2DE0AD71F0FA}">
    <text>20.5 : Trolly &amp; Mug
61.01 : Nilesh Uncle Petrol</text>
  </threadedComment>
  <threadedComment ref="H18" dT="2023-06-18T03:05:59.26" personId="{00000000-0000-0000-0000-000000000000}" id="{B0572EB5-1BE2-4FC5-83D9-65F952A39176}">
    <text>10 : Preg Test Kit
14.3 : Neha Credit Card Payment (Debit)
-14.3 : Neha Credit Card Payment (Credit)
7.92 : Interest Charges
-3.92 : Returned by Aditi for her shopping</text>
  </threadedComment>
  <threadedComment ref="I18" dT="2023-07-12T02:09:14.61" personId="{00000000-0000-0000-0000-000000000000}" id="{E12FDD43-12D8-4447-943B-BC56F9E6C367}">
    <text>69 : Fuel to Nilesh Uncle on 03 July
33.90 : Clothes sent to India
21 : Haveli Bhet
11 : Mukhiyaji Bhet</text>
  </threadedComment>
  <threadedComment ref="J18" dT="2023-08-20T02:40:13.80" personId="{00000000-0000-0000-0000-000000000000}" id="{F2E17E08-E1A7-4E3E-93B2-008E73E6E05B}">
    <text>60 : Fuel to NJ
14 : Milk*2 to NJ
3 : Jayshree Aunty for Neha's Bus Ticket
7 : Rakhi</text>
  </threadedComment>
  <threadedComment ref="K18" dT="2023-09-04T20:25:21.11" personId="{00000000-0000-0000-0000-000000000000}" id="{7C9779AB-DE03-415A-BE1B-17FFB88A78A4}">
    <text>39.55 : Shopping for Neha and India</text>
  </threadedComment>
  <threadedComment ref="M18" dT="2023-11-27T03:09:32.66" personId="{00000000-0000-0000-0000-000000000000}" id="{6F227D37-E6E4-448C-868A-9622514A93A0}">
    <text>Tap for Subway coins, Cash received against the same</text>
  </threadedComment>
  <threadedComment ref="S18" dT="2024-06-15T21:26:20.57" personId="{00000000-0000-0000-0000-000000000000}" id="{B76323F0-DCAF-4D91-A473-47E529A4C39D}">
    <text>23 : Munni Aunty Medicines</text>
  </threadedComment>
  <threadedComment ref="U18" dT="2024-12-04T02:21:10.95" personId="{00000000-0000-0000-0000-000000000000}" id="{C3F04118-1081-4457-ACA7-A7A3A66F7C9B}">
    <text>Neha Medicine</text>
  </threadedComment>
  <threadedComment ref="V18" dT="2024-12-04T02:44:43.29" personId="{00000000-0000-0000-0000-000000000000}" id="{51DF7A1D-9AB5-4913-A2CB-AC2DAD0B55A7}">
    <text>18.07 : ORS
9.20 : Uber from SHN Centenary to Home</text>
  </threadedComment>
  <threadedComment ref="W18" dT="2024-12-04T02:50:05.74" personId="{00000000-0000-0000-0000-000000000000}" id="{587830C6-67AE-4230-834F-FBC1DC267574}">
    <text>185 : BHK Visa</text>
  </threadedComment>
  <threadedComment ref="X18" dT="2024-12-04T03:35:42.97" personId="{00000000-0000-0000-0000-000000000000}" id="{5251E418-A79F-41C0-AB9F-D3C7B6881006}">
    <text>196 : SBR Documentation
30 : Medicine Materna
100 : Mattress
30 : Nainesh Bhai Fuel
185 : BGD Visitor Visa</text>
  </threadedComment>
  <threadedComment ref="Y18" dT="2024-12-04T03:46:09.25" personId="{00000000-0000-0000-0000-000000000000}" id="{266FC099-F120-4063-9CD3-0F69A5731864}">
    <text>65 : Feramax 150 - 100 Caps</text>
  </threadedComment>
  <threadedComment ref="H19" dT="2023-06-18T00:38:55.01" personId="{00000000-0000-0000-0000-000000000000}" id="{EBD7FB28-B1DC-4450-AC5E-706BCE961E77}">
    <text>Transferred to Tarang
113 : Winter Jacket
74 : Winter Shoes
40 : Walmart Clothes
65 : Columbia
750 : Rent Deposit for 2 months
Total 1 : 1042
45 : Neha - Airport to Northyork
45 : Neha : NY to SC
50 : Rahul : Airport to SC
10 : Cloth Washing Liquid : 2*5
35 : Pizza Pizza
50 : Neha : 7 Days Living Expense
3 : Rahul : Lottery @ Tarang's store
Total 2 : 238
Grand Total : 1042+238 = 1280</text>
  </threadedComment>
  <threadedComment ref="H19" dT="2023-06-21T01:52:06.60" personId="{00000000-0000-0000-0000-000000000000}" id="{86647D0C-7093-427D-8946-1DCE1189FF7F}" parentId="{EBD7FB28-B1DC-4450-AC5E-706BCE961E77}">
    <text>1000 to Nilesh Uncle on 19 June 2023</text>
  </threadedComment>
  <threadedComment ref="M19" dT="2023-11-27T04:13:52.55" personId="{00000000-0000-0000-0000-000000000000}" id="{204C7FAD-A48B-4835-8503-4AB972ACC0A8}">
    <text>2500 : Neha for Fees</text>
  </threadedComment>
  <threadedComment ref="N19" dT="2023-12-28T02:22:11.52" personId="{00000000-0000-0000-0000-000000000000}" id="{B2C221A0-E45B-4EBF-8549-561FA3F9E1D3}">
    <text>400 : Online Transferred to Divyakant Patel as an Advance for Rent on 25 Dec 2023</text>
  </threadedComment>
  <threadedComment ref="O19" dT="2023-12-28T02:22:11.52" personId="{00000000-0000-0000-0000-000000000000}" id="{1059EAB8-08A4-4358-BADD-86893C4A95B3}">
    <text>400 : Online Transferred to Divyakant Patel as an Advance for Rent on 07 Jan 2024</text>
  </threadedComment>
  <threadedComment ref="Q19" dT="2024-04-22T04:00:01.46" personId="{00000000-0000-0000-0000-000000000000}" id="{EDF7FDCE-5B63-47A1-880F-F522B0F21A26}">
    <text>176.72 to Siddhi Patel (150 First Aid and CPR + 26.72 Police Verification) on 25-March-2024</text>
  </threadedComment>
  <threadedComment ref="X19" dT="2024-12-11T23:24:26.71" personId="{00000000-0000-0000-0000-000000000000}" id="{8C50DE2A-A83D-4CF6-9CC1-2607C8D021E0}">
    <text>7016.95 : Rahul</text>
  </threadedComment>
  <threadedComment ref="H20" dT="2023-06-22T02:27:08.63" personId="{00000000-0000-0000-0000-000000000000}" id="{30E766C6-B9C3-40C1-9366-C5BC9CF85FA0}">
    <text>250 : Return from Nilesh Uncle on 21 June 2023. 
500 : Return from NJ on 26 Nov 2023 (250+500/1000), No due pending now.</text>
  </threadedComment>
  <threadedComment ref="R20" dT="2024-04-20T19:31:24.85" personId="{00000000-0000-0000-0000-000000000000}" id="{5DE6539B-F8DF-49A5-B075-086EC1D1F16C}">
    <text>5.54 : Jaini Milk &amp; Samosa
9.74 : Disha Butter
2.80 : Jaini</text>
  </threadedComment>
  <threadedComment ref="U20" dT="2024-12-04T02:14:01.05" personId="{00000000-0000-0000-0000-000000000000}" id="{A03E78EE-8DD1-41AA-A977-8065B184AA2C}">
    <text>Siddhi paid</text>
  </threadedComment>
  <threadedComment ref="L21" dT="2023-10-29T20:45:17.50" personId="{00000000-0000-0000-0000-000000000000}" id="{50647724-6662-44E9-9D2B-A829DC69DDB0}">
    <text>218.64 : Puma Shoes 4 pairs
RK : 37.50+50,
NK : 50.99,
TK : 55
63.94 : Neha Shein (Purse)</text>
  </threadedComment>
  <threadedComment ref="M21" dT="2023-11-27T03:13:55.05" personId="{00000000-0000-0000-0000-000000000000}" id="{700B19AE-10B6-4CFB-8806-776B1DD71EF0}">
    <text>33.90 : Fairweather 10 Nov
97.70 : Ardene 12 Nov
10.20 : Ardene 12 Nov
54.87 : Ardene 14 Nov
33.90 : International Clothwear 14 Nov
38.50 : Walmart Chocolates
48.78 : Shein Purse
62.97 : Old Navy</text>
  </threadedComment>
  <threadedComment ref="N21" dT="2023-12-18T05:17:41.09" personId="{00000000-0000-0000-0000-000000000000}" id="{673AAA56-3CFD-4A9D-BD54-A1DE7EB70F93}">
    <text>7.74 : Jug, Ice Cream Scoop
126.89 : Shein
75.71 : Neha Shoes
93.18 : Under Armour Shoes
11.19 : Bath &amp; Body Works</text>
  </threadedComment>
  <threadedComment ref="O21" dT="2024-03-17T18:59:52.04" personId="{00000000-0000-0000-0000-000000000000}" id="{62FD84CF-040B-4FBE-A007-6C0B6D49C385}">
    <text>3548 : Dada for India
7252 : Dada Cash for India</text>
  </threadedComment>
  <threadedComment ref="Q21" dT="2024-03-17T19:38:56.14" personId="{00000000-0000-0000-0000-000000000000}" id="{04F9FA78-50D1-4BF7-9563-96ECF4D6F5B9}">
    <text>26 : Pista</text>
  </threadedComment>
  <threadedComment ref="X21" dT="2024-12-11T23:27:06.19" personId="{00000000-0000-0000-0000-000000000000}" id="{4EE5E286-2ED5-4FA6-9239-58238B011D33}">
    <text>13.56 : Shopping (Blazer, Jacket)
13.56 : Beauty Products, Soap, Body Wash</text>
  </threadedComment>
  <threadedComment ref="S22" dT="2024-06-15T21:24:55.89" personId="{00000000-0000-0000-0000-000000000000}" id="{301F33C4-29AE-4C56-983F-5F066E61F4F7}">
    <text>21 : Bhet</text>
  </threadedComment>
  <threadedComment ref="E24" dT="2023-06-10T23:56:41.44" personId="{00000000-0000-0000-0000-000000000000}" id="{21A3A509-6B19-4834-BE77-6514E8AA64DE}">
    <text>Govardhan</text>
  </threadedComment>
  <threadedComment ref="F24" dT="2023-06-11T00:02:12.64" personId="{00000000-0000-0000-0000-000000000000}" id="{C58A5D5A-D96B-4D4F-958C-68C70761B203}">
    <text>Govardhan</text>
  </threadedComment>
  <threadedComment ref="G24" dT="2023-06-18T03:03:47.33" personId="{00000000-0000-0000-0000-000000000000}" id="{E5C4C3D0-820D-473C-8101-51403CC4B2A7}" done="1">
    <text>785 Govardhan Salary
10.5 Govardhan Tips</text>
  </threadedComment>
  <threadedComment ref="H24" dT="2023-06-18T03:54:33.49" personId="{00000000-0000-0000-0000-000000000000}" id="{2A377BB0-2FFB-41C8-948B-9F39BBDF9533}">
    <text>1085 : Govardhan</text>
  </threadedComment>
  <threadedComment ref="I24" dT="2023-07-12T02:30:34.47" personId="{00000000-0000-0000-0000-000000000000}" id="{A88C05D1-CE98-4EF3-9419-B97575A8F442}">
    <text>490 : Govardhan</text>
  </threadedComment>
  <threadedComment ref="L24" dT="2023-10-30T00:33:22.50" personId="{00000000-0000-0000-0000-000000000000}" id="{52F03FDF-FE16-430E-BD88-3F1F072EBB34}">
    <text>1306 : Karnavati</text>
  </threadedComment>
  <threadedComment ref="M24" dT="2023-11-27T03:05:16.83" personId="{00000000-0000-0000-0000-000000000000}" id="{46D76344-8BBB-40A3-9232-3662690059CA}">
    <text>632 : Karnavati</text>
  </threadedComment>
  <threadedComment ref="N24" dT="2023-12-28T02:35:40.99" personId="{00000000-0000-0000-0000-000000000000}" id="{89AE7B01-ED0B-4825-B896-88C5E5871447}">
    <text xml:space="preserve">453 : Karnavati
28.12 : Return amount from Shein </text>
  </threadedComment>
  <threadedComment ref="O24" dT="2024-03-03T18:11:28.85" personId="{00000000-0000-0000-0000-000000000000}" id="{65E4CFE1-2BBD-4227-B2CF-6BA9E714E762}">
    <text>760.30 : Subway</text>
  </threadedComment>
  <threadedComment ref="Q24" dT="2024-06-20T01:23:26.56" personId="{00000000-0000-0000-0000-000000000000}" id="{8F354A15-C1FC-4962-AE44-D5A28556098B}">
    <text>24.68 : Best Buy - Return
23.51 : Best Buy - Return</text>
  </threadedComment>
  <threadedComment ref="R24" dT="2024-06-20T01:24:53.04" personId="{00000000-0000-0000-0000-000000000000}" id="{6C0C6FCA-409E-452F-BA6B-683462FC42FD}">
    <text>339.99 : Tax Refund
81.25 : GST Canada</text>
  </threadedComment>
  <threadedComment ref="U24" dT="2024-12-11T22:59:10.30" personId="{00000000-0000-0000-0000-000000000000}" id="{EE9682B2-9A7A-4430-97D0-9331FE3D2FBB}">
    <text>481 : Carbon Rebate Canada</text>
  </threadedComment>
  <threadedComment ref="V24" dT="2024-12-11T23:02:07.81" personId="{00000000-0000-0000-0000-000000000000}" id="{46C64604-5F89-4F71-8321-1E16024033F7}">
    <text>332.5 : GST Canada
325.54 : Provincial Payment Canada</text>
  </threadedComment>
  <threadedComment ref="W24" dT="2024-12-11T23:04:33.54" personId="{00000000-0000-0000-0000-000000000000}" id="{BBFDC031-EECA-4F64-9C5E-7ADB35A6F561}">
    <text>76.52 : Provincial Payment Canada</text>
  </threadedComment>
  <threadedComment ref="X24" dT="2024-12-11T23:12:53.86" personId="{00000000-0000-0000-0000-000000000000}" id="{60D31932-8AC9-4D19-B3C0-B1F4684B78F4}">
    <text>2140.33 : Omega</text>
  </threadedComment>
  <threadedComment ref="Y24" dT="2024-12-11T23:32:14.09" personId="{00000000-0000-0000-0000-000000000000}" id="{1590116D-D918-4365-BC01-FA4CA4AA4766}">
    <text>4095.95 : Omega
76.52 : Provincial Payment Canada</text>
  </threadedComment>
  <threadedComment ref="Z24" dT="2024-12-11T23:37:53.18" personId="{00000000-0000-0000-0000-000000000000}" id="{F248BC97-D0A5-4983-A41A-EFB65EDA1571}">
    <text>3797.54 : Omega
20 : Scene Point Redeem
76.52 : Provincial Payment Canada</text>
  </threadedComment>
  <threadedComment ref="I25" dT="2023-07-23T06:31:07.47" personId="{00000000-0000-0000-0000-000000000000}" id="{EFC27C3C-7A43-43F6-ACA5-5EB2519FAF27}">
    <text>1040 : Karnavati</text>
  </threadedComment>
  <threadedComment ref="L25" dT="2023-10-30T00:32:08.66" personId="{00000000-0000-0000-0000-000000000000}" id="{1533F5A5-3870-44D8-9FB8-FD0FA917675B}">
    <text>Subway :
160.96
336.87</text>
  </threadedComment>
  <threadedComment ref="M25" dT="2023-11-27T03:07:12.14" personId="{00000000-0000-0000-0000-000000000000}" id="{934B0C49-4AE1-439C-98C3-08D9E912E0AF}">
    <text>37 : Subway Tip
24 : Subway Tip
677.41 : Subway
528.06 : Subway
310 : Cash Against Tap for Coins</text>
  </threadedComment>
  <threadedComment ref="N25" dT="2023-12-03T02:18:17.90" personId="{00000000-0000-0000-0000-000000000000}" id="{7C81AE42-174D-4061-9ACF-5C18B2C0C221}">
    <text>27.60 : Subway Tip
24.80 : Subway Tip
20 : Subway Tip
833.84 : Subway
894.99 : Subway</text>
  </threadedComment>
  <threadedComment ref="O25" dT="2024-03-03T18:12:53.32" personId="{00000000-0000-0000-0000-000000000000}" id="{AEA0103F-8357-42E9-BB27-BE914FAB3B86}">
    <text>486.67 : Subway</text>
  </threadedComment>
  <threadedComment ref="X25" dT="2024-12-11T23:15:31.87" personId="{00000000-0000-0000-0000-000000000000}" id="{E02A622C-F14F-4F85-81EF-B992E6CBB650}">
    <text>170 : GST Canada
76.52 : Provincial Payment Canada
210 : Canada Carbon Rebet</text>
  </threadedComment>
  <threadedComment ref="C26" dT="2023-06-18T03:05:08.15" personId="{00000000-0000-0000-0000-000000000000}" id="{757DB1E5-3C86-492F-A43B-7B59B52B4CBC}" done="1">
    <text>Neha carried from India</text>
  </threadedComment>
  <threadedComment ref="E26" dT="2023-06-10T23:52:55.65" personId="{00000000-0000-0000-0000-000000000000}" id="{5F4F0C77-4CB9-434B-BBC7-FDE280761AF8}">
    <text>British Airways</text>
  </threadedComment>
  <threadedComment ref="I26" dT="2023-08-07T03:17:42.93" personId="{00000000-0000-0000-0000-000000000000}" id="{AEDFB312-EDBB-4E64-BCDD-4798EEC541B9}">
    <text>Catering Order 08/07/2023</text>
  </threadedComment>
  <threadedComment ref="K26" dT="2023-09-04T20:26:06.89" personId="{00000000-0000-0000-0000-000000000000}" id="{677209AE-28A9-48F8-BB88-C4EF923203EC}">
    <text>150 : Neha's Catering Order on 02nd Sep</text>
  </threadedComment>
  <threadedComment ref="O26" dT="2024-03-03T18:13:19.78" personId="{00000000-0000-0000-0000-000000000000}" id="{7187F8E4-E662-4CA1-818C-ED6B1D5E06F8}">
    <text>581.25 : From CRA</text>
  </threadedComment>
  <threadedComment ref="P26" dT="2024-03-03T18:15:04.48" personId="{00000000-0000-0000-0000-000000000000}" id="{E39DA5DA-98F5-4AAE-B876-EC95FA43D2B8}">
    <text>549.75 : GST Canada
507 : Provincial Payment Canada</text>
  </threadedComment>
  <threadedComment ref="F27" dT="2023-06-18T03:22:44.74" personId="{00000000-0000-0000-0000-000000000000}" id="{77474F38-7F4C-42F6-8B52-5F1ED4E21061}" done="1">
    <text>Shah Trading Company</text>
  </threadedComment>
  <threadedComment ref="G27" dT="2023-06-18T03:36:41.24" personId="{00000000-0000-0000-0000-000000000000}" id="{BFE7CE84-2B08-4241-974B-A911AB6F8775}" done="1">
    <text>1101.52 Shah Trading Company
1206.48 Shah Trading Company</text>
  </threadedComment>
  <threadedComment ref="H27" dT="2023-06-18T03:36:03.73" personId="{00000000-0000-0000-0000-000000000000}" id="{9131DC30-31AE-4CDC-819C-0176BA94E3A8}">
    <text>1176.68 Shah Trading Company</text>
  </threadedComment>
  <threadedComment ref="F29" dT="2023-06-18T03:32:59.98" personId="{00000000-0000-0000-0000-000000000000}" id="{76CEBA8C-15D0-4FD5-B85C-267E84DB6C76}">
    <text>Rahul carried from India</text>
  </threadedComment>
  <threadedComment ref="I29" dT="2023-08-07T03:17:53.14" personId="{00000000-0000-0000-0000-000000000000}" id="{F9E5A4BE-5997-4FB3-9393-0D33E7511DAD}">
    <text>Catering Order 08/07/2023</text>
  </threadedComment>
  <threadedComment ref="N29" dT="2023-12-28T02:41:20.92" personId="{00000000-0000-0000-0000-000000000000}" id="{ABA196AB-5CC3-4EEB-92CF-E505BF06EBA2}">
    <text>1069.75 : Vacation Pay</text>
  </threadedComment>
  <threadedComment ref="O29" dT="2024-03-17T18:56:14.24" personId="{00000000-0000-0000-0000-000000000000}" id="{6E85C8E3-D531-489A-B6D3-7B3A1E2A50F9}">
    <text>33.80 : Puma Return
4.74 : Geek Squad Return</text>
  </threadedComment>
  <threadedComment ref="R29" dT="2024-06-15T20:11:08.67" personId="{00000000-0000-0000-0000-000000000000}" id="{F309E9CE-691E-4B5B-95D2-EB96D279821A}">
    <text>3190.52 : Tax Return from Canada</text>
  </threadedComment>
  <threadedComment ref="S29" dT="2024-06-15T21:18:29.41" personId="{00000000-0000-0000-0000-000000000000}" id="{4C729786-8935-468F-BF70-633F4C7BBB1C}">
    <text>80 : Safety Shoes
250 : Shah Superstar Reward</text>
  </threadedComment>
  <threadedComment ref="C33" dT="2023-06-10T23:59:23.67" personId="{00000000-0000-0000-0000-000000000000}" id="{A7F2B5E5-DDC1-47B4-8BDE-A6CA9CE7508F}" done="1">
    <text>2000 in Dec'22</text>
  </threadedComment>
  <threadedComment ref="C33" dT="2023-06-10T23:59:34.46" personId="{00000000-0000-0000-0000-000000000000}" id="{05B304D4-10AC-4BDF-9241-AB0041B54928}" parentId="{A7F2B5E5-DDC1-47B4-8BDE-A6CA9CE7508F}">
    <text>673.93 in Jan'23</text>
  </threadedComment>
  <threadedComment ref="D33" dT="2023-06-11T00:00:28.37" personId="{00000000-0000-0000-0000-000000000000}" id="{C5A1F756-72C7-45B9-AEE7-5796607C1B9E}">
    <text>673.93 : GIC
75 : Promotional Bonus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3" dT="2023-11-27T04:16:20.49" personId="{00000000-0000-0000-0000-000000000000}" id="{9311E8D8-2E24-459C-A6EA-F34E1124FBB6}">
    <text>4.52 : Hand Gloves</text>
  </threadedComment>
  <threadedComment ref="I4" dT="2023-07-23T06:25:07.75" personId="{00000000-0000-0000-0000-000000000000}" id="{65173FE7-7219-41FE-A275-3C91936F73A7}">
    <text>40.85 : Fruits + Chips</text>
  </threadedComment>
  <threadedComment ref="J4" dT="2023-08-20T02:51:41.97" personId="{00000000-0000-0000-0000-000000000000}" id="{6F2BAD75-8062-43DC-913D-214852CC459E}">
    <text>1.68 : Banana</text>
  </threadedComment>
  <threadedComment ref="K4" dT="2023-10-01T15:07:17.59" personId="{00000000-0000-0000-0000-000000000000}" id="{10A6B276-95FB-4D43-AC6C-E837080985CE}">
    <text>5.09 : Apple &amp; Banana
5.89 : Milk
1.87 : Banana</text>
  </threadedComment>
  <threadedComment ref="L4" dT="2023-10-01T20:51:17.67" personId="{00000000-0000-0000-0000-000000000000}" id="{4ECB6AB1-3BF2-4D2E-BCCE-2C629506AE10}">
    <text>4.99 : Chapman's Ice Cream Leena Aunty
14.37 : Milk, Garlic Bread, Beet, Banana
8.57 : Banana, Milk
1.85 : Banana
6 : Ice Cream
1.93 : Banana
1.82 : Banana
1.85 : Banana
6.55 : Banana &amp; Pear</text>
  </threadedComment>
  <threadedComment ref="M4" dT="2023-11-27T04:42:30.20" personId="{00000000-0000-0000-0000-000000000000}" id="{5BB7E8B3-34EE-4580-88CE-5AED1DB59909}">
    <text>6.55 - Freshco
8.55 - Freshco</text>
  </threadedComment>
  <threadedComment ref="G5" dT="2023-09-02T17:12:27.40" personId="{00000000-0000-0000-0000-000000000000}" id="{2F27BE6A-3331-4CD1-A3AB-91A5404F3AA1}">
    <text>6 : Tims at college
4.45 : Govardhan Dabeli
120 : Grocery-Pizza
5 : Govardhan</text>
  </threadedComment>
  <threadedComment ref="H5" dT="2023-09-02T17:15:02.02" personId="{00000000-0000-0000-0000-000000000000}" id="{76EA76BF-9AFC-407F-B50D-98678173C653}">
    <text>22 : Food
5 : Khandavi
13.78 : 2*Milk for Home on 13 June 2023
16 : Pizza Depot Rahul &amp; Neha 17 June 2023
30 : Ice cream 4 flavours for 30 17 June 2023
7.5 : ChaiTime on Anniversary</text>
  </threadedComment>
  <threadedComment ref="I5" dT="2023-09-02T17:17:45.13" personId="{00000000-0000-0000-0000-000000000000}" id="{671A499E-8774-45CD-9184-E12B7D094911}">
    <text>164 : Kitchen Sharing
15.80 : Pizza Depot on 23/07/23</text>
  </threadedComment>
  <threadedComment ref="K5" dT="2023-09-04T20:21:54.27" personId="{00000000-0000-0000-0000-000000000000}" id="{106B4658-E327-4857-BA80-F44765693DFC}">
    <text>4 : Canada Dry
24.85 : Pizza Depot</text>
  </threadedComment>
  <threadedComment ref="N5" dT="2023-12-28T02:37:15.32" personId="{00000000-0000-0000-0000-000000000000}" id="{F3793C79-394E-4016-84BC-C5B44D856A3B}">
    <text>32.70 Pizza Depot
9 : Tims Potato Wadges
10.51 : Samosa
19.96 : Butter from Shoppers</text>
  </threadedComment>
  <threadedComment ref="O5" dT="2024-03-03T18:14:18.55" personId="{00000000-0000-0000-0000-000000000000}" id="{8CABFC2B-3A18-4B4C-8665-1F0436013F16}">
    <text>26.68 : Pizza</text>
  </threadedComment>
  <threadedComment ref="Q5" dT="2024-03-17T20:22:41.09" personId="{00000000-0000-0000-0000-000000000000}" id="{0797EC5A-CF48-4433-A840-C71887018A15}">
    <text>17.10 : Datta Samosa
10.15 : Surati (Kachori, Namak Para, Bhungala, Meetha Mix Chevdo)
14.35 : Canbe Samosa
14.34 : Tims RNT
16 : Datta
20.17 : Bombay Bites</text>
  </threadedComment>
  <threadedComment ref="R5" dT="2024-04-20T19:58:15.21" personId="{00000000-0000-0000-0000-000000000000}" id="{0A88436D-5CAC-4D58-8888-B709B241D893}">
    <text>9.49 : Dates from Costco
8.28 : Surati (Punjabi Biscuits, Pista Cookies)
2.10 : Embassy Samosa King
5.65 : Datta Dosa</text>
  </threadedComment>
  <threadedComment ref="H6" dT="2023-06-21T01:56:12.96" personId="{00000000-0000-0000-0000-000000000000}" id="{14F867E7-EDC3-4FFE-9125-A8CE2B50D406}">
    <text>13.78 : Milk
1 : 2*Monaco</text>
  </threadedComment>
  <threadedComment ref="I6" dT="2023-07-12T02:26:59.23" personId="{00000000-0000-0000-0000-000000000000}" id="{FC25E406-AD77-4B29-855D-A8350E2BB2EB}">
    <text>20 : Snacks on Neha's B'Day
2.5 : Saffron
2.8 : Rajagara No Lot
3.4 : Aloo Bhujia
54.70 : Milk, Mamara, Chips, Ketch Up, Cashew, Potato, Onion, Ginger, Pista, Ginger, Lemon, Green Mango, Tam Tam, Valol, Green Chilly</text>
  </threadedComment>
  <threadedComment ref="J6" dT="2023-08-12T03:26:37.31" personId="{00000000-0000-0000-0000-000000000000}" id="{3BF984C5-A3A1-4498-BB64-7A6533B3B796}">
    <text>21.5 : Veg., Sakar, Green Mango, Tomato, Sugar, Coconut Hair Oil
20 : Veg., Radish, Salt, Grocery, Kurkure, Crunchex, Mamara
6 : Milk
3.29 : Curd
1.12 : Canada Dry
12.64 : Milk, Lemon, Ginger, Hing
9 : Schezwan Chutney, Pasta Masala
5 : Veggie - Neha
5.99 : Milk
1.2 : Banana</text>
  </threadedComment>
  <threadedComment ref="K6" dT="2023-09-04T20:22:22.74" personId="{00000000-0000-0000-0000-000000000000}" id="{6F9F814B-76D5-46E2-9EC4-DEBF435AE989}">
    <text>51 : Besan, Mamra, Makai Paua, Green Onion, Tamtam, Veggies, Poha, Soji
1 : Green Chilly
3 : Veg</text>
  </threadedComment>
  <threadedComment ref="L6" dT="2023-10-08T04:23:09.30" personId="{00000000-0000-0000-0000-000000000000}" id="{AD0FF1E2-B3E5-4BD4-B3C0-0858A1A2C971}">
    <text>7.32 : Aloo Bhujia, Bottle Guard, Ginger
29.86 : Pista Halwo, Mung Dal, Bourbon Choco, Bourbon, Khajur, Balaji, Monaco, Good Day, Garlic, Veggies, Green Chilly
3.35 : Kurkure Mirch Masala
30.09 : Green Resin, Almond, Cashew, Good Day Cookies, HS Café Mocha
5.63 : Neha Chataka Pataka, Biscuits
72.55 : Parle G, Dates, Snacks, Walnut, Cashew, Almonds, Pista, Mango, Veggies, Tomato, Sugar Candy
34.97 : Jaggery, Spices, Saffron, Veggies</text>
  </threadedComment>
  <threadedComment ref="M6" dT="2023-11-27T03:25:23.98" personId="{00000000-0000-0000-0000-000000000000}" id="{9D196FB0-33F9-4616-9401-9FC783E7F416}">
    <text>34.97 : Mirch Masala Neha
13.15 : Red Chilli Pow, Coconut, Cookies, Snacks
10.59 : Mirch Masala Neha
14.24 : Mirch Masala</text>
  </threadedComment>
  <threadedComment ref="N6" dT="2023-12-18T05:22:59.76" personId="{00000000-0000-0000-0000-000000000000}" id="{B006075D-9DDC-402A-B678-D39DD3C09E42}">
    <text>34.06 : Mirch Masala - Snacks, Veg.,
9.58 : Pani Puri
5.06 : Veg., Potato, Green Chilly, Mint, Coriander Leaves
2.5 : Veg.
4.79 : Pani Puri
7.99 : Ghee
32.70 : Grocery, Mamra
6.89 : Milk</text>
  </threadedComment>
  <threadedComment ref="O6" dT="2024-03-17T19:27:48.58" personId="{00000000-0000-0000-0000-000000000000}" id="{BF3E3462-860E-42C0-9FCD-16E1868D7F96}">
    <text>50 : Mirch Masala</text>
  </threadedComment>
  <threadedComment ref="P6" dT="2024-03-03T18:18:04.73" personId="{00000000-0000-0000-0000-000000000000}" id="{4FDEFB85-7BED-4D42-9125-809B9436EA83}">
    <text>10 : Brinda Grocery
12.36 : Grocery</text>
  </threadedComment>
  <threadedComment ref="H7" dT="2023-06-18T03:14:00.53" personId="{00000000-0000-0000-0000-000000000000}" id="{AE5B8121-FB7E-4551-AA44-33B8B8B10A7A}" done="1">
    <text>Fruits</text>
  </threadedComment>
  <threadedComment ref="I7" dT="2023-08-07T03:23:32.13" personId="{00000000-0000-0000-0000-000000000000}" id="{965A5DA3-9F45-4C31-B9F6-4AEB5D350AC1}">
    <text>Banana, Corn, French Fries, Kurkure, Sher Atta</text>
  </threadedComment>
  <threadedComment ref="M7" dT="2023-11-10T01:54:54.58" personId="{00000000-0000-0000-0000-000000000000}" id="{A16298BF-7CDF-4AB6-8DB2-D2EC7D2A2F4C}">
    <text>43.86 : Flour</text>
  </threadedComment>
  <threadedComment ref="R7" dT="2024-04-21T05:12:50.88" personId="{00000000-0000-0000-0000-000000000000}" id="{7DA737A2-99D9-4CAE-BB65-D3323CF6566C}">
    <text>33.02 : Grapes
17.78 : Ashirwaad Atta + Fundoo Biscuits
1.88 : Tomatoes</text>
  </threadedComment>
  <threadedComment ref="H8" dT="2023-07-01T19:42:07.53" personId="{00000000-0000-0000-0000-000000000000}" id="{F224B544-76D8-4AA9-A84B-693E36D43D86}">
    <text>21.47 (14.98 - 7.49*2 Red + 6.49*1 Blue)</text>
  </threadedComment>
  <threadedComment ref="M8" dT="2023-11-27T03:23:59.65" personId="{00000000-0000-0000-0000-000000000000}" id="{272C5269-8C28-43EC-B0C4-B5B2F829E72B}">
    <text>2.49 : Pasta Masala Neha
11.98 : Namaste Neha
18.53 : Dada Anjeer &amp; Papad
6.49 : Kinjal Custard &amp; Sev Mamara
16.30 : Kinjal</text>
  </threadedComment>
  <threadedComment ref="R8" dT="2024-04-21T05:13:50.10" personId="{00000000-0000-0000-0000-000000000000}" id="{7E610640-AA37-4B0D-9FB6-F892F7D74701}">
    <text>20.49 : Chana Jor Garam, Samosa and Veggies</text>
  </threadedComment>
  <threadedComment ref="G9" dT="2023-06-18T04:00:41.21" personId="{00000000-0000-0000-0000-000000000000}" id="{72C6316C-2557-45DC-AC86-F09122FA8BD5}">
    <text>89.72 : Walmart
9.85 : Received short from Nilesh Uncle</text>
  </threadedComment>
  <threadedComment ref="H9" dT="2023-06-18T03:21:49.83" personId="{00000000-0000-0000-0000-000000000000}" id="{0789812B-3B40-462E-BE0D-C9DC15762603}">
    <text>28.42 : Almonds, Cocktail Mix Mixed Dry Fruits, Fruits, Chips Ahoy
11.95 : Banana, Grapes, Kurkure
87.96 : Fruits &amp; Dry Fruits</text>
  </threadedComment>
  <threadedComment ref="I9" dT="2023-07-12T02:25:38.35" personId="{00000000-0000-0000-0000-000000000000}" id="{4C3E86AE-EC90-44D0-9B79-BDB2BB783369}">
    <text>40 : Dry Fruits &amp; Chocolates to India</text>
  </threadedComment>
  <threadedComment ref="J9" dT="2023-08-31T01:50:20.44" personId="{00000000-0000-0000-0000-000000000000}" id="{57DE0AB6-3696-4E8E-AD97-5420E41FCCD0}">
    <text xml:space="preserve">7.18 : Banana, Wallnut
</text>
  </threadedComment>
  <threadedComment ref="K9" dT="2023-09-04T20:24:33.75" personId="{00000000-0000-0000-0000-000000000000}" id="{5FE3429D-04F2-4878-962E-F8B1ADB6B2E1}">
    <text>60.22 (58.81+1.4) : Sher Atta, Milk, Toilet Tissue, Brar Ghee, Hand Wash
17.76 : Fruits, Veg
11.51 : Milk &amp; Canada Dry
14.34 : Banana, Tomatoes, Chocolate, Milk
2.69 : Banana
4.98 : Orange Juice</text>
  </threadedComment>
  <threadedComment ref="L9" dT="2023-10-08T04:22:29.31" personId="{00000000-0000-0000-0000-000000000000}" id="{A41B04DD-02DE-4C15-A4DC-76DF887A8A36}">
    <text>4.98 : Orange Juice
4.98 : Orange Juice
4.44 : Orange Juice (Food Basics)</text>
  </threadedComment>
  <threadedComment ref="M9" dT="2023-12-18T05:29:40.03" personId="{00000000-0000-0000-0000-000000000000}" id="{E6EE3FA8-AC76-48E8-AEBC-F4DFEDDE27AB}">
    <text xml:space="preserve">6.94 : Apple, Blackberry, Raspberry
5.36 :
19.18 : </text>
  </threadedComment>
  <threadedComment ref="N9" dT="2023-12-18T05:18:37.68" personId="{00000000-0000-0000-0000-000000000000}" id="{DA616F94-8510-4BAA-847B-A1E8175BC425}">
    <text>1.29 : Banana
12.22 : Banana, Apple, Pears
 2.97 : Banana
4 : Spinach</text>
  </threadedComment>
  <threadedComment ref="C10" dT="2023-06-18T02:23:34.14" personId="{00000000-0000-0000-0000-000000000000}" id="{417670EB-C64B-4E30-9B2B-39F0664856A0}" done="1">
    <text>Neha's Rent for Jan'23 Paid by Tarang.
Returned to Tarang on 17-June-2023.</text>
  </threadedComment>
  <threadedComment ref="D10" dT="2023-06-18T02:23:50.74" personId="{00000000-0000-0000-0000-000000000000}" id="{9DFFA08C-D7B6-4C2A-A946-54F53C13D30D}" done="1">
    <text>Neha's Rent for Feb'23 Paid by Tarang.
Returned to Tarang on 17-June-2023.</text>
  </threadedComment>
  <threadedComment ref="E10" dT="2023-06-18T02:24:23.65" personId="{00000000-0000-0000-0000-000000000000}" id="{0524E7DB-6F85-441A-8848-B27AAA1C13DF}" done="1">
    <text>Rent for March 2023 to Dada paid by Neha.</text>
  </threadedComment>
  <threadedComment ref="F10" dT="2023-06-18T02:25:36.54" personId="{00000000-0000-0000-0000-000000000000}" id="{97E47943-A195-4A0F-954F-E8958436E190}" done="1">
    <text>Rent for April 2023 to Dada paid by Neha (For Neha &amp; Rahul).</text>
  </threadedComment>
  <threadedComment ref="G10" dT="2023-06-18T02:25:54.87" personId="{00000000-0000-0000-0000-000000000000}" id="{EA1272AC-798E-41F1-B85D-5B7C933492BC}" done="1">
    <text>Rent for May 2023 to Dada paid by Neha (For Neha &amp; Rahul).</text>
  </threadedComment>
  <threadedComment ref="H10" dT="2023-06-18T02:26:13.80" personId="{00000000-0000-0000-0000-000000000000}" id="{7B6A2041-CE44-4A2A-95C8-FA8B38B3D1E9}" done="1">
    <text>Rent for June 2023 to Dada paid by Neha (For Neha &amp; Rahul).</text>
  </threadedComment>
  <threadedComment ref="I10" dT="2023-07-12T02:15:54.82" personId="{00000000-0000-0000-0000-000000000000}" id="{8D5323B6-E5EC-434A-A333-954ED821A8D3}">
    <text>800 : Rent for July 2023 Interac to Dada on 04th July</text>
  </threadedComment>
  <threadedComment ref="J10" dT="2023-08-07T03:33:26.28" personId="{00000000-0000-0000-0000-000000000000}" id="{4C9552A3-69CD-4541-AA96-78713B39D5CB}">
    <text>800 : Rent for August 2023 Interac to Dada on 03rd August</text>
  </threadedComment>
  <threadedComment ref="K10" dT="2023-09-10T00:55:50.33" personId="{00000000-0000-0000-0000-000000000000}" id="{F435DDEF-B6EA-4611-8A8D-5C38D59EFBE8}">
    <text>800 : Rent for September 2023 Interac to Dada on 06th September</text>
  </threadedComment>
  <threadedComment ref="L10" dT="2023-10-01T15:04:20.67" personId="{00000000-0000-0000-0000-000000000000}" id="{70D6F617-2E97-40B8-8C0F-3C186BB3809B}">
    <text>800 : Rent for October Paid in Nov</text>
  </threadedComment>
  <threadedComment ref="M10" dT="2023-11-27T04:12:48.59" personId="{00000000-0000-0000-0000-000000000000}" id="{9EFEBDE0-DA43-409C-B835-D42063578B1E}">
    <text>1600 : Rent for Oct &amp; Nov</text>
  </threadedComment>
  <threadedComment ref="N10" dT="2023-12-08T03:51:45.42" personId="{00000000-0000-0000-0000-000000000000}" id="{8CF716B2-105E-4481-92EF-2424D7E7A881}">
    <text>800 : Dec rent paid on 06 Dec</text>
  </threadedComment>
  <threadedComment ref="O10" dT="2024-03-17T19:32:53.29" personId="{00000000-0000-0000-0000-000000000000}" id="{741E0503-5180-433B-879A-CB956A4FE732}">
    <text>800 : Rent for Jan'24 to Dada</text>
  </threadedComment>
  <threadedComment ref="P10" dT="2024-03-17T19:33:21.76" personId="{00000000-0000-0000-0000-000000000000}" id="{C5376E5C-A181-4724-B9BD-69138D93689C}">
    <text>800 : Feb 2024 rent to Divyakant Patel</text>
  </threadedComment>
  <threadedComment ref="Q10" dT="2024-03-17T19:31:40.64" personId="{00000000-0000-0000-0000-000000000000}" id="{648412C4-065F-4CB7-964A-CA40F0726A42}">
    <text>800 : March 2024 Rent to Divyakant Patel in Cash on 03-Mar-2024</text>
  </threadedComment>
  <threadedComment ref="R10" dT="2024-03-17T19:31:40.64" personId="{00000000-0000-0000-0000-000000000000}" id="{9A99CAAB-BF85-44C0-BCF2-B8714DE1CFC0}">
    <text>800 : April 2024 Rent to Divyakant Patel in Cash on 03-Apr-2024</text>
  </threadedComment>
  <threadedComment ref="M11" dT="2023-11-27T03:14:19.13" personId="{00000000-0000-0000-0000-000000000000}" id="{6EE7AAAC-862E-4FC7-901F-C31CF29D4F1A}">
    <text>18.07 : Best Buy 18 Nov
38.42 : Fido</text>
  </threadedComment>
  <threadedComment ref="N11" dT="2023-12-28T02:36:41.17" personId="{00000000-0000-0000-0000-000000000000}" id="{9E363E78-464B-4517-95E1-EAE2DE1C9309}">
    <text>64.27 : Neha Mobile Bill</text>
  </threadedComment>
  <threadedComment ref="H12" dT="2023-07-01T19:48:57.23" personId="{00000000-0000-0000-0000-000000000000}" id="{DD344445-79BC-4ACF-9A45-940B4A98A26E}">
    <text>6.15 : Mac D
14.3 : Credit Card Payment
7.92 : Neha Scotia Credit Card charges</text>
  </threadedComment>
  <threadedComment ref="I12" dT="2023-07-12T02:18:35.32" personId="{00000000-0000-0000-0000-000000000000}" id="{3EC53A42-1910-4525-BFA1-07AF4804F010}">
    <text>3 : Tims
5 : Eye Brow at Prayosha</text>
  </threadedComment>
  <threadedComment ref="J12" dT="2023-08-20T02:54:42.47" personId="{00000000-0000-0000-0000-000000000000}" id="{C7B6C185-EBB4-4DB8-A819-0D72645BEDBF}">
    <text>3.25 : Neha TTC Ticket</text>
  </threadedComment>
  <threadedComment ref="K12" dT="2023-09-10T00:56:11.56" personId="{00000000-0000-0000-0000-000000000000}" id="{5C904BA4-E2DF-4BE1-A460-BD1BF5458B4A}">
    <text>5 : Prayosha
1503.95 : Flight Ticket Turkish</text>
  </threadedComment>
  <threadedComment ref="L12" dT="2023-10-30T00:34:19.61" personId="{00000000-0000-0000-0000-000000000000}" id="{18829592-5E59-40F6-AABE-A75B6B2A122A}">
    <text>3.30 : Presto Tap
25.58 : Food Handler Certificate
6.5 : Prayosha</text>
  </threadedComment>
  <threadedComment ref="M12" dT="2023-11-27T03:06:08.37" personId="{00000000-0000-0000-0000-000000000000}" id="{88863C77-B1C6-4757-B154-CA2F590EE7F0}">
    <text>9060 : Neha Fees paid on 4th Nov (6560 from Neha + 2500 : From Rahul to Neha for Fees)
6.50 : Prayosha</text>
  </threadedComment>
  <threadedComment ref="Q12" dT="2024-04-01T03:28:01.52" personId="{00000000-0000-0000-0000-000000000000}" id="{E5EA666A-50A4-4DDB-8755-84246FAD2786}">
    <text>6.5 : Prayosha</text>
  </threadedComment>
  <threadedComment ref="J13" dT="2023-08-31T01:59:36.23" personId="{00000000-0000-0000-0000-000000000000}" id="{068C1032-9A35-4CD2-9031-DC60BBEEC08C}">
    <text>95 : Neha Presto</text>
  </threadedComment>
  <threadedComment ref="L13" dT="2023-11-10T01:53:24.27" personId="{00000000-0000-0000-0000-000000000000}" id="{63C3D990-3128-4F16-8C58-1A769B221ECE}">
    <text>50 : Presto Load
128.15 : Neha Presto Pass for November</text>
  </threadedComment>
  <threadedComment ref="M13" dT="2023-12-03T02:18:43.50" personId="{00000000-0000-0000-0000-000000000000}" id="{9877938C-E5C9-44BD-B6DC-B97D524F83FD}">
    <text>128.15 : Neha Presto Pass</text>
  </threadedComment>
  <threadedComment ref="M14" dT="2023-11-27T04:17:55.03" personId="{00000000-0000-0000-0000-000000000000}" id="{945BC328-807A-47A8-B609-AF63B2F0C0D7}">
    <text>40 : Freedom Prepaid Bill
15.81 : Best Buy Protection</text>
  </threadedComment>
  <threadedComment ref="N14" dT="2023-12-04T00:43:07.88" personId="{00000000-0000-0000-0000-000000000000}" id="{1AB798EB-7155-4198-B9DF-D8F04331314B}">
    <text>31.22 : RK Mobile Bill
15.81 : Geek Squad</text>
  </threadedComment>
  <threadedComment ref="H15" dT="2023-06-19T01:43:19.94" personId="{00000000-0000-0000-0000-000000000000}" id="{2E58CF82-8AC5-4021-9E2F-82682FB898BD}">
    <text>20.10 - Pizza Depot XL Rahul</text>
  </threadedComment>
  <threadedComment ref="I15" dT="2023-07-12T02:06:16.59" personId="{00000000-0000-0000-0000-000000000000}" id="{E9BB416B-378B-44F1-928F-D426334B63F6}">
    <text>10 : Candles from IKEA
30 : Costco - Containers
50 : Given to Tarang for Neha's Cake
100 : Rahul Physio on 16 July
4 : Miway (Mississauga)
106 : Driving Test Exam Fees</text>
  </threadedComment>
  <threadedComment ref="J15" dT="2023-08-31T01:48:14.72" personId="{00000000-0000-0000-0000-000000000000}" id="{821177A8-488C-4C71-B3FB-DB247635CFC2}">
    <text>16 : DL Exam</text>
  </threadedComment>
  <threadedComment ref="K15" dT="2023-09-17T20:29:15.57" personId="{00000000-0000-0000-0000-000000000000}" id="{DE2D7409-0521-49C6-B533-ECA5A6B9730E}">
    <text>RK G Exam Fees to Hanif Kathawala on 17 Sep 2023</text>
  </threadedComment>
  <threadedComment ref="L15" dT="2023-10-08T04:26:50.82" personId="{00000000-0000-0000-0000-000000000000}" id="{484105E8-B512-4073-AE07-70CCFB4E7CD8}">
    <text>365 : Hanif Kathawala for G Test (275+90)
3.40 : Kinjal Snacks</text>
  </threadedComment>
  <threadedComment ref="M15" dT="2023-11-27T04:17:11.99" personId="{00000000-0000-0000-0000-000000000000}" id="{484573B5-E8BB-4465-A435-DEBA62FB7148}">
    <text>131.04 : Mountain Warehouse (Jacket, Snow Shoes, Socks, Cap)</text>
  </threadedComment>
  <threadedComment ref="N15" dT="2023-12-28T02:23:19.14" personId="{00000000-0000-0000-0000-000000000000}" id="{A11679F1-F886-4D26-BCF3-3D78B3B57414}">
    <text>11.19 : Bath &amp; Body Works - Shower Gel &amp; Lotion
39.54 : Rahul Google Charger
503.31 : US Visa Application fees for Me and Neha</text>
  </threadedComment>
  <threadedComment ref="Q15" dT="2024-04-19T23:29:28.30" personId="{00000000-0000-0000-0000-000000000000}" id="{19611B51-A639-4997-A2A1-8801CEB17C8E}">
    <text>176.72 for Rahul
(150 First Aid and CPR + 26.72 Police Verification) on 25-March-2024</text>
  </threadedComment>
  <threadedComment ref="R15" dT="2024-04-20T19:39:06.64" personId="{00000000-0000-0000-0000-000000000000}" id="{813966FA-ED32-4B83-8CCC-95C7B8CF799F}">
    <text>90.38 : Marks RK Safety Shoes
60 : Tax Filing for Rahul &amp; Neha
228.88 : Transferred to Tarang
Trimmer	47.88
Shruti Ride	40
Tide	7
Sher Atta	17
Pizza	37
Neha Ride x 2	80</text>
  </threadedComment>
  <threadedComment ref="F16" dT="2023-06-11T00:06:23.30" personId="{00000000-0000-0000-0000-000000000000}" id="{6BE737D7-9977-4716-A16E-FD2B9E80CABB}" done="1">
    <text>Presto for Rahul, Paid by Neha</text>
  </threadedComment>
  <threadedComment ref="J16" dT="2023-08-13T04:03:14.53" personId="{00000000-0000-0000-0000-000000000000}" id="{5ED09DBF-F78A-42BB-96E7-02E67EC1966D}">
    <text>60 : Rahul Presto</text>
  </threadedComment>
  <threadedComment ref="N16" dT="2023-12-28T02:18:15.10" personId="{00000000-0000-0000-0000-000000000000}" id="{51CAFF55-CA57-4470-9D83-42B6B2BBC5F1}">
    <text>53.3 : Presto
97 : Ride</text>
  </threadedComment>
  <threadedComment ref="Q16" dT="2024-04-22T04:02:39.23" personId="{00000000-0000-0000-0000-000000000000}" id="{29F18A6F-341F-4B78-9A2E-AC0447ED6EDA}">
    <text xml:space="preserve">120 : 90 - Presto Autoload + 30 Nilesh Uncle for Car Ride
</text>
  </threadedComment>
  <threadedComment ref="F17" dT="2023-06-11T00:03:01.67" personId="{00000000-0000-0000-0000-000000000000}" id="{AEADF410-F862-466D-B0BE-0BD32599013A}" done="1">
    <text>55 Bowling @ Kennedy from Neha's Card</text>
  </threadedComment>
  <threadedComment ref="F17" dT="2023-06-11T00:04:13.29" personId="{00000000-0000-0000-0000-000000000000}" id="{10E2F825-AD81-4F0D-A933-BCE9EFBA610D}" parentId="{AEADF410-F862-466D-B0BE-0BD32599013A}">
    <text>33 Jayshree Aunty to Neha for Bowling</text>
  </threadedComment>
  <threadedComment ref="J17" dT="2023-08-31T02:00:07.31" personId="{00000000-0000-0000-0000-000000000000}" id="{8FE4D4DE-0DB6-4CD2-BB7F-31186FEC37A8}">
    <text>25 : Movies</text>
  </threadedComment>
  <threadedComment ref="F18" dT="2023-06-11T00:09:19.41" personId="{00000000-0000-0000-0000-000000000000}" id="{5A164CC3-E20B-4044-B8CB-1CFA36059621}">
    <text>Biren Accountant for Neha's Return File</text>
  </threadedComment>
  <threadedComment ref="G18" dT="2023-06-18T03:02:50.99" personId="{00000000-0000-0000-0000-000000000000}" id="{A7E5E938-76BA-474C-AFE4-A909AE42580E}">
    <text>20.5 : Trolly &amp; Mug
61.01 : Nilesh Uncle Petrol</text>
  </threadedComment>
  <threadedComment ref="H18" dT="2023-06-18T03:05:59.26" personId="{00000000-0000-0000-0000-000000000000}" id="{3B6FC05E-BAAA-46B1-AEC9-C9835775CB23}">
    <text>10 : Preg Test Kit
14.3 : Neha Credit Card Payment (Debit)
-14.3 : Neha Credit Card Payment (Credit)
7.92 : Interest Charges
-3.92 : Returned by Aditi for her shopping</text>
  </threadedComment>
  <threadedComment ref="I18" dT="2023-07-12T02:09:14.61" personId="{00000000-0000-0000-0000-000000000000}" id="{C8D37F0C-7675-4809-B4D5-37E44F40406B}">
    <text>69 : Fuel to Nilesh Uncle on 03 July
33.90 : Clothes sent to India
21 : Haveli Bhet
11 : Mukhiyaji Bhet</text>
  </threadedComment>
  <threadedComment ref="J18" dT="2023-08-20T02:40:13.80" personId="{00000000-0000-0000-0000-000000000000}" id="{D8D4E992-C04A-4992-88D7-E5F6BE35E0BD}">
    <text>60 : Fuel to NJ
14 : Milk*2 to NJ
3 : Jayshree Aunty for Neha's Bus Ticket
7 : Rakhi</text>
  </threadedComment>
  <threadedComment ref="K18" dT="2023-09-04T20:25:21.11" personId="{00000000-0000-0000-0000-000000000000}" id="{A948584E-D33C-4F65-BFA7-0D6CD1542B34}">
    <text>39.55 : Shopping for Neha and India</text>
  </threadedComment>
  <threadedComment ref="M18" dT="2023-11-27T03:09:32.66" personId="{00000000-0000-0000-0000-000000000000}" id="{29AD5EA4-34A1-45C4-AC1E-C8001D371B00}">
    <text>Tap for Subway coins, Cash received against the same</text>
  </threadedComment>
  <threadedComment ref="H19" dT="2023-06-18T00:38:55.01" personId="{00000000-0000-0000-0000-000000000000}" id="{9B52C7DB-7494-4AB2-A3D9-2FADA29323D9}">
    <text>Transferred to Tarang
113 : Winter Jacket
74 : Winter Shoes
40 : Walmart Clothes
65 : Columbia
750 : Rent Deposit for 2 months
Total 1 : 1042
45 : Neha - Airport to Northyork
45 : Neha : NY to SC
50 : Rahul : Airport to SC
10 : Cloth Washing Liquid : 2*5
35 : Pizza Pizza
50 : Neha : 7 Days Living Expense
3 : Rahul : Lottery @ Tarang's store
Total 2 : 238
Grand Total : 1042+238 = 1280</text>
  </threadedComment>
  <threadedComment ref="H19" dT="2023-06-21T01:52:06.60" personId="{00000000-0000-0000-0000-000000000000}" id="{1515BE43-C2DD-4BC1-A459-99DD5547960E}" parentId="{9B52C7DB-7494-4AB2-A3D9-2FADA29323D9}">
    <text>1000 to Nilesh Uncle on 19 June 2023</text>
  </threadedComment>
  <threadedComment ref="M19" dT="2023-11-27T04:13:52.55" personId="{00000000-0000-0000-0000-000000000000}" id="{542BCC76-5ED5-432A-8EE9-56B573A46F82}">
    <text>2500 : Neha for Fees</text>
  </threadedComment>
  <threadedComment ref="N19" dT="2023-12-28T02:22:11.52" personId="{00000000-0000-0000-0000-000000000000}" id="{583F7526-F2D6-44E4-8AAA-FD2644D61E5B}">
    <text>400 : Online Transferred to Divyakant Patel as an Advance for Rent on 25 Dec 2023</text>
  </threadedComment>
  <threadedComment ref="O19" dT="2023-12-28T02:22:11.52" personId="{00000000-0000-0000-0000-000000000000}" id="{D8F0FE0D-D3CF-4D19-9C0E-4E1BAF2A830E}">
    <text>400 : Online Transferred to Divyakant Patel as an Advance for Rent on 07 Jan 2024</text>
  </threadedComment>
  <threadedComment ref="Q19" dT="2024-04-22T04:00:01.46" personId="{00000000-0000-0000-0000-000000000000}" id="{E6AF955E-DF93-4425-864C-712AF80C0634}">
    <text>176.72 to Siddhi Patel (150 First Aid and CPR + 26.72 Police Verification) on 25-March-2024</text>
  </threadedComment>
  <threadedComment ref="R19" dT="2024-04-22T03:58:41.46" personId="{00000000-0000-0000-0000-000000000000}" id="{2E97E416-E6FC-4B82-A748-F830E162552A}">
    <text>Kinjal on 21/04/2024</text>
  </threadedComment>
  <threadedComment ref="H20" dT="2023-06-22T02:27:08.63" personId="{00000000-0000-0000-0000-000000000000}" id="{896A2061-7024-4963-B103-B11885FB5050}">
    <text>250 : Return from Nilesh Uncle on 21 June 2023. 
500 : Return from NJ on 26 Nov 2023 (250+500/1000), No due pending now.</text>
  </threadedComment>
  <threadedComment ref="R20" dT="2024-04-20T19:31:24.85" personId="{00000000-0000-0000-0000-000000000000}" id="{964834A4-1F63-4E14-AF9F-0BB3C4BAA51F}">
    <text>5.54 : Jaini Milk &amp; Samosa
9.74 : Disha Butter</text>
  </threadedComment>
  <threadedComment ref="L21" dT="2023-10-29T20:45:17.50" personId="{00000000-0000-0000-0000-000000000000}" id="{40500A55-D5EC-4030-A4BB-0725ACAEA226}">
    <text>218.64 : Puma Shoes 4 pairs
RK : 37.50+50,
NK : 50.99,
TK : 55
63.94 : Neha Shein (Purse)</text>
  </threadedComment>
  <threadedComment ref="M21" dT="2023-11-27T03:13:55.05" personId="{00000000-0000-0000-0000-000000000000}" id="{C8805704-942C-4089-B957-5B73A2921861}">
    <text>33.90 : Fairweather 10 Nov
97.70 : Ardene 12 Nov
10.20 : Ardene 12 Nov
54.87 : Ardene 14 Nov
33.90 : International Clothwear 14 Nov
38.50 : Walmart Chocolates
48.78 : Shein Purse
62.97 : Old Navy</text>
  </threadedComment>
  <threadedComment ref="N21" dT="2023-12-18T05:17:41.09" personId="{00000000-0000-0000-0000-000000000000}" id="{40346C95-AC2E-4497-8FBB-4A62AB152385}">
    <text>7.74 : Jug, Ice Cream Scoop
126.89 : Shein
75.71 : Neha Shoes
93.18 : Under Armour Shoes
11.19 : Bath &amp; Body Works</text>
  </threadedComment>
  <threadedComment ref="O21" dT="2024-03-17T18:59:52.04" personId="{00000000-0000-0000-0000-000000000000}" id="{B793B51F-30B7-40F5-967D-0D658A1F2FAA}">
    <text>3548 : Dada for India
7252 : Dada Cash for India</text>
  </threadedComment>
  <threadedComment ref="Q21" dT="2024-03-17T19:38:56.14" personId="{00000000-0000-0000-0000-000000000000}" id="{F1507E4D-D85C-4523-B69D-7FCF413E7CA6}">
    <text>26 : Pista</text>
  </threadedComment>
  <threadedComment ref="E24" dT="2023-06-10T23:56:41.44" personId="{00000000-0000-0000-0000-000000000000}" id="{20981843-0334-4BF9-82FF-2B132C0A9CFE}">
    <text>Govardhan</text>
  </threadedComment>
  <threadedComment ref="F24" dT="2023-06-11T00:02:12.64" personId="{00000000-0000-0000-0000-000000000000}" id="{7EBE147D-69FE-4B19-8055-F456DD84D0AD}">
    <text>Govardhan</text>
  </threadedComment>
  <threadedComment ref="G24" dT="2023-06-18T03:03:47.33" personId="{00000000-0000-0000-0000-000000000000}" id="{439EF0E7-A184-415F-998E-F7D6EFFE9EF8}" done="1">
    <text>785 Govardhan Salary
10.5 Govardhan Tips</text>
  </threadedComment>
  <threadedComment ref="H24" dT="2023-06-18T03:54:33.49" personId="{00000000-0000-0000-0000-000000000000}" id="{B4AD896B-67B1-450E-9108-EBEAEB365568}">
    <text>1085 : Govardhan</text>
  </threadedComment>
  <threadedComment ref="I24" dT="2023-07-12T02:30:34.47" personId="{00000000-0000-0000-0000-000000000000}" id="{7EBE456E-595C-4ED9-8209-FEB9EDF67103}">
    <text>490 : Govardhan</text>
  </threadedComment>
  <threadedComment ref="L24" dT="2023-10-30T00:33:22.50" personId="{00000000-0000-0000-0000-000000000000}" id="{EA9B8170-89EE-41BC-A9D0-EB74FF58B608}">
    <text>1306 : Karnavati</text>
  </threadedComment>
  <threadedComment ref="M24" dT="2023-11-27T03:05:16.83" personId="{00000000-0000-0000-0000-000000000000}" id="{F5735A13-8DC5-453E-B741-FB33CC3CF878}">
    <text>632 : Karnavati</text>
  </threadedComment>
  <threadedComment ref="N24" dT="2023-12-28T02:35:40.99" personId="{00000000-0000-0000-0000-000000000000}" id="{73C3D54A-FDD0-49E9-9EBF-861922232E42}">
    <text xml:space="preserve">453 : Karnavati
28.12 : Return amount from Shein </text>
  </threadedComment>
  <threadedComment ref="O24" dT="2024-03-03T18:11:28.85" personId="{00000000-0000-0000-0000-000000000000}" id="{D0D3DE92-EE9A-4A16-A211-39F11A228CD6}">
    <text>760.30 : Subway</text>
  </threadedComment>
  <threadedComment ref="I25" dT="2023-07-23T06:31:07.47" personId="{00000000-0000-0000-0000-000000000000}" id="{C90B2485-B6CD-4902-B850-2BFA39C34E17}">
    <text>1040 : Karnavati</text>
  </threadedComment>
  <threadedComment ref="L25" dT="2023-10-30T00:32:08.66" personId="{00000000-0000-0000-0000-000000000000}" id="{296FD51C-6433-4387-8918-AA7F5954A294}">
    <text>Subway :
160.96
336.87</text>
  </threadedComment>
  <threadedComment ref="M25" dT="2023-11-27T03:07:12.14" personId="{00000000-0000-0000-0000-000000000000}" id="{B07D49AC-E60E-4DE1-915A-8301DE785AB5}">
    <text>37 : Subway Tip
24 : Subway Tip
677.41 : Subway
528.06 : Subway
310 : Cash Against Tap for Coins</text>
  </threadedComment>
  <threadedComment ref="N25" dT="2023-12-03T02:18:17.90" personId="{00000000-0000-0000-0000-000000000000}" id="{0D0E5E92-4EEC-4546-84C9-CBB62FBA9944}">
    <text>27.60 : Subway Tip
24.80 : Subway Tip
20 : Subway Tip
833.84 : Subway
894.99 : Subway</text>
  </threadedComment>
  <threadedComment ref="O25" dT="2024-03-03T18:12:53.32" personId="{00000000-0000-0000-0000-000000000000}" id="{2C5A97CE-A2A6-453A-ABA2-7801E96772C2}">
    <text>486.67 : Subway</text>
  </threadedComment>
  <threadedComment ref="C26" dT="2023-06-18T03:05:08.15" personId="{00000000-0000-0000-0000-000000000000}" id="{88456DF3-565F-481A-A4A2-0732586FE7AE}" done="1">
    <text>Neha carried from India</text>
  </threadedComment>
  <threadedComment ref="E26" dT="2023-06-10T23:52:55.65" personId="{00000000-0000-0000-0000-000000000000}" id="{0217310D-8230-4627-A697-30061DB14486}">
    <text>British Airways</text>
  </threadedComment>
  <threadedComment ref="I26" dT="2023-08-07T03:17:42.93" personId="{00000000-0000-0000-0000-000000000000}" id="{54569BE2-0209-4F01-A7F0-DEDAE7207197}">
    <text>Catering Order 08/07/2023</text>
  </threadedComment>
  <threadedComment ref="K26" dT="2023-09-04T20:26:06.89" personId="{00000000-0000-0000-0000-000000000000}" id="{339B1692-3C5D-47B9-B1FF-12989CE02EED}">
    <text>150 : Neha's Catering Order on 02nd Sep</text>
  </threadedComment>
  <threadedComment ref="O26" dT="2024-03-03T18:13:19.78" personId="{00000000-0000-0000-0000-000000000000}" id="{A92D5AA1-F730-4DF7-B313-5CB5B37D0F53}">
    <text>581.25 : From CRA</text>
  </threadedComment>
  <threadedComment ref="P26" dT="2024-03-03T18:15:04.48" personId="{00000000-0000-0000-0000-000000000000}" id="{85574523-412B-4F84-815E-4088B82D638E}">
    <text>549.75 : GST Canada
507 : Provincial Payment Canada</text>
  </threadedComment>
  <threadedComment ref="F27" dT="2023-06-18T03:22:44.74" personId="{00000000-0000-0000-0000-000000000000}" id="{CA20ADB6-C3BD-4868-8873-1A09FF749380}" done="1">
    <text>Shah Trading Company</text>
  </threadedComment>
  <threadedComment ref="G27" dT="2023-06-18T03:36:41.24" personId="{00000000-0000-0000-0000-000000000000}" id="{C934818F-7CA2-4295-BC0E-7790A2A0E6B2}" done="1">
    <text>1101.52 Shah Trading Company
1206.48 Shah Trading Company</text>
  </threadedComment>
  <threadedComment ref="H27" dT="2023-06-18T03:36:03.73" personId="{00000000-0000-0000-0000-000000000000}" id="{74D7CE7F-B819-4620-9D35-A0F59D2BE231}">
    <text>1176.68 Shah Trading Company</text>
  </threadedComment>
  <threadedComment ref="F29" dT="2023-06-18T03:32:59.98" personId="{00000000-0000-0000-0000-000000000000}" id="{C94B20A3-CAAA-4302-8763-AB3118DB3A65}">
    <text>Rahul carried from India</text>
  </threadedComment>
  <threadedComment ref="I29" dT="2023-08-07T03:17:53.14" personId="{00000000-0000-0000-0000-000000000000}" id="{685EBF34-EE6F-47BD-A5BE-D8BEF1E04CFD}">
    <text>Catering Order 08/07/2023</text>
  </threadedComment>
  <threadedComment ref="N29" dT="2023-12-28T02:41:20.92" personId="{00000000-0000-0000-0000-000000000000}" id="{75552F46-4572-4D5E-ADA4-684F232BBFA9}">
    <text>1069.75 : Vacation Pay</text>
  </threadedComment>
  <threadedComment ref="O29" dT="2024-03-17T18:56:14.24" personId="{00000000-0000-0000-0000-000000000000}" id="{F7B66D72-01A0-4AAB-B07A-6E65C1A72496}">
    <text>33.80 : Puma Return
4.74 : Geek Squad Return</text>
  </threadedComment>
  <threadedComment ref="C33" dT="2023-06-10T23:59:23.67" personId="{00000000-0000-0000-0000-000000000000}" id="{25794A86-B236-48F5-B1BD-1F9CE7152087}" done="1">
    <text>2000 in Dec'22</text>
  </threadedComment>
  <threadedComment ref="C33" dT="2023-06-10T23:59:34.46" personId="{00000000-0000-0000-0000-000000000000}" id="{E25D9DAB-A1A9-459C-BCCB-B6A171D98BFF}" parentId="{25794A86-B236-48F5-B1BD-1F9CE7152087}">
    <text>673.93 in Jan'23</text>
  </threadedComment>
  <threadedComment ref="D33" dT="2023-06-11T00:00:28.37" personId="{00000000-0000-0000-0000-000000000000}" id="{01408865-FEBE-47E5-BC54-7EE1A51BAB4D}">
    <text>673.93 : GIC
75 : Promotional Bonus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nfamil@rk123" TargetMode="External"/><Relationship Id="rId2" Type="http://schemas.openxmlformats.org/officeDocument/2006/relationships/hyperlink" Target="mailto:Huggies@rk123" TargetMode="External"/><Relationship Id="rId1" Type="http://schemas.openxmlformats.org/officeDocument/2006/relationships/hyperlink" Target="mailto:Enfamil@satyam1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3"/>
  <sheetViews>
    <sheetView zoomScaleNormal="100" workbookViewId="0">
      <pane xSplit="1" ySplit="1" topLeftCell="D2" activePane="bottomRight" state="frozen"/>
      <selection pane="topRight" activeCell="B1" sqref="B1"/>
      <selection pane="bottomLeft" activeCell="A3" sqref="A3"/>
      <selection pane="bottomRight" activeCell="D1" sqref="D1"/>
    </sheetView>
  </sheetViews>
  <sheetFormatPr defaultRowHeight="14.4" x14ac:dyDescent="0.3"/>
  <cols>
    <col min="1" max="1" width="29.33203125" customWidth="1"/>
    <col min="2" max="2" width="10.5546875" style="2" bestFit="1" customWidth="1"/>
    <col min="3" max="4" width="10" style="2" bestFit="1" customWidth="1"/>
    <col min="5" max="6" width="10.44140625" style="2" bestFit="1" customWidth="1"/>
    <col min="7" max="10" width="11.44140625" style="2" bestFit="1" customWidth="1"/>
    <col min="11" max="17" width="11.44140625" bestFit="1" customWidth="1"/>
    <col min="18" max="26" width="11.44140625" customWidth="1"/>
    <col min="27" max="27" width="21" bestFit="1" customWidth="1"/>
    <col min="28" max="28" width="12.33203125" bestFit="1" customWidth="1"/>
    <col min="29" max="29" width="12" bestFit="1" customWidth="1"/>
    <col min="30" max="30" width="27.5546875" bestFit="1" customWidth="1"/>
    <col min="31" max="31" width="16.21875" bestFit="1" customWidth="1"/>
    <col min="34" max="34" width="12" bestFit="1" customWidth="1"/>
    <col min="35" max="35" width="24.77734375" bestFit="1" customWidth="1"/>
    <col min="36" max="36" width="16.21875" bestFit="1" customWidth="1"/>
    <col min="37" max="37" width="15.109375" bestFit="1" customWidth="1"/>
  </cols>
  <sheetData>
    <row r="1" spans="1:38" x14ac:dyDescent="0.3">
      <c r="A1" s="6" t="s">
        <v>5</v>
      </c>
      <c r="B1" s="7" t="s">
        <v>74</v>
      </c>
      <c r="C1" s="8">
        <v>44927</v>
      </c>
      <c r="D1" s="8">
        <v>44958</v>
      </c>
      <c r="E1" s="8">
        <v>44986</v>
      </c>
      <c r="F1" s="8">
        <v>45017</v>
      </c>
      <c r="G1" s="8">
        <v>45047</v>
      </c>
      <c r="H1" s="8">
        <v>45078</v>
      </c>
      <c r="I1" s="8">
        <v>45108</v>
      </c>
      <c r="J1" s="8">
        <v>45139</v>
      </c>
      <c r="K1" s="8">
        <v>45170</v>
      </c>
      <c r="L1" s="8">
        <v>45200</v>
      </c>
      <c r="M1" s="8">
        <v>45231</v>
      </c>
      <c r="N1" s="8">
        <v>45261</v>
      </c>
      <c r="O1" s="8">
        <v>45292</v>
      </c>
      <c r="P1" s="8">
        <v>45323</v>
      </c>
      <c r="Q1" s="8">
        <v>45352</v>
      </c>
      <c r="R1" s="8">
        <v>45383</v>
      </c>
      <c r="S1" s="8">
        <v>45413</v>
      </c>
      <c r="T1" s="8">
        <v>45444</v>
      </c>
      <c r="U1" s="8">
        <v>45474</v>
      </c>
      <c r="V1" s="8">
        <v>45505</v>
      </c>
      <c r="W1" s="8">
        <v>45536</v>
      </c>
      <c r="X1" s="8">
        <v>45566</v>
      </c>
      <c r="Y1" s="8">
        <v>45597</v>
      </c>
      <c r="Z1" s="8">
        <v>45627</v>
      </c>
    </row>
    <row r="2" spans="1:38" s="1" customFormat="1" x14ac:dyDescent="0.3">
      <c r="A2" s="3" t="s">
        <v>9</v>
      </c>
      <c r="B2" s="36" t="s">
        <v>75</v>
      </c>
      <c r="C2" s="5">
        <v>0</v>
      </c>
      <c r="D2" s="5">
        <f t="shared" ref="D2" si="0">C31</f>
        <v>1016.8</v>
      </c>
      <c r="E2" s="5">
        <f>D31</f>
        <v>1309.17</v>
      </c>
      <c r="F2" s="5">
        <f>E31</f>
        <v>2318.33</v>
      </c>
      <c r="G2" s="5">
        <f>F31</f>
        <v>3808.03</v>
      </c>
      <c r="H2" s="5">
        <f>G31</f>
        <v>5536.06</v>
      </c>
      <c r="I2" s="5">
        <f>H31</f>
        <v>6600.13</v>
      </c>
      <c r="J2" s="5">
        <f t="shared" ref="J2" si="1">I31</f>
        <v>9493.9699999999993</v>
      </c>
      <c r="K2" s="5">
        <f t="shared" ref="K2" si="2">J31</f>
        <v>14334.349999999999</v>
      </c>
      <c r="L2" s="5">
        <f t="shared" ref="L2" si="3">K31</f>
        <v>16258.72</v>
      </c>
      <c r="M2" s="5">
        <f t="shared" ref="M2" si="4">L31</f>
        <v>20211.219999999998</v>
      </c>
      <c r="N2" s="5">
        <f t="shared" ref="N2" si="5">M31</f>
        <v>11023.119999999999</v>
      </c>
      <c r="O2" s="5">
        <f t="shared" ref="O2" si="6">N31</f>
        <v>15333.910000000002</v>
      </c>
      <c r="P2" s="5">
        <f t="shared" ref="P2" si="7">O31</f>
        <v>8656.5300000000025</v>
      </c>
      <c r="Q2" s="5">
        <f t="shared" ref="Q2" si="8">P31</f>
        <v>12916.810000000003</v>
      </c>
      <c r="R2" s="5">
        <f t="shared" ref="R2" si="9">Q31</f>
        <v>14186.820000000003</v>
      </c>
      <c r="S2" s="5">
        <f t="shared" ref="S2" si="10">R31</f>
        <v>15882.860000000004</v>
      </c>
      <c r="T2" s="5">
        <f t="shared" ref="T2" si="11">S31</f>
        <v>18111.260000000006</v>
      </c>
      <c r="U2" s="5">
        <f t="shared" ref="U2" si="12">T31</f>
        <v>16914.950000000004</v>
      </c>
      <c r="V2" s="5">
        <f t="shared" ref="V2" si="13">U31</f>
        <v>18899.960000000006</v>
      </c>
      <c r="W2" s="5">
        <f t="shared" ref="W2" si="14">V31</f>
        <v>21610.270000000008</v>
      </c>
      <c r="X2" s="5">
        <f t="shared" ref="X2" si="15">W31</f>
        <v>17312.680000000008</v>
      </c>
      <c r="Y2" s="5">
        <f t="shared" ref="Y2" si="16">X31</f>
        <v>9863.2100000000082</v>
      </c>
      <c r="Z2" s="5">
        <f t="shared" ref="Z2" si="17">Y31</f>
        <v>11306.420000000009</v>
      </c>
      <c r="AA2" s="1" t="s">
        <v>118</v>
      </c>
      <c r="AB2" s="40" t="s">
        <v>6</v>
      </c>
      <c r="AC2" s="40" t="s">
        <v>0</v>
      </c>
      <c r="AD2" s="40" t="s">
        <v>146</v>
      </c>
      <c r="AE2" s="40" t="s">
        <v>148</v>
      </c>
      <c r="AI2" s="1" t="s">
        <v>224</v>
      </c>
    </row>
    <row r="3" spans="1:38" x14ac:dyDescent="0.3">
      <c r="A3" s="13" t="s">
        <v>59</v>
      </c>
      <c r="B3" s="36">
        <f>SUM(C3:Q3)</f>
        <v>27.259999999999998</v>
      </c>
      <c r="C3" s="29"/>
      <c r="D3" s="29"/>
      <c r="E3" s="29"/>
      <c r="F3" s="29">
        <v>7.2</v>
      </c>
      <c r="G3" s="29">
        <v>15.54</v>
      </c>
      <c r="H3" s="29"/>
      <c r="I3" s="29"/>
      <c r="J3" s="29"/>
      <c r="K3" s="29"/>
      <c r="L3" s="29"/>
      <c r="M3" s="29">
        <f>4.52</f>
        <v>4.5199999999999996</v>
      </c>
      <c r="N3" s="29"/>
      <c r="O3" s="29"/>
      <c r="P3" s="29"/>
      <c r="Q3" s="29"/>
      <c r="R3" s="29"/>
      <c r="S3" s="29"/>
      <c r="T3" s="29"/>
      <c r="U3" s="29"/>
      <c r="V3" s="29">
        <v>1.98</v>
      </c>
      <c r="W3" s="29"/>
      <c r="X3" s="29"/>
      <c r="Y3" s="29">
        <f>2.54+6.5+2.83</f>
        <v>11.87</v>
      </c>
      <c r="Z3" s="29"/>
      <c r="AA3" t="s">
        <v>138</v>
      </c>
      <c r="AB3" s="35"/>
      <c r="AC3" s="35">
        <f>43+700</f>
        <v>743</v>
      </c>
      <c r="AD3" s="35" t="s">
        <v>223</v>
      </c>
      <c r="AE3" s="35"/>
      <c r="AI3" t="s">
        <v>225</v>
      </c>
      <c r="AJ3">
        <f>6.5*2</f>
        <v>13</v>
      </c>
      <c r="AK3" t="s">
        <v>228</v>
      </c>
    </row>
    <row r="4" spans="1:38" x14ac:dyDescent="0.3">
      <c r="A4" s="13" t="s">
        <v>58</v>
      </c>
      <c r="B4" s="36">
        <f t="shared" ref="B4:B29" si="18">SUM(C4:Q4)</f>
        <v>191.09</v>
      </c>
      <c r="C4" s="29"/>
      <c r="D4" s="29"/>
      <c r="E4" s="29"/>
      <c r="F4" s="29"/>
      <c r="G4" s="29"/>
      <c r="H4" s="29"/>
      <c r="I4" s="29">
        <v>40.85</v>
      </c>
      <c r="J4" s="29">
        <f>1.68</f>
        <v>1.68</v>
      </c>
      <c r="K4" s="29">
        <f>5.09+5.89+1.87</f>
        <v>12.850000000000001</v>
      </c>
      <c r="L4" s="29">
        <f>4.99+14.37+8.57+1.85+6+1.93+1.82+1.85+6.55</f>
        <v>47.93</v>
      </c>
      <c r="M4" s="29">
        <f>6.55+8.55</f>
        <v>15.100000000000001</v>
      </c>
      <c r="N4" s="29"/>
      <c r="O4" s="29">
        <f>1.13</f>
        <v>1.1299999999999999</v>
      </c>
      <c r="P4" s="29">
        <f>0.92+1.03+8.88+6.89+9.99+19.33-16.99</f>
        <v>30.05</v>
      </c>
      <c r="Q4" s="29">
        <f>29.97+11.53</f>
        <v>41.5</v>
      </c>
      <c r="R4" s="29"/>
      <c r="S4" s="29"/>
      <c r="T4" s="29"/>
      <c r="U4" s="29"/>
      <c r="V4" s="29">
        <f>5.57+10.83+23.74</f>
        <v>40.14</v>
      </c>
      <c r="W4" s="29">
        <f>5.54+8.06+20.51</f>
        <v>34.11</v>
      </c>
      <c r="X4" s="29">
        <f>15.37</f>
        <v>15.37</v>
      </c>
      <c r="Y4" s="29">
        <f>7.09+5.72+1+6</f>
        <v>19.809999999999999</v>
      </c>
      <c r="Z4" s="29">
        <f>10.52+14.11+6.17</f>
        <v>30.799999999999997</v>
      </c>
      <c r="AA4" s="77"/>
      <c r="AB4" s="35" t="s">
        <v>174</v>
      </c>
      <c r="AC4" s="35">
        <v>2000</v>
      </c>
      <c r="AD4" s="35" t="s">
        <v>173</v>
      </c>
      <c r="AE4" s="35"/>
      <c r="AI4" t="s">
        <v>226</v>
      </c>
      <c r="AJ4">
        <f>9*2</f>
        <v>18</v>
      </c>
      <c r="AK4" t="s">
        <v>229</v>
      </c>
    </row>
    <row r="5" spans="1:38" x14ac:dyDescent="0.3">
      <c r="A5" s="13" t="s">
        <v>110</v>
      </c>
      <c r="B5" s="36">
        <f t="shared" si="18"/>
        <v>644.31000000000006</v>
      </c>
      <c r="C5" s="29"/>
      <c r="D5" s="29"/>
      <c r="E5" s="29"/>
      <c r="F5" s="29"/>
      <c r="G5" s="29">
        <f>6+4.45+120+5</f>
        <v>135.44999999999999</v>
      </c>
      <c r="H5" s="29">
        <f>22+5+13.78+16+30</f>
        <v>86.78</v>
      </c>
      <c r="I5" s="29">
        <f>164+15.8</f>
        <v>179.8</v>
      </c>
      <c r="J5" s="29"/>
      <c r="K5" s="29">
        <f>4+29.85</f>
        <v>33.85</v>
      </c>
      <c r="L5" s="29"/>
      <c r="M5" s="29"/>
      <c r="N5" s="29">
        <f>32.7+9+10.51+19.96</f>
        <v>72.17</v>
      </c>
      <c r="O5" s="29">
        <v>26.68</v>
      </c>
      <c r="P5" s="29"/>
      <c r="Q5" s="29">
        <f>17.1+10.15+14.35+14.34+16+20.17+17.47</f>
        <v>109.58</v>
      </c>
      <c r="R5" s="29">
        <f>9.49+8.28+2.1+5.65+9.49+2.35+5.65+11.3</f>
        <v>54.31</v>
      </c>
      <c r="S5" s="29">
        <f>10.15+23.71+22.59+40+15+12</f>
        <v>123.45</v>
      </c>
      <c r="T5" s="29">
        <f>5.65+5.65</f>
        <v>11.3</v>
      </c>
      <c r="U5" s="29"/>
      <c r="V5" s="29"/>
      <c r="W5" s="29"/>
      <c r="X5" s="29">
        <f>5.65+33.35</f>
        <v>39</v>
      </c>
      <c r="Y5" s="29"/>
      <c r="Z5" s="29">
        <f>2.45</f>
        <v>2.4500000000000002</v>
      </c>
      <c r="AB5" s="35" t="s">
        <v>175</v>
      </c>
      <c r="AC5" s="35">
        <v>800</v>
      </c>
      <c r="AD5" s="35" t="s">
        <v>173</v>
      </c>
      <c r="AE5" s="35"/>
      <c r="AI5" t="s">
        <v>227</v>
      </c>
      <c r="AJ5">
        <v>35</v>
      </c>
      <c r="AK5" t="s">
        <v>230</v>
      </c>
    </row>
    <row r="6" spans="1:38" x14ac:dyDescent="0.3">
      <c r="A6" s="13" t="s">
        <v>49</v>
      </c>
      <c r="B6" s="36">
        <f t="shared" si="18"/>
        <v>924.41</v>
      </c>
      <c r="C6" s="29"/>
      <c r="D6" s="29">
        <v>5</v>
      </c>
      <c r="E6" s="29">
        <v>15.04</v>
      </c>
      <c r="F6" s="29">
        <f>10.88+18.99</f>
        <v>29.869999999999997</v>
      </c>
      <c r="G6" s="29"/>
      <c r="H6" s="29">
        <f>13.78+1</f>
        <v>14.78</v>
      </c>
      <c r="I6" s="29">
        <f>20+2.5+2.8+3.4+54.7</f>
        <v>83.4</v>
      </c>
      <c r="J6" s="29">
        <f>21.5+20+6+3.29+1.12+12.64+9+5+5.99+1.2</f>
        <v>85.74</v>
      </c>
      <c r="K6" s="29">
        <f>51+1+3</f>
        <v>55</v>
      </c>
      <c r="L6" s="29">
        <f>7.32+29.86+3.35+30.09+5.63+72.55+34.97+6.08</f>
        <v>189.85000000000002</v>
      </c>
      <c r="M6" s="29">
        <f>34.97+13.15+10.59+14.24</f>
        <v>72.949999999999989</v>
      </c>
      <c r="N6" s="29">
        <f>34.06+9.58+5.06+2.5+4.79+7.99+32.7+6.89</f>
        <v>103.57000000000001</v>
      </c>
      <c r="O6" s="29">
        <f>50+10</f>
        <v>60</v>
      </c>
      <c r="P6" s="29">
        <f>10+12.36+37.9+14.66+27.14</f>
        <v>102.06</v>
      </c>
      <c r="Q6" s="29">
        <f>14.62+3+31.55+57.98</f>
        <v>107.15</v>
      </c>
      <c r="R6" s="29">
        <f>42.67+5.7</f>
        <v>48.370000000000005</v>
      </c>
      <c r="S6" s="29">
        <f>7.63+9.38+5.59+8.17+12.96+18.84</f>
        <v>62.570000000000007</v>
      </c>
      <c r="T6" s="29">
        <f>44.75</f>
        <v>44.75</v>
      </c>
      <c r="U6" s="29">
        <f>2.69+29.47+8.9+7.99</f>
        <v>49.05</v>
      </c>
      <c r="V6" s="29">
        <f>2+11.35+8.75+1.29+3.4+6.67+8.07+3.59</f>
        <v>45.120000000000005</v>
      </c>
      <c r="W6" s="29">
        <f>3.29+15.96+15.27+8.37+1.54</f>
        <v>44.429999999999993</v>
      </c>
      <c r="X6" s="29">
        <f>4.99+15.47+29.49+1.99+1.3+7.35+26.99</f>
        <v>87.58</v>
      </c>
      <c r="Y6" s="29">
        <f>4+2+9.65+25.56+24.86</f>
        <v>66.069999999999993</v>
      </c>
      <c r="Z6" s="29">
        <f>8.96+3.36</f>
        <v>12.32</v>
      </c>
      <c r="AI6" s="1" t="s">
        <v>72</v>
      </c>
      <c r="AJ6" s="1">
        <f>SUM(AJ3:AJ5)</f>
        <v>66</v>
      </c>
      <c r="AK6" t="s">
        <v>231</v>
      </c>
    </row>
    <row r="7" spans="1:38" x14ac:dyDescent="0.3">
      <c r="A7" s="13" t="s">
        <v>50</v>
      </c>
      <c r="B7" s="36">
        <f t="shared" si="18"/>
        <v>146.6</v>
      </c>
      <c r="C7" s="29"/>
      <c r="D7" s="29"/>
      <c r="E7" s="29"/>
      <c r="F7" s="29">
        <f>22.17</f>
        <v>22.17</v>
      </c>
      <c r="G7" s="29"/>
      <c r="H7" s="29">
        <v>22.8</v>
      </c>
      <c r="I7" s="29">
        <v>46.8</v>
      </c>
      <c r="J7" s="29"/>
      <c r="K7" s="29"/>
      <c r="L7" s="29"/>
      <c r="M7" s="29">
        <v>43.86</v>
      </c>
      <c r="N7" s="29"/>
      <c r="O7" s="29"/>
      <c r="P7" s="29">
        <v>10.97</v>
      </c>
      <c r="Q7" s="29"/>
      <c r="R7" s="29">
        <f>33.02+17.78+1.88</f>
        <v>52.680000000000007</v>
      </c>
      <c r="S7" s="29"/>
      <c r="T7" s="29">
        <f>14.32+6.84</f>
        <v>21.16</v>
      </c>
      <c r="U7" s="29">
        <f>17.96+39.33+15.5</f>
        <v>72.789999999999992</v>
      </c>
      <c r="V7" s="29">
        <f>32.33+11.74+8.57</f>
        <v>52.64</v>
      </c>
      <c r="W7" s="29">
        <f>35.16+3.98</f>
        <v>39.139999999999993</v>
      </c>
      <c r="X7" s="29">
        <f>35.46+77.3+2.64+18.16</f>
        <v>133.56</v>
      </c>
      <c r="Y7" s="29">
        <f>5.98+9.17+3.62</f>
        <v>18.77</v>
      </c>
      <c r="Z7" s="29"/>
      <c r="AK7" t="s">
        <v>232</v>
      </c>
      <c r="AL7">
        <v>10</v>
      </c>
    </row>
    <row r="8" spans="1:38" x14ac:dyDescent="0.3">
      <c r="A8" s="13" t="s">
        <v>120</v>
      </c>
      <c r="B8" s="36">
        <f t="shared" si="18"/>
        <v>178.04</v>
      </c>
      <c r="C8" s="29">
        <v>63</v>
      </c>
      <c r="D8" s="29"/>
      <c r="E8" s="29"/>
      <c r="F8" s="29"/>
      <c r="G8" s="29"/>
      <c r="H8" s="29">
        <v>21.47</v>
      </c>
      <c r="I8" s="29"/>
      <c r="J8" s="29"/>
      <c r="K8" s="29"/>
      <c r="L8" s="29"/>
      <c r="M8" s="29">
        <f>2.49+11.98+18.53+16.3</f>
        <v>49.3</v>
      </c>
      <c r="N8" s="29"/>
      <c r="O8" s="29">
        <f>18.71</f>
        <v>18.71</v>
      </c>
      <c r="P8" s="29">
        <f>10.98+14.58</f>
        <v>25.560000000000002</v>
      </c>
      <c r="Q8" s="29"/>
      <c r="R8" s="29">
        <v>20.49</v>
      </c>
      <c r="S8" s="29">
        <f>9.99</f>
        <v>9.99</v>
      </c>
      <c r="T8" s="29"/>
      <c r="U8" s="29">
        <f>2.99+0.84+8.8</f>
        <v>12.63</v>
      </c>
      <c r="V8" s="29">
        <f>11.24+4.51+33+1.11+52</f>
        <v>101.86</v>
      </c>
      <c r="W8" s="29"/>
      <c r="X8" s="29">
        <f>6+4+21.95+11.74+21.97+11.7+3</f>
        <v>80.36</v>
      </c>
      <c r="Y8" s="29">
        <f>3.9+10.47+16.99</f>
        <v>31.36</v>
      </c>
      <c r="Z8" s="29"/>
      <c r="AB8" s="91" t="s">
        <v>178</v>
      </c>
      <c r="AC8" s="91"/>
      <c r="AD8" s="91"/>
      <c r="AE8" s="91"/>
      <c r="AF8" s="91"/>
      <c r="AG8" s="91"/>
    </row>
    <row r="9" spans="1:38" x14ac:dyDescent="0.3">
      <c r="A9" s="13" t="s">
        <v>51</v>
      </c>
      <c r="B9" s="36">
        <f t="shared" si="18"/>
        <v>610.31999999999994</v>
      </c>
      <c r="C9" s="29">
        <v>10.199999999999999</v>
      </c>
      <c r="D9" s="29"/>
      <c r="E9" s="29"/>
      <c r="F9" s="29"/>
      <c r="G9" s="29">
        <f>89.72+9.85</f>
        <v>99.57</v>
      </c>
      <c r="H9" s="29">
        <f>28.42+11.95+87.96</f>
        <v>128.32999999999998</v>
      </c>
      <c r="I9" s="29">
        <f>40</f>
        <v>40</v>
      </c>
      <c r="J9" s="29">
        <f>7.18</f>
        <v>7.18</v>
      </c>
      <c r="K9" s="29">
        <f>58.82+1.4+17.76+11.51+14.34+2.69+4.98</f>
        <v>111.50000000000001</v>
      </c>
      <c r="L9" s="29">
        <f>4.98+4.98+4.44</f>
        <v>14.400000000000002</v>
      </c>
      <c r="M9" s="29">
        <f>6.94+5.36+19.18</f>
        <v>31.48</v>
      </c>
      <c r="N9" s="29">
        <f>1.29+12.22+2.97+4+7.74</f>
        <v>28.22</v>
      </c>
      <c r="O9" s="29">
        <f>3.28+0.98+8+9.02</f>
        <v>21.28</v>
      </c>
      <c r="P9" s="29">
        <f>4.44+1.41+4.04</f>
        <v>9.89</v>
      </c>
      <c r="Q9" s="29">
        <f>1.2+15.27+7.72+52.21+8.13+6.75+3.28+13.71</f>
        <v>108.27000000000001</v>
      </c>
      <c r="R9" s="29">
        <f>2.97+5.62+2.23+6.89</f>
        <v>17.71</v>
      </c>
      <c r="S9" s="29">
        <f>5.97+12.64+5.97+1.06+9.96+13.19+16.27+3.83+10.8</f>
        <v>79.689999999999984</v>
      </c>
      <c r="T9" s="29">
        <f>6.26+3.49+28.83</f>
        <v>38.58</v>
      </c>
      <c r="U9" s="29">
        <f>2.29+3.77+11.34+5.97+5+0.86+12.87+5.87+8.19</f>
        <v>56.159999999999989</v>
      </c>
      <c r="V9" s="29">
        <f>7.08+7.13+2.13+0.88+2.94+13.2+19.18</f>
        <v>52.54</v>
      </c>
      <c r="W9" s="29">
        <f>18.19+13.55+15.39+13.61+7.91+33.52+5.19</f>
        <v>107.36000000000001</v>
      </c>
      <c r="X9" s="29">
        <f>3.32+10.75+9.84+17.52+11.74</f>
        <v>53.17</v>
      </c>
      <c r="Y9" s="29">
        <f>20.37+2.83+1.41+14.88+3.78+21.42+26.8+3.68+2.59</f>
        <v>97.76</v>
      </c>
      <c r="Z9" s="29">
        <f>24.44</f>
        <v>24.44</v>
      </c>
      <c r="AB9" s="40" t="s">
        <v>6</v>
      </c>
      <c r="AC9" s="40" t="s">
        <v>179</v>
      </c>
      <c r="AD9" s="40" t="s">
        <v>98</v>
      </c>
      <c r="AE9" s="40" t="s">
        <v>180</v>
      </c>
      <c r="AF9" s="40" t="s">
        <v>181</v>
      </c>
      <c r="AG9" s="40" t="s">
        <v>184</v>
      </c>
    </row>
    <row r="10" spans="1:38" x14ac:dyDescent="0.3">
      <c r="A10" s="65" t="s">
        <v>48</v>
      </c>
      <c r="B10" s="66">
        <f>SUM(C10:Q10)</f>
        <v>9250</v>
      </c>
      <c r="C10" s="67">
        <v>-375</v>
      </c>
      <c r="D10" s="67">
        <v>-375</v>
      </c>
      <c r="E10" s="67">
        <v>400</v>
      </c>
      <c r="F10" s="67">
        <v>800</v>
      </c>
      <c r="G10" s="67">
        <v>800</v>
      </c>
      <c r="H10" s="67">
        <v>800</v>
      </c>
      <c r="I10" s="67">
        <v>800</v>
      </c>
      <c r="J10" s="67">
        <v>800</v>
      </c>
      <c r="K10" s="67">
        <v>800</v>
      </c>
      <c r="L10" s="67">
        <v>0</v>
      </c>
      <c r="M10" s="67">
        <v>1600</v>
      </c>
      <c r="N10" s="67">
        <v>800</v>
      </c>
      <c r="O10" s="67">
        <v>800</v>
      </c>
      <c r="P10" s="67">
        <v>800</v>
      </c>
      <c r="Q10" s="67">
        <v>800</v>
      </c>
      <c r="R10" s="67">
        <f>800+800</f>
        <v>1600</v>
      </c>
      <c r="S10" s="67"/>
      <c r="T10" s="67">
        <v>800</v>
      </c>
      <c r="U10" s="67">
        <v>800</v>
      </c>
      <c r="V10" s="67">
        <v>900</v>
      </c>
      <c r="W10" s="67">
        <v>900</v>
      </c>
      <c r="X10" s="67">
        <v>2600</v>
      </c>
      <c r="Y10" s="67">
        <v>1300</v>
      </c>
      <c r="Z10" s="67">
        <v>1300</v>
      </c>
      <c r="AB10" s="35"/>
      <c r="AC10" s="35">
        <v>282.5</v>
      </c>
      <c r="AD10" s="35" t="s">
        <v>182</v>
      </c>
      <c r="AE10" s="35"/>
      <c r="AF10" s="35"/>
      <c r="AG10" s="35"/>
    </row>
    <row r="11" spans="1:38" x14ac:dyDescent="0.3">
      <c r="A11" s="27" t="s">
        <v>52</v>
      </c>
      <c r="B11" s="42">
        <f t="shared" si="18"/>
        <v>788.92000000000007</v>
      </c>
      <c r="C11" s="30">
        <v>35</v>
      </c>
      <c r="D11" s="30">
        <v>37.630000000000003</v>
      </c>
      <c r="E11" s="30">
        <v>35.76</v>
      </c>
      <c r="F11" s="30">
        <v>33.9</v>
      </c>
      <c r="G11" s="30">
        <v>33.9</v>
      </c>
      <c r="H11" s="30">
        <v>33.9</v>
      </c>
      <c r="I11" s="30">
        <v>33.9</v>
      </c>
      <c r="J11" s="30">
        <v>33.9</v>
      </c>
      <c r="K11" s="30">
        <v>33.9</v>
      </c>
      <c r="L11" s="30">
        <v>33.9</v>
      </c>
      <c r="M11" s="30">
        <f>18.07+38.42</f>
        <v>56.49</v>
      </c>
      <c r="N11" s="30">
        <f>64.27+18.07</f>
        <v>82.34</v>
      </c>
      <c r="O11" s="30">
        <f>89.27+18.07</f>
        <v>107.34</v>
      </c>
      <c r="P11" s="30">
        <f>89.27+18.07</f>
        <v>107.34</v>
      </c>
      <c r="Q11" s="30">
        <v>89.72</v>
      </c>
      <c r="R11" s="30">
        <v>77.97</v>
      </c>
      <c r="S11" s="30">
        <v>77.97</v>
      </c>
      <c r="T11" s="30">
        <v>77.97</v>
      </c>
      <c r="U11" s="30">
        <v>77.97</v>
      </c>
      <c r="V11" s="30">
        <v>77.97</v>
      </c>
      <c r="W11" s="30">
        <v>77.97</v>
      </c>
      <c r="X11" s="30">
        <v>77.97</v>
      </c>
      <c r="Y11" s="30">
        <v>77.97</v>
      </c>
      <c r="Z11" s="30">
        <v>77.97</v>
      </c>
      <c r="AB11" s="35"/>
      <c r="AC11" s="35">
        <v>250</v>
      </c>
      <c r="AD11" s="35" t="s">
        <v>183</v>
      </c>
      <c r="AE11" s="35"/>
      <c r="AF11" s="35"/>
      <c r="AG11" s="35"/>
    </row>
    <row r="12" spans="1:38" x14ac:dyDescent="0.3">
      <c r="A12" s="27" t="s">
        <v>57</v>
      </c>
      <c r="B12" s="42">
        <f t="shared" si="18"/>
        <v>10661.95</v>
      </c>
      <c r="C12" s="30"/>
      <c r="D12" s="30"/>
      <c r="E12" s="30"/>
      <c r="F12" s="30"/>
      <c r="G12" s="30"/>
      <c r="H12" s="30">
        <f>6.15+14.3+7.92</f>
        <v>28.370000000000005</v>
      </c>
      <c r="I12" s="30">
        <f>3+5</f>
        <v>8</v>
      </c>
      <c r="J12" s="30">
        <f>3.25+5</f>
        <v>8.25</v>
      </c>
      <c r="K12" s="30">
        <f>5+1503.95</f>
        <v>1508.95</v>
      </c>
      <c r="L12" s="30">
        <f>3.3+25.58+6.5</f>
        <v>35.379999999999995</v>
      </c>
      <c r="M12" s="30">
        <f>9060+6.5</f>
        <v>9066.5</v>
      </c>
      <c r="N12" s="30"/>
      <c r="O12" s="30"/>
      <c r="P12" s="30"/>
      <c r="Q12" s="30">
        <v>6.5</v>
      </c>
      <c r="R12" s="30">
        <f>2380</f>
        <v>2380</v>
      </c>
      <c r="S12" s="30">
        <f>5+175.75+60.96+15.5</f>
        <v>257.21000000000004</v>
      </c>
      <c r="T12" s="30">
        <v>3</v>
      </c>
      <c r="U12" s="30"/>
      <c r="V12" s="30"/>
      <c r="W12" s="30">
        <f>255+282.5+27.96+16.95</f>
        <v>582.41000000000008</v>
      </c>
      <c r="X12" s="30">
        <f>5+2000</f>
        <v>2005</v>
      </c>
      <c r="Y12" s="30">
        <f>5+1000</f>
        <v>1005</v>
      </c>
      <c r="Z12" s="30">
        <f>2000</f>
        <v>2000</v>
      </c>
      <c r="AB12" s="38">
        <v>45536</v>
      </c>
      <c r="AC12" s="35">
        <v>2746</v>
      </c>
      <c r="AD12" s="35" t="s">
        <v>185</v>
      </c>
      <c r="AE12" s="35">
        <v>2140.33</v>
      </c>
      <c r="AF12" s="35">
        <f>AC12-AE12</f>
        <v>605.67000000000007</v>
      </c>
      <c r="AG12" s="35">
        <v>88</v>
      </c>
      <c r="AI12" s="39" t="s">
        <v>139</v>
      </c>
      <c r="AJ12" s="35" t="s">
        <v>177</v>
      </c>
    </row>
    <row r="13" spans="1:38" x14ac:dyDescent="0.3">
      <c r="A13" s="27" t="s">
        <v>55</v>
      </c>
      <c r="B13" s="42">
        <f t="shared" si="18"/>
        <v>1092.75</v>
      </c>
      <c r="C13" s="30">
        <f>20+30</f>
        <v>50</v>
      </c>
      <c r="D13" s="30">
        <f>20+20</f>
        <v>40</v>
      </c>
      <c r="E13" s="30">
        <f>10+10+20+50</f>
        <v>90</v>
      </c>
      <c r="F13" s="30">
        <f>20+20</f>
        <v>40</v>
      </c>
      <c r="G13" s="30">
        <f>20+60</f>
        <v>80</v>
      </c>
      <c r="H13" s="30">
        <v>70</v>
      </c>
      <c r="I13" s="30">
        <v>70</v>
      </c>
      <c r="J13" s="30">
        <v>95</v>
      </c>
      <c r="K13" s="30"/>
      <c r="L13" s="30">
        <f>50+128.15</f>
        <v>178.15</v>
      </c>
      <c r="M13" s="30">
        <v>128.15</v>
      </c>
      <c r="N13" s="30">
        <f>3.3</f>
        <v>3.3</v>
      </c>
      <c r="O13" s="30">
        <v>128.15</v>
      </c>
      <c r="P13" s="30">
        <f>20+20+20</f>
        <v>60</v>
      </c>
      <c r="Q13" s="30">
        <f>20+20+20</f>
        <v>60</v>
      </c>
      <c r="R13" s="30">
        <f>2.3+9.4+20+20</f>
        <v>51.7</v>
      </c>
      <c r="S13" s="30">
        <f>20+20+20+20+20</f>
        <v>100</v>
      </c>
      <c r="T13" s="30">
        <f>20</f>
        <v>20</v>
      </c>
      <c r="U13" s="30">
        <v>20</v>
      </c>
      <c r="V13" s="30"/>
      <c r="W13" s="30"/>
      <c r="X13" s="30"/>
      <c r="Y13" s="30"/>
      <c r="Z13" s="30"/>
      <c r="AB13" s="38">
        <v>45566</v>
      </c>
      <c r="AC13" s="35">
        <v>5761</v>
      </c>
      <c r="AD13" s="35" t="s">
        <v>186</v>
      </c>
      <c r="AE13" s="35">
        <v>4095.95</v>
      </c>
      <c r="AF13" s="35">
        <f>AC13-AE13</f>
        <v>1665.0500000000002</v>
      </c>
      <c r="AG13" s="35">
        <v>176</v>
      </c>
      <c r="AI13" s="35" t="s">
        <v>140</v>
      </c>
      <c r="AJ13" s="35" t="s">
        <v>176</v>
      </c>
    </row>
    <row r="14" spans="1:38" x14ac:dyDescent="0.3">
      <c r="A14" s="28" t="s">
        <v>53</v>
      </c>
      <c r="B14" s="43">
        <f t="shared" si="18"/>
        <v>545.3900000000001</v>
      </c>
      <c r="C14" s="33"/>
      <c r="D14" s="33"/>
      <c r="E14" s="33"/>
      <c r="F14" s="33">
        <v>50</v>
      </c>
      <c r="G14" s="33">
        <v>40</v>
      </c>
      <c r="H14" s="33">
        <v>40</v>
      </c>
      <c r="I14" s="33">
        <v>40</v>
      </c>
      <c r="J14" s="33">
        <v>40</v>
      </c>
      <c r="K14" s="33">
        <v>40</v>
      </c>
      <c r="L14" s="33">
        <v>40</v>
      </c>
      <c r="M14" s="33">
        <f>40+15.81</f>
        <v>55.81</v>
      </c>
      <c r="N14" s="33">
        <f>31.22+15.81</f>
        <v>47.03</v>
      </c>
      <c r="O14" s="33">
        <v>50.85</v>
      </c>
      <c r="P14" s="33">
        <v>50.85</v>
      </c>
      <c r="Q14" s="33">
        <v>50.85</v>
      </c>
      <c r="R14" s="33">
        <v>28.25</v>
      </c>
      <c r="S14" s="33">
        <v>39.549999999999997</v>
      </c>
      <c r="T14" s="33">
        <v>39.549999999999997</v>
      </c>
      <c r="U14" s="33">
        <v>39.549999999999997</v>
      </c>
      <c r="V14" s="33">
        <v>39.549999999999997</v>
      </c>
      <c r="W14" s="33">
        <v>39.549999999999997</v>
      </c>
      <c r="X14" s="33">
        <v>49</v>
      </c>
      <c r="Y14" s="33">
        <v>45.2</v>
      </c>
      <c r="Z14" s="33"/>
      <c r="AB14" s="38">
        <v>45597</v>
      </c>
      <c r="AC14" s="35">
        <v>5258</v>
      </c>
      <c r="AD14" s="35" t="s">
        <v>187</v>
      </c>
      <c r="AE14" s="35">
        <v>3797.54</v>
      </c>
      <c r="AF14" s="35">
        <f>AC14-AE14</f>
        <v>1460.46</v>
      </c>
      <c r="AG14" s="35">
        <v>168</v>
      </c>
      <c r="AI14" s="35" t="s">
        <v>141</v>
      </c>
      <c r="AJ14" s="35" t="s">
        <v>176</v>
      </c>
    </row>
    <row r="15" spans="1:38" x14ac:dyDescent="0.3">
      <c r="A15" s="28" t="s">
        <v>56</v>
      </c>
      <c r="B15" s="43">
        <f t="shared" si="18"/>
        <v>1658.3</v>
      </c>
      <c r="C15" s="33"/>
      <c r="D15" s="33"/>
      <c r="E15" s="33"/>
      <c r="F15" s="33"/>
      <c r="G15" s="33"/>
      <c r="H15" s="33">
        <v>20.100000000000001</v>
      </c>
      <c r="I15" s="33">
        <f>10+30+50+100+4+106</f>
        <v>300</v>
      </c>
      <c r="J15" s="33">
        <v>16</v>
      </c>
      <c r="K15" s="33">
        <f>92</f>
        <v>92</v>
      </c>
      <c r="L15" s="33">
        <f>365+3.4</f>
        <v>368.4</v>
      </c>
      <c r="M15" s="33">
        <f>131.04</f>
        <v>131.04</v>
      </c>
      <c r="N15" s="33">
        <f>11.19+39.54+503.31</f>
        <v>554.04</v>
      </c>
      <c r="O15" s="33"/>
      <c r="P15" s="33"/>
      <c r="Q15" s="33">
        <f>150+26.72</f>
        <v>176.72</v>
      </c>
      <c r="R15" s="33">
        <f>90.38+60+228.88</f>
        <v>379.26</v>
      </c>
      <c r="S15" s="33">
        <f>39.55</f>
        <v>39.549999999999997</v>
      </c>
      <c r="T15" s="33">
        <v>80</v>
      </c>
      <c r="U15" s="33"/>
      <c r="V15" s="33"/>
      <c r="W15" s="33">
        <f>2000+87+253.94+0.81</f>
        <v>2341.75</v>
      </c>
      <c r="X15" s="33">
        <f>1000+253.89</f>
        <v>1253.8899999999999</v>
      </c>
      <c r="Y15" s="33">
        <f>283.19</f>
        <v>283.19</v>
      </c>
      <c r="Z15" s="33">
        <f>255</f>
        <v>255</v>
      </c>
      <c r="AB15" s="38">
        <v>45627</v>
      </c>
      <c r="AC15" s="35">
        <v>5509</v>
      </c>
      <c r="AD15" s="35" t="s">
        <v>189</v>
      </c>
      <c r="AE15" s="35">
        <v>3946.85</v>
      </c>
      <c r="AF15" s="35">
        <f>AC15-AE15</f>
        <v>1562.15</v>
      </c>
      <c r="AG15" s="35">
        <v>176</v>
      </c>
      <c r="AI15" s="35" t="s">
        <v>142</v>
      </c>
      <c r="AJ15" s="35" t="s">
        <v>176</v>
      </c>
    </row>
    <row r="16" spans="1:38" x14ac:dyDescent="0.3">
      <c r="A16" s="28" t="s">
        <v>54</v>
      </c>
      <c r="B16" s="43">
        <f t="shared" si="18"/>
        <v>916.3</v>
      </c>
      <c r="C16" s="33"/>
      <c r="D16" s="33"/>
      <c r="E16" s="33"/>
      <c r="F16" s="33">
        <v>26</v>
      </c>
      <c r="G16" s="33">
        <v>60</v>
      </c>
      <c r="H16" s="33"/>
      <c r="I16" s="33">
        <v>70</v>
      </c>
      <c r="J16" s="33">
        <v>60</v>
      </c>
      <c r="K16" s="33">
        <v>100</v>
      </c>
      <c r="L16" s="33">
        <f>50+10+50+50</f>
        <v>160</v>
      </c>
      <c r="M16" s="33">
        <v>50</v>
      </c>
      <c r="N16" s="33">
        <f>53.3+97</f>
        <v>150.30000000000001</v>
      </c>
      <c r="O16" s="33">
        <v>30</v>
      </c>
      <c r="P16" s="33">
        <f>30+30+30</f>
        <v>90</v>
      </c>
      <c r="Q16" s="33">
        <f>30+30+30+30</f>
        <v>120</v>
      </c>
      <c r="R16" s="33">
        <f>30+30+30</f>
        <v>90</v>
      </c>
      <c r="S16" s="33">
        <f>30+30+30</f>
        <v>90</v>
      </c>
      <c r="T16" s="33">
        <f>30+30</f>
        <v>60</v>
      </c>
      <c r="U16" s="33">
        <f>30+30</f>
        <v>60</v>
      </c>
      <c r="V16" s="33">
        <f>30+50+27.05</f>
        <v>107.05</v>
      </c>
      <c r="W16" s="33">
        <f>40+20+30</f>
        <v>90</v>
      </c>
      <c r="X16" s="33">
        <f>61.03+15.04+30+55+55.86</f>
        <v>216.93</v>
      </c>
      <c r="Y16" s="33">
        <f>59.14+20.02</f>
        <v>79.16</v>
      </c>
      <c r="Z16" s="33">
        <f>5.01+35.02+25.14+48.39</f>
        <v>113.56</v>
      </c>
      <c r="AB16" s="38">
        <v>45658</v>
      </c>
      <c r="AC16" s="35">
        <v>4503</v>
      </c>
      <c r="AD16" s="35" t="s">
        <v>222</v>
      </c>
      <c r="AE16" s="35">
        <v>3322.81</v>
      </c>
      <c r="AF16" s="35">
        <f>AC16-AE16</f>
        <v>1180.19</v>
      </c>
      <c r="AG16" s="35">
        <v>144</v>
      </c>
      <c r="AI16" s="35" t="s">
        <v>154</v>
      </c>
      <c r="AJ16" s="35"/>
    </row>
    <row r="17" spans="1:36" x14ac:dyDescent="0.3">
      <c r="A17" s="31" t="s">
        <v>65</v>
      </c>
      <c r="B17" s="36">
        <f t="shared" si="18"/>
        <v>65.08</v>
      </c>
      <c r="C17" s="29"/>
      <c r="D17" s="29"/>
      <c r="E17" s="29"/>
      <c r="F17" s="29">
        <f>55-33</f>
        <v>22</v>
      </c>
      <c r="G17" s="29"/>
      <c r="H17" s="29"/>
      <c r="I17" s="29"/>
      <c r="J17" s="29">
        <v>25</v>
      </c>
      <c r="K17" s="29"/>
      <c r="L17" s="29"/>
      <c r="M17" s="29"/>
      <c r="N17" s="29"/>
      <c r="O17" s="29"/>
      <c r="P17" s="29">
        <v>18.079999999999998</v>
      </c>
      <c r="Q17" s="29"/>
      <c r="R17" s="29"/>
      <c r="S17" s="29"/>
      <c r="T17" s="29"/>
      <c r="U17" s="29">
        <f>8.33+13.8</f>
        <v>22.130000000000003</v>
      </c>
      <c r="V17" s="29"/>
      <c r="W17" s="29"/>
      <c r="X17" s="29"/>
      <c r="Y17" s="29"/>
      <c r="Z17" s="29"/>
      <c r="AB17" s="38">
        <v>45689</v>
      </c>
      <c r="AC17" s="35"/>
      <c r="AD17" s="35"/>
      <c r="AE17" s="35"/>
      <c r="AF17" s="35"/>
      <c r="AG17" s="35"/>
      <c r="AI17" s="35" t="s">
        <v>143</v>
      </c>
      <c r="AJ17" s="35"/>
    </row>
    <row r="18" spans="1:36" x14ac:dyDescent="0.3">
      <c r="A18" s="13" t="s">
        <v>7</v>
      </c>
      <c r="B18" s="36">
        <f t="shared" si="18"/>
        <v>723.46</v>
      </c>
      <c r="C18" s="29"/>
      <c r="D18" s="29"/>
      <c r="E18" s="29"/>
      <c r="F18" s="29">
        <v>30</v>
      </c>
      <c r="G18" s="29">
        <f>20.5+61.01+2+20+7.5</f>
        <v>111.00999999999999</v>
      </c>
      <c r="H18" s="29">
        <f>10+14.3-14.3+7.92-3.92</f>
        <v>14.000000000000002</v>
      </c>
      <c r="I18" s="29">
        <f>69+33.9+21+11</f>
        <v>134.9</v>
      </c>
      <c r="J18" s="29">
        <f>60+14+3+7</f>
        <v>84</v>
      </c>
      <c r="K18" s="29">
        <f>39.55</f>
        <v>39.549999999999997</v>
      </c>
      <c r="M18" s="29">
        <f>310</f>
        <v>310</v>
      </c>
      <c r="N18" s="29"/>
      <c r="O18" s="29"/>
      <c r="P18" s="29"/>
      <c r="Q18" s="29"/>
      <c r="R18" s="29"/>
      <c r="S18" s="29">
        <f>23</f>
        <v>23</v>
      </c>
      <c r="T18" s="29"/>
      <c r="U18" s="29">
        <f>2+40+10.29</f>
        <v>52.29</v>
      </c>
      <c r="V18" s="29">
        <f>18.07+9.2</f>
        <v>27.27</v>
      </c>
      <c r="W18" s="29">
        <f>1000+1000+185</f>
        <v>2185</v>
      </c>
      <c r="X18" s="29">
        <f>196+30+100+30+185</f>
        <v>541</v>
      </c>
      <c r="Y18" s="29">
        <v>65</v>
      </c>
      <c r="Z18" s="29"/>
      <c r="AB18" s="38">
        <v>45717</v>
      </c>
      <c r="AC18" s="35"/>
      <c r="AD18" s="35"/>
      <c r="AE18" s="35"/>
      <c r="AF18" s="35"/>
      <c r="AG18" s="35"/>
      <c r="AI18" s="35" t="s">
        <v>144</v>
      </c>
      <c r="AJ18" s="35"/>
    </row>
    <row r="19" spans="1:36" x14ac:dyDescent="0.3">
      <c r="A19" s="13" t="s">
        <v>66</v>
      </c>
      <c r="B19" s="36">
        <f>SUM(C19:R19)</f>
        <v>5756.72</v>
      </c>
      <c r="C19" s="29"/>
      <c r="D19" s="29"/>
      <c r="E19" s="29"/>
      <c r="F19" s="29"/>
      <c r="G19" s="29"/>
      <c r="H19" s="29">
        <f>1280+1000</f>
        <v>2280</v>
      </c>
      <c r="I19" s="29"/>
      <c r="J19" s="29"/>
      <c r="K19" s="29"/>
      <c r="L19" s="29"/>
      <c r="M19" s="29">
        <v>2500</v>
      </c>
      <c r="N19" s="78">
        <v>400</v>
      </c>
      <c r="O19" s="78">
        <v>400</v>
      </c>
      <c r="P19" s="29"/>
      <c r="Q19" s="78">
        <f>150+26.72</f>
        <v>176.72</v>
      </c>
      <c r="R19" s="86"/>
      <c r="S19" s="29"/>
      <c r="U19" s="29">
        <f>1000+500+550</f>
        <v>2050</v>
      </c>
      <c r="V19" s="29">
        <v>700</v>
      </c>
      <c r="W19" s="29">
        <v>500</v>
      </c>
      <c r="X19" s="29">
        <f>1000+1000+16.95+1000+1000+1000+1000+1000</f>
        <v>7016.95</v>
      </c>
      <c r="Y19" s="29">
        <f>1000+1000+1000+100</f>
        <v>3100</v>
      </c>
      <c r="Z19" s="29">
        <f>1000+1000</f>
        <v>2000</v>
      </c>
      <c r="AB19" s="35" t="s">
        <v>72</v>
      </c>
      <c r="AC19" s="35">
        <f>SUM(AC10:AC18)</f>
        <v>24309.5</v>
      </c>
      <c r="AD19" s="35"/>
      <c r="AE19" s="35">
        <f>SUM(AE12:AE18)</f>
        <v>17303.48</v>
      </c>
      <c r="AF19" s="35">
        <f>SUM(AF12:AF18)</f>
        <v>6473.52</v>
      </c>
      <c r="AG19" s="35">
        <f>SUM(AG12:AG18)</f>
        <v>752</v>
      </c>
      <c r="AI19" s="35" t="s">
        <v>145</v>
      </c>
      <c r="AJ19" s="35"/>
    </row>
    <row r="20" spans="1:36" x14ac:dyDescent="0.3">
      <c r="A20" s="31" t="s">
        <v>76</v>
      </c>
      <c r="B20" s="36">
        <f>SUM(C20:Q20)</f>
        <v>-750</v>
      </c>
      <c r="C20" s="29"/>
      <c r="D20" s="29"/>
      <c r="E20" s="29"/>
      <c r="F20" s="29"/>
      <c r="G20" s="29"/>
      <c r="H20" s="51">
        <f>-250-500</f>
        <v>-750</v>
      </c>
      <c r="I20" s="29"/>
      <c r="J20" s="29"/>
      <c r="K20" s="29"/>
      <c r="L20" s="29"/>
      <c r="M20" s="29"/>
      <c r="N20" s="29"/>
      <c r="O20" s="29"/>
      <c r="Q20" s="29"/>
      <c r="R20" s="29">
        <f>-5.54-9.74-2.8</f>
        <v>-18.080000000000002</v>
      </c>
      <c r="S20" s="29"/>
      <c r="T20" s="29"/>
      <c r="U20" s="29">
        <f>-175-1000</f>
        <v>-1175</v>
      </c>
      <c r="V20" s="29">
        <v>-500</v>
      </c>
      <c r="W20" s="29"/>
      <c r="X20" s="29">
        <v>-550</v>
      </c>
      <c r="Y20" s="29"/>
      <c r="Z20" s="29"/>
    </row>
    <row r="21" spans="1:36" x14ac:dyDescent="0.3">
      <c r="A21" s="31" t="s">
        <v>117</v>
      </c>
      <c r="B21" s="36">
        <f t="shared" si="18"/>
        <v>10955.99</v>
      </c>
      <c r="C21" s="29"/>
      <c r="D21" s="29"/>
      <c r="E21" s="29"/>
      <c r="F21" s="29"/>
      <c r="G21" s="29"/>
      <c r="H21" s="29"/>
      <c r="I21" s="29"/>
      <c r="J21" s="29"/>
      <c r="K21" s="29"/>
      <c r="L21" s="29">
        <f>218.64+63.94</f>
        <v>282.58</v>
      </c>
      <c r="M21" s="29">
        <f>33.9+97.7+10.2+54.87+33.9+38.5+48.78+62.97</f>
        <v>380.82000000000005</v>
      </c>
      <c r="N21" s="29">
        <f>7.74+126.89+75.71+93.18-28.12-20+11.19</f>
        <v>266.58999999999997</v>
      </c>
      <c r="O21" s="29">
        <f>3548-800+7252</f>
        <v>10000</v>
      </c>
      <c r="P21" s="29"/>
      <c r="Q21" s="29">
        <v>26</v>
      </c>
      <c r="R21" s="29"/>
      <c r="S21" s="29"/>
      <c r="T21" s="29"/>
      <c r="U21" s="29"/>
      <c r="V21" s="29"/>
      <c r="W21" s="29"/>
      <c r="X21" s="29">
        <f>13.56+13.56</f>
        <v>27.12</v>
      </c>
      <c r="Y21" s="29"/>
      <c r="Z21" s="29"/>
    </row>
    <row r="22" spans="1:36" x14ac:dyDescent="0.3">
      <c r="A22" s="31" t="s">
        <v>164</v>
      </c>
      <c r="B22" s="36">
        <f>SUM(C22:Q22)</f>
        <v>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Q22" s="29"/>
      <c r="R22" s="29"/>
      <c r="S22" s="29">
        <v>21</v>
      </c>
      <c r="T22" s="29"/>
      <c r="U22" s="29"/>
      <c r="V22" s="29"/>
      <c r="W22" s="29"/>
      <c r="X22" s="29"/>
      <c r="Y22" s="29">
        <v>25</v>
      </c>
      <c r="Z22" s="29"/>
    </row>
    <row r="23" spans="1:36" x14ac:dyDescent="0.3">
      <c r="A23" s="17" t="s">
        <v>3</v>
      </c>
      <c r="B23" s="32">
        <f>SUM(C23:Q23)</f>
        <v>44386.890000000007</v>
      </c>
      <c r="C23" s="32">
        <f t="shared" ref="C23:P23" si="19">SUM(C3:C22)</f>
        <v>-216.8</v>
      </c>
      <c r="D23" s="32">
        <f t="shared" si="19"/>
        <v>-292.37</v>
      </c>
      <c r="E23" s="32">
        <f t="shared" si="19"/>
        <v>540.79999999999995</v>
      </c>
      <c r="F23" s="32">
        <f t="shared" si="19"/>
        <v>1061.1399999999999</v>
      </c>
      <c r="G23" s="32">
        <f t="shared" si="19"/>
        <v>1375.47</v>
      </c>
      <c r="H23" s="32">
        <f t="shared" si="19"/>
        <v>2810.5299999999997</v>
      </c>
      <c r="I23" s="32">
        <f t="shared" si="19"/>
        <v>1847.65</v>
      </c>
      <c r="J23" s="32">
        <f t="shared" si="19"/>
        <v>1256.75</v>
      </c>
      <c r="K23" s="32">
        <f t="shared" si="19"/>
        <v>2827.6000000000004</v>
      </c>
      <c r="L23" s="32">
        <f t="shared" si="19"/>
        <v>1350.59</v>
      </c>
      <c r="M23" s="32">
        <f t="shared" si="19"/>
        <v>14496.02</v>
      </c>
      <c r="N23" s="32">
        <f t="shared" si="19"/>
        <v>2507.56</v>
      </c>
      <c r="O23" s="32">
        <f t="shared" si="19"/>
        <v>11644.14</v>
      </c>
      <c r="P23" s="32">
        <f t="shared" si="19"/>
        <v>1304.7999999999997</v>
      </c>
      <c r="Q23" s="32">
        <f>SUM(Q3:Q22)</f>
        <v>1873.01</v>
      </c>
      <c r="R23" s="32">
        <f>SUM(R3:R22)</f>
        <v>4782.66</v>
      </c>
      <c r="S23" s="32">
        <f t="shared" ref="S23:Z23" si="20">SUM(S3:S22)</f>
        <v>923.9799999999999</v>
      </c>
      <c r="T23" s="32">
        <f t="shared" si="20"/>
        <v>1196.31</v>
      </c>
      <c r="U23" s="32">
        <f t="shared" si="20"/>
        <v>2137.5699999999997</v>
      </c>
      <c r="V23" s="32">
        <f t="shared" si="20"/>
        <v>1646.12</v>
      </c>
      <c r="W23" s="32">
        <f t="shared" si="20"/>
        <v>6941.72</v>
      </c>
      <c r="X23" s="32">
        <f t="shared" si="20"/>
        <v>13646.9</v>
      </c>
      <c r="Y23" s="32">
        <f t="shared" si="20"/>
        <v>6226.16</v>
      </c>
      <c r="Z23" s="32">
        <f t="shared" si="20"/>
        <v>5816.54</v>
      </c>
    </row>
    <row r="24" spans="1:36" x14ac:dyDescent="0.3">
      <c r="A24" s="19" t="s">
        <v>62</v>
      </c>
      <c r="B24" s="44">
        <f t="shared" si="18"/>
        <v>9888.11</v>
      </c>
      <c r="C24" s="34"/>
      <c r="D24" s="34"/>
      <c r="E24" s="34">
        <v>675</v>
      </c>
      <c r="F24" s="34">
        <v>1265</v>
      </c>
      <c r="G24" s="34">
        <f>785+10.5</f>
        <v>795.5</v>
      </c>
      <c r="H24" s="34">
        <v>1085</v>
      </c>
      <c r="I24" s="34">
        <v>490</v>
      </c>
      <c r="J24" s="34">
        <v>1450</v>
      </c>
      <c r="K24" s="34">
        <v>900</v>
      </c>
      <c r="L24" s="34">
        <v>1306</v>
      </c>
      <c r="M24" s="34">
        <f>632</f>
        <v>632</v>
      </c>
      <c r="N24" s="34">
        <f>453+28.12</f>
        <v>481.12</v>
      </c>
      <c r="O24" s="34">
        <v>760.3</v>
      </c>
      <c r="P24" s="34"/>
      <c r="Q24" s="34">
        <f>24.68+23.51</f>
        <v>48.19</v>
      </c>
      <c r="R24" s="34">
        <f>339.99+81.25</f>
        <v>421.24</v>
      </c>
      <c r="S24" s="34"/>
      <c r="T24" s="34"/>
      <c r="U24" s="34">
        <v>481</v>
      </c>
      <c r="V24" s="34">
        <f>332.5+325.54</f>
        <v>658.04</v>
      </c>
      <c r="W24" s="34">
        <v>76.52</v>
      </c>
      <c r="X24" s="34">
        <v>2140.33</v>
      </c>
      <c r="Y24" s="34">
        <f>4095.95+76.52</f>
        <v>4172.47</v>
      </c>
      <c r="Z24" s="34">
        <f>3797.54+20+76.52</f>
        <v>3894.06</v>
      </c>
    </row>
    <row r="25" spans="1:36" x14ac:dyDescent="0.3">
      <c r="A25" s="19" t="s">
        <v>63</v>
      </c>
      <c r="B25" s="44">
        <f t="shared" si="18"/>
        <v>5405.2</v>
      </c>
      <c r="C25" s="34"/>
      <c r="D25" s="34"/>
      <c r="E25" s="34"/>
      <c r="F25" s="34"/>
      <c r="G25" s="34"/>
      <c r="H25" s="34"/>
      <c r="I25" s="34">
        <v>1040</v>
      </c>
      <c r="J25" s="34"/>
      <c r="K25" s="34"/>
      <c r="L25" s="34">
        <f>160.96+336.87</f>
        <v>497.83000000000004</v>
      </c>
      <c r="M25" s="34">
        <f>37+24+677.41+528.06+310</f>
        <v>1576.4699999999998</v>
      </c>
      <c r="N25" s="34">
        <f>27.6+24.8+20+833.84+894.99</f>
        <v>1801.23</v>
      </c>
      <c r="O25" s="34">
        <v>489.67</v>
      </c>
      <c r="P25" s="34"/>
      <c r="Q25" s="34"/>
      <c r="R25" s="34"/>
      <c r="S25" s="34"/>
      <c r="T25" s="34"/>
      <c r="U25" s="34"/>
      <c r="V25" s="34"/>
      <c r="W25" s="34"/>
      <c r="X25" s="34">
        <f>170+76.52+210</f>
        <v>456.52</v>
      </c>
      <c r="Y25" s="34"/>
      <c r="Z25" s="34"/>
    </row>
    <row r="26" spans="1:36" x14ac:dyDescent="0.3">
      <c r="A26" s="19" t="s">
        <v>68</v>
      </c>
      <c r="B26" s="44">
        <f t="shared" si="18"/>
        <v>3612.96</v>
      </c>
      <c r="C26" s="34">
        <v>800</v>
      </c>
      <c r="D26" s="34"/>
      <c r="E26" s="34">
        <v>874.96</v>
      </c>
      <c r="F26" s="34"/>
      <c r="G26" s="34"/>
      <c r="H26" s="34"/>
      <c r="I26" s="34">
        <v>150</v>
      </c>
      <c r="J26" s="34"/>
      <c r="K26" s="34">
        <v>150</v>
      </c>
      <c r="L26" s="34"/>
      <c r="M26" s="34"/>
      <c r="N26" s="34"/>
      <c r="O26" s="34">
        <v>581.25</v>
      </c>
      <c r="P26" s="34">
        <f>549.75+507</f>
        <v>1056.75</v>
      </c>
      <c r="Q26" s="34"/>
      <c r="R26" s="34"/>
      <c r="S26" s="34"/>
      <c r="T26" s="34"/>
      <c r="U26" s="34"/>
      <c r="V26" s="34"/>
      <c r="W26" s="34"/>
      <c r="X26" s="34"/>
      <c r="Y26" s="34"/>
      <c r="Z26" s="34"/>
      <c r="AD26">
        <v>24</v>
      </c>
    </row>
    <row r="27" spans="1:36" x14ac:dyDescent="0.3">
      <c r="A27" s="19" t="s">
        <v>60</v>
      </c>
      <c r="B27" s="44">
        <f t="shared" si="18"/>
        <v>22227.14</v>
      </c>
      <c r="C27" s="34"/>
      <c r="D27" s="34"/>
      <c r="E27" s="34"/>
      <c r="F27" s="34">
        <v>1085.8399999999999</v>
      </c>
      <c r="G27" s="34">
        <f>1101.52+1206.48</f>
        <v>2308</v>
      </c>
      <c r="H27" s="34">
        <f>1176.68+1612.92</f>
        <v>2789.6000000000004</v>
      </c>
      <c r="I27" s="34">
        <f>1476.49+1435</f>
        <v>2911.49</v>
      </c>
      <c r="J27" s="34">
        <v>1540.52</v>
      </c>
      <c r="K27" s="34">
        <v>1750</v>
      </c>
      <c r="L27" s="34">
        <v>2029.96</v>
      </c>
      <c r="M27" s="34">
        <v>1557.87</v>
      </c>
      <c r="N27" s="34">
        <v>1489.82</v>
      </c>
      <c r="O27" s="34">
        <v>1644.58</v>
      </c>
      <c r="P27" s="34">
        <v>1562.36</v>
      </c>
      <c r="Q27" s="34">
        <v>1557.1</v>
      </c>
      <c r="R27" s="34">
        <v>1724.6</v>
      </c>
      <c r="S27" s="34">
        <v>1387.51</v>
      </c>
      <c r="T27" s="34"/>
      <c r="U27" s="34">
        <v>1396.14</v>
      </c>
      <c r="V27" s="34">
        <v>1389.19</v>
      </c>
      <c r="W27" s="34">
        <v>1319.16</v>
      </c>
      <c r="X27" s="34">
        <v>1452.13</v>
      </c>
      <c r="Y27" s="34">
        <v>1248.45</v>
      </c>
      <c r="Z27" s="34"/>
    </row>
    <row r="28" spans="1:36" x14ac:dyDescent="0.3">
      <c r="A28" s="19" t="s">
        <v>61</v>
      </c>
      <c r="B28" s="44">
        <f t="shared" si="18"/>
        <v>13033.57</v>
      </c>
      <c r="C28" s="34"/>
      <c r="D28" s="34"/>
      <c r="E28" s="34"/>
      <c r="F28" s="34"/>
      <c r="G28" s="34"/>
      <c r="H28" s="34"/>
      <c r="I28" s="34"/>
      <c r="J28" s="34">
        <v>1400.08</v>
      </c>
      <c r="K28" s="34">
        <v>1951.97</v>
      </c>
      <c r="L28" s="34">
        <v>1469.3</v>
      </c>
      <c r="M28" s="34">
        <v>1541.58</v>
      </c>
      <c r="N28" s="34">
        <v>1976.43</v>
      </c>
      <c r="O28" s="34">
        <v>1452.42</v>
      </c>
      <c r="P28" s="34">
        <v>1704.06</v>
      </c>
      <c r="Q28" s="34">
        <v>1537.73</v>
      </c>
      <c r="R28" s="34">
        <v>1142.3399999999999</v>
      </c>
      <c r="S28" s="34">
        <v>1434.87</v>
      </c>
      <c r="T28" s="34"/>
      <c r="U28" s="34">
        <v>958</v>
      </c>
      <c r="V28" s="34">
        <v>1397.32</v>
      </c>
      <c r="W28" s="34">
        <v>1248.45</v>
      </c>
      <c r="X28" s="34">
        <v>1248.45</v>
      </c>
      <c r="Y28" s="34">
        <v>1248.45</v>
      </c>
      <c r="Z28" s="34"/>
      <c r="AD28">
        <v>32</v>
      </c>
    </row>
    <row r="29" spans="1:36" x14ac:dyDescent="0.3">
      <c r="A29" s="19" t="s">
        <v>67</v>
      </c>
      <c r="B29" s="44">
        <f t="shared" si="18"/>
        <v>4406.7299999999996</v>
      </c>
      <c r="C29" s="34"/>
      <c r="D29" s="34"/>
      <c r="E29" s="34"/>
      <c r="F29" s="34">
        <v>200</v>
      </c>
      <c r="G29" s="34"/>
      <c r="H29" s="34"/>
      <c r="I29" s="34">
        <v>150</v>
      </c>
      <c r="J29" s="34">
        <v>1706.53</v>
      </c>
      <c r="K29" s="34"/>
      <c r="L29" s="34"/>
      <c r="M29" s="34"/>
      <c r="N29" s="34">
        <v>1069.75</v>
      </c>
      <c r="O29" s="34">
        <f>33.8+4.74</f>
        <v>38.54</v>
      </c>
      <c r="P29" s="34">
        <v>1241.9100000000001</v>
      </c>
      <c r="Q29" s="34"/>
      <c r="R29" s="34">
        <v>3190.52</v>
      </c>
      <c r="S29" s="34">
        <f>80+250</f>
        <v>330</v>
      </c>
      <c r="T29" s="34"/>
      <c r="U29" s="34">
        <v>1287.44</v>
      </c>
      <c r="V29" s="34">
        <v>911.88</v>
      </c>
      <c r="W29" s="34"/>
      <c r="X29" s="34">
        <v>900</v>
      </c>
      <c r="Y29" s="34">
        <f>900+100</f>
        <v>1000</v>
      </c>
      <c r="Z29" s="34"/>
      <c r="AC29" s="1"/>
    </row>
    <row r="30" spans="1:36" s="1" customFormat="1" x14ac:dyDescent="0.3">
      <c r="A30" s="17" t="s">
        <v>4</v>
      </c>
      <c r="B30" s="32">
        <f>SUM(C30:Q30)</f>
        <v>58573.71</v>
      </c>
      <c r="C30" s="32">
        <f t="shared" ref="C30:Q30" si="21">SUM(C24:C29)</f>
        <v>800</v>
      </c>
      <c r="D30" s="32">
        <f t="shared" si="21"/>
        <v>0</v>
      </c>
      <c r="E30" s="32">
        <f t="shared" si="21"/>
        <v>1549.96</v>
      </c>
      <c r="F30" s="32">
        <f t="shared" si="21"/>
        <v>2550.84</v>
      </c>
      <c r="G30" s="32">
        <f t="shared" si="21"/>
        <v>3103.5</v>
      </c>
      <c r="H30" s="32">
        <f t="shared" si="21"/>
        <v>3874.6000000000004</v>
      </c>
      <c r="I30" s="32">
        <f t="shared" si="21"/>
        <v>4741.49</v>
      </c>
      <c r="J30" s="32">
        <f t="shared" si="21"/>
        <v>6097.13</v>
      </c>
      <c r="K30" s="32">
        <f t="shared" si="21"/>
        <v>4751.97</v>
      </c>
      <c r="L30" s="32">
        <f t="shared" si="21"/>
        <v>5303.09</v>
      </c>
      <c r="M30" s="32">
        <f t="shared" si="21"/>
        <v>5307.92</v>
      </c>
      <c r="N30" s="32">
        <f>SUM(N24:N29)</f>
        <v>6818.35</v>
      </c>
      <c r="O30" s="32">
        <f t="shared" si="21"/>
        <v>4966.76</v>
      </c>
      <c r="P30" s="32">
        <f t="shared" si="21"/>
        <v>5565.08</v>
      </c>
      <c r="Q30" s="32">
        <f t="shared" si="21"/>
        <v>3143.02</v>
      </c>
      <c r="R30" s="32">
        <f t="shared" ref="R30:Z30" si="22">SUM(R24:R29)</f>
        <v>6478.7000000000007</v>
      </c>
      <c r="S30" s="32">
        <f t="shared" si="22"/>
        <v>3152.38</v>
      </c>
      <c r="T30" s="32">
        <f t="shared" si="22"/>
        <v>0</v>
      </c>
      <c r="U30" s="32">
        <f>SUM(U24:U29)</f>
        <v>4122.58</v>
      </c>
      <c r="V30" s="32">
        <f t="shared" si="22"/>
        <v>4356.43</v>
      </c>
      <c r="W30" s="32">
        <f t="shared" si="22"/>
        <v>2644.13</v>
      </c>
      <c r="X30" s="32">
        <f t="shared" si="22"/>
        <v>6197.43</v>
      </c>
      <c r="Y30" s="32">
        <f t="shared" si="22"/>
        <v>7669.37</v>
      </c>
      <c r="Z30" s="32">
        <f t="shared" si="22"/>
        <v>3894.06</v>
      </c>
      <c r="AC30"/>
      <c r="AD30">
        <v>32</v>
      </c>
      <c r="AE30"/>
    </row>
    <row r="31" spans="1:36" x14ac:dyDescent="0.3">
      <c r="A31" s="9" t="s">
        <v>1</v>
      </c>
      <c r="B31" s="12">
        <f>B30-B23</f>
        <v>14186.819999999992</v>
      </c>
      <c r="C31" s="12">
        <f t="shared" ref="C31:Q31" si="23">C2+C30-C23</f>
        <v>1016.8</v>
      </c>
      <c r="D31" s="12">
        <f t="shared" si="23"/>
        <v>1309.17</v>
      </c>
      <c r="E31" s="12">
        <f t="shared" si="23"/>
        <v>2318.33</v>
      </c>
      <c r="F31" s="12">
        <f t="shared" si="23"/>
        <v>3808.03</v>
      </c>
      <c r="G31" s="12">
        <f t="shared" si="23"/>
        <v>5536.06</v>
      </c>
      <c r="H31" s="12">
        <f t="shared" si="23"/>
        <v>6600.13</v>
      </c>
      <c r="I31" s="12">
        <f t="shared" si="23"/>
        <v>9493.9699999999993</v>
      </c>
      <c r="J31" s="12">
        <f t="shared" si="23"/>
        <v>14334.349999999999</v>
      </c>
      <c r="K31" s="12">
        <f t="shared" si="23"/>
        <v>16258.72</v>
      </c>
      <c r="L31" s="12">
        <f t="shared" si="23"/>
        <v>20211.219999999998</v>
      </c>
      <c r="M31" s="12">
        <f t="shared" si="23"/>
        <v>11023.119999999999</v>
      </c>
      <c r="N31" s="12">
        <f t="shared" si="23"/>
        <v>15333.910000000002</v>
      </c>
      <c r="O31" s="12">
        <f t="shared" si="23"/>
        <v>8656.5300000000025</v>
      </c>
      <c r="P31" s="12">
        <f t="shared" si="23"/>
        <v>12916.810000000003</v>
      </c>
      <c r="Q31" s="12">
        <f t="shared" si="23"/>
        <v>14186.820000000003</v>
      </c>
      <c r="R31" s="12">
        <f t="shared" ref="R31:Z31" si="24">R2+R30-R23</f>
        <v>15882.860000000004</v>
      </c>
      <c r="S31" s="12">
        <f t="shared" si="24"/>
        <v>18111.260000000006</v>
      </c>
      <c r="T31" s="12">
        <f t="shared" si="24"/>
        <v>16914.950000000004</v>
      </c>
      <c r="U31" s="12">
        <f t="shared" si="24"/>
        <v>18899.960000000006</v>
      </c>
      <c r="V31" s="12">
        <f t="shared" si="24"/>
        <v>21610.270000000008</v>
      </c>
      <c r="W31" s="12">
        <f t="shared" si="24"/>
        <v>17312.680000000008</v>
      </c>
      <c r="X31" s="12">
        <f t="shared" si="24"/>
        <v>9863.2100000000082</v>
      </c>
      <c r="Y31" s="12">
        <f t="shared" si="24"/>
        <v>11306.420000000009</v>
      </c>
      <c r="Z31" s="12">
        <f t="shared" si="24"/>
        <v>9383.9400000000096</v>
      </c>
    </row>
    <row r="32" spans="1:36" x14ac:dyDescent="0.3">
      <c r="AD32">
        <v>32</v>
      </c>
    </row>
    <row r="33" spans="1:30" x14ac:dyDescent="0.3">
      <c r="A33" s="35" t="s">
        <v>64</v>
      </c>
      <c r="B33" s="36">
        <f>SUM(C33:Q33)</f>
        <v>8140.3700000000017</v>
      </c>
      <c r="C33" s="29">
        <f>2000+673.93</f>
        <v>2673.93</v>
      </c>
      <c r="D33" s="29">
        <f>673.93+75</f>
        <v>748.93</v>
      </c>
      <c r="E33" s="29">
        <v>673.93</v>
      </c>
      <c r="F33" s="29">
        <v>673.93</v>
      </c>
      <c r="G33" s="29">
        <v>673.93</v>
      </c>
      <c r="H33" s="29">
        <v>673.93</v>
      </c>
      <c r="I33" s="29">
        <v>673.93</v>
      </c>
      <c r="J33" s="29">
        <v>673.93</v>
      </c>
      <c r="K33" s="29">
        <v>673.93</v>
      </c>
      <c r="L33" s="29"/>
      <c r="M33" s="29"/>
      <c r="N33" s="29"/>
      <c r="O33" s="29"/>
      <c r="P33" s="29"/>
      <c r="Q33" s="29"/>
      <c r="R33" s="76"/>
      <c r="S33" s="76"/>
      <c r="T33" s="76"/>
      <c r="U33" s="76"/>
      <c r="V33" s="76"/>
      <c r="W33" s="76"/>
      <c r="X33" s="76"/>
      <c r="Y33" s="76"/>
      <c r="Z33" s="76"/>
    </row>
    <row r="34" spans="1:30" x14ac:dyDescent="0.3">
      <c r="A34" s="35" t="s">
        <v>109</v>
      </c>
      <c r="B34" s="68">
        <f>SUM(C34:Z34)</f>
        <v>4741.7200000000012</v>
      </c>
      <c r="C34" s="68">
        <f t="shared" ref="C34:Z34" si="25">SUM(C3:C9)</f>
        <v>73.2</v>
      </c>
      <c r="D34" s="68">
        <f t="shared" si="25"/>
        <v>5</v>
      </c>
      <c r="E34" s="68">
        <f t="shared" si="25"/>
        <v>15.04</v>
      </c>
      <c r="F34" s="68">
        <f t="shared" si="25"/>
        <v>59.24</v>
      </c>
      <c r="G34" s="68">
        <f>SUM(G3:G9)</f>
        <v>250.55999999999997</v>
      </c>
      <c r="H34" s="68">
        <f t="shared" si="25"/>
        <v>274.15999999999997</v>
      </c>
      <c r="I34" s="68">
        <f t="shared" si="25"/>
        <v>390.85</v>
      </c>
      <c r="J34" s="68">
        <f t="shared" si="25"/>
        <v>94.6</v>
      </c>
      <c r="K34" s="68">
        <f>SUM(K3:K9)</f>
        <v>213.20000000000002</v>
      </c>
      <c r="L34" s="68">
        <f t="shared" si="25"/>
        <v>252.18000000000004</v>
      </c>
      <c r="M34" s="68">
        <f t="shared" si="25"/>
        <v>217.21</v>
      </c>
      <c r="N34" s="68">
        <f>SUM(N3:N9)</f>
        <v>203.96</v>
      </c>
      <c r="O34" s="68">
        <f t="shared" si="25"/>
        <v>127.80000000000001</v>
      </c>
      <c r="P34" s="68">
        <f t="shared" si="25"/>
        <v>178.53000000000003</v>
      </c>
      <c r="Q34" s="68">
        <f>SUM(Q3:Q9)</f>
        <v>366.5</v>
      </c>
      <c r="R34" s="68">
        <f t="shared" si="25"/>
        <v>193.56000000000003</v>
      </c>
      <c r="S34" s="68">
        <f t="shared" si="25"/>
        <v>275.7</v>
      </c>
      <c r="T34" s="68">
        <f t="shared" si="25"/>
        <v>115.78999999999999</v>
      </c>
      <c r="U34" s="68">
        <f t="shared" si="25"/>
        <v>190.63</v>
      </c>
      <c r="V34" s="68">
        <f t="shared" si="25"/>
        <v>294.28000000000003</v>
      </c>
      <c r="W34" s="68">
        <f t="shared" si="25"/>
        <v>225.04</v>
      </c>
      <c r="X34" s="68">
        <f t="shared" si="25"/>
        <v>409.04</v>
      </c>
      <c r="Y34" s="68">
        <f t="shared" si="25"/>
        <v>245.64</v>
      </c>
      <c r="Z34" s="68">
        <f t="shared" si="25"/>
        <v>70.010000000000005</v>
      </c>
      <c r="AD34">
        <v>24</v>
      </c>
    </row>
    <row r="35" spans="1:30" x14ac:dyDescent="0.3">
      <c r="A35" s="35" t="s">
        <v>188</v>
      </c>
      <c r="B35" s="68">
        <f>SUM(C35:Z35)</f>
        <v>3107.45</v>
      </c>
      <c r="C35" s="68">
        <f>C13+C16</f>
        <v>50</v>
      </c>
      <c r="D35" s="68">
        <f>D13+D16</f>
        <v>40</v>
      </c>
      <c r="E35" s="68">
        <f t="shared" ref="E35:Z35" si="26">E13+E16</f>
        <v>90</v>
      </c>
      <c r="F35" s="68">
        <f t="shared" si="26"/>
        <v>66</v>
      </c>
      <c r="G35" s="68">
        <f t="shared" si="26"/>
        <v>140</v>
      </c>
      <c r="H35" s="68">
        <f t="shared" si="26"/>
        <v>70</v>
      </c>
      <c r="I35" s="68">
        <f t="shared" si="26"/>
        <v>140</v>
      </c>
      <c r="J35" s="68">
        <f t="shared" si="26"/>
        <v>155</v>
      </c>
      <c r="K35" s="68">
        <f t="shared" si="26"/>
        <v>100</v>
      </c>
      <c r="L35" s="68">
        <f t="shared" si="26"/>
        <v>338.15</v>
      </c>
      <c r="M35" s="68">
        <f t="shared" si="26"/>
        <v>178.15</v>
      </c>
      <c r="N35" s="68">
        <f t="shared" si="26"/>
        <v>153.60000000000002</v>
      </c>
      <c r="O35" s="68">
        <f t="shared" si="26"/>
        <v>158.15</v>
      </c>
      <c r="P35" s="68">
        <f t="shared" si="26"/>
        <v>150</v>
      </c>
      <c r="Q35" s="68">
        <f t="shared" si="26"/>
        <v>180</v>
      </c>
      <c r="R35" s="68">
        <f t="shared" si="26"/>
        <v>141.69999999999999</v>
      </c>
      <c r="S35" s="68">
        <f t="shared" si="26"/>
        <v>190</v>
      </c>
      <c r="T35" s="68">
        <f t="shared" si="26"/>
        <v>80</v>
      </c>
      <c r="U35" s="68">
        <f t="shared" si="26"/>
        <v>80</v>
      </c>
      <c r="V35" s="68">
        <f t="shared" si="26"/>
        <v>107.05</v>
      </c>
      <c r="W35" s="68">
        <f t="shared" si="26"/>
        <v>90</v>
      </c>
      <c r="X35" s="68">
        <f t="shared" si="26"/>
        <v>216.93</v>
      </c>
      <c r="Y35" s="68">
        <f t="shared" si="26"/>
        <v>79.16</v>
      </c>
      <c r="Z35" s="68">
        <f t="shared" si="26"/>
        <v>113.56</v>
      </c>
      <c r="AD35" s="90">
        <f>SUM(AD24:AD34)</f>
        <v>144</v>
      </c>
    </row>
    <row r="37" spans="1:30" x14ac:dyDescent="0.3">
      <c r="A37" s="37" t="s">
        <v>69</v>
      </c>
      <c r="B37" s="37" t="s">
        <v>73</v>
      </c>
      <c r="C37" s="37" t="s">
        <v>70</v>
      </c>
      <c r="D37" s="37" t="s">
        <v>71</v>
      </c>
    </row>
    <row r="38" spans="1:30" x14ac:dyDescent="0.3">
      <c r="A38" s="38">
        <v>44927</v>
      </c>
      <c r="B38" s="41">
        <f>C30</f>
        <v>800</v>
      </c>
      <c r="C38" s="41">
        <f>C23</f>
        <v>-216.8</v>
      </c>
      <c r="D38" s="35">
        <f>B38-C38</f>
        <v>1016.8</v>
      </c>
    </row>
    <row r="39" spans="1:30" x14ac:dyDescent="0.3">
      <c r="A39" s="38">
        <v>44958</v>
      </c>
      <c r="B39" s="41">
        <f>D30</f>
        <v>0</v>
      </c>
      <c r="C39" s="41">
        <f>D23</f>
        <v>-292.37</v>
      </c>
      <c r="D39" s="35">
        <f t="shared" ref="D39:D52" si="27">B39-C39</f>
        <v>292.37</v>
      </c>
    </row>
    <row r="40" spans="1:30" x14ac:dyDescent="0.3">
      <c r="A40" s="38">
        <v>44986</v>
      </c>
      <c r="B40" s="41">
        <f>E30</f>
        <v>1549.96</v>
      </c>
      <c r="C40" s="41">
        <f>E23</f>
        <v>540.79999999999995</v>
      </c>
      <c r="D40" s="35">
        <f t="shared" si="27"/>
        <v>1009.1600000000001</v>
      </c>
    </row>
    <row r="41" spans="1:30" x14ac:dyDescent="0.3">
      <c r="A41" s="38">
        <v>45017</v>
      </c>
      <c r="B41" s="41">
        <f>F30</f>
        <v>2550.84</v>
      </c>
      <c r="C41" s="41">
        <f>F23</f>
        <v>1061.1399999999999</v>
      </c>
      <c r="D41" s="35">
        <f t="shared" si="27"/>
        <v>1489.7000000000003</v>
      </c>
    </row>
    <row r="42" spans="1:30" x14ac:dyDescent="0.3">
      <c r="A42" s="38">
        <v>45047</v>
      </c>
      <c r="B42" s="41">
        <f>G30</f>
        <v>3103.5</v>
      </c>
      <c r="C42" s="41">
        <f>G23</f>
        <v>1375.47</v>
      </c>
      <c r="D42" s="35">
        <f t="shared" si="27"/>
        <v>1728.03</v>
      </c>
    </row>
    <row r="43" spans="1:30" x14ac:dyDescent="0.3">
      <c r="A43" s="38">
        <v>45078</v>
      </c>
      <c r="B43" s="41">
        <f>H30</f>
        <v>3874.6000000000004</v>
      </c>
      <c r="C43" s="41">
        <f>H23</f>
        <v>2810.5299999999997</v>
      </c>
      <c r="D43" s="35">
        <f t="shared" si="27"/>
        <v>1064.0700000000006</v>
      </c>
    </row>
    <row r="44" spans="1:30" x14ac:dyDescent="0.3">
      <c r="A44" s="38">
        <v>45108</v>
      </c>
      <c r="B44" s="41">
        <f>I30</f>
        <v>4741.49</v>
      </c>
      <c r="C44" s="41">
        <f>I23</f>
        <v>1847.65</v>
      </c>
      <c r="D44" s="35">
        <f t="shared" si="27"/>
        <v>2893.8399999999997</v>
      </c>
    </row>
    <row r="45" spans="1:30" x14ac:dyDescent="0.3">
      <c r="A45" s="38">
        <v>45139</v>
      </c>
      <c r="B45" s="41">
        <f>J30</f>
        <v>6097.13</v>
      </c>
      <c r="C45" s="41">
        <f>J23</f>
        <v>1256.75</v>
      </c>
      <c r="D45" s="35">
        <f t="shared" si="27"/>
        <v>4840.38</v>
      </c>
    </row>
    <row r="46" spans="1:30" x14ac:dyDescent="0.3">
      <c r="A46" s="38">
        <v>45170</v>
      </c>
      <c r="B46" s="41">
        <f>K30</f>
        <v>4751.97</v>
      </c>
      <c r="C46" s="41">
        <f>K23</f>
        <v>2827.6000000000004</v>
      </c>
      <c r="D46" s="35">
        <f t="shared" si="27"/>
        <v>1924.37</v>
      </c>
    </row>
    <row r="47" spans="1:30" x14ac:dyDescent="0.3">
      <c r="A47" s="38">
        <v>45200</v>
      </c>
      <c r="B47" s="41">
        <f>L30</f>
        <v>5303.09</v>
      </c>
      <c r="C47" s="41">
        <f>L23</f>
        <v>1350.59</v>
      </c>
      <c r="D47" s="35">
        <f t="shared" si="27"/>
        <v>3952.5</v>
      </c>
    </row>
    <row r="48" spans="1:30" x14ac:dyDescent="0.3">
      <c r="A48" s="38">
        <v>45231</v>
      </c>
      <c r="B48" s="41">
        <f>M30</f>
        <v>5307.92</v>
      </c>
      <c r="C48" s="41">
        <f>M23</f>
        <v>14496.02</v>
      </c>
      <c r="D48" s="35">
        <f t="shared" si="27"/>
        <v>-9188.1</v>
      </c>
    </row>
    <row r="49" spans="1:4" x14ac:dyDescent="0.3">
      <c r="A49" s="38">
        <v>45261</v>
      </c>
      <c r="B49" s="41">
        <f>N30</f>
        <v>6818.35</v>
      </c>
      <c r="C49" s="41">
        <f>N23</f>
        <v>2507.56</v>
      </c>
      <c r="D49" s="35">
        <f t="shared" si="27"/>
        <v>4310.7900000000009</v>
      </c>
    </row>
    <row r="50" spans="1:4" x14ac:dyDescent="0.3">
      <c r="A50" s="38">
        <v>45292</v>
      </c>
      <c r="B50" s="41">
        <f>O30</f>
        <v>4966.76</v>
      </c>
      <c r="C50" s="41">
        <f>O23</f>
        <v>11644.14</v>
      </c>
      <c r="D50" s="35">
        <f t="shared" si="27"/>
        <v>-6677.3799999999992</v>
      </c>
    </row>
    <row r="51" spans="1:4" x14ac:dyDescent="0.3">
      <c r="A51" s="38">
        <v>45323</v>
      </c>
      <c r="B51" s="41">
        <f>P30</f>
        <v>5565.08</v>
      </c>
      <c r="C51" s="41">
        <f>P23</f>
        <v>1304.7999999999997</v>
      </c>
      <c r="D51" s="35">
        <f t="shared" si="27"/>
        <v>4260.2800000000007</v>
      </c>
    </row>
    <row r="52" spans="1:4" x14ac:dyDescent="0.3">
      <c r="A52" s="38">
        <v>45352</v>
      </c>
      <c r="B52" s="41">
        <f>Q30</f>
        <v>3143.02</v>
      </c>
      <c r="C52" s="41">
        <f>Q23</f>
        <v>1873.01</v>
      </c>
      <c r="D52" s="35">
        <f t="shared" si="27"/>
        <v>1270.01</v>
      </c>
    </row>
    <row r="53" spans="1:4" x14ac:dyDescent="0.3">
      <c r="A53" s="39" t="s">
        <v>72</v>
      </c>
      <c r="B53" s="40">
        <f>SUM(B38:B52)</f>
        <v>58573.71</v>
      </c>
      <c r="C53" s="40">
        <f>SUM(C38:C52)</f>
        <v>44386.890000000007</v>
      </c>
      <c r="D53" s="40">
        <f>B53-C53</f>
        <v>14186.819999999992</v>
      </c>
    </row>
  </sheetData>
  <sortState xmlns:xlrd2="http://schemas.microsoft.com/office/spreadsheetml/2017/richdata2" ref="A3:A16">
    <sortCondition ref="A3:A16"/>
  </sortState>
  <mergeCells count="1">
    <mergeCell ref="AB8:AG8"/>
  </mergeCells>
  <pageMargins left="0.7" right="0.7" top="0.75" bottom="0.75" header="0.3" footer="0.3"/>
  <pageSetup orientation="portrait" r:id="rId1"/>
  <ignoredErrors>
    <ignoredError sqref="Q1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24A7C-F6EA-41AB-8DE0-5035CEB43537}">
  <dimension ref="A1:M8"/>
  <sheetViews>
    <sheetView tabSelected="1" workbookViewId="0">
      <selection activeCell="A7" sqref="A7"/>
    </sheetView>
  </sheetViews>
  <sheetFormatPr defaultRowHeight="14.4" x14ac:dyDescent="0.3"/>
  <cols>
    <col min="1" max="1" width="15.5546875" bestFit="1" customWidth="1"/>
    <col min="2" max="2" width="55.6640625" bestFit="1" customWidth="1"/>
    <col min="3" max="3" width="26.44140625" bestFit="1" customWidth="1"/>
    <col min="4" max="4" width="18.44140625" bestFit="1" customWidth="1"/>
    <col min="5" max="5" width="9.44140625" bestFit="1" customWidth="1"/>
    <col min="6" max="6" width="7.5546875" bestFit="1" customWidth="1"/>
    <col min="7" max="7" width="17.21875" bestFit="1" customWidth="1"/>
    <col min="8" max="8" width="6.88671875" bestFit="1" customWidth="1"/>
    <col min="9" max="9" width="12.88671875" bestFit="1" customWidth="1"/>
    <col min="10" max="10" width="8.21875" bestFit="1" customWidth="1"/>
    <col min="11" max="11" width="9.21875" customWidth="1"/>
  </cols>
  <sheetData>
    <row r="1" spans="1:13" ht="27.6" thickBot="1" x14ac:dyDescent="0.35">
      <c r="A1" s="88" t="s">
        <v>190</v>
      </c>
      <c r="B1" s="88" t="s">
        <v>191</v>
      </c>
      <c r="C1" s="88" t="s">
        <v>192</v>
      </c>
      <c r="D1" s="88" t="s">
        <v>193</v>
      </c>
      <c r="E1" s="88" t="s">
        <v>6</v>
      </c>
      <c r="F1" s="88" t="s">
        <v>194</v>
      </c>
      <c r="G1" s="88" t="s">
        <v>195</v>
      </c>
      <c r="H1" s="88" t="s">
        <v>196</v>
      </c>
      <c r="I1" s="88" t="s">
        <v>197</v>
      </c>
      <c r="J1" s="88" t="s">
        <v>198</v>
      </c>
      <c r="K1" s="104" t="s">
        <v>235</v>
      </c>
      <c r="L1" s="104" t="s">
        <v>236</v>
      </c>
      <c r="M1" s="104" t="s">
        <v>237</v>
      </c>
    </row>
    <row r="2" spans="1:13" ht="54" thickBot="1" x14ac:dyDescent="0.35">
      <c r="A2" s="88" t="s">
        <v>199</v>
      </c>
      <c r="B2" s="88" t="s">
        <v>200</v>
      </c>
      <c r="C2" s="88" t="s">
        <v>201</v>
      </c>
      <c r="D2" s="88" t="s">
        <v>202</v>
      </c>
      <c r="E2" s="89">
        <v>45688</v>
      </c>
      <c r="F2" s="88" t="s">
        <v>203</v>
      </c>
      <c r="G2" s="88" t="s">
        <v>204</v>
      </c>
      <c r="H2" s="88" t="s">
        <v>203</v>
      </c>
      <c r="I2" s="88"/>
      <c r="J2" s="88"/>
    </row>
    <row r="3" spans="1:13" ht="15" thickBot="1" x14ac:dyDescent="0.35">
      <c r="A3" s="88" t="s">
        <v>205</v>
      </c>
      <c r="B3" s="88" t="s">
        <v>206</v>
      </c>
      <c r="C3" s="88" t="s">
        <v>207</v>
      </c>
      <c r="D3" s="88"/>
      <c r="E3" s="88"/>
      <c r="F3" s="88" t="s">
        <v>203</v>
      </c>
      <c r="G3" s="88" t="s">
        <v>203</v>
      </c>
      <c r="H3" s="88" t="s">
        <v>203</v>
      </c>
      <c r="I3" s="88" t="s">
        <v>203</v>
      </c>
      <c r="J3" s="88"/>
    </row>
    <row r="4" spans="1:13" ht="29.4" thickBot="1" x14ac:dyDescent="0.35">
      <c r="A4" s="88" t="s">
        <v>208</v>
      </c>
      <c r="B4" s="88" t="s">
        <v>209</v>
      </c>
      <c r="C4" s="88" t="s">
        <v>210</v>
      </c>
      <c r="D4" s="88" t="s">
        <v>211</v>
      </c>
      <c r="E4" s="89">
        <v>45703</v>
      </c>
      <c r="F4" s="88" t="s">
        <v>203</v>
      </c>
      <c r="G4" s="105" t="s">
        <v>234</v>
      </c>
      <c r="H4" s="88" t="s">
        <v>203</v>
      </c>
      <c r="I4" s="88"/>
      <c r="J4" s="88"/>
    </row>
    <row r="5" spans="1:13" ht="15" thickBot="1" x14ac:dyDescent="0.35">
      <c r="A5" s="88" t="s">
        <v>212</v>
      </c>
      <c r="B5" s="88" t="s">
        <v>213</v>
      </c>
      <c r="C5" s="88" t="s">
        <v>214</v>
      </c>
      <c r="D5" s="88" t="s">
        <v>215</v>
      </c>
      <c r="E5" s="89">
        <v>45708</v>
      </c>
      <c r="F5" s="88" t="s">
        <v>203</v>
      </c>
      <c r="G5" s="88" t="s">
        <v>216</v>
      </c>
      <c r="H5" s="88" t="s">
        <v>203</v>
      </c>
      <c r="I5" s="88"/>
      <c r="J5" s="88"/>
    </row>
    <row r="6" spans="1:13" ht="15" thickBot="1" x14ac:dyDescent="0.35">
      <c r="A6" s="107" t="s">
        <v>217</v>
      </c>
      <c r="B6" s="107" t="s">
        <v>218</v>
      </c>
      <c r="C6" s="107" t="s">
        <v>219</v>
      </c>
      <c r="D6" s="107"/>
      <c r="E6" s="108">
        <v>45703</v>
      </c>
      <c r="F6" s="107"/>
      <c r="G6" s="107"/>
      <c r="H6" s="107"/>
      <c r="I6" s="88"/>
      <c r="J6" s="88"/>
    </row>
    <row r="7" spans="1:13" ht="15" thickBot="1" x14ac:dyDescent="0.35">
      <c r="A7" s="88" t="s">
        <v>220</v>
      </c>
      <c r="B7" s="88" t="s">
        <v>240</v>
      </c>
      <c r="C7" s="88" t="s">
        <v>221</v>
      </c>
      <c r="D7" s="105" t="s">
        <v>238</v>
      </c>
      <c r="E7" s="106">
        <v>45705</v>
      </c>
      <c r="F7" s="88" t="s">
        <v>203</v>
      </c>
      <c r="G7" s="105" t="s">
        <v>239</v>
      </c>
      <c r="H7" s="88" t="s">
        <v>203</v>
      </c>
      <c r="I7" s="88"/>
      <c r="J7" s="88"/>
    </row>
    <row r="8" spans="1:13" x14ac:dyDescent="0.3">
      <c r="A8" s="109" t="s">
        <v>233</v>
      </c>
      <c r="B8" s="110"/>
      <c r="C8" s="110"/>
      <c r="D8" s="110"/>
      <c r="E8" s="110"/>
      <c r="F8" s="110"/>
      <c r="G8" s="110"/>
      <c r="H8" s="110"/>
    </row>
  </sheetData>
  <hyperlinks>
    <hyperlink ref="G4" r:id="rId1" xr:uid="{966CFD92-CFE2-4CFA-95D1-7EFB478DA6BB}"/>
    <hyperlink ref="D7" r:id="rId2" xr:uid="{593A38FF-3407-48AF-8ADA-30A17471638B}"/>
    <hyperlink ref="G7" r:id="rId3" xr:uid="{DD2B532B-0950-4C37-A611-BEB43ECD0B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7655-356A-4AB1-B6AB-1CF643E955B9}">
  <dimension ref="A1:M6"/>
  <sheetViews>
    <sheetView workbookViewId="0">
      <selection activeCell="O11" sqref="O11"/>
    </sheetView>
  </sheetViews>
  <sheetFormatPr defaultRowHeight="14.4" x14ac:dyDescent="0.3"/>
  <cols>
    <col min="1" max="1" width="14.88671875" bestFit="1" customWidth="1"/>
    <col min="3" max="3" width="11" bestFit="1" customWidth="1"/>
  </cols>
  <sheetData>
    <row r="1" spans="1:13" x14ac:dyDescent="0.3">
      <c r="A1" t="s">
        <v>165</v>
      </c>
      <c r="B1" t="s">
        <v>166</v>
      </c>
      <c r="C1" t="s">
        <v>168</v>
      </c>
      <c r="D1" t="s">
        <v>169</v>
      </c>
      <c r="J1" s="87">
        <v>0.25</v>
      </c>
    </row>
    <row r="2" spans="1:13" x14ac:dyDescent="0.3">
      <c r="A2">
        <f>80*18</f>
        <v>1440</v>
      </c>
      <c r="B2">
        <f>A2*2</f>
        <v>2880</v>
      </c>
      <c r="C2">
        <v>2160</v>
      </c>
      <c r="D2">
        <v>1000</v>
      </c>
      <c r="E2" t="s">
        <v>170</v>
      </c>
      <c r="F2">
        <f>SUM(D2:D18)</f>
        <v>3200</v>
      </c>
      <c r="G2">
        <f>F2-C2</f>
        <v>1040</v>
      </c>
      <c r="H2">
        <f>30*40</f>
        <v>1200</v>
      </c>
      <c r="I2">
        <f>H2*4</f>
        <v>4800</v>
      </c>
      <c r="J2">
        <v>1200</v>
      </c>
      <c r="K2">
        <f>I2-J2</f>
        <v>3600</v>
      </c>
      <c r="M2">
        <v>30000</v>
      </c>
    </row>
    <row r="3" spans="1:13" x14ac:dyDescent="0.3">
      <c r="D3">
        <v>1300</v>
      </c>
      <c r="E3" t="s">
        <v>48</v>
      </c>
    </row>
    <row r="4" spans="1:13" x14ac:dyDescent="0.3">
      <c r="D4">
        <v>500</v>
      </c>
      <c r="E4" t="s">
        <v>171</v>
      </c>
    </row>
    <row r="5" spans="1:13" x14ac:dyDescent="0.3">
      <c r="D5">
        <v>200</v>
      </c>
      <c r="E5" t="s">
        <v>172</v>
      </c>
    </row>
    <row r="6" spans="1:13" x14ac:dyDescent="0.3">
      <c r="D6">
        <v>200</v>
      </c>
      <c r="E6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9661-CA2A-4DB8-97C0-1DB85B0AF508}">
  <dimension ref="A1:T145"/>
  <sheetViews>
    <sheetView workbookViewId="0">
      <selection activeCell="L15" sqref="L15"/>
    </sheetView>
  </sheetViews>
  <sheetFormatPr defaultRowHeight="14.4" x14ac:dyDescent="0.3"/>
  <cols>
    <col min="2" max="2" width="10.5546875" bestFit="1" customWidth="1"/>
    <col min="3" max="3" width="8.88671875" style="50"/>
    <col min="4" max="4" width="11.109375" style="50" bestFit="1" customWidth="1"/>
    <col min="5" max="5" width="8.88671875" style="50"/>
    <col min="7" max="7" width="8.88671875" style="50"/>
    <col min="8" max="8" width="11.109375" style="50" bestFit="1" customWidth="1"/>
    <col min="9" max="9" width="11.109375" style="50" customWidth="1"/>
    <col min="10" max="10" width="10.44140625" style="50" bestFit="1" customWidth="1"/>
    <col min="11" max="15" width="8.88671875" style="50"/>
    <col min="18" max="18" width="12" bestFit="1" customWidth="1"/>
    <col min="19" max="19" width="14.6640625" bestFit="1" customWidth="1"/>
  </cols>
  <sheetData>
    <row r="1" spans="1:20" x14ac:dyDescent="0.3">
      <c r="A1" s="39" t="s">
        <v>69</v>
      </c>
      <c r="B1" s="39" t="s">
        <v>6</v>
      </c>
      <c r="C1" s="39" t="s">
        <v>99</v>
      </c>
      <c r="D1" s="39" t="s">
        <v>77</v>
      </c>
      <c r="E1" s="39" t="s">
        <v>99</v>
      </c>
      <c r="F1" s="39" t="s">
        <v>78</v>
      </c>
      <c r="G1" s="39" t="s">
        <v>99</v>
      </c>
      <c r="H1" s="39" t="s">
        <v>79</v>
      </c>
      <c r="I1" s="52" t="s">
        <v>89</v>
      </c>
      <c r="J1" s="39" t="s">
        <v>80</v>
      </c>
      <c r="K1" s="39" t="s">
        <v>81</v>
      </c>
      <c r="L1" s="39" t="s">
        <v>82</v>
      </c>
      <c r="M1" s="53" t="s">
        <v>90</v>
      </c>
      <c r="N1" s="54" t="s">
        <v>83</v>
      </c>
      <c r="O1" s="39" t="s">
        <v>72</v>
      </c>
      <c r="P1" s="70" t="s">
        <v>98</v>
      </c>
      <c r="Q1" s="69" t="s">
        <v>112</v>
      </c>
      <c r="R1" s="69" t="s">
        <v>113</v>
      </c>
      <c r="S1" s="69" t="s">
        <v>114</v>
      </c>
    </row>
    <row r="2" spans="1:20" x14ac:dyDescent="0.3">
      <c r="A2" s="94" t="s">
        <v>126</v>
      </c>
      <c r="B2" s="69" t="s">
        <v>155</v>
      </c>
      <c r="C2" s="80">
        <v>19</v>
      </c>
      <c r="D2" s="80">
        <v>70.25</v>
      </c>
      <c r="E2" s="80">
        <v>28.5</v>
      </c>
      <c r="F2" s="69">
        <v>6.17</v>
      </c>
      <c r="G2" s="80">
        <v>19</v>
      </c>
      <c r="H2" s="80">
        <v>16</v>
      </c>
      <c r="I2" s="81">
        <f t="shared" ref="I2:I26" si="0">C2*D2+E2*F2+G2*H2</f>
        <v>1814.595</v>
      </c>
      <c r="J2" s="80">
        <v>232.1</v>
      </c>
      <c r="K2" s="80">
        <v>30.12</v>
      </c>
      <c r="L2" s="80">
        <v>99.96</v>
      </c>
      <c r="M2" s="82">
        <f t="shared" ref="M2" si="1">J2+K2+L2</f>
        <v>362.17999999999995</v>
      </c>
      <c r="N2" s="83">
        <f t="shared" ref="N2" si="2">I2-M2</f>
        <v>1452.415</v>
      </c>
      <c r="O2" s="92">
        <f t="shared" ref="O2:O25" si="3">N2+N3</f>
        <v>3096.9949999999999</v>
      </c>
      <c r="P2" s="84"/>
      <c r="Q2" s="73">
        <f t="shared" ref="Q2" si="4">D2+F2+H2</f>
        <v>92.42</v>
      </c>
      <c r="R2" s="74">
        <f t="shared" ref="R2" si="5">N2*100/I2</f>
        <v>80.040725340916296</v>
      </c>
      <c r="S2" s="74">
        <f t="shared" ref="S2" si="6">100-R2</f>
        <v>19.959274659083704</v>
      </c>
      <c r="T2">
        <f t="shared" ref="T2" si="7">S2/Q2</f>
        <v>0.21596272082973061</v>
      </c>
    </row>
    <row r="3" spans="1:20" x14ac:dyDescent="0.3">
      <c r="A3" s="94"/>
      <c r="B3" s="85" t="s">
        <v>156</v>
      </c>
      <c r="C3" s="80">
        <v>19</v>
      </c>
      <c r="D3" s="80">
        <v>80</v>
      </c>
      <c r="E3" s="80">
        <v>28.5</v>
      </c>
      <c r="F3" s="69">
        <v>14.58</v>
      </c>
      <c r="G3" s="80">
        <v>19</v>
      </c>
      <c r="H3" s="80">
        <v>8</v>
      </c>
      <c r="I3" s="81">
        <f t="shared" si="0"/>
        <v>2087.5299999999997</v>
      </c>
      <c r="J3" s="80">
        <v>292.10000000000002</v>
      </c>
      <c r="K3" s="80">
        <v>34.65</v>
      </c>
      <c r="L3" s="80">
        <v>116.2</v>
      </c>
      <c r="M3" s="82">
        <f t="shared" ref="M3:M26" si="8">J3+K3+L3</f>
        <v>442.95</v>
      </c>
      <c r="N3" s="83">
        <f t="shared" ref="N3:N26" si="9">I3-M3</f>
        <v>1644.5799999999997</v>
      </c>
      <c r="O3" s="92"/>
      <c r="P3" s="84"/>
      <c r="Q3" s="73">
        <f t="shared" ref="Q3:Q26" si="10">D3+F3+H3</f>
        <v>102.58</v>
      </c>
      <c r="R3" s="74">
        <f t="shared" ref="R3:R26" si="11">N3*100/I3</f>
        <v>78.781143265006961</v>
      </c>
      <c r="S3" s="74">
        <f t="shared" ref="S3:S26" si="12">100-R3</f>
        <v>21.218856734993039</v>
      </c>
      <c r="T3">
        <f t="shared" ref="T3:T26" si="13">S3/Q3</f>
        <v>0.20685179113855567</v>
      </c>
    </row>
    <row r="4" spans="1:20" x14ac:dyDescent="0.3">
      <c r="A4" s="95" t="s">
        <v>130</v>
      </c>
      <c r="B4" s="69" t="s">
        <v>157</v>
      </c>
      <c r="C4" s="80">
        <v>19</v>
      </c>
      <c r="D4" s="80">
        <v>88</v>
      </c>
      <c r="E4" s="80">
        <v>28.5</v>
      </c>
      <c r="F4" s="69">
        <v>10.5</v>
      </c>
      <c r="G4" s="80"/>
      <c r="H4" s="80"/>
      <c r="I4" s="81">
        <f t="shared" si="0"/>
        <v>1971.25</v>
      </c>
      <c r="J4" s="80">
        <v>266.89</v>
      </c>
      <c r="K4" s="80">
        <v>32.72</v>
      </c>
      <c r="L4" s="80">
        <v>109.28</v>
      </c>
      <c r="M4" s="82">
        <f t="shared" si="8"/>
        <v>408.89</v>
      </c>
      <c r="N4" s="83">
        <f t="shared" si="9"/>
        <v>1562.3600000000001</v>
      </c>
      <c r="O4" s="92">
        <f>N4+N6</f>
        <v>2804.2650000000003</v>
      </c>
      <c r="P4" s="84"/>
      <c r="Q4" s="73">
        <f t="shared" si="10"/>
        <v>98.5</v>
      </c>
      <c r="R4" s="74">
        <f t="shared" si="11"/>
        <v>79.257324032973997</v>
      </c>
      <c r="S4" s="74">
        <f t="shared" si="12"/>
        <v>20.742675967026003</v>
      </c>
      <c r="T4">
        <f t="shared" si="13"/>
        <v>0.21058554281244674</v>
      </c>
    </row>
    <row r="5" spans="1:20" x14ac:dyDescent="0.3">
      <c r="A5" s="96"/>
      <c r="B5" s="69" t="s">
        <v>158</v>
      </c>
      <c r="C5" s="80">
        <v>19</v>
      </c>
      <c r="D5" s="80">
        <v>88</v>
      </c>
      <c r="E5" s="80">
        <v>28.5</v>
      </c>
      <c r="F5" s="69">
        <v>17.579999999999998</v>
      </c>
      <c r="G5" s="80"/>
      <c r="H5" s="80"/>
      <c r="I5" s="81">
        <f t="shared" ref="I5" si="14">C5*D5+E5*F5+G5*H5</f>
        <v>2173.0299999999997</v>
      </c>
      <c r="J5" s="80">
        <v>311.61</v>
      </c>
      <c r="K5" s="80">
        <v>36.07</v>
      </c>
      <c r="L5" s="80">
        <v>121.29</v>
      </c>
      <c r="M5" s="82">
        <f t="shared" ref="M5" si="15">J5+K5+L5</f>
        <v>468.97</v>
      </c>
      <c r="N5" s="83">
        <f t="shared" ref="N5" si="16">I5-M5</f>
        <v>1704.0599999999997</v>
      </c>
      <c r="O5" s="92"/>
      <c r="P5" s="84"/>
      <c r="Q5" s="73">
        <f t="shared" ref="Q5:Q6" si="17">D5+F5+H5</f>
        <v>105.58</v>
      </c>
      <c r="R5" s="74">
        <f t="shared" ref="R5:R6" si="18">N5*100/I5</f>
        <v>78.418613640860912</v>
      </c>
      <c r="S5" s="74">
        <f t="shared" ref="S5:S6" si="19">100-R5</f>
        <v>21.581386359139088</v>
      </c>
      <c r="T5">
        <f t="shared" ref="T5:T6" si="20">S5/Q5</f>
        <v>0.20440790262492034</v>
      </c>
    </row>
    <row r="6" spans="1:20" x14ac:dyDescent="0.3">
      <c r="A6" s="97"/>
      <c r="B6" s="69" t="s">
        <v>159</v>
      </c>
      <c r="C6" s="80">
        <v>19</v>
      </c>
      <c r="D6" s="80">
        <v>72.25</v>
      </c>
      <c r="E6" s="80">
        <v>28.5</v>
      </c>
      <c r="F6" s="69">
        <v>0.17</v>
      </c>
      <c r="G6" s="80">
        <v>19</v>
      </c>
      <c r="H6" s="80">
        <v>8</v>
      </c>
      <c r="I6" s="81">
        <f t="shared" si="0"/>
        <v>1529.595</v>
      </c>
      <c r="J6" s="80">
        <v>179.3</v>
      </c>
      <c r="K6" s="80">
        <v>25.39</v>
      </c>
      <c r="L6" s="80">
        <v>83</v>
      </c>
      <c r="M6" s="82">
        <f t="shared" si="8"/>
        <v>287.69</v>
      </c>
      <c r="N6" s="83">
        <f t="shared" si="9"/>
        <v>1241.905</v>
      </c>
      <c r="O6" s="92"/>
      <c r="P6" s="84"/>
      <c r="Q6" s="73">
        <f t="shared" si="17"/>
        <v>80.42</v>
      </c>
      <c r="R6" s="74">
        <f t="shared" si="18"/>
        <v>81.191753372624774</v>
      </c>
      <c r="S6" s="74">
        <f t="shared" si="19"/>
        <v>18.808246627375226</v>
      </c>
      <c r="T6">
        <f t="shared" si="20"/>
        <v>0.23387523784351189</v>
      </c>
    </row>
    <row r="7" spans="1:20" x14ac:dyDescent="0.3">
      <c r="A7" s="95" t="s">
        <v>131</v>
      </c>
      <c r="B7" s="69" t="s">
        <v>160</v>
      </c>
      <c r="C7" s="80">
        <v>19</v>
      </c>
      <c r="D7" s="80">
        <v>88</v>
      </c>
      <c r="E7" s="80">
        <v>28.5</v>
      </c>
      <c r="F7" s="69">
        <v>10.25</v>
      </c>
      <c r="G7" s="80"/>
      <c r="H7" s="80"/>
      <c r="I7" s="81">
        <f t="shared" si="0"/>
        <v>1964.125</v>
      </c>
      <c r="J7" s="80">
        <v>265.57</v>
      </c>
      <c r="K7" s="80">
        <v>32.6</v>
      </c>
      <c r="L7" s="80">
        <v>108.86</v>
      </c>
      <c r="M7" s="82">
        <f t="shared" si="8"/>
        <v>407.03000000000003</v>
      </c>
      <c r="N7" s="83">
        <f t="shared" si="9"/>
        <v>1557.095</v>
      </c>
      <c r="O7" s="92">
        <f t="shared" si="3"/>
        <v>3094.8199999999997</v>
      </c>
      <c r="P7" s="84"/>
      <c r="Q7" s="73">
        <f t="shared" si="10"/>
        <v>98.25</v>
      </c>
      <c r="R7" s="74">
        <f t="shared" si="11"/>
        <v>79.276777190861068</v>
      </c>
      <c r="S7" s="74">
        <f t="shared" si="12"/>
        <v>20.723222809138932</v>
      </c>
      <c r="T7">
        <f t="shared" si="13"/>
        <v>0.21092338737037081</v>
      </c>
    </row>
    <row r="8" spans="1:20" x14ac:dyDescent="0.3">
      <c r="A8" s="97"/>
      <c r="B8" s="69" t="s">
        <v>161</v>
      </c>
      <c r="C8" s="80">
        <v>19</v>
      </c>
      <c r="D8" s="80">
        <v>88</v>
      </c>
      <c r="E8" s="80">
        <v>28.5</v>
      </c>
      <c r="F8" s="69">
        <v>9.33</v>
      </c>
      <c r="G8" s="80"/>
      <c r="H8" s="80"/>
      <c r="I8" s="81">
        <f t="shared" si="0"/>
        <v>1937.905</v>
      </c>
      <c r="J8" s="80">
        <v>260.70999999999998</v>
      </c>
      <c r="K8" s="80">
        <v>32.17</v>
      </c>
      <c r="L8" s="80">
        <v>107.3</v>
      </c>
      <c r="M8" s="82">
        <f t="shared" si="8"/>
        <v>400.18</v>
      </c>
      <c r="N8" s="83">
        <f t="shared" si="9"/>
        <v>1537.7249999999999</v>
      </c>
      <c r="O8" s="92"/>
      <c r="P8" s="84"/>
      <c r="Q8" s="73">
        <f t="shared" si="10"/>
        <v>97.33</v>
      </c>
      <c r="R8" s="74">
        <f t="shared" si="11"/>
        <v>79.349864931459493</v>
      </c>
      <c r="S8" s="74">
        <f t="shared" si="12"/>
        <v>20.650135068540507</v>
      </c>
      <c r="T8">
        <f t="shared" si="13"/>
        <v>0.21216618790239913</v>
      </c>
    </row>
    <row r="9" spans="1:20" x14ac:dyDescent="0.3">
      <c r="A9" s="95" t="s">
        <v>132</v>
      </c>
      <c r="B9" s="69" t="s">
        <v>162</v>
      </c>
      <c r="C9" s="80">
        <v>19</v>
      </c>
      <c r="D9" s="80">
        <v>88</v>
      </c>
      <c r="E9" s="80">
        <v>28.5</v>
      </c>
      <c r="F9" s="69">
        <v>18.670000000000002</v>
      </c>
      <c r="G9" s="80"/>
      <c r="H9" s="80"/>
      <c r="I9" s="81">
        <f t="shared" si="0"/>
        <v>2204.0950000000003</v>
      </c>
      <c r="J9" s="80">
        <v>320.32</v>
      </c>
      <c r="K9" s="80">
        <v>36.590000000000003</v>
      </c>
      <c r="L9" s="80">
        <v>123.13</v>
      </c>
      <c r="M9" s="82">
        <f t="shared" si="8"/>
        <v>480.03999999999996</v>
      </c>
      <c r="N9" s="83">
        <f t="shared" si="9"/>
        <v>1724.0550000000003</v>
      </c>
      <c r="O9" s="92">
        <f t="shared" si="3"/>
        <v>2866.3950000000004</v>
      </c>
      <c r="P9" s="84"/>
      <c r="Q9" s="73">
        <f t="shared" si="10"/>
        <v>106.67</v>
      </c>
      <c r="R9" s="74">
        <f t="shared" si="11"/>
        <v>78.220539495802143</v>
      </c>
      <c r="S9" s="74">
        <f t="shared" si="12"/>
        <v>21.779460504197857</v>
      </c>
      <c r="T9">
        <f t="shared" si="13"/>
        <v>0.204176061724926</v>
      </c>
    </row>
    <row r="10" spans="1:20" x14ac:dyDescent="0.3">
      <c r="A10" s="97"/>
      <c r="B10" s="69" t="s">
        <v>163</v>
      </c>
      <c r="C10" s="80">
        <v>19</v>
      </c>
      <c r="D10" s="80">
        <v>73</v>
      </c>
      <c r="E10" s="80">
        <v>28.5</v>
      </c>
      <c r="F10" s="69">
        <v>0</v>
      </c>
      <c r="G10" s="80"/>
      <c r="H10" s="80"/>
      <c r="I10" s="81">
        <f t="shared" si="0"/>
        <v>1387</v>
      </c>
      <c r="J10" s="80">
        <v>147.12</v>
      </c>
      <c r="K10" s="80">
        <v>23.02</v>
      </c>
      <c r="L10" s="80">
        <v>74.52</v>
      </c>
      <c r="M10" s="82">
        <f t="shared" si="8"/>
        <v>244.66000000000003</v>
      </c>
      <c r="N10" s="83">
        <f t="shared" si="9"/>
        <v>1142.3399999999999</v>
      </c>
      <c r="O10" s="92"/>
      <c r="P10" s="84"/>
      <c r="Q10" s="73">
        <f t="shared" si="10"/>
        <v>73</v>
      </c>
      <c r="R10" s="74">
        <f t="shared" si="11"/>
        <v>82.360490266762781</v>
      </c>
      <c r="S10" s="74">
        <f t="shared" si="12"/>
        <v>17.639509733237219</v>
      </c>
      <c r="T10">
        <f t="shared" si="13"/>
        <v>0.24163711963338655</v>
      </c>
    </row>
    <row r="11" spans="1:20" x14ac:dyDescent="0.3">
      <c r="A11" s="95" t="s">
        <v>133</v>
      </c>
      <c r="B11" s="69"/>
      <c r="C11" s="80">
        <v>19</v>
      </c>
      <c r="D11" s="80"/>
      <c r="E11" s="80">
        <v>28.5</v>
      </c>
      <c r="F11" s="69"/>
      <c r="G11" s="80"/>
      <c r="H11" s="80"/>
      <c r="I11" s="81">
        <f t="shared" si="0"/>
        <v>0</v>
      </c>
      <c r="J11" s="80"/>
      <c r="K11" s="80"/>
      <c r="L11" s="80"/>
      <c r="M11" s="82">
        <f t="shared" si="8"/>
        <v>0</v>
      </c>
      <c r="N11" s="83">
        <f t="shared" si="9"/>
        <v>0</v>
      </c>
      <c r="O11" s="92">
        <f t="shared" si="3"/>
        <v>0</v>
      </c>
      <c r="P11" s="84"/>
      <c r="Q11" s="73">
        <f t="shared" si="10"/>
        <v>0</v>
      </c>
      <c r="R11" s="74" t="e">
        <f t="shared" si="11"/>
        <v>#DIV/0!</v>
      </c>
      <c r="S11" s="74" t="e">
        <f t="shared" si="12"/>
        <v>#DIV/0!</v>
      </c>
      <c r="T11" t="e">
        <f t="shared" si="13"/>
        <v>#DIV/0!</v>
      </c>
    </row>
    <row r="12" spans="1:20" x14ac:dyDescent="0.3">
      <c r="A12" s="97"/>
      <c r="B12" s="69"/>
      <c r="C12" s="80">
        <v>19</v>
      </c>
      <c r="D12" s="80"/>
      <c r="E12" s="80">
        <v>28.5</v>
      </c>
      <c r="F12" s="69"/>
      <c r="G12" s="80"/>
      <c r="H12" s="80"/>
      <c r="I12" s="81">
        <f t="shared" si="0"/>
        <v>0</v>
      </c>
      <c r="J12" s="80"/>
      <c r="K12" s="80"/>
      <c r="L12" s="80"/>
      <c r="M12" s="82">
        <f t="shared" si="8"/>
        <v>0</v>
      </c>
      <c r="N12" s="83">
        <f t="shared" si="9"/>
        <v>0</v>
      </c>
      <c r="O12" s="92"/>
      <c r="P12" s="84"/>
      <c r="Q12" s="73">
        <f t="shared" si="10"/>
        <v>0</v>
      </c>
      <c r="R12" s="74" t="e">
        <f t="shared" si="11"/>
        <v>#DIV/0!</v>
      </c>
      <c r="S12" s="74" t="e">
        <f t="shared" si="12"/>
        <v>#DIV/0!</v>
      </c>
      <c r="T12" t="e">
        <f t="shared" si="13"/>
        <v>#DIV/0!</v>
      </c>
    </row>
    <row r="13" spans="1:20" x14ac:dyDescent="0.3">
      <c r="A13" s="95" t="s">
        <v>134</v>
      </c>
      <c r="B13" s="69"/>
      <c r="C13" s="80">
        <v>19</v>
      </c>
      <c r="D13" s="80"/>
      <c r="E13" s="80">
        <v>28.5</v>
      </c>
      <c r="F13" s="69"/>
      <c r="G13" s="80"/>
      <c r="H13" s="80"/>
      <c r="I13" s="81">
        <f t="shared" si="0"/>
        <v>0</v>
      </c>
      <c r="J13" s="80"/>
      <c r="K13" s="80"/>
      <c r="L13" s="80"/>
      <c r="M13" s="82">
        <f t="shared" si="8"/>
        <v>0</v>
      </c>
      <c r="N13" s="83">
        <f t="shared" si="9"/>
        <v>0</v>
      </c>
      <c r="O13" s="92">
        <f t="shared" si="3"/>
        <v>1399.72</v>
      </c>
      <c r="P13" s="84"/>
      <c r="Q13" s="73">
        <f t="shared" si="10"/>
        <v>0</v>
      </c>
      <c r="R13" s="74" t="e">
        <f t="shared" si="11"/>
        <v>#DIV/0!</v>
      </c>
      <c r="S13" s="74" t="e">
        <f t="shared" si="12"/>
        <v>#DIV/0!</v>
      </c>
      <c r="T13" t="e">
        <f t="shared" si="13"/>
        <v>#DIV/0!</v>
      </c>
    </row>
    <row r="14" spans="1:20" x14ac:dyDescent="0.3">
      <c r="A14" s="97"/>
      <c r="B14" s="69" t="s">
        <v>167</v>
      </c>
      <c r="C14" s="80">
        <v>19</v>
      </c>
      <c r="D14" s="80">
        <v>88</v>
      </c>
      <c r="E14" s="80">
        <v>28.5</v>
      </c>
      <c r="F14" s="69">
        <v>2.5</v>
      </c>
      <c r="G14" s="80"/>
      <c r="H14" s="80"/>
      <c r="I14" s="81">
        <f t="shared" si="0"/>
        <v>1743.25</v>
      </c>
      <c r="J14" s="80">
        <v>218.88</v>
      </c>
      <c r="K14" s="80">
        <v>28.94</v>
      </c>
      <c r="L14" s="80">
        <v>95.71</v>
      </c>
      <c r="M14" s="82">
        <f t="shared" si="8"/>
        <v>343.53</v>
      </c>
      <c r="N14" s="83">
        <f t="shared" si="9"/>
        <v>1399.72</v>
      </c>
      <c r="O14" s="92"/>
      <c r="P14" s="84"/>
      <c r="Q14" s="73">
        <f t="shared" si="10"/>
        <v>90.5</v>
      </c>
      <c r="R14" s="74">
        <f t="shared" si="11"/>
        <v>80.29370428796787</v>
      </c>
      <c r="S14" s="74">
        <f t="shared" si="12"/>
        <v>19.70629571203213</v>
      </c>
      <c r="T14">
        <f t="shared" si="13"/>
        <v>0.21774912388985779</v>
      </c>
    </row>
    <row r="15" spans="1:20" x14ac:dyDescent="0.3">
      <c r="A15" s="95" t="s">
        <v>135</v>
      </c>
      <c r="B15" s="69"/>
      <c r="C15" s="80">
        <v>30</v>
      </c>
      <c r="D15" s="80">
        <v>80</v>
      </c>
      <c r="E15" s="80">
        <v>28.5</v>
      </c>
      <c r="F15" s="69"/>
      <c r="G15" s="80"/>
      <c r="H15" s="80"/>
      <c r="I15" s="81">
        <f t="shared" si="0"/>
        <v>2400</v>
      </c>
      <c r="J15" s="80"/>
      <c r="K15" s="80"/>
      <c r="L15" s="80">
        <v>500</v>
      </c>
      <c r="M15" s="82">
        <f t="shared" si="8"/>
        <v>500</v>
      </c>
      <c r="N15" s="83">
        <f t="shared" si="9"/>
        <v>1900</v>
      </c>
      <c r="O15" s="92">
        <f t="shared" si="3"/>
        <v>1900</v>
      </c>
      <c r="P15" s="84"/>
      <c r="Q15" s="73">
        <f t="shared" si="10"/>
        <v>80</v>
      </c>
      <c r="R15" s="74">
        <f t="shared" si="11"/>
        <v>79.166666666666671</v>
      </c>
      <c r="S15" s="74">
        <f t="shared" si="12"/>
        <v>20.833333333333329</v>
      </c>
      <c r="T15">
        <f t="shared" si="13"/>
        <v>0.26041666666666663</v>
      </c>
    </row>
    <row r="16" spans="1:20" x14ac:dyDescent="0.3">
      <c r="A16" s="97"/>
      <c r="B16" s="69"/>
      <c r="C16" s="80">
        <v>19</v>
      </c>
      <c r="D16" s="80"/>
      <c r="E16" s="80">
        <v>28.5</v>
      </c>
      <c r="F16" s="69"/>
      <c r="G16" s="80"/>
      <c r="H16" s="80"/>
      <c r="I16" s="81">
        <f t="shared" si="0"/>
        <v>0</v>
      </c>
      <c r="J16" s="80"/>
      <c r="K16" s="80"/>
      <c r="L16" s="80"/>
      <c r="M16" s="82">
        <f t="shared" si="8"/>
        <v>0</v>
      </c>
      <c r="N16" s="83">
        <f t="shared" si="9"/>
        <v>0</v>
      </c>
      <c r="O16" s="92"/>
      <c r="P16" s="84"/>
      <c r="Q16" s="73">
        <f t="shared" si="10"/>
        <v>0</v>
      </c>
      <c r="R16" s="74" t="e">
        <f t="shared" si="11"/>
        <v>#DIV/0!</v>
      </c>
      <c r="S16" s="74" t="e">
        <f t="shared" si="12"/>
        <v>#DIV/0!</v>
      </c>
      <c r="T16" t="e">
        <f t="shared" si="13"/>
        <v>#DIV/0!</v>
      </c>
    </row>
    <row r="17" spans="1:20" x14ac:dyDescent="0.3">
      <c r="A17" s="95" t="s">
        <v>136</v>
      </c>
      <c r="B17" s="69"/>
      <c r="C17" s="80">
        <v>19</v>
      </c>
      <c r="D17" s="80"/>
      <c r="E17" s="80">
        <v>28.5</v>
      </c>
      <c r="F17" s="69"/>
      <c r="G17" s="80"/>
      <c r="H17" s="80"/>
      <c r="I17" s="81">
        <f t="shared" si="0"/>
        <v>0</v>
      </c>
      <c r="J17" s="80"/>
      <c r="K17" s="80"/>
      <c r="L17" s="80"/>
      <c r="M17" s="82">
        <f t="shared" si="8"/>
        <v>0</v>
      </c>
      <c r="N17" s="83">
        <f t="shared" si="9"/>
        <v>0</v>
      </c>
      <c r="O17" s="92">
        <f t="shared" si="3"/>
        <v>0</v>
      </c>
      <c r="P17" s="84"/>
      <c r="Q17" s="73">
        <f t="shared" si="10"/>
        <v>0</v>
      </c>
      <c r="R17" s="74" t="e">
        <f t="shared" si="11"/>
        <v>#DIV/0!</v>
      </c>
      <c r="S17" s="74" t="e">
        <f t="shared" si="12"/>
        <v>#DIV/0!</v>
      </c>
      <c r="T17" t="e">
        <f t="shared" si="13"/>
        <v>#DIV/0!</v>
      </c>
    </row>
    <row r="18" spans="1:20" x14ac:dyDescent="0.3">
      <c r="A18" s="97"/>
      <c r="B18" s="69"/>
      <c r="C18" s="80">
        <v>19</v>
      </c>
      <c r="D18" s="80"/>
      <c r="E18" s="80">
        <v>28.5</v>
      </c>
      <c r="F18" s="69"/>
      <c r="G18" s="80"/>
      <c r="H18" s="80"/>
      <c r="I18" s="81">
        <f t="shared" si="0"/>
        <v>0</v>
      </c>
      <c r="J18" s="80"/>
      <c r="K18" s="80"/>
      <c r="L18" s="80"/>
      <c r="M18" s="82">
        <f t="shared" si="8"/>
        <v>0</v>
      </c>
      <c r="N18" s="83">
        <f t="shared" si="9"/>
        <v>0</v>
      </c>
      <c r="O18" s="92"/>
      <c r="P18" s="84"/>
      <c r="Q18" s="73">
        <f t="shared" si="10"/>
        <v>0</v>
      </c>
      <c r="R18" s="74" t="e">
        <f t="shared" si="11"/>
        <v>#DIV/0!</v>
      </c>
      <c r="S18" s="74" t="e">
        <f t="shared" si="12"/>
        <v>#DIV/0!</v>
      </c>
      <c r="T18" t="e">
        <f t="shared" si="13"/>
        <v>#DIV/0!</v>
      </c>
    </row>
    <row r="19" spans="1:20" x14ac:dyDescent="0.3">
      <c r="A19" s="95" t="s">
        <v>137</v>
      </c>
      <c r="B19" s="69"/>
      <c r="C19" s="80">
        <v>19</v>
      </c>
      <c r="D19" s="80"/>
      <c r="E19" s="80">
        <v>28.5</v>
      </c>
      <c r="F19" s="69"/>
      <c r="G19" s="80"/>
      <c r="H19" s="80"/>
      <c r="I19" s="81">
        <f t="shared" si="0"/>
        <v>0</v>
      </c>
      <c r="J19" s="80"/>
      <c r="K19" s="80"/>
      <c r="L19" s="80"/>
      <c r="M19" s="82">
        <f t="shared" si="8"/>
        <v>0</v>
      </c>
      <c r="N19" s="83">
        <f t="shared" si="9"/>
        <v>0</v>
      </c>
      <c r="O19" s="92">
        <f t="shared" si="3"/>
        <v>0</v>
      </c>
      <c r="P19" s="84"/>
      <c r="Q19" s="73">
        <f t="shared" si="10"/>
        <v>0</v>
      </c>
      <c r="R19" s="74" t="e">
        <f t="shared" si="11"/>
        <v>#DIV/0!</v>
      </c>
      <c r="S19" s="74" t="e">
        <f t="shared" si="12"/>
        <v>#DIV/0!</v>
      </c>
      <c r="T19" t="e">
        <f t="shared" si="13"/>
        <v>#DIV/0!</v>
      </c>
    </row>
    <row r="20" spans="1:20" x14ac:dyDescent="0.3">
      <c r="A20" s="97"/>
      <c r="B20" s="69"/>
      <c r="C20" s="80">
        <v>19</v>
      </c>
      <c r="D20" s="80"/>
      <c r="E20" s="80">
        <v>28.5</v>
      </c>
      <c r="F20" s="69"/>
      <c r="G20" s="80"/>
      <c r="H20" s="80"/>
      <c r="I20" s="81">
        <f t="shared" si="0"/>
        <v>0</v>
      </c>
      <c r="J20" s="80"/>
      <c r="K20" s="80"/>
      <c r="L20" s="80"/>
      <c r="M20" s="82">
        <f t="shared" si="8"/>
        <v>0</v>
      </c>
      <c r="N20" s="83">
        <f t="shared" si="9"/>
        <v>0</v>
      </c>
      <c r="O20" s="92"/>
      <c r="P20" s="84"/>
      <c r="Q20" s="73">
        <f t="shared" si="10"/>
        <v>0</v>
      </c>
      <c r="R20" s="74" t="e">
        <f t="shared" si="11"/>
        <v>#DIV/0!</v>
      </c>
      <c r="S20" s="74" t="e">
        <f t="shared" si="12"/>
        <v>#DIV/0!</v>
      </c>
      <c r="T20" t="e">
        <f t="shared" si="13"/>
        <v>#DIV/0!</v>
      </c>
    </row>
    <row r="21" spans="1:20" x14ac:dyDescent="0.3">
      <c r="A21" s="95" t="s">
        <v>127</v>
      </c>
      <c r="B21" s="69"/>
      <c r="C21" s="80">
        <v>19</v>
      </c>
      <c r="D21" s="80"/>
      <c r="E21" s="80">
        <v>28.5</v>
      </c>
      <c r="F21" s="69"/>
      <c r="G21" s="80"/>
      <c r="H21" s="80"/>
      <c r="I21" s="81">
        <f t="shared" si="0"/>
        <v>0</v>
      </c>
      <c r="J21" s="80"/>
      <c r="K21" s="80"/>
      <c r="L21" s="80"/>
      <c r="M21" s="82">
        <f t="shared" si="8"/>
        <v>0</v>
      </c>
      <c r="N21" s="83">
        <f t="shared" si="9"/>
        <v>0</v>
      </c>
      <c r="O21" s="92">
        <f t="shared" si="3"/>
        <v>0</v>
      </c>
      <c r="P21" s="84"/>
      <c r="Q21" s="73">
        <f t="shared" si="10"/>
        <v>0</v>
      </c>
      <c r="R21" s="74" t="e">
        <f t="shared" si="11"/>
        <v>#DIV/0!</v>
      </c>
      <c r="S21" s="74" t="e">
        <f t="shared" si="12"/>
        <v>#DIV/0!</v>
      </c>
      <c r="T21" t="e">
        <f t="shared" si="13"/>
        <v>#DIV/0!</v>
      </c>
    </row>
    <row r="22" spans="1:20" x14ac:dyDescent="0.3">
      <c r="A22" s="97"/>
      <c r="B22" s="69"/>
      <c r="C22" s="80">
        <v>19</v>
      </c>
      <c r="D22" s="80"/>
      <c r="E22" s="80">
        <v>28.5</v>
      </c>
      <c r="F22" s="69"/>
      <c r="G22" s="80"/>
      <c r="H22" s="80"/>
      <c r="I22" s="81">
        <f t="shared" si="0"/>
        <v>0</v>
      </c>
      <c r="J22" s="80"/>
      <c r="K22" s="80"/>
      <c r="L22" s="80"/>
      <c r="M22" s="82">
        <f t="shared" si="8"/>
        <v>0</v>
      </c>
      <c r="N22" s="83">
        <f t="shared" si="9"/>
        <v>0</v>
      </c>
      <c r="O22" s="92"/>
      <c r="P22" s="84"/>
      <c r="Q22" s="73">
        <f t="shared" si="10"/>
        <v>0</v>
      </c>
      <c r="R22" s="74" t="e">
        <f t="shared" si="11"/>
        <v>#DIV/0!</v>
      </c>
      <c r="S22" s="74" t="e">
        <f t="shared" si="12"/>
        <v>#DIV/0!</v>
      </c>
      <c r="T22" t="e">
        <f t="shared" si="13"/>
        <v>#DIV/0!</v>
      </c>
    </row>
    <row r="23" spans="1:20" x14ac:dyDescent="0.3">
      <c r="A23" s="94" t="s">
        <v>128</v>
      </c>
      <c r="B23" s="69"/>
      <c r="C23" s="80">
        <v>19</v>
      </c>
      <c r="D23" s="80"/>
      <c r="E23" s="80">
        <v>28.5</v>
      </c>
      <c r="F23" s="69"/>
      <c r="G23" s="80"/>
      <c r="H23" s="80"/>
      <c r="I23" s="81">
        <f t="shared" si="0"/>
        <v>0</v>
      </c>
      <c r="J23" s="80"/>
      <c r="K23" s="80"/>
      <c r="L23" s="80"/>
      <c r="M23" s="82">
        <f t="shared" si="8"/>
        <v>0</v>
      </c>
      <c r="N23" s="83">
        <f t="shared" si="9"/>
        <v>0</v>
      </c>
      <c r="O23" s="92">
        <f t="shared" si="3"/>
        <v>0</v>
      </c>
      <c r="P23" s="84"/>
      <c r="Q23" s="73">
        <f t="shared" si="10"/>
        <v>0</v>
      </c>
      <c r="R23" s="74" t="e">
        <f t="shared" si="11"/>
        <v>#DIV/0!</v>
      </c>
      <c r="S23" s="74" t="e">
        <f t="shared" si="12"/>
        <v>#DIV/0!</v>
      </c>
      <c r="T23" t="e">
        <f t="shared" si="13"/>
        <v>#DIV/0!</v>
      </c>
    </row>
    <row r="24" spans="1:20" x14ac:dyDescent="0.3">
      <c r="A24" s="94"/>
      <c r="B24" s="69"/>
      <c r="C24" s="80">
        <v>19</v>
      </c>
      <c r="D24" s="80"/>
      <c r="E24" s="80">
        <v>28.5</v>
      </c>
      <c r="F24" s="69"/>
      <c r="G24" s="80"/>
      <c r="H24" s="80"/>
      <c r="I24" s="81">
        <f t="shared" si="0"/>
        <v>0</v>
      </c>
      <c r="J24" s="80"/>
      <c r="K24" s="80"/>
      <c r="L24" s="80"/>
      <c r="M24" s="82">
        <f t="shared" si="8"/>
        <v>0</v>
      </c>
      <c r="N24" s="83">
        <f t="shared" si="9"/>
        <v>0</v>
      </c>
      <c r="O24" s="92"/>
      <c r="P24" s="84"/>
      <c r="Q24" s="73">
        <f t="shared" si="10"/>
        <v>0</v>
      </c>
      <c r="R24" s="74" t="e">
        <f t="shared" si="11"/>
        <v>#DIV/0!</v>
      </c>
      <c r="S24" s="74" t="e">
        <f t="shared" si="12"/>
        <v>#DIV/0!</v>
      </c>
      <c r="T24" t="e">
        <f t="shared" si="13"/>
        <v>#DIV/0!</v>
      </c>
    </row>
    <row r="25" spans="1:20" x14ac:dyDescent="0.3">
      <c r="A25" s="94" t="s">
        <v>129</v>
      </c>
      <c r="B25" s="69"/>
      <c r="C25" s="80">
        <v>19</v>
      </c>
      <c r="D25" s="80"/>
      <c r="E25" s="80">
        <v>28.5</v>
      </c>
      <c r="F25" s="69"/>
      <c r="G25" s="80"/>
      <c r="H25" s="80"/>
      <c r="I25" s="81">
        <f t="shared" si="0"/>
        <v>0</v>
      </c>
      <c r="J25" s="80"/>
      <c r="K25" s="80"/>
      <c r="L25" s="80"/>
      <c r="M25" s="82">
        <f t="shared" si="8"/>
        <v>0</v>
      </c>
      <c r="N25" s="83">
        <f t="shared" si="9"/>
        <v>0</v>
      </c>
      <c r="O25" s="92">
        <f t="shared" si="3"/>
        <v>0</v>
      </c>
      <c r="P25" s="84"/>
      <c r="Q25" s="73">
        <f t="shared" si="10"/>
        <v>0</v>
      </c>
      <c r="R25" s="74" t="e">
        <f t="shared" si="11"/>
        <v>#DIV/0!</v>
      </c>
      <c r="S25" s="74" t="e">
        <f t="shared" si="12"/>
        <v>#DIV/0!</v>
      </c>
      <c r="T25" t="e">
        <f t="shared" si="13"/>
        <v>#DIV/0!</v>
      </c>
    </row>
    <row r="26" spans="1:20" x14ac:dyDescent="0.3">
      <c r="A26" s="94"/>
      <c r="B26" s="69"/>
      <c r="C26" s="80">
        <v>19</v>
      </c>
      <c r="D26" s="80"/>
      <c r="E26" s="80">
        <v>28.5</v>
      </c>
      <c r="F26" s="69"/>
      <c r="G26" s="80"/>
      <c r="H26" s="80"/>
      <c r="I26" s="81">
        <f t="shared" si="0"/>
        <v>0</v>
      </c>
      <c r="J26" s="80"/>
      <c r="K26" s="80"/>
      <c r="L26" s="80"/>
      <c r="M26" s="82">
        <f t="shared" si="8"/>
        <v>0</v>
      </c>
      <c r="N26" s="83">
        <f t="shared" si="9"/>
        <v>0</v>
      </c>
      <c r="O26" s="92"/>
      <c r="P26" s="84"/>
      <c r="Q26" s="73">
        <f t="shared" si="10"/>
        <v>0</v>
      </c>
      <c r="R26" s="74" t="e">
        <f t="shared" si="11"/>
        <v>#DIV/0!</v>
      </c>
      <c r="S26" s="74" t="e">
        <f t="shared" si="12"/>
        <v>#DIV/0!</v>
      </c>
      <c r="T26" t="e">
        <f t="shared" si="13"/>
        <v>#DIV/0!</v>
      </c>
    </row>
    <row r="27" spans="1:20" x14ac:dyDescent="0.3">
      <c r="A27" s="69"/>
      <c r="B27" s="69"/>
      <c r="C27" s="80"/>
      <c r="D27" s="80"/>
      <c r="E27" s="80"/>
      <c r="F27" s="69"/>
      <c r="G27" s="80"/>
      <c r="H27" s="80"/>
      <c r="I27" s="81"/>
      <c r="J27" s="80"/>
      <c r="K27" s="80"/>
      <c r="L27" s="80"/>
      <c r="M27" s="82"/>
      <c r="N27" s="83"/>
      <c r="O27" s="79"/>
      <c r="P27" s="84"/>
      <c r="Q27" s="73"/>
      <c r="R27" s="74"/>
      <c r="S27" s="74"/>
    </row>
    <row r="28" spans="1:20" x14ac:dyDescent="0.3">
      <c r="A28" s="69"/>
      <c r="B28" s="69"/>
      <c r="C28" s="80"/>
      <c r="D28" s="80"/>
      <c r="E28" s="80"/>
      <c r="F28" s="69"/>
      <c r="G28" s="80"/>
      <c r="H28" s="80"/>
      <c r="I28" s="81"/>
      <c r="J28" s="80"/>
      <c r="K28" s="80"/>
      <c r="L28" s="80"/>
      <c r="M28" s="82"/>
      <c r="N28" s="83"/>
      <c r="O28" s="79"/>
      <c r="P28" s="84"/>
      <c r="Q28" s="73"/>
      <c r="R28" s="74"/>
      <c r="S28" s="74"/>
    </row>
    <row r="29" spans="1:20" x14ac:dyDescent="0.3">
      <c r="A29" s="69"/>
      <c r="B29" s="69"/>
      <c r="C29" s="80"/>
      <c r="D29" s="80"/>
      <c r="E29" s="80"/>
      <c r="F29" s="69"/>
      <c r="G29" s="80"/>
      <c r="H29" s="80"/>
      <c r="I29" s="81"/>
      <c r="J29" s="80"/>
      <c r="K29" s="80"/>
      <c r="L29" s="80"/>
      <c r="M29" s="82"/>
      <c r="N29" s="83"/>
      <c r="O29" s="79"/>
      <c r="P29" s="84"/>
      <c r="Q29" s="73"/>
      <c r="R29" s="74"/>
      <c r="S29" s="74"/>
    </row>
    <row r="30" spans="1:20" x14ac:dyDescent="0.3">
      <c r="A30" s="93" t="s">
        <v>84</v>
      </c>
      <c r="B30" s="59"/>
      <c r="C30" s="59"/>
      <c r="D30" s="59"/>
      <c r="E30" s="59"/>
      <c r="F30" s="59"/>
      <c r="G30" s="59"/>
      <c r="H30" s="80"/>
      <c r="I30" s="81">
        <f>C30*D30+E30*F30+G30*H30</f>
        <v>0</v>
      </c>
      <c r="J30" s="80"/>
      <c r="K30" s="80"/>
      <c r="L30" s="80"/>
      <c r="M30" s="82">
        <f t="shared" ref="M30:M39" si="21">J30+K30+L30</f>
        <v>0</v>
      </c>
      <c r="N30" s="83">
        <f t="shared" ref="N30:N39" si="22">I30-M30</f>
        <v>0</v>
      </c>
      <c r="O30" s="92">
        <f>N30+N31</f>
        <v>1085.8399999999999</v>
      </c>
      <c r="P30" s="71"/>
      <c r="Q30" s="73"/>
      <c r="R30" s="73"/>
      <c r="S30" s="73"/>
    </row>
    <row r="31" spans="1:20" x14ac:dyDescent="0.3">
      <c r="A31" s="93"/>
      <c r="B31" s="59" t="s">
        <v>95</v>
      </c>
      <c r="C31" s="80">
        <v>15.5</v>
      </c>
      <c r="D31" s="80">
        <v>85</v>
      </c>
      <c r="E31" s="69"/>
      <c r="F31" s="69"/>
      <c r="G31" s="80">
        <v>15.5</v>
      </c>
      <c r="H31" s="80"/>
      <c r="I31" s="81">
        <f>C31*D31+E31*F31+G31*H31</f>
        <v>1317.5</v>
      </c>
      <c r="J31" s="80">
        <v>139.80000000000001</v>
      </c>
      <c r="K31" s="80">
        <v>21.48</v>
      </c>
      <c r="L31" s="80">
        <v>70.38</v>
      </c>
      <c r="M31" s="82">
        <f t="shared" si="21"/>
        <v>231.66</v>
      </c>
      <c r="N31" s="83">
        <f t="shared" si="22"/>
        <v>1085.8399999999999</v>
      </c>
      <c r="O31" s="92"/>
      <c r="P31" s="71"/>
      <c r="Q31" s="74">
        <f>D31+F31+H31</f>
        <v>85</v>
      </c>
      <c r="R31" s="74">
        <f>N31*100/I31</f>
        <v>82.416698292220104</v>
      </c>
      <c r="S31" s="74">
        <f>100-R31</f>
        <v>17.583301707779896</v>
      </c>
      <c r="T31">
        <f t="shared" ref="T31:T48" si="23">S31/Q31</f>
        <v>0.20686237303270466</v>
      </c>
    </row>
    <row r="32" spans="1:20" x14ac:dyDescent="0.3">
      <c r="A32" s="94" t="s">
        <v>85</v>
      </c>
      <c r="B32" s="35" t="s">
        <v>96</v>
      </c>
      <c r="C32" s="80">
        <v>16</v>
      </c>
      <c r="D32" s="69">
        <v>83.67</v>
      </c>
      <c r="E32" s="69"/>
      <c r="F32" s="69"/>
      <c r="G32" s="80">
        <v>16</v>
      </c>
      <c r="H32" s="80"/>
      <c r="I32" s="81">
        <f>C32*D32+E32*F32+G32*H32</f>
        <v>1338.72</v>
      </c>
      <c r="J32" s="80">
        <v>143.74</v>
      </c>
      <c r="K32" s="80">
        <v>21.82</v>
      </c>
      <c r="L32" s="80">
        <v>71.64</v>
      </c>
      <c r="M32" s="82">
        <f t="shared" si="21"/>
        <v>237.2</v>
      </c>
      <c r="N32" s="83">
        <f t="shared" si="22"/>
        <v>1101.52</v>
      </c>
      <c r="O32" s="92">
        <f>N32+N33</f>
        <v>2308</v>
      </c>
      <c r="P32" s="72"/>
      <c r="Q32" s="74">
        <f t="shared" ref="Q32:Q49" si="24">D32+F32+H32</f>
        <v>83.67</v>
      </c>
      <c r="R32" s="74">
        <f>N32*100/I32</f>
        <v>82.281582407075419</v>
      </c>
      <c r="S32" s="74">
        <f>100-R32</f>
        <v>17.718417592924581</v>
      </c>
      <c r="T32">
        <f t="shared" si="23"/>
        <v>0.2117654785816252</v>
      </c>
    </row>
    <row r="33" spans="1:20" x14ac:dyDescent="0.3">
      <c r="A33" s="94"/>
      <c r="B33" s="35" t="s">
        <v>97</v>
      </c>
      <c r="C33" s="80">
        <v>16</v>
      </c>
      <c r="D33" s="69">
        <v>86.75</v>
      </c>
      <c r="E33" s="80">
        <v>24</v>
      </c>
      <c r="F33" s="69">
        <v>4.17</v>
      </c>
      <c r="G33" s="80">
        <v>16</v>
      </c>
      <c r="H33" s="80"/>
      <c r="I33" s="81">
        <f>C33*D33+E33*F33+G33*H33</f>
        <v>1488.08</v>
      </c>
      <c r="J33" s="80">
        <v>176.81</v>
      </c>
      <c r="K33" s="80">
        <v>24.26</v>
      </c>
      <c r="L33" s="80">
        <v>80.53</v>
      </c>
      <c r="M33" s="82">
        <f t="shared" si="21"/>
        <v>281.60000000000002</v>
      </c>
      <c r="N33" s="83">
        <f t="shared" si="22"/>
        <v>1206.48</v>
      </c>
      <c r="O33" s="92"/>
      <c r="P33" s="72"/>
      <c r="Q33" s="74">
        <f t="shared" si="24"/>
        <v>90.92</v>
      </c>
      <c r="R33" s="74">
        <f t="shared" ref="R33:R49" si="25">N33*100/I33</f>
        <v>81.076286221170903</v>
      </c>
      <c r="S33" s="74">
        <f t="shared" ref="S33:S49" si="26">100-R33</f>
        <v>18.923713778829097</v>
      </c>
      <c r="T33">
        <f t="shared" si="23"/>
        <v>0.2081358752620886</v>
      </c>
    </row>
    <row r="34" spans="1:20" x14ac:dyDescent="0.3">
      <c r="A34" s="94" t="s">
        <v>86</v>
      </c>
      <c r="B34" s="35" t="s">
        <v>100</v>
      </c>
      <c r="C34" s="69" t="s">
        <v>101</v>
      </c>
      <c r="D34" s="69" t="s">
        <v>102</v>
      </c>
      <c r="E34" s="80">
        <v>27</v>
      </c>
      <c r="F34" s="80">
        <v>0.5</v>
      </c>
      <c r="G34" s="80">
        <v>18</v>
      </c>
      <c r="H34" s="80">
        <v>8</v>
      </c>
      <c r="I34" s="81">
        <f>16*60.08+18*18.08+27*0.5+18*8</f>
        <v>1444.2199999999998</v>
      </c>
      <c r="J34" s="80">
        <v>166.08</v>
      </c>
      <c r="K34" s="80">
        <v>23.54</v>
      </c>
      <c r="L34" s="80">
        <v>77.92</v>
      </c>
      <c r="M34" s="82">
        <f t="shared" si="21"/>
        <v>267.54000000000002</v>
      </c>
      <c r="N34" s="83">
        <f t="shared" si="22"/>
        <v>1176.6799999999998</v>
      </c>
      <c r="O34" s="92">
        <f t="shared" ref="O34" si="27">N34+N35</f>
        <v>2789.6</v>
      </c>
      <c r="P34" s="72"/>
      <c r="Q34" s="74">
        <f>60.08+18.08+F34+H34</f>
        <v>86.66</v>
      </c>
      <c r="R34" s="74">
        <f t="shared" si="25"/>
        <v>81.475121518882162</v>
      </c>
      <c r="S34" s="74">
        <f t="shared" si="26"/>
        <v>18.524878481117838</v>
      </c>
      <c r="T34">
        <f t="shared" si="23"/>
        <v>0.21376504132376919</v>
      </c>
    </row>
    <row r="35" spans="1:20" x14ac:dyDescent="0.3">
      <c r="A35" s="94"/>
      <c r="B35" s="35" t="s">
        <v>103</v>
      </c>
      <c r="C35" s="80">
        <v>18</v>
      </c>
      <c r="D35" s="80">
        <v>88</v>
      </c>
      <c r="E35" s="80">
        <v>27</v>
      </c>
      <c r="F35" s="69">
        <v>17.420000000000002</v>
      </c>
      <c r="G35" s="80">
        <v>18</v>
      </c>
      <c r="H35" s="80"/>
      <c r="I35" s="81">
        <f>C35*D35+E35*F35+G35*H35</f>
        <v>2054.34</v>
      </c>
      <c r="J35" s="80">
        <v>293.70999999999998</v>
      </c>
      <c r="K35" s="80">
        <v>33.49</v>
      </c>
      <c r="L35" s="80">
        <v>114.22</v>
      </c>
      <c r="M35" s="82">
        <f t="shared" si="21"/>
        <v>441.41999999999996</v>
      </c>
      <c r="N35" s="83">
        <f t="shared" si="22"/>
        <v>1612.92</v>
      </c>
      <c r="O35" s="92"/>
      <c r="P35" s="72"/>
      <c r="Q35" s="74">
        <f t="shared" si="24"/>
        <v>105.42</v>
      </c>
      <c r="R35" s="74">
        <f t="shared" si="25"/>
        <v>78.512807032915674</v>
      </c>
      <c r="S35" s="74">
        <f t="shared" si="26"/>
        <v>21.487192967084326</v>
      </c>
      <c r="T35">
        <f t="shared" si="23"/>
        <v>0.20382463448192303</v>
      </c>
    </row>
    <row r="36" spans="1:20" x14ac:dyDescent="0.3">
      <c r="A36" s="94" t="s">
        <v>87</v>
      </c>
      <c r="B36" s="35" t="s">
        <v>93</v>
      </c>
      <c r="C36" s="80">
        <v>18</v>
      </c>
      <c r="D36" s="80">
        <v>88</v>
      </c>
      <c r="E36" s="80">
        <v>27</v>
      </c>
      <c r="F36" s="80">
        <v>10</v>
      </c>
      <c r="G36" s="80">
        <v>18</v>
      </c>
      <c r="H36" s="80"/>
      <c r="I36" s="81">
        <f>C36*D36+E36*F36+G36*H36</f>
        <v>1854</v>
      </c>
      <c r="J36" s="80">
        <v>244.99</v>
      </c>
      <c r="K36" s="80">
        <v>30.22</v>
      </c>
      <c r="L36" s="80">
        <v>102.3</v>
      </c>
      <c r="M36" s="82">
        <f t="shared" si="21"/>
        <v>377.51000000000005</v>
      </c>
      <c r="N36" s="83">
        <f t="shared" si="22"/>
        <v>1476.49</v>
      </c>
      <c r="O36" s="92">
        <f t="shared" ref="O36" si="28">N36+N37</f>
        <v>2911.49</v>
      </c>
      <c r="P36" s="72"/>
      <c r="Q36" s="74">
        <f t="shared" si="24"/>
        <v>98</v>
      </c>
      <c r="R36" s="74">
        <f t="shared" si="25"/>
        <v>79.638079827400219</v>
      </c>
      <c r="S36" s="74">
        <f t="shared" si="26"/>
        <v>20.361920172599781</v>
      </c>
      <c r="T36">
        <f t="shared" si="23"/>
        <v>0.20777469563877327</v>
      </c>
    </row>
    <row r="37" spans="1:20" x14ac:dyDescent="0.3">
      <c r="A37" s="94"/>
      <c r="B37" s="35" t="s">
        <v>88</v>
      </c>
      <c r="C37" s="80">
        <v>18</v>
      </c>
      <c r="D37" s="80">
        <v>80</v>
      </c>
      <c r="E37" s="80">
        <v>27</v>
      </c>
      <c r="F37" s="69">
        <v>7.92</v>
      </c>
      <c r="G37" s="80">
        <v>18</v>
      </c>
      <c r="H37" s="80">
        <v>8</v>
      </c>
      <c r="I37" s="81">
        <f t="shared" ref="I37:I39" si="29">C37*D37+E37*F37+G37*H37</f>
        <v>1797.84</v>
      </c>
      <c r="J37" s="80">
        <v>234.58</v>
      </c>
      <c r="K37" s="80">
        <v>29.3</v>
      </c>
      <c r="L37" s="80">
        <v>98.96</v>
      </c>
      <c r="M37" s="82">
        <f t="shared" si="21"/>
        <v>362.84</v>
      </c>
      <c r="N37" s="83">
        <f t="shared" si="22"/>
        <v>1435</v>
      </c>
      <c r="O37" s="92"/>
      <c r="P37" s="72"/>
      <c r="Q37" s="74">
        <f t="shared" si="24"/>
        <v>95.92</v>
      </c>
      <c r="R37" s="74">
        <f t="shared" si="25"/>
        <v>79.818003826814405</v>
      </c>
      <c r="S37" s="74">
        <f t="shared" si="26"/>
        <v>20.181996173185595</v>
      </c>
      <c r="T37">
        <f t="shared" si="23"/>
        <v>0.21040446385723097</v>
      </c>
    </row>
    <row r="38" spans="1:20" x14ac:dyDescent="0.3">
      <c r="A38" s="95" t="s">
        <v>91</v>
      </c>
      <c r="B38" s="35" t="s">
        <v>107</v>
      </c>
      <c r="C38" s="80">
        <v>18</v>
      </c>
      <c r="D38" s="80">
        <v>88</v>
      </c>
      <c r="E38" s="80">
        <v>27</v>
      </c>
      <c r="F38" s="69">
        <v>13.58</v>
      </c>
      <c r="G38" s="80">
        <v>18</v>
      </c>
      <c r="H38" s="80"/>
      <c r="I38" s="81">
        <f t="shared" si="29"/>
        <v>1950.66</v>
      </c>
      <c r="J38" s="80">
        <v>270.27999999999997</v>
      </c>
      <c r="K38" s="80">
        <v>31.8</v>
      </c>
      <c r="L38" s="80">
        <v>108.06</v>
      </c>
      <c r="M38" s="82">
        <f t="shared" si="21"/>
        <v>410.14</v>
      </c>
      <c r="N38" s="83">
        <f t="shared" si="22"/>
        <v>1540.52</v>
      </c>
      <c r="O38" s="98">
        <f>N38+N39+N40</f>
        <v>4647.13</v>
      </c>
      <c r="P38" s="72"/>
      <c r="Q38" s="74">
        <f t="shared" si="24"/>
        <v>101.58</v>
      </c>
      <c r="R38" s="74">
        <f t="shared" si="25"/>
        <v>78.974295879343401</v>
      </c>
      <c r="S38" s="74">
        <f t="shared" si="26"/>
        <v>21.025704120656599</v>
      </c>
      <c r="T38">
        <f t="shared" si="23"/>
        <v>0.20698665210333334</v>
      </c>
    </row>
    <row r="39" spans="1:20" x14ac:dyDescent="0.3">
      <c r="A39" s="96"/>
      <c r="B39" s="35" t="s">
        <v>94</v>
      </c>
      <c r="C39" s="80">
        <v>18</v>
      </c>
      <c r="D39" s="80">
        <v>71.75</v>
      </c>
      <c r="E39" s="80">
        <v>27</v>
      </c>
      <c r="F39" s="69">
        <v>11.67</v>
      </c>
      <c r="G39" s="80">
        <v>18</v>
      </c>
      <c r="H39" s="80">
        <v>8</v>
      </c>
      <c r="I39" s="81">
        <f t="shared" si="29"/>
        <v>1750.59</v>
      </c>
      <c r="J39" s="80">
        <v>225.83</v>
      </c>
      <c r="K39" s="80">
        <v>28.53</v>
      </c>
      <c r="L39" s="80">
        <v>96.15</v>
      </c>
      <c r="M39" s="82">
        <f t="shared" si="21"/>
        <v>350.51</v>
      </c>
      <c r="N39" s="83">
        <f t="shared" si="22"/>
        <v>1400.08</v>
      </c>
      <c r="O39" s="99"/>
      <c r="P39" s="72"/>
      <c r="Q39" s="74">
        <f t="shared" si="24"/>
        <v>91.42</v>
      </c>
      <c r="R39" s="74">
        <f t="shared" si="25"/>
        <v>79.97760754945476</v>
      </c>
      <c r="S39" s="74">
        <f t="shared" si="26"/>
        <v>20.02239245054524</v>
      </c>
      <c r="T39">
        <f t="shared" si="23"/>
        <v>0.2190154501262879</v>
      </c>
    </row>
    <row r="40" spans="1:20" x14ac:dyDescent="0.3">
      <c r="A40" s="97"/>
      <c r="B40" s="35" t="s">
        <v>108</v>
      </c>
      <c r="C40" s="80">
        <v>18</v>
      </c>
      <c r="D40" s="80">
        <v>88</v>
      </c>
      <c r="E40" s="80">
        <v>27</v>
      </c>
      <c r="F40" s="69">
        <v>22.75</v>
      </c>
      <c r="G40" s="80">
        <v>18</v>
      </c>
      <c r="H40" s="80"/>
      <c r="I40" s="81">
        <f t="shared" ref="I40:I48" si="30">C40*D40+E40*F40+G40*H40</f>
        <v>2198.25</v>
      </c>
      <c r="J40" s="80">
        <v>333.1</v>
      </c>
      <c r="K40" s="80">
        <v>35.83</v>
      </c>
      <c r="L40" s="80">
        <v>122.79</v>
      </c>
      <c r="M40" s="82">
        <f t="shared" ref="M40:M49" si="31">J40+K40+L40</f>
        <v>491.72</v>
      </c>
      <c r="N40" s="83">
        <f t="shared" ref="N40:N49" si="32">I40-M40</f>
        <v>1706.53</v>
      </c>
      <c r="O40" s="100"/>
      <c r="P40" s="72"/>
      <c r="Q40" s="74">
        <f t="shared" si="24"/>
        <v>110.75</v>
      </c>
      <c r="R40" s="74">
        <f t="shared" si="25"/>
        <v>77.63129762310929</v>
      </c>
      <c r="S40" s="74">
        <f t="shared" si="26"/>
        <v>22.36870237689071</v>
      </c>
      <c r="T40">
        <f t="shared" si="23"/>
        <v>0.20197473929472423</v>
      </c>
    </row>
    <row r="41" spans="1:20" x14ac:dyDescent="0.3">
      <c r="A41" s="94" t="s">
        <v>92</v>
      </c>
      <c r="B41" s="35" t="s">
        <v>111</v>
      </c>
      <c r="C41" s="80">
        <v>18</v>
      </c>
      <c r="D41" s="80">
        <v>80</v>
      </c>
      <c r="E41" s="80">
        <v>27</v>
      </c>
      <c r="F41" s="69">
        <v>25.25</v>
      </c>
      <c r="G41" s="80">
        <v>18</v>
      </c>
      <c r="H41" s="80">
        <v>8</v>
      </c>
      <c r="I41" s="81">
        <f t="shared" si="30"/>
        <v>2265.75</v>
      </c>
      <c r="J41" s="80">
        <v>352.02</v>
      </c>
      <c r="K41" s="80">
        <v>36.93</v>
      </c>
      <c r="L41" s="80">
        <v>126.8</v>
      </c>
      <c r="M41" s="82">
        <f t="shared" si="31"/>
        <v>515.75</v>
      </c>
      <c r="N41" s="83">
        <f t="shared" si="32"/>
        <v>1750</v>
      </c>
      <c r="O41" s="92">
        <f t="shared" ref="O41" si="33">N41+N42</f>
        <v>3701.9700000000003</v>
      </c>
      <c r="P41" s="72"/>
      <c r="Q41" s="74">
        <f t="shared" si="24"/>
        <v>113.25</v>
      </c>
      <c r="R41" s="74">
        <f t="shared" si="25"/>
        <v>77.237117952112982</v>
      </c>
      <c r="S41" s="74">
        <f t="shared" si="26"/>
        <v>22.762882047887018</v>
      </c>
      <c r="T41">
        <f t="shared" si="23"/>
        <v>0.20099675097471981</v>
      </c>
    </row>
    <row r="42" spans="1:20" x14ac:dyDescent="0.3">
      <c r="A42" s="94"/>
      <c r="B42" s="35" t="s">
        <v>115</v>
      </c>
      <c r="C42" s="80">
        <v>18</v>
      </c>
      <c r="D42" s="80">
        <v>88</v>
      </c>
      <c r="E42" s="80">
        <v>27</v>
      </c>
      <c r="F42" s="69">
        <v>36.92</v>
      </c>
      <c r="G42" s="80">
        <v>18</v>
      </c>
      <c r="H42" s="80"/>
      <c r="I42" s="81">
        <f t="shared" si="30"/>
        <v>2580.84</v>
      </c>
      <c r="J42" s="80">
        <v>441.25</v>
      </c>
      <c r="K42" s="80">
        <v>42.07</v>
      </c>
      <c r="L42" s="80">
        <v>145.55000000000001</v>
      </c>
      <c r="M42" s="82">
        <f t="shared" si="31"/>
        <v>628.87</v>
      </c>
      <c r="N42" s="83">
        <f t="shared" si="32"/>
        <v>1951.9700000000003</v>
      </c>
      <c r="O42" s="92"/>
      <c r="P42" s="72"/>
      <c r="Q42" s="74">
        <f t="shared" si="24"/>
        <v>124.92</v>
      </c>
      <c r="R42" s="74">
        <f t="shared" si="25"/>
        <v>75.633127198896489</v>
      </c>
      <c r="S42" s="74">
        <f t="shared" si="26"/>
        <v>24.366872801103511</v>
      </c>
      <c r="T42">
        <f t="shared" si="23"/>
        <v>0.19505982069407229</v>
      </c>
    </row>
    <row r="43" spans="1:20" x14ac:dyDescent="0.3">
      <c r="A43" s="94" t="s">
        <v>104</v>
      </c>
      <c r="B43" s="35" t="s">
        <v>116</v>
      </c>
      <c r="C43" s="80">
        <v>18</v>
      </c>
      <c r="D43" s="80">
        <v>88</v>
      </c>
      <c r="E43" s="80">
        <v>27</v>
      </c>
      <c r="F43" s="69">
        <v>41.5</v>
      </c>
      <c r="G43" s="80">
        <v>18</v>
      </c>
      <c r="H43" s="80"/>
      <c r="I43" s="81">
        <f t="shared" si="30"/>
        <v>2704.5</v>
      </c>
      <c r="J43" s="80">
        <v>477.55</v>
      </c>
      <c r="K43" s="80">
        <v>44.08</v>
      </c>
      <c r="L43" s="80">
        <v>152.91</v>
      </c>
      <c r="M43" s="82">
        <f t="shared" si="31"/>
        <v>674.54</v>
      </c>
      <c r="N43" s="83">
        <f t="shared" si="32"/>
        <v>2029.96</v>
      </c>
      <c r="O43" s="92">
        <f t="shared" ref="O43" si="34">N43+N44</f>
        <v>3499.26</v>
      </c>
      <c r="P43" s="72"/>
      <c r="Q43" s="73">
        <f t="shared" si="24"/>
        <v>129.5</v>
      </c>
      <c r="R43" s="74">
        <f t="shared" si="25"/>
        <v>75.058606026992052</v>
      </c>
      <c r="S43" s="74">
        <f t="shared" si="26"/>
        <v>24.941393973007948</v>
      </c>
      <c r="T43">
        <f t="shared" si="23"/>
        <v>0.19259763685720424</v>
      </c>
    </row>
    <row r="44" spans="1:20" x14ac:dyDescent="0.3">
      <c r="A44" s="94"/>
      <c r="B44" s="35" t="s">
        <v>119</v>
      </c>
      <c r="C44" s="80">
        <v>18</v>
      </c>
      <c r="D44" s="80">
        <v>78.83</v>
      </c>
      <c r="E44" s="80">
        <v>27</v>
      </c>
      <c r="F44" s="69">
        <v>10.42</v>
      </c>
      <c r="G44" s="80">
        <v>18</v>
      </c>
      <c r="H44" s="80">
        <v>8</v>
      </c>
      <c r="I44" s="81">
        <f t="shared" si="30"/>
        <v>1844.28</v>
      </c>
      <c r="J44" s="80">
        <v>243.19</v>
      </c>
      <c r="K44" s="80">
        <v>30.06</v>
      </c>
      <c r="L44" s="80">
        <v>101.73</v>
      </c>
      <c r="M44" s="82">
        <f t="shared" si="31"/>
        <v>374.98</v>
      </c>
      <c r="N44" s="83">
        <f t="shared" si="32"/>
        <v>1469.3</v>
      </c>
      <c r="O44" s="92"/>
      <c r="P44" s="72"/>
      <c r="Q44" s="73">
        <f t="shared" si="24"/>
        <v>97.25</v>
      </c>
      <c r="R44" s="74">
        <f t="shared" si="25"/>
        <v>79.667946298826649</v>
      </c>
      <c r="S44" s="74">
        <f t="shared" si="26"/>
        <v>20.332053701173351</v>
      </c>
      <c r="T44">
        <f t="shared" si="23"/>
        <v>0.20906996093751518</v>
      </c>
    </row>
    <row r="45" spans="1:20" x14ac:dyDescent="0.3">
      <c r="A45" s="94" t="s">
        <v>105</v>
      </c>
      <c r="B45" s="35" t="s">
        <v>121</v>
      </c>
      <c r="C45" s="80">
        <v>18</v>
      </c>
      <c r="D45" s="80">
        <v>88</v>
      </c>
      <c r="E45" s="80">
        <v>27</v>
      </c>
      <c r="F45" s="69">
        <v>14.5</v>
      </c>
      <c r="G45" s="80">
        <v>18</v>
      </c>
      <c r="H45" s="80"/>
      <c r="I45" s="81">
        <f t="shared" si="30"/>
        <v>1975.5</v>
      </c>
      <c r="J45" s="80">
        <v>275.89999999999998</v>
      </c>
      <c r="K45" s="80">
        <v>32.200000000000003</v>
      </c>
      <c r="L45" s="80">
        <v>109.53</v>
      </c>
      <c r="M45" s="82">
        <f t="shared" si="31"/>
        <v>417.63</v>
      </c>
      <c r="N45" s="83">
        <f t="shared" si="32"/>
        <v>1557.87</v>
      </c>
      <c r="O45" s="92">
        <f t="shared" ref="O45" si="35">N45+N46</f>
        <v>3099.4449999999997</v>
      </c>
      <c r="P45" s="72"/>
      <c r="Q45" s="73">
        <f t="shared" si="24"/>
        <v>102.5</v>
      </c>
      <c r="R45" s="74">
        <f t="shared" si="25"/>
        <v>78.859529233105548</v>
      </c>
      <c r="S45" s="74">
        <f t="shared" si="26"/>
        <v>21.140470766894452</v>
      </c>
      <c r="T45">
        <f t="shared" si="23"/>
        <v>0.20624849528677514</v>
      </c>
    </row>
    <row r="46" spans="1:20" x14ac:dyDescent="0.3">
      <c r="A46" s="94"/>
      <c r="B46" s="35" t="s">
        <v>122</v>
      </c>
      <c r="C46" s="80">
        <v>19</v>
      </c>
      <c r="D46" s="80">
        <v>88</v>
      </c>
      <c r="E46" s="80">
        <v>28.5</v>
      </c>
      <c r="F46" s="69">
        <v>9.83</v>
      </c>
      <c r="G46" s="80">
        <v>19</v>
      </c>
      <c r="H46" s="80"/>
      <c r="I46" s="81">
        <f t="shared" si="30"/>
        <v>1952.155</v>
      </c>
      <c r="J46" s="80">
        <v>270.62</v>
      </c>
      <c r="K46" s="80">
        <v>31.82</v>
      </c>
      <c r="L46" s="80">
        <v>108.14</v>
      </c>
      <c r="M46" s="82">
        <f t="shared" si="31"/>
        <v>410.58</v>
      </c>
      <c r="N46" s="83">
        <f t="shared" si="32"/>
        <v>1541.575</v>
      </c>
      <c r="O46" s="92"/>
      <c r="P46" s="72"/>
      <c r="Q46" s="73">
        <f t="shared" si="24"/>
        <v>97.83</v>
      </c>
      <c r="R46" s="74">
        <f t="shared" si="25"/>
        <v>78.967858597293755</v>
      </c>
      <c r="S46" s="74">
        <f t="shared" si="26"/>
        <v>21.032141402706245</v>
      </c>
      <c r="T46">
        <f t="shared" si="23"/>
        <v>0.21498662376271332</v>
      </c>
    </row>
    <row r="47" spans="1:20" x14ac:dyDescent="0.3">
      <c r="A47" s="95" t="s">
        <v>106</v>
      </c>
      <c r="B47" s="35" t="s">
        <v>123</v>
      </c>
      <c r="C47" s="80">
        <v>19</v>
      </c>
      <c r="D47" s="80">
        <v>88</v>
      </c>
      <c r="E47" s="80">
        <v>28.5</v>
      </c>
      <c r="F47" s="69">
        <v>7.17</v>
      </c>
      <c r="G47" s="80">
        <v>19</v>
      </c>
      <c r="H47" s="80"/>
      <c r="I47" s="81">
        <f t="shared" si="30"/>
        <v>1876.345</v>
      </c>
      <c r="J47" s="80">
        <v>252.32</v>
      </c>
      <c r="K47" s="80">
        <v>30.58</v>
      </c>
      <c r="L47" s="80">
        <v>103.63</v>
      </c>
      <c r="M47" s="82">
        <f t="shared" si="31"/>
        <v>386.53</v>
      </c>
      <c r="N47" s="83">
        <f t="shared" si="32"/>
        <v>1489.8150000000001</v>
      </c>
      <c r="O47" s="98">
        <f>N47+N48+N49</f>
        <v>4535.99</v>
      </c>
      <c r="P47" s="72"/>
      <c r="Q47" s="73">
        <f t="shared" si="24"/>
        <v>95.17</v>
      </c>
      <c r="R47" s="74">
        <f t="shared" si="25"/>
        <v>79.399843845348272</v>
      </c>
      <c r="S47" s="74">
        <f t="shared" si="26"/>
        <v>20.600156154651728</v>
      </c>
      <c r="T47">
        <f t="shared" si="23"/>
        <v>0.21645640595410032</v>
      </c>
    </row>
    <row r="48" spans="1:20" x14ac:dyDescent="0.3">
      <c r="A48" s="96"/>
      <c r="B48" s="35" t="s">
        <v>124</v>
      </c>
      <c r="C48" s="80">
        <v>19</v>
      </c>
      <c r="D48" s="80">
        <v>88</v>
      </c>
      <c r="E48" s="80">
        <v>28.5</v>
      </c>
      <c r="F48" s="69">
        <v>33.25</v>
      </c>
      <c r="G48" s="80">
        <v>19</v>
      </c>
      <c r="H48" s="80"/>
      <c r="I48" s="81">
        <f t="shared" si="30"/>
        <v>2619.625</v>
      </c>
      <c r="J48" s="80">
        <v>452.64</v>
      </c>
      <c r="K48" s="80">
        <v>42.7</v>
      </c>
      <c r="L48" s="80">
        <v>147.86000000000001</v>
      </c>
      <c r="M48" s="82">
        <f t="shared" si="31"/>
        <v>643.20000000000005</v>
      </c>
      <c r="N48" s="83">
        <f t="shared" si="32"/>
        <v>1976.425</v>
      </c>
      <c r="O48" s="99"/>
      <c r="P48" s="72"/>
      <c r="Q48" s="73">
        <f t="shared" si="24"/>
        <v>121.25</v>
      </c>
      <c r="R48" s="74">
        <f t="shared" si="25"/>
        <v>75.446867395142434</v>
      </c>
      <c r="S48" s="74">
        <f t="shared" si="26"/>
        <v>24.553132604857566</v>
      </c>
      <c r="T48">
        <f t="shared" si="23"/>
        <v>0.20250006272047477</v>
      </c>
    </row>
    <row r="49" spans="1:19" x14ac:dyDescent="0.3">
      <c r="A49" s="97"/>
      <c r="B49" s="75" t="s">
        <v>124</v>
      </c>
      <c r="C49" s="101" t="s">
        <v>125</v>
      </c>
      <c r="D49" s="102"/>
      <c r="E49" s="102"/>
      <c r="F49" s="102"/>
      <c r="G49" s="103"/>
      <c r="H49" s="80"/>
      <c r="I49" s="81">
        <v>1295.73</v>
      </c>
      <c r="J49" s="80">
        <v>135.77000000000001</v>
      </c>
      <c r="K49" s="80">
        <v>21.12</v>
      </c>
      <c r="L49" s="80">
        <v>69.09</v>
      </c>
      <c r="M49" s="82">
        <f t="shared" si="31"/>
        <v>225.98000000000002</v>
      </c>
      <c r="N49" s="83">
        <f t="shared" si="32"/>
        <v>1069.75</v>
      </c>
      <c r="O49" s="100"/>
      <c r="P49" s="72"/>
      <c r="Q49" s="73">
        <f t="shared" si="24"/>
        <v>0</v>
      </c>
      <c r="R49" s="74">
        <f t="shared" si="25"/>
        <v>82.559638196229145</v>
      </c>
      <c r="S49" s="74">
        <f t="shared" si="26"/>
        <v>17.440361803770855</v>
      </c>
    </row>
    <row r="50" spans="1:19" x14ac:dyDescent="0.3">
      <c r="A50" s="94"/>
      <c r="B50" s="35"/>
      <c r="C50" s="55"/>
      <c r="D50" s="55"/>
      <c r="E50" s="55"/>
      <c r="F50" s="35"/>
      <c r="G50" s="55"/>
      <c r="H50" s="55"/>
      <c r="I50" s="56"/>
      <c r="J50" s="55"/>
      <c r="K50" s="55"/>
      <c r="L50" s="55"/>
      <c r="M50" s="57"/>
      <c r="N50" s="58"/>
      <c r="O50" s="92"/>
      <c r="P50" s="72"/>
      <c r="Q50" s="73"/>
      <c r="R50" s="73"/>
      <c r="S50" s="73"/>
    </row>
    <row r="51" spans="1:19" x14ac:dyDescent="0.3">
      <c r="A51" s="94"/>
      <c r="B51" s="35"/>
      <c r="C51" s="55"/>
      <c r="D51" s="55"/>
      <c r="E51" s="55"/>
      <c r="F51" s="35"/>
      <c r="G51" s="55"/>
      <c r="H51" s="55"/>
      <c r="I51" s="56"/>
      <c r="J51" s="55"/>
      <c r="K51" s="55"/>
      <c r="L51" s="55"/>
      <c r="M51" s="57"/>
      <c r="N51" s="58"/>
      <c r="O51" s="92"/>
      <c r="P51" s="72"/>
      <c r="Q51" s="73"/>
      <c r="R51" s="73"/>
      <c r="S51" s="73"/>
    </row>
    <row r="52" spans="1:19" x14ac:dyDescent="0.3">
      <c r="A52" s="94"/>
      <c r="B52" s="35"/>
      <c r="C52" s="55"/>
      <c r="D52" s="55"/>
      <c r="E52" s="55"/>
      <c r="F52" s="35"/>
      <c r="G52" s="55"/>
      <c r="H52" s="55"/>
      <c r="I52" s="56"/>
      <c r="J52" s="55"/>
      <c r="K52" s="55"/>
      <c r="L52" s="55"/>
      <c r="M52" s="57"/>
      <c r="N52" s="58"/>
      <c r="O52" s="92"/>
      <c r="P52" s="72"/>
      <c r="Q52" s="73"/>
      <c r="R52" s="73"/>
      <c r="S52" s="73"/>
    </row>
    <row r="53" spans="1:19" x14ac:dyDescent="0.3">
      <c r="A53" s="94"/>
      <c r="B53" s="35"/>
      <c r="C53" s="55"/>
      <c r="D53" s="55"/>
      <c r="E53" s="55"/>
      <c r="F53" s="35"/>
      <c r="G53" s="55"/>
      <c r="H53" s="55"/>
      <c r="I53" s="56"/>
      <c r="J53" s="55"/>
      <c r="K53" s="55"/>
      <c r="L53" s="55"/>
      <c r="M53" s="57"/>
      <c r="N53" s="58"/>
      <c r="O53" s="92"/>
      <c r="P53" s="72"/>
      <c r="Q53" s="73"/>
      <c r="R53" s="73"/>
      <c r="S53" s="73"/>
    </row>
    <row r="54" spans="1:19" x14ac:dyDescent="0.3">
      <c r="A54" s="94"/>
      <c r="B54" s="35"/>
      <c r="C54" s="55"/>
      <c r="D54" s="55"/>
      <c r="E54" s="55"/>
      <c r="F54" s="35"/>
      <c r="G54" s="55"/>
      <c r="H54" s="55"/>
      <c r="I54" s="56"/>
      <c r="J54" s="55"/>
      <c r="K54" s="55"/>
      <c r="L54" s="55"/>
      <c r="M54" s="57"/>
      <c r="N54" s="58"/>
      <c r="O54" s="92"/>
      <c r="P54" s="72"/>
      <c r="Q54" s="73"/>
      <c r="R54" s="73"/>
      <c r="S54" s="73"/>
    </row>
    <row r="55" spans="1:19" x14ac:dyDescent="0.3">
      <c r="A55" s="94"/>
      <c r="B55" s="35"/>
      <c r="C55" s="55"/>
      <c r="D55" s="55"/>
      <c r="E55" s="55"/>
      <c r="F55" s="35"/>
      <c r="G55" s="55"/>
      <c r="H55" s="55"/>
      <c r="I55" s="56"/>
      <c r="J55" s="55"/>
      <c r="K55" s="55"/>
      <c r="L55" s="55"/>
      <c r="M55" s="57"/>
      <c r="N55" s="58"/>
      <c r="O55" s="92"/>
      <c r="P55" s="72"/>
      <c r="Q55" s="73"/>
      <c r="R55" s="73"/>
      <c r="S55" s="73"/>
    </row>
    <row r="56" spans="1:19" x14ac:dyDescent="0.3">
      <c r="A56" s="94"/>
      <c r="B56" s="35"/>
      <c r="C56" s="55"/>
      <c r="D56" s="55"/>
      <c r="E56" s="55"/>
      <c r="F56" s="35"/>
      <c r="G56" s="55"/>
      <c r="H56" s="55"/>
      <c r="I56" s="56"/>
      <c r="J56" s="55"/>
      <c r="K56" s="55"/>
      <c r="L56" s="55"/>
      <c r="M56" s="57"/>
      <c r="N56" s="58"/>
      <c r="O56" s="92"/>
      <c r="P56" s="72"/>
      <c r="Q56" s="73"/>
      <c r="R56" s="73"/>
      <c r="S56" s="73"/>
    </row>
    <row r="57" spans="1:19" x14ac:dyDescent="0.3">
      <c r="A57" s="94"/>
      <c r="B57" s="35"/>
      <c r="C57" s="55"/>
      <c r="D57" s="55"/>
      <c r="E57" s="55"/>
      <c r="F57" s="35"/>
      <c r="G57" s="55"/>
      <c r="H57" s="55"/>
      <c r="I57" s="56"/>
      <c r="J57" s="55"/>
      <c r="K57" s="55"/>
      <c r="L57" s="55"/>
      <c r="M57" s="57"/>
      <c r="N57" s="58"/>
      <c r="O57" s="92"/>
      <c r="P57" s="72"/>
      <c r="Q57" s="73"/>
      <c r="R57" s="73"/>
      <c r="S57" s="73"/>
    </row>
    <row r="58" spans="1:19" x14ac:dyDescent="0.3">
      <c r="A58" s="94"/>
      <c r="B58" s="35"/>
      <c r="C58" s="55"/>
      <c r="D58" s="55"/>
      <c r="E58" s="55"/>
      <c r="F58" s="35"/>
      <c r="G58" s="55"/>
      <c r="H58" s="55"/>
      <c r="I58" s="56"/>
      <c r="J58" s="55"/>
      <c r="K58" s="55"/>
      <c r="L58" s="55"/>
      <c r="M58" s="57"/>
      <c r="N58" s="58"/>
      <c r="O58" s="92"/>
      <c r="P58" s="72"/>
      <c r="Q58" s="73"/>
      <c r="R58" s="73"/>
      <c r="S58" s="73"/>
    </row>
    <row r="59" spans="1:19" x14ac:dyDescent="0.3">
      <c r="A59" s="94"/>
      <c r="B59" s="35"/>
      <c r="C59" s="55"/>
      <c r="D59" s="55"/>
      <c r="E59" s="55"/>
      <c r="F59" s="35"/>
      <c r="G59" s="55"/>
      <c r="H59" s="55"/>
      <c r="I59" s="56"/>
      <c r="J59" s="55"/>
      <c r="K59" s="55"/>
      <c r="L59" s="55"/>
      <c r="M59" s="57"/>
      <c r="N59" s="58"/>
      <c r="O59" s="92"/>
      <c r="P59" s="72"/>
      <c r="Q59" s="73"/>
      <c r="R59" s="73"/>
      <c r="S59" s="73"/>
    </row>
    <row r="60" spans="1:19" x14ac:dyDescent="0.3">
      <c r="A60" s="94"/>
      <c r="B60" s="35"/>
      <c r="C60" s="55"/>
      <c r="D60" s="55"/>
      <c r="E60" s="55"/>
      <c r="F60" s="35"/>
      <c r="G60" s="55"/>
      <c r="H60" s="55"/>
      <c r="I60" s="56"/>
      <c r="J60" s="55"/>
      <c r="K60" s="55"/>
      <c r="L60" s="55"/>
      <c r="M60" s="57"/>
      <c r="N60" s="58"/>
      <c r="O60" s="92"/>
      <c r="P60" s="72"/>
      <c r="Q60" s="73"/>
      <c r="R60" s="73"/>
      <c r="S60" s="73"/>
    </row>
    <row r="61" spans="1:19" x14ac:dyDescent="0.3">
      <c r="A61" s="94"/>
      <c r="B61" s="35"/>
      <c r="C61" s="55"/>
      <c r="D61" s="55"/>
      <c r="E61" s="55"/>
      <c r="F61" s="35"/>
      <c r="G61" s="55"/>
      <c r="H61" s="55"/>
      <c r="I61" s="56"/>
      <c r="J61" s="55"/>
      <c r="K61" s="55"/>
      <c r="L61" s="55"/>
      <c r="M61" s="57"/>
      <c r="N61" s="58"/>
      <c r="O61" s="92"/>
      <c r="P61" s="72"/>
      <c r="Q61" s="73"/>
      <c r="R61" s="73"/>
      <c r="S61" s="73"/>
    </row>
    <row r="62" spans="1:19" x14ac:dyDescent="0.3">
      <c r="A62" s="94"/>
      <c r="B62" s="35"/>
      <c r="C62" s="55"/>
      <c r="D62" s="55"/>
      <c r="E62" s="55"/>
      <c r="F62" s="35"/>
      <c r="G62" s="55"/>
      <c r="H62" s="55"/>
      <c r="I62" s="56"/>
      <c r="J62" s="55"/>
      <c r="K62" s="55"/>
      <c r="L62" s="55"/>
      <c r="M62" s="57"/>
      <c r="N62" s="58"/>
      <c r="O62" s="92"/>
      <c r="P62" s="72"/>
      <c r="Q62" s="73"/>
      <c r="R62" s="73"/>
      <c r="S62" s="73"/>
    </row>
    <row r="63" spans="1:19" x14ac:dyDescent="0.3">
      <c r="A63" s="94"/>
      <c r="B63" s="35"/>
      <c r="C63" s="55"/>
      <c r="D63" s="55"/>
      <c r="E63" s="55"/>
      <c r="F63" s="35"/>
      <c r="G63" s="55"/>
      <c r="H63" s="55"/>
      <c r="I63" s="56"/>
      <c r="J63" s="55"/>
      <c r="K63" s="55"/>
      <c r="L63" s="55"/>
      <c r="M63" s="57"/>
      <c r="N63" s="58"/>
      <c r="O63" s="92"/>
      <c r="P63" s="72"/>
      <c r="Q63" s="73"/>
      <c r="R63" s="73"/>
      <c r="S63" s="73"/>
    </row>
    <row r="64" spans="1:19" x14ac:dyDescent="0.3">
      <c r="A64" s="94"/>
      <c r="B64" s="35"/>
      <c r="C64" s="55"/>
      <c r="D64" s="55"/>
      <c r="E64" s="55"/>
      <c r="F64" s="35"/>
      <c r="G64" s="55"/>
      <c r="H64" s="55"/>
      <c r="I64" s="56"/>
      <c r="J64" s="55"/>
      <c r="K64" s="55"/>
      <c r="L64" s="55"/>
      <c r="M64" s="57"/>
      <c r="N64" s="58"/>
      <c r="O64" s="92"/>
      <c r="P64" s="72"/>
      <c r="Q64" s="73"/>
      <c r="R64" s="73"/>
      <c r="S64" s="73"/>
    </row>
    <row r="65" spans="1:19" x14ac:dyDescent="0.3">
      <c r="A65" s="94"/>
      <c r="B65" s="35"/>
      <c r="C65" s="55"/>
      <c r="D65" s="55"/>
      <c r="E65" s="55"/>
      <c r="F65" s="35"/>
      <c r="G65" s="55"/>
      <c r="H65" s="55"/>
      <c r="I65" s="56"/>
      <c r="J65" s="55"/>
      <c r="K65" s="55"/>
      <c r="L65" s="55"/>
      <c r="M65" s="57"/>
      <c r="N65" s="58"/>
      <c r="O65" s="92"/>
      <c r="P65" s="72"/>
      <c r="Q65" s="73"/>
      <c r="R65" s="73"/>
      <c r="S65" s="73"/>
    </row>
    <row r="66" spans="1:19" x14ac:dyDescent="0.3">
      <c r="A66" s="94"/>
      <c r="B66" s="35"/>
      <c r="C66" s="55"/>
      <c r="D66" s="55"/>
      <c r="E66" s="55"/>
      <c r="F66" s="35"/>
      <c r="G66" s="55"/>
      <c r="H66" s="55"/>
      <c r="I66" s="56"/>
      <c r="J66" s="55"/>
      <c r="K66" s="55"/>
      <c r="L66" s="55"/>
      <c r="M66" s="57"/>
      <c r="N66" s="58"/>
      <c r="O66" s="92"/>
      <c r="P66" s="72"/>
      <c r="Q66" s="73"/>
      <c r="R66" s="73"/>
      <c r="S66" s="73"/>
    </row>
    <row r="67" spans="1:19" x14ac:dyDescent="0.3">
      <c r="A67" s="94"/>
      <c r="B67" s="35"/>
      <c r="C67" s="55"/>
      <c r="D67" s="55"/>
      <c r="E67" s="55"/>
      <c r="F67" s="35"/>
      <c r="G67" s="55"/>
      <c r="H67" s="55"/>
      <c r="I67" s="56"/>
      <c r="J67" s="55"/>
      <c r="K67" s="55"/>
      <c r="L67" s="55"/>
      <c r="M67" s="57"/>
      <c r="N67" s="58"/>
      <c r="O67" s="92"/>
      <c r="P67" s="72"/>
      <c r="Q67" s="73"/>
      <c r="R67" s="73"/>
      <c r="S67" s="73"/>
    </row>
    <row r="68" spans="1:19" x14ac:dyDescent="0.3">
      <c r="A68" s="94"/>
      <c r="B68" s="35"/>
      <c r="C68" s="55"/>
      <c r="D68" s="55"/>
      <c r="E68" s="55"/>
      <c r="F68" s="35"/>
      <c r="G68" s="55"/>
      <c r="H68" s="55"/>
      <c r="I68" s="56"/>
      <c r="J68" s="55"/>
      <c r="K68" s="55"/>
      <c r="L68" s="55"/>
      <c r="M68" s="57"/>
      <c r="N68" s="58"/>
      <c r="O68" s="92"/>
      <c r="P68" s="72"/>
      <c r="Q68" s="73"/>
      <c r="R68" s="73"/>
      <c r="S68" s="73"/>
    </row>
    <row r="69" spans="1:19" x14ac:dyDescent="0.3">
      <c r="A69" s="94"/>
      <c r="B69" s="35"/>
      <c r="C69" s="55"/>
      <c r="D69" s="55"/>
      <c r="E69" s="55"/>
      <c r="F69" s="35"/>
      <c r="G69" s="55"/>
      <c r="H69" s="55"/>
      <c r="I69" s="56"/>
      <c r="J69" s="55"/>
      <c r="K69" s="55"/>
      <c r="L69" s="55"/>
      <c r="M69" s="57"/>
      <c r="N69" s="58"/>
      <c r="O69" s="92"/>
      <c r="P69" s="72"/>
      <c r="Q69" s="73"/>
      <c r="R69" s="73"/>
      <c r="S69" s="73"/>
    </row>
    <row r="70" spans="1:19" x14ac:dyDescent="0.3">
      <c r="A70" s="94"/>
      <c r="B70" s="35"/>
      <c r="C70" s="55"/>
      <c r="D70" s="55"/>
      <c r="E70" s="55"/>
      <c r="F70" s="35"/>
      <c r="G70" s="55"/>
      <c r="H70" s="55"/>
      <c r="I70" s="56"/>
      <c r="J70" s="55"/>
      <c r="K70" s="55"/>
      <c r="L70" s="55"/>
      <c r="M70" s="57"/>
      <c r="N70" s="58"/>
      <c r="O70" s="92"/>
      <c r="P70" s="72"/>
      <c r="Q70" s="73"/>
      <c r="R70" s="73"/>
      <c r="S70" s="73"/>
    </row>
    <row r="71" spans="1:19" x14ac:dyDescent="0.3">
      <c r="A71" s="94"/>
      <c r="B71" s="35"/>
      <c r="C71" s="55"/>
      <c r="D71" s="55"/>
      <c r="E71" s="55"/>
      <c r="F71" s="35"/>
      <c r="G71" s="55"/>
      <c r="H71" s="55"/>
      <c r="I71" s="56"/>
      <c r="J71" s="55"/>
      <c r="K71" s="55"/>
      <c r="L71" s="55"/>
      <c r="M71" s="57"/>
      <c r="N71" s="58"/>
      <c r="O71" s="92"/>
      <c r="P71" s="72"/>
      <c r="Q71" s="73"/>
      <c r="R71" s="73"/>
      <c r="S71" s="73"/>
    </row>
    <row r="72" spans="1:19" x14ac:dyDescent="0.3">
      <c r="A72" s="94"/>
      <c r="B72" s="35"/>
      <c r="C72" s="55"/>
      <c r="D72" s="55"/>
      <c r="E72" s="55"/>
      <c r="F72" s="35"/>
      <c r="G72" s="55"/>
      <c r="H72" s="55"/>
      <c r="I72" s="56"/>
      <c r="J72" s="55"/>
      <c r="K72" s="55"/>
      <c r="L72" s="55"/>
      <c r="M72" s="57"/>
      <c r="N72" s="58"/>
      <c r="O72" s="92"/>
      <c r="P72" s="72"/>
      <c r="Q72" s="73"/>
      <c r="R72" s="73"/>
      <c r="S72" s="73"/>
    </row>
    <row r="73" spans="1:19" x14ac:dyDescent="0.3">
      <c r="A73" s="94"/>
      <c r="B73" s="35"/>
      <c r="C73" s="55"/>
      <c r="D73" s="55"/>
      <c r="E73" s="55"/>
      <c r="F73" s="35"/>
      <c r="G73" s="55"/>
      <c r="H73" s="55"/>
      <c r="I73" s="56"/>
      <c r="J73" s="55"/>
      <c r="K73" s="55"/>
      <c r="L73" s="55"/>
      <c r="M73" s="57"/>
      <c r="N73" s="58"/>
      <c r="O73" s="92"/>
      <c r="P73" s="72"/>
      <c r="Q73" s="73"/>
      <c r="R73" s="73"/>
      <c r="S73" s="73"/>
    </row>
    <row r="74" spans="1:19" x14ac:dyDescent="0.3">
      <c r="A74" s="94"/>
      <c r="B74" s="35"/>
      <c r="C74" s="55"/>
      <c r="D74" s="55"/>
      <c r="E74" s="55"/>
      <c r="F74" s="35"/>
      <c r="G74" s="55"/>
      <c r="H74" s="55"/>
      <c r="I74" s="56"/>
      <c r="J74" s="55"/>
      <c r="K74" s="55"/>
      <c r="L74" s="55"/>
      <c r="M74" s="57"/>
      <c r="N74" s="58"/>
      <c r="O74" s="92"/>
      <c r="P74" s="72"/>
      <c r="Q74" s="73"/>
      <c r="R74" s="73"/>
      <c r="S74" s="73"/>
    </row>
    <row r="75" spans="1:19" x14ac:dyDescent="0.3">
      <c r="A75" s="94"/>
      <c r="B75" s="35"/>
      <c r="C75" s="55"/>
      <c r="D75" s="55"/>
      <c r="E75" s="55"/>
      <c r="F75" s="35"/>
      <c r="G75" s="55"/>
      <c r="H75" s="55"/>
      <c r="I75" s="56"/>
      <c r="J75" s="55"/>
      <c r="K75" s="55"/>
      <c r="L75" s="55"/>
      <c r="M75" s="57"/>
      <c r="N75" s="58"/>
      <c r="O75" s="92"/>
      <c r="P75" s="72"/>
      <c r="Q75" s="73"/>
      <c r="R75" s="73"/>
      <c r="S75" s="73"/>
    </row>
    <row r="76" spans="1:19" x14ac:dyDescent="0.3">
      <c r="A76" s="94"/>
      <c r="B76" s="35"/>
      <c r="C76" s="55"/>
      <c r="D76" s="55"/>
      <c r="E76" s="55"/>
      <c r="F76" s="35"/>
      <c r="G76" s="55"/>
      <c r="H76" s="55"/>
      <c r="I76" s="56"/>
      <c r="J76" s="55"/>
      <c r="K76" s="55"/>
      <c r="L76" s="55"/>
      <c r="M76" s="57"/>
      <c r="N76" s="58"/>
      <c r="O76" s="92"/>
      <c r="P76" s="72"/>
      <c r="Q76" s="73"/>
      <c r="R76" s="73"/>
      <c r="S76" s="73"/>
    </row>
    <row r="77" spans="1:19" x14ac:dyDescent="0.3">
      <c r="A77" s="94"/>
      <c r="B77" s="35"/>
      <c r="C77" s="55"/>
      <c r="D77" s="55"/>
      <c r="E77" s="55"/>
      <c r="F77" s="35"/>
      <c r="G77" s="55"/>
      <c r="H77" s="55"/>
      <c r="I77" s="56"/>
      <c r="J77" s="55"/>
      <c r="K77" s="55"/>
      <c r="L77" s="55"/>
      <c r="M77" s="57"/>
      <c r="N77" s="58"/>
      <c r="O77" s="92"/>
      <c r="P77" s="72"/>
      <c r="Q77" s="73"/>
      <c r="R77" s="73"/>
      <c r="S77" s="73"/>
    </row>
    <row r="78" spans="1:19" x14ac:dyDescent="0.3">
      <c r="A78" s="94"/>
      <c r="B78" s="35"/>
      <c r="C78" s="55"/>
      <c r="D78" s="55"/>
      <c r="E78" s="55"/>
      <c r="F78" s="35"/>
      <c r="G78" s="55"/>
      <c r="H78" s="55"/>
      <c r="I78" s="56"/>
      <c r="J78" s="55"/>
      <c r="K78" s="55"/>
      <c r="L78" s="55"/>
      <c r="M78" s="57"/>
      <c r="N78" s="58"/>
      <c r="O78" s="92"/>
      <c r="P78" s="72"/>
      <c r="Q78" s="73"/>
      <c r="R78" s="73"/>
      <c r="S78" s="73"/>
    </row>
    <row r="79" spans="1:19" x14ac:dyDescent="0.3">
      <c r="A79" s="94"/>
      <c r="B79" s="35"/>
      <c r="C79" s="55"/>
      <c r="D79" s="55"/>
      <c r="E79" s="55"/>
      <c r="F79" s="35"/>
      <c r="G79" s="55"/>
      <c r="H79" s="55"/>
      <c r="I79" s="56"/>
      <c r="J79" s="55"/>
      <c r="K79" s="55"/>
      <c r="L79" s="55"/>
      <c r="M79" s="57"/>
      <c r="N79" s="58"/>
      <c r="O79" s="92"/>
      <c r="P79" s="72"/>
      <c r="Q79" s="73"/>
      <c r="R79" s="73"/>
      <c r="S79" s="73"/>
    </row>
    <row r="80" spans="1:19" x14ac:dyDescent="0.3">
      <c r="A80" s="94"/>
      <c r="B80" s="35"/>
      <c r="C80" s="55"/>
      <c r="D80" s="55"/>
      <c r="E80" s="55"/>
      <c r="F80" s="35"/>
      <c r="G80" s="55"/>
      <c r="H80" s="55"/>
      <c r="I80" s="56"/>
      <c r="J80" s="55"/>
      <c r="K80" s="55"/>
      <c r="L80" s="55"/>
      <c r="M80" s="57"/>
      <c r="N80" s="58"/>
      <c r="O80" s="92"/>
      <c r="P80" s="72"/>
      <c r="Q80" s="73"/>
      <c r="R80" s="73"/>
      <c r="S80" s="73"/>
    </row>
    <row r="81" spans="1:19" x14ac:dyDescent="0.3">
      <c r="A81" s="94"/>
      <c r="B81" s="35"/>
      <c r="C81" s="55"/>
      <c r="D81" s="55"/>
      <c r="E81" s="55"/>
      <c r="F81" s="35"/>
      <c r="G81" s="55"/>
      <c r="H81" s="55"/>
      <c r="I81" s="56"/>
      <c r="J81" s="55"/>
      <c r="K81" s="55"/>
      <c r="L81" s="55"/>
      <c r="M81" s="57"/>
      <c r="N81" s="58"/>
      <c r="O81" s="92"/>
      <c r="P81" s="72"/>
      <c r="Q81" s="73"/>
      <c r="R81" s="73"/>
      <c r="S81" s="73"/>
    </row>
    <row r="82" spans="1:19" x14ac:dyDescent="0.3">
      <c r="A82" s="94"/>
      <c r="B82" s="35"/>
      <c r="C82" s="55"/>
      <c r="D82" s="55"/>
      <c r="E82" s="55"/>
      <c r="F82" s="35"/>
      <c r="G82" s="55"/>
      <c r="H82" s="55"/>
      <c r="I82" s="56"/>
      <c r="J82" s="55"/>
      <c r="K82" s="55"/>
      <c r="L82" s="55"/>
      <c r="M82" s="57"/>
      <c r="N82" s="58"/>
      <c r="O82" s="92"/>
      <c r="P82" s="72"/>
      <c r="Q82" s="73"/>
      <c r="R82" s="73"/>
      <c r="S82" s="73"/>
    </row>
    <row r="83" spans="1:19" x14ac:dyDescent="0.3">
      <c r="A83" s="94"/>
      <c r="B83" s="35"/>
      <c r="C83" s="55"/>
      <c r="D83" s="55"/>
      <c r="E83" s="55"/>
      <c r="F83" s="35"/>
      <c r="G83" s="55"/>
      <c r="H83" s="55"/>
      <c r="I83" s="56"/>
      <c r="J83" s="55"/>
      <c r="K83" s="55"/>
      <c r="L83" s="55"/>
      <c r="M83" s="57"/>
      <c r="N83" s="58"/>
      <c r="O83" s="92"/>
      <c r="P83" s="72"/>
      <c r="Q83" s="73"/>
      <c r="R83" s="73"/>
      <c r="S83" s="73"/>
    </row>
    <row r="84" spans="1:19" x14ac:dyDescent="0.3">
      <c r="A84" s="94"/>
      <c r="B84" s="35"/>
      <c r="C84" s="55"/>
      <c r="D84" s="55"/>
      <c r="E84" s="55"/>
      <c r="F84" s="35"/>
      <c r="G84" s="55"/>
      <c r="H84" s="55"/>
      <c r="I84" s="56"/>
      <c r="J84" s="55"/>
      <c r="K84" s="55"/>
      <c r="L84" s="55"/>
      <c r="M84" s="57"/>
      <c r="N84" s="58"/>
      <c r="O84" s="92"/>
      <c r="P84" s="72"/>
      <c r="Q84" s="73"/>
      <c r="R84" s="73"/>
      <c r="S84" s="73"/>
    </row>
    <row r="85" spans="1:19" x14ac:dyDescent="0.3">
      <c r="A85" s="94"/>
      <c r="B85" s="35"/>
      <c r="C85" s="55"/>
      <c r="D85" s="55"/>
      <c r="E85" s="55"/>
      <c r="F85" s="35"/>
      <c r="G85" s="55"/>
      <c r="H85" s="55"/>
      <c r="I85" s="56"/>
      <c r="J85" s="55"/>
      <c r="K85" s="55"/>
      <c r="L85" s="55"/>
      <c r="M85" s="57"/>
      <c r="N85" s="58"/>
      <c r="O85" s="92"/>
      <c r="P85" s="72"/>
      <c r="Q85" s="73"/>
      <c r="R85" s="73"/>
      <c r="S85" s="73"/>
    </row>
    <row r="86" spans="1:19" x14ac:dyDescent="0.3">
      <c r="A86" s="94"/>
      <c r="B86" s="35"/>
      <c r="C86" s="55"/>
      <c r="D86" s="55"/>
      <c r="E86" s="55"/>
      <c r="F86" s="35"/>
      <c r="G86" s="55"/>
      <c r="H86" s="55"/>
      <c r="I86" s="56"/>
      <c r="J86" s="55"/>
      <c r="K86" s="55"/>
      <c r="L86" s="55"/>
      <c r="M86" s="57"/>
      <c r="N86" s="58"/>
      <c r="O86" s="92"/>
      <c r="P86" s="72"/>
      <c r="Q86" s="73"/>
      <c r="R86" s="73"/>
      <c r="S86" s="73"/>
    </row>
    <row r="87" spans="1:19" x14ac:dyDescent="0.3">
      <c r="A87" s="94"/>
      <c r="B87" s="35"/>
      <c r="C87" s="55"/>
      <c r="D87" s="55"/>
      <c r="E87" s="55"/>
      <c r="F87" s="35"/>
      <c r="G87" s="55"/>
      <c r="H87" s="55"/>
      <c r="I87" s="56"/>
      <c r="J87" s="55"/>
      <c r="K87" s="55"/>
      <c r="L87" s="55"/>
      <c r="M87" s="57"/>
      <c r="N87" s="58"/>
      <c r="O87" s="92"/>
      <c r="P87" s="72"/>
      <c r="Q87" s="73"/>
      <c r="R87" s="73"/>
      <c r="S87" s="73"/>
    </row>
    <row r="88" spans="1:19" x14ac:dyDescent="0.3">
      <c r="A88" s="94"/>
      <c r="B88" s="35"/>
      <c r="C88" s="55"/>
      <c r="D88" s="55"/>
      <c r="E88" s="55"/>
      <c r="F88" s="35"/>
      <c r="G88" s="55"/>
      <c r="H88" s="55"/>
      <c r="I88" s="56"/>
      <c r="J88" s="55"/>
      <c r="K88" s="55"/>
      <c r="L88" s="55"/>
      <c r="M88" s="57"/>
      <c r="N88" s="58"/>
      <c r="O88" s="92"/>
      <c r="P88" s="72"/>
      <c r="Q88" s="73"/>
      <c r="R88" s="73"/>
      <c r="S88" s="73"/>
    </row>
    <row r="89" spans="1:19" x14ac:dyDescent="0.3">
      <c r="A89" s="94"/>
      <c r="B89" s="35"/>
      <c r="C89" s="55"/>
      <c r="D89" s="55"/>
      <c r="E89" s="55"/>
      <c r="F89" s="35"/>
      <c r="G89" s="55"/>
      <c r="H89" s="55"/>
      <c r="I89" s="56"/>
      <c r="J89" s="55"/>
      <c r="K89" s="55"/>
      <c r="L89" s="55"/>
      <c r="M89" s="57"/>
      <c r="N89" s="58"/>
      <c r="O89" s="92"/>
      <c r="P89" s="72"/>
      <c r="Q89" s="73"/>
      <c r="R89" s="73"/>
      <c r="S89" s="73"/>
    </row>
    <row r="90" spans="1:19" x14ac:dyDescent="0.3">
      <c r="A90" s="94"/>
      <c r="B90" s="35"/>
      <c r="C90" s="55"/>
      <c r="D90" s="55"/>
      <c r="E90" s="55"/>
      <c r="F90" s="35"/>
      <c r="G90" s="55"/>
      <c r="H90" s="55"/>
      <c r="I90" s="56"/>
      <c r="J90" s="55"/>
      <c r="K90" s="55"/>
      <c r="L90" s="55"/>
      <c r="M90" s="57"/>
      <c r="N90" s="58"/>
      <c r="O90" s="92"/>
      <c r="P90" s="72"/>
      <c r="Q90" s="73"/>
      <c r="R90" s="73"/>
      <c r="S90" s="73"/>
    </row>
    <row r="91" spans="1:19" x14ac:dyDescent="0.3">
      <c r="A91" s="94"/>
      <c r="B91" s="35"/>
      <c r="C91" s="55"/>
      <c r="D91" s="55"/>
      <c r="E91" s="55"/>
      <c r="F91" s="35"/>
      <c r="G91" s="55"/>
      <c r="H91" s="55"/>
      <c r="I91" s="56"/>
      <c r="J91" s="55"/>
      <c r="K91" s="55"/>
      <c r="L91" s="55"/>
      <c r="M91" s="57"/>
      <c r="N91" s="58"/>
      <c r="O91" s="92"/>
      <c r="P91" s="72"/>
      <c r="Q91" s="73"/>
      <c r="R91" s="73"/>
      <c r="S91" s="73"/>
    </row>
    <row r="92" spans="1:19" x14ac:dyDescent="0.3">
      <c r="A92" s="94"/>
      <c r="B92" s="35"/>
      <c r="C92" s="55"/>
      <c r="D92" s="55"/>
      <c r="E92" s="55"/>
      <c r="F92" s="35"/>
      <c r="G92" s="55"/>
      <c r="H92" s="55"/>
      <c r="I92" s="56"/>
      <c r="J92" s="55"/>
      <c r="K92" s="55"/>
      <c r="L92" s="55"/>
      <c r="M92" s="57"/>
      <c r="N92" s="58"/>
      <c r="O92" s="92"/>
      <c r="P92" s="72"/>
      <c r="Q92" s="73"/>
      <c r="R92" s="73"/>
      <c r="S92" s="73"/>
    </row>
    <row r="93" spans="1:19" x14ac:dyDescent="0.3">
      <c r="A93" s="94"/>
      <c r="B93" s="35"/>
      <c r="C93" s="55"/>
      <c r="D93" s="55"/>
      <c r="E93" s="55"/>
      <c r="F93" s="35"/>
      <c r="G93" s="55"/>
      <c r="H93" s="55"/>
      <c r="I93" s="56"/>
      <c r="J93" s="55"/>
      <c r="K93" s="55"/>
      <c r="L93" s="55"/>
      <c r="M93" s="57"/>
      <c r="N93" s="58"/>
      <c r="O93" s="92"/>
      <c r="P93" s="72"/>
      <c r="Q93" s="73"/>
      <c r="R93" s="73"/>
      <c r="S93" s="73"/>
    </row>
    <row r="94" spans="1:19" x14ac:dyDescent="0.3">
      <c r="A94" s="94"/>
      <c r="B94" s="35"/>
      <c r="C94" s="55"/>
      <c r="D94" s="55"/>
      <c r="E94" s="55"/>
      <c r="F94" s="35"/>
      <c r="G94" s="55"/>
      <c r="H94" s="55"/>
      <c r="I94" s="56"/>
      <c r="J94" s="55"/>
      <c r="K94" s="55"/>
      <c r="L94" s="55"/>
      <c r="M94" s="57"/>
      <c r="N94" s="58"/>
      <c r="O94" s="92"/>
      <c r="P94" s="72"/>
      <c r="Q94" s="73"/>
      <c r="R94" s="73"/>
      <c r="S94" s="73"/>
    </row>
    <row r="95" spans="1:19" x14ac:dyDescent="0.3">
      <c r="A95" s="94"/>
      <c r="B95" s="35"/>
      <c r="C95" s="55"/>
      <c r="D95" s="55"/>
      <c r="E95" s="55"/>
      <c r="F95" s="35"/>
      <c r="G95" s="55"/>
      <c r="H95" s="55"/>
      <c r="I95" s="56"/>
      <c r="J95" s="55"/>
      <c r="K95" s="55"/>
      <c r="L95" s="55"/>
      <c r="M95" s="57"/>
      <c r="N95" s="58"/>
      <c r="O95" s="92"/>
      <c r="P95" s="72"/>
      <c r="Q95" s="73"/>
      <c r="R95" s="73"/>
      <c r="S95" s="73"/>
    </row>
    <row r="96" spans="1:19" x14ac:dyDescent="0.3">
      <c r="A96" s="94"/>
      <c r="B96" s="35"/>
      <c r="C96" s="55"/>
      <c r="D96" s="55"/>
      <c r="E96" s="55"/>
      <c r="F96" s="35"/>
      <c r="G96" s="55"/>
      <c r="H96" s="55"/>
      <c r="I96" s="56"/>
      <c r="J96" s="55"/>
      <c r="K96" s="55"/>
      <c r="L96" s="55"/>
      <c r="M96" s="57"/>
      <c r="N96" s="58"/>
      <c r="O96" s="92"/>
      <c r="P96" s="72"/>
      <c r="Q96" s="73"/>
      <c r="R96" s="73"/>
      <c r="S96" s="73"/>
    </row>
    <row r="97" spans="1:19" x14ac:dyDescent="0.3">
      <c r="A97" s="94"/>
      <c r="B97" s="35"/>
      <c r="C97" s="55"/>
      <c r="D97" s="55"/>
      <c r="E97" s="55"/>
      <c r="F97" s="35"/>
      <c r="G97" s="55"/>
      <c r="H97" s="55"/>
      <c r="I97" s="56"/>
      <c r="J97" s="55"/>
      <c r="K97" s="55"/>
      <c r="L97" s="55"/>
      <c r="M97" s="57"/>
      <c r="N97" s="58"/>
      <c r="O97" s="92"/>
      <c r="P97" s="72"/>
      <c r="Q97" s="73"/>
      <c r="R97" s="73"/>
      <c r="S97" s="73"/>
    </row>
    <row r="98" spans="1:19" x14ac:dyDescent="0.3">
      <c r="A98" s="94"/>
      <c r="B98" s="35"/>
      <c r="C98" s="55"/>
      <c r="D98" s="55"/>
      <c r="E98" s="55"/>
      <c r="F98" s="35"/>
      <c r="G98" s="55"/>
      <c r="H98" s="55"/>
      <c r="I98" s="56"/>
      <c r="J98" s="55"/>
      <c r="K98" s="55"/>
      <c r="L98" s="55"/>
      <c r="M98" s="57"/>
      <c r="N98" s="58"/>
      <c r="O98" s="92"/>
      <c r="P98" s="72"/>
      <c r="Q98" s="73"/>
      <c r="R98" s="73"/>
      <c r="S98" s="73"/>
    </row>
    <row r="99" spans="1:19" x14ac:dyDescent="0.3">
      <c r="A99" s="94"/>
      <c r="B99" s="35"/>
      <c r="C99" s="55"/>
      <c r="D99" s="55"/>
      <c r="E99" s="55"/>
      <c r="F99" s="35"/>
      <c r="G99" s="55"/>
      <c r="H99" s="55"/>
      <c r="I99" s="56"/>
      <c r="J99" s="55"/>
      <c r="K99" s="55"/>
      <c r="L99" s="55"/>
      <c r="M99" s="57"/>
      <c r="N99" s="58"/>
      <c r="O99" s="92"/>
      <c r="P99" s="72"/>
      <c r="Q99" s="73"/>
      <c r="R99" s="73"/>
      <c r="S99" s="73"/>
    </row>
    <row r="100" spans="1:19" x14ac:dyDescent="0.3">
      <c r="A100" s="94"/>
      <c r="B100" s="35"/>
      <c r="C100" s="55"/>
      <c r="D100" s="55"/>
      <c r="E100" s="55"/>
      <c r="F100" s="35"/>
      <c r="G100" s="55"/>
      <c r="H100" s="55"/>
      <c r="I100" s="56"/>
      <c r="J100" s="55"/>
      <c r="K100" s="55"/>
      <c r="L100" s="55"/>
      <c r="M100" s="57"/>
      <c r="N100" s="58"/>
      <c r="O100" s="92"/>
      <c r="P100" s="72"/>
      <c r="Q100" s="73"/>
      <c r="R100" s="73"/>
      <c r="S100" s="73"/>
    </row>
    <row r="101" spans="1:19" x14ac:dyDescent="0.3">
      <c r="A101" s="94"/>
      <c r="B101" s="35"/>
      <c r="C101" s="55"/>
      <c r="D101" s="55"/>
      <c r="E101" s="55"/>
      <c r="F101" s="35"/>
      <c r="G101" s="55"/>
      <c r="H101" s="55"/>
      <c r="I101" s="56"/>
      <c r="J101" s="55"/>
      <c r="K101" s="55"/>
      <c r="L101" s="55"/>
      <c r="M101" s="57"/>
      <c r="N101" s="58"/>
      <c r="O101" s="92"/>
      <c r="P101" s="72"/>
      <c r="Q101" s="73"/>
      <c r="R101" s="73"/>
      <c r="S101" s="73"/>
    </row>
    <row r="102" spans="1:19" x14ac:dyDescent="0.3">
      <c r="A102" s="94"/>
      <c r="B102" s="35"/>
      <c r="C102" s="55"/>
      <c r="D102" s="55"/>
      <c r="E102" s="55"/>
      <c r="F102" s="35"/>
      <c r="G102" s="55"/>
      <c r="H102" s="55"/>
      <c r="I102" s="56"/>
      <c r="J102" s="55"/>
      <c r="K102" s="55"/>
      <c r="L102" s="55"/>
      <c r="M102" s="57"/>
      <c r="N102" s="58"/>
      <c r="O102" s="92"/>
      <c r="P102" s="72"/>
      <c r="Q102" s="73"/>
      <c r="R102" s="73"/>
      <c r="S102" s="73"/>
    </row>
    <row r="103" spans="1:19" x14ac:dyDescent="0.3">
      <c r="A103" s="94"/>
      <c r="B103" s="35"/>
      <c r="C103" s="55"/>
      <c r="D103" s="55"/>
      <c r="E103" s="55"/>
      <c r="F103" s="35"/>
      <c r="G103" s="55"/>
      <c r="H103" s="55"/>
      <c r="I103" s="56"/>
      <c r="J103" s="55"/>
      <c r="K103" s="55"/>
      <c r="L103" s="55"/>
      <c r="M103" s="57"/>
      <c r="N103" s="58"/>
      <c r="O103" s="92"/>
      <c r="P103" s="72"/>
      <c r="Q103" s="73"/>
      <c r="R103" s="73"/>
      <c r="S103" s="73"/>
    </row>
    <row r="104" spans="1:19" x14ac:dyDescent="0.3">
      <c r="A104" s="94"/>
      <c r="B104" s="35"/>
      <c r="C104" s="55"/>
      <c r="D104" s="55"/>
      <c r="E104" s="55"/>
      <c r="F104" s="35"/>
      <c r="G104" s="55"/>
      <c r="H104" s="55"/>
      <c r="I104" s="56"/>
      <c r="J104" s="55"/>
      <c r="K104" s="55"/>
      <c r="L104" s="55"/>
      <c r="M104" s="57"/>
      <c r="N104" s="58"/>
      <c r="O104" s="92"/>
      <c r="P104" s="72"/>
      <c r="Q104" s="73"/>
      <c r="R104" s="73"/>
      <c r="S104" s="73"/>
    </row>
    <row r="105" spans="1:19" x14ac:dyDescent="0.3">
      <c r="A105" s="94"/>
      <c r="B105" s="35"/>
      <c r="C105" s="55"/>
      <c r="D105" s="55"/>
      <c r="E105" s="55"/>
      <c r="F105" s="35"/>
      <c r="G105" s="55"/>
      <c r="H105" s="55"/>
      <c r="I105" s="56"/>
      <c r="J105" s="55"/>
      <c r="K105" s="55"/>
      <c r="L105" s="55"/>
      <c r="M105" s="57"/>
      <c r="N105" s="58"/>
      <c r="O105" s="92"/>
      <c r="P105" s="72"/>
      <c r="Q105" s="73"/>
      <c r="R105" s="73"/>
      <c r="S105" s="73"/>
    </row>
    <row r="106" spans="1:19" x14ac:dyDescent="0.3">
      <c r="A106" s="94"/>
      <c r="B106" s="35"/>
      <c r="C106" s="55"/>
      <c r="D106" s="55"/>
      <c r="E106" s="55"/>
      <c r="F106" s="35"/>
      <c r="G106" s="55"/>
      <c r="H106" s="55"/>
      <c r="I106" s="56"/>
      <c r="J106" s="55"/>
      <c r="K106" s="55"/>
      <c r="L106" s="55"/>
      <c r="M106" s="57"/>
      <c r="N106" s="58"/>
      <c r="O106" s="92"/>
      <c r="P106" s="72"/>
      <c r="Q106" s="73"/>
      <c r="R106" s="73"/>
      <c r="S106" s="73"/>
    </row>
    <row r="107" spans="1:19" x14ac:dyDescent="0.3">
      <c r="A107" s="94"/>
      <c r="B107" s="35"/>
      <c r="C107" s="55"/>
      <c r="D107" s="55"/>
      <c r="E107" s="55"/>
      <c r="F107" s="35"/>
      <c r="G107" s="55"/>
      <c r="H107" s="55"/>
      <c r="I107" s="56"/>
      <c r="J107" s="55"/>
      <c r="K107" s="55"/>
      <c r="L107" s="55"/>
      <c r="M107" s="57"/>
      <c r="N107" s="58"/>
      <c r="O107" s="92"/>
      <c r="P107" s="72"/>
      <c r="Q107" s="73"/>
      <c r="R107" s="73"/>
      <c r="S107" s="73"/>
    </row>
    <row r="108" spans="1:19" x14ac:dyDescent="0.3">
      <c r="A108" s="94"/>
      <c r="B108" s="35"/>
      <c r="C108" s="55"/>
      <c r="D108" s="55"/>
      <c r="E108" s="55"/>
      <c r="F108" s="35"/>
      <c r="G108" s="55"/>
      <c r="H108" s="55"/>
      <c r="I108" s="56"/>
      <c r="J108" s="55"/>
      <c r="K108" s="55"/>
      <c r="L108" s="55"/>
      <c r="M108" s="57"/>
      <c r="N108" s="58"/>
      <c r="O108" s="92"/>
      <c r="P108" s="72"/>
      <c r="Q108" s="73"/>
      <c r="R108" s="73"/>
      <c r="S108" s="73"/>
    </row>
    <row r="109" spans="1:19" x14ac:dyDescent="0.3">
      <c r="A109" s="94"/>
      <c r="B109" s="35"/>
      <c r="C109" s="55"/>
      <c r="D109" s="55"/>
      <c r="E109" s="55"/>
      <c r="F109" s="35"/>
      <c r="G109" s="55"/>
      <c r="H109" s="55"/>
      <c r="I109" s="56"/>
      <c r="J109" s="55"/>
      <c r="K109" s="55"/>
      <c r="L109" s="55"/>
      <c r="M109" s="57"/>
      <c r="N109" s="58"/>
      <c r="O109" s="92"/>
      <c r="P109" s="72"/>
      <c r="Q109" s="73"/>
      <c r="R109" s="73"/>
      <c r="S109" s="73"/>
    </row>
    <row r="110" spans="1:19" x14ac:dyDescent="0.3">
      <c r="A110" s="94"/>
      <c r="B110" s="35"/>
      <c r="C110" s="55"/>
      <c r="D110" s="55"/>
      <c r="E110" s="55"/>
      <c r="F110" s="35"/>
      <c r="G110" s="55"/>
      <c r="H110" s="55"/>
      <c r="I110" s="56"/>
      <c r="J110" s="55"/>
      <c r="K110" s="55"/>
      <c r="L110" s="55"/>
      <c r="M110" s="57"/>
      <c r="N110" s="58"/>
      <c r="O110" s="92"/>
      <c r="P110" s="72"/>
      <c r="Q110" s="73"/>
      <c r="R110" s="73"/>
      <c r="S110" s="73"/>
    </row>
    <row r="111" spans="1:19" x14ac:dyDescent="0.3">
      <c r="A111" s="94"/>
      <c r="B111" s="35"/>
      <c r="C111" s="55"/>
      <c r="D111" s="55"/>
      <c r="E111" s="55"/>
      <c r="F111" s="35"/>
      <c r="G111" s="55"/>
      <c r="H111" s="55"/>
      <c r="I111" s="56"/>
      <c r="J111" s="55"/>
      <c r="K111" s="55"/>
      <c r="L111" s="55"/>
      <c r="M111" s="57"/>
      <c r="N111" s="58"/>
      <c r="O111" s="92"/>
      <c r="P111" s="72"/>
      <c r="Q111" s="73"/>
      <c r="R111" s="73"/>
      <c r="S111" s="73"/>
    </row>
    <row r="112" spans="1:19" x14ac:dyDescent="0.3">
      <c r="A112" s="94"/>
      <c r="B112" s="35"/>
      <c r="C112" s="55"/>
      <c r="D112" s="55"/>
      <c r="E112" s="55"/>
      <c r="F112" s="35"/>
      <c r="G112" s="55"/>
      <c r="H112" s="55"/>
      <c r="I112" s="56"/>
      <c r="J112" s="55"/>
      <c r="K112" s="55"/>
      <c r="L112" s="55"/>
      <c r="M112" s="57"/>
      <c r="N112" s="58"/>
      <c r="O112" s="92"/>
      <c r="P112" s="72"/>
      <c r="Q112" s="73"/>
      <c r="R112" s="73"/>
      <c r="S112" s="73"/>
    </row>
    <row r="113" spans="1:19" x14ac:dyDescent="0.3">
      <c r="A113" s="94"/>
      <c r="B113" s="35"/>
      <c r="C113" s="55"/>
      <c r="D113" s="55"/>
      <c r="E113" s="55"/>
      <c r="F113" s="35"/>
      <c r="G113" s="55"/>
      <c r="H113" s="55"/>
      <c r="I113" s="56"/>
      <c r="J113" s="55"/>
      <c r="K113" s="55"/>
      <c r="L113" s="55"/>
      <c r="M113" s="57"/>
      <c r="N113" s="58"/>
      <c r="O113" s="92"/>
      <c r="P113" s="72"/>
      <c r="Q113" s="73"/>
      <c r="R113" s="73"/>
      <c r="S113" s="73"/>
    </row>
    <row r="114" spans="1:19" x14ac:dyDescent="0.3">
      <c r="A114" s="94"/>
      <c r="B114" s="35"/>
      <c r="C114" s="55"/>
      <c r="D114" s="55"/>
      <c r="E114" s="55"/>
      <c r="F114" s="35"/>
      <c r="G114" s="55"/>
      <c r="H114" s="55"/>
      <c r="I114" s="56"/>
      <c r="J114" s="55"/>
      <c r="K114" s="55"/>
      <c r="L114" s="55"/>
      <c r="M114" s="57"/>
      <c r="N114" s="58"/>
      <c r="O114" s="92"/>
      <c r="P114" s="72"/>
      <c r="Q114" s="73"/>
      <c r="R114" s="73"/>
      <c r="S114" s="73"/>
    </row>
    <row r="115" spans="1:19" x14ac:dyDescent="0.3">
      <c r="A115" s="94"/>
      <c r="B115" s="35"/>
      <c r="C115" s="55"/>
      <c r="D115" s="55"/>
      <c r="E115" s="55"/>
      <c r="F115" s="35"/>
      <c r="G115" s="55"/>
      <c r="H115" s="55"/>
      <c r="I115" s="56"/>
      <c r="J115" s="55"/>
      <c r="K115" s="55"/>
      <c r="L115" s="55"/>
      <c r="M115" s="57"/>
      <c r="N115" s="58"/>
      <c r="O115" s="92"/>
      <c r="P115" s="72"/>
      <c r="Q115" s="73"/>
      <c r="R115" s="73"/>
      <c r="S115" s="73"/>
    </row>
    <row r="116" spans="1:19" x14ac:dyDescent="0.3">
      <c r="A116" s="94"/>
      <c r="B116" s="35"/>
      <c r="C116" s="55"/>
      <c r="D116" s="55"/>
      <c r="E116" s="55"/>
      <c r="F116" s="35"/>
      <c r="G116" s="55"/>
      <c r="H116" s="55"/>
      <c r="I116" s="56"/>
      <c r="J116" s="55"/>
      <c r="K116" s="55"/>
      <c r="L116" s="55"/>
      <c r="M116" s="57"/>
      <c r="N116" s="58"/>
      <c r="O116" s="92"/>
      <c r="P116" s="72"/>
      <c r="Q116" s="73"/>
      <c r="R116" s="73"/>
      <c r="S116" s="73"/>
    </row>
    <row r="117" spans="1:19" x14ac:dyDescent="0.3">
      <c r="A117" s="94"/>
      <c r="B117" s="35"/>
      <c r="C117" s="55"/>
      <c r="D117" s="55"/>
      <c r="E117" s="55"/>
      <c r="F117" s="35"/>
      <c r="G117" s="55"/>
      <c r="H117" s="55"/>
      <c r="I117" s="56"/>
      <c r="J117" s="55"/>
      <c r="K117" s="55"/>
      <c r="L117" s="55"/>
      <c r="M117" s="57"/>
      <c r="N117" s="58"/>
      <c r="O117" s="92"/>
      <c r="P117" s="72"/>
      <c r="Q117" s="73"/>
      <c r="R117" s="73"/>
      <c r="S117" s="73"/>
    </row>
    <row r="118" spans="1:19" x14ac:dyDescent="0.3">
      <c r="A118" s="94"/>
      <c r="B118" s="35"/>
      <c r="C118" s="55"/>
      <c r="D118" s="55"/>
      <c r="E118" s="55"/>
      <c r="F118" s="35"/>
      <c r="G118" s="55"/>
      <c r="H118" s="55"/>
      <c r="I118" s="56"/>
      <c r="J118" s="55"/>
      <c r="K118" s="55"/>
      <c r="L118" s="55"/>
      <c r="M118" s="57"/>
      <c r="N118" s="58"/>
      <c r="O118" s="92"/>
      <c r="P118" s="72"/>
      <c r="Q118" s="73"/>
      <c r="R118" s="73"/>
      <c r="S118" s="73"/>
    </row>
    <row r="119" spans="1:19" x14ac:dyDescent="0.3">
      <c r="A119" s="94"/>
      <c r="B119" s="35"/>
      <c r="C119" s="55"/>
      <c r="D119" s="55"/>
      <c r="E119" s="55"/>
      <c r="F119" s="35"/>
      <c r="G119" s="55"/>
      <c r="H119" s="55"/>
      <c r="I119" s="56"/>
      <c r="J119" s="55"/>
      <c r="K119" s="55"/>
      <c r="L119" s="55"/>
      <c r="M119" s="57"/>
      <c r="N119" s="58"/>
      <c r="O119" s="92"/>
      <c r="P119" s="72"/>
      <c r="Q119" s="73"/>
      <c r="R119" s="73"/>
      <c r="S119" s="73"/>
    </row>
    <row r="120" spans="1:19" x14ac:dyDescent="0.3">
      <c r="A120" s="94"/>
      <c r="B120" s="35"/>
      <c r="C120" s="55"/>
      <c r="D120" s="55"/>
      <c r="E120" s="55"/>
      <c r="F120" s="35"/>
      <c r="G120" s="55"/>
      <c r="H120" s="55"/>
      <c r="I120" s="56"/>
      <c r="J120" s="55"/>
      <c r="K120" s="55"/>
      <c r="L120" s="55"/>
      <c r="M120" s="57"/>
      <c r="N120" s="58"/>
      <c r="O120" s="92"/>
      <c r="P120" s="72"/>
      <c r="Q120" s="73"/>
      <c r="R120" s="73"/>
      <c r="S120" s="73"/>
    </row>
    <row r="121" spans="1:19" x14ac:dyDescent="0.3">
      <c r="A121" s="94"/>
      <c r="B121" s="35"/>
      <c r="C121" s="55"/>
      <c r="D121" s="55"/>
      <c r="E121" s="55"/>
      <c r="F121" s="35"/>
      <c r="G121" s="55"/>
      <c r="H121" s="55"/>
      <c r="I121" s="56"/>
      <c r="J121" s="55"/>
      <c r="K121" s="55"/>
      <c r="L121" s="55"/>
      <c r="M121" s="57"/>
      <c r="N121" s="58"/>
      <c r="O121" s="92"/>
      <c r="P121" s="72"/>
      <c r="Q121" s="73"/>
      <c r="R121" s="73"/>
      <c r="S121" s="73"/>
    </row>
    <row r="122" spans="1:19" x14ac:dyDescent="0.3">
      <c r="A122" s="94"/>
      <c r="B122" s="35"/>
      <c r="C122" s="55"/>
      <c r="D122" s="55"/>
      <c r="E122" s="55"/>
      <c r="F122" s="35"/>
      <c r="G122" s="55"/>
      <c r="H122" s="55"/>
      <c r="I122" s="56"/>
      <c r="J122" s="55"/>
      <c r="K122" s="55"/>
      <c r="L122" s="55"/>
      <c r="M122" s="57"/>
      <c r="N122" s="58"/>
      <c r="O122" s="92"/>
      <c r="P122" s="72"/>
      <c r="Q122" s="73"/>
      <c r="R122" s="73"/>
      <c r="S122" s="73"/>
    </row>
    <row r="123" spans="1:19" x14ac:dyDescent="0.3">
      <c r="A123" s="94"/>
      <c r="B123" s="35"/>
      <c r="C123" s="55"/>
      <c r="D123" s="55"/>
      <c r="E123" s="55"/>
      <c r="F123" s="35"/>
      <c r="G123" s="55"/>
      <c r="H123" s="55"/>
      <c r="I123" s="56"/>
      <c r="J123" s="55"/>
      <c r="K123" s="55"/>
      <c r="L123" s="55"/>
      <c r="M123" s="57"/>
      <c r="N123" s="58"/>
      <c r="O123" s="92"/>
      <c r="P123" s="72"/>
      <c r="Q123" s="73"/>
      <c r="R123" s="73"/>
      <c r="S123" s="73"/>
    </row>
    <row r="124" spans="1:19" x14ac:dyDescent="0.3">
      <c r="A124" s="94"/>
      <c r="B124" s="35"/>
      <c r="C124" s="55"/>
      <c r="D124" s="55"/>
      <c r="E124" s="55"/>
      <c r="F124" s="35"/>
      <c r="G124" s="55"/>
      <c r="H124" s="55"/>
      <c r="I124" s="56"/>
      <c r="J124" s="55"/>
      <c r="K124" s="55"/>
      <c r="L124" s="55"/>
      <c r="M124" s="57"/>
      <c r="N124" s="58"/>
      <c r="O124" s="92"/>
      <c r="P124" s="72"/>
      <c r="Q124" s="73"/>
      <c r="R124" s="73"/>
      <c r="S124" s="73"/>
    </row>
    <row r="125" spans="1:19" x14ac:dyDescent="0.3">
      <c r="A125" s="94"/>
      <c r="B125" s="35"/>
      <c r="C125" s="55"/>
      <c r="D125" s="55"/>
      <c r="E125" s="55"/>
      <c r="F125" s="35"/>
      <c r="G125" s="55"/>
      <c r="H125" s="55"/>
      <c r="I125" s="56"/>
      <c r="J125" s="55"/>
      <c r="K125" s="55"/>
      <c r="L125" s="55"/>
      <c r="M125" s="57"/>
      <c r="N125" s="58"/>
      <c r="O125" s="92"/>
      <c r="P125" s="72"/>
      <c r="Q125" s="73"/>
      <c r="R125" s="73"/>
      <c r="S125" s="73"/>
    </row>
    <row r="126" spans="1:19" x14ac:dyDescent="0.3">
      <c r="A126" s="94"/>
      <c r="B126" s="35"/>
      <c r="C126" s="55"/>
      <c r="D126" s="55"/>
      <c r="E126" s="55"/>
      <c r="F126" s="35"/>
      <c r="G126" s="55"/>
      <c r="H126" s="55"/>
      <c r="I126" s="56"/>
      <c r="J126" s="55"/>
      <c r="K126" s="55"/>
      <c r="L126" s="55"/>
      <c r="M126" s="57"/>
      <c r="N126" s="58"/>
      <c r="O126" s="92"/>
      <c r="P126" s="72"/>
      <c r="Q126" s="73"/>
      <c r="R126" s="73"/>
      <c r="S126" s="73"/>
    </row>
    <row r="127" spans="1:19" x14ac:dyDescent="0.3">
      <c r="A127" s="94"/>
      <c r="B127" s="35"/>
      <c r="C127" s="55"/>
      <c r="D127" s="55"/>
      <c r="E127" s="55"/>
      <c r="F127" s="35"/>
      <c r="G127" s="55"/>
      <c r="H127" s="55"/>
      <c r="I127" s="56"/>
      <c r="J127" s="55"/>
      <c r="K127" s="55"/>
      <c r="L127" s="55"/>
      <c r="M127" s="57"/>
      <c r="N127" s="58"/>
      <c r="O127" s="92"/>
      <c r="P127" s="72"/>
      <c r="Q127" s="73"/>
      <c r="R127" s="73"/>
      <c r="S127" s="73"/>
    </row>
    <row r="128" spans="1:19" x14ac:dyDescent="0.3">
      <c r="A128" s="94"/>
      <c r="B128" s="35"/>
      <c r="C128" s="55"/>
      <c r="D128" s="55"/>
      <c r="E128" s="55"/>
      <c r="F128" s="35"/>
      <c r="G128" s="55"/>
      <c r="H128" s="55"/>
      <c r="I128" s="56"/>
      <c r="J128" s="55"/>
      <c r="K128" s="55"/>
      <c r="L128" s="55"/>
      <c r="M128" s="57"/>
      <c r="N128" s="58"/>
      <c r="O128" s="92"/>
      <c r="P128" s="72"/>
      <c r="Q128" s="73"/>
      <c r="R128" s="73"/>
      <c r="S128" s="73"/>
    </row>
    <row r="129" spans="1:19" x14ac:dyDescent="0.3">
      <c r="A129" s="94"/>
      <c r="B129" s="35"/>
      <c r="C129" s="55"/>
      <c r="D129" s="55"/>
      <c r="E129" s="55"/>
      <c r="F129" s="35"/>
      <c r="G129" s="55"/>
      <c r="H129" s="55"/>
      <c r="I129" s="56"/>
      <c r="J129" s="55"/>
      <c r="K129" s="55"/>
      <c r="L129" s="55"/>
      <c r="M129" s="57"/>
      <c r="N129" s="58"/>
      <c r="O129" s="92"/>
      <c r="P129" s="72"/>
      <c r="Q129" s="73"/>
      <c r="R129" s="73"/>
      <c r="S129" s="73"/>
    </row>
    <row r="130" spans="1:19" x14ac:dyDescent="0.3">
      <c r="A130" s="94"/>
      <c r="B130" s="35"/>
      <c r="C130" s="55"/>
      <c r="D130" s="55"/>
      <c r="E130" s="55"/>
      <c r="F130" s="35"/>
      <c r="G130" s="55"/>
      <c r="H130" s="55"/>
      <c r="I130" s="56"/>
      <c r="J130" s="55"/>
      <c r="K130" s="55"/>
      <c r="L130" s="55"/>
      <c r="M130" s="57"/>
      <c r="N130" s="58"/>
      <c r="O130" s="92"/>
      <c r="P130" s="72"/>
      <c r="Q130" s="73"/>
      <c r="R130" s="73"/>
      <c r="S130" s="73"/>
    </row>
    <row r="131" spans="1:19" x14ac:dyDescent="0.3">
      <c r="A131" s="94"/>
      <c r="B131" s="35"/>
      <c r="C131" s="55"/>
      <c r="D131" s="55"/>
      <c r="E131" s="55"/>
      <c r="F131" s="35"/>
      <c r="G131" s="55"/>
      <c r="H131" s="55"/>
      <c r="I131" s="56"/>
      <c r="J131" s="55"/>
      <c r="K131" s="55"/>
      <c r="L131" s="55"/>
      <c r="M131" s="57"/>
      <c r="N131" s="58"/>
      <c r="O131" s="92"/>
      <c r="P131" s="72"/>
      <c r="Q131" s="73"/>
      <c r="R131" s="73"/>
      <c r="S131" s="73"/>
    </row>
    <row r="132" spans="1:19" x14ac:dyDescent="0.3">
      <c r="A132" s="94"/>
      <c r="B132" s="35"/>
      <c r="C132" s="55"/>
      <c r="D132" s="55"/>
      <c r="E132" s="55"/>
      <c r="F132" s="35"/>
      <c r="G132" s="55"/>
      <c r="H132" s="55"/>
      <c r="I132" s="56"/>
      <c r="J132" s="55"/>
      <c r="K132" s="55"/>
      <c r="L132" s="55"/>
      <c r="M132" s="57"/>
      <c r="N132" s="58"/>
      <c r="O132" s="92"/>
      <c r="P132" s="72"/>
      <c r="Q132" s="73"/>
      <c r="R132" s="73"/>
      <c r="S132" s="73"/>
    </row>
    <row r="133" spans="1:19" x14ac:dyDescent="0.3">
      <c r="A133" s="94"/>
      <c r="B133" s="35"/>
      <c r="C133" s="55"/>
      <c r="D133" s="55"/>
      <c r="E133" s="55"/>
      <c r="F133" s="35"/>
      <c r="G133" s="55"/>
      <c r="H133" s="55"/>
      <c r="I133" s="56"/>
      <c r="J133" s="55"/>
      <c r="K133" s="55"/>
      <c r="L133" s="55"/>
      <c r="M133" s="57"/>
      <c r="N133" s="58"/>
      <c r="O133" s="92"/>
      <c r="P133" s="72"/>
      <c r="Q133" s="73"/>
      <c r="R133" s="73"/>
      <c r="S133" s="73"/>
    </row>
    <row r="134" spans="1:19" x14ac:dyDescent="0.3">
      <c r="A134" s="94"/>
      <c r="B134" s="35"/>
      <c r="C134" s="55"/>
      <c r="D134" s="55"/>
      <c r="E134" s="55"/>
      <c r="F134" s="35"/>
      <c r="G134" s="55"/>
      <c r="H134" s="55"/>
      <c r="I134" s="56"/>
      <c r="J134" s="55"/>
      <c r="K134" s="55"/>
      <c r="L134" s="55"/>
      <c r="M134" s="57"/>
      <c r="N134" s="58"/>
      <c r="O134" s="92"/>
      <c r="P134" s="72"/>
      <c r="Q134" s="73"/>
      <c r="R134" s="73"/>
      <c r="S134" s="73"/>
    </row>
    <row r="135" spans="1:19" x14ac:dyDescent="0.3">
      <c r="A135" s="94"/>
      <c r="B135" s="35"/>
      <c r="C135" s="55"/>
      <c r="D135" s="55"/>
      <c r="E135" s="55"/>
      <c r="F135" s="35"/>
      <c r="G135" s="55"/>
      <c r="H135" s="55"/>
      <c r="I135" s="56"/>
      <c r="J135" s="55"/>
      <c r="K135" s="55"/>
      <c r="L135" s="55"/>
      <c r="M135" s="57"/>
      <c r="N135" s="58"/>
      <c r="O135" s="92"/>
      <c r="P135" s="72"/>
      <c r="Q135" s="73"/>
      <c r="R135" s="73"/>
      <c r="S135" s="73"/>
    </row>
    <row r="136" spans="1:19" x14ac:dyDescent="0.3">
      <c r="A136" s="94"/>
      <c r="B136" s="35"/>
      <c r="C136" s="55"/>
      <c r="D136" s="55"/>
      <c r="E136" s="55"/>
      <c r="F136" s="35"/>
      <c r="G136" s="55"/>
      <c r="H136" s="55"/>
      <c r="I136" s="56"/>
      <c r="J136" s="55"/>
      <c r="K136" s="55"/>
      <c r="L136" s="55"/>
      <c r="M136" s="57"/>
      <c r="N136" s="58"/>
      <c r="O136" s="92"/>
      <c r="P136" s="72"/>
      <c r="Q136" s="73"/>
      <c r="R136" s="73"/>
      <c r="S136" s="73"/>
    </row>
    <row r="137" spans="1:19" x14ac:dyDescent="0.3">
      <c r="A137" s="94"/>
      <c r="B137" s="35"/>
      <c r="C137" s="55"/>
      <c r="D137" s="55"/>
      <c r="E137" s="55"/>
      <c r="F137" s="35"/>
      <c r="G137" s="55"/>
      <c r="H137" s="55"/>
      <c r="I137" s="56"/>
      <c r="J137" s="55"/>
      <c r="K137" s="55"/>
      <c r="L137" s="55"/>
      <c r="M137" s="57"/>
      <c r="N137" s="58"/>
      <c r="O137" s="92"/>
      <c r="P137" s="72"/>
      <c r="Q137" s="73"/>
      <c r="R137" s="73"/>
      <c r="S137" s="73"/>
    </row>
    <row r="138" spans="1:19" x14ac:dyDescent="0.3">
      <c r="A138" s="94"/>
      <c r="B138" s="35"/>
      <c r="C138" s="55"/>
      <c r="D138" s="55"/>
      <c r="E138" s="55"/>
      <c r="F138" s="35"/>
      <c r="G138" s="55"/>
      <c r="H138" s="55"/>
      <c r="I138" s="56"/>
      <c r="J138" s="55"/>
      <c r="K138" s="55"/>
      <c r="L138" s="55"/>
      <c r="M138" s="57"/>
      <c r="N138" s="58"/>
      <c r="O138" s="92"/>
      <c r="P138" s="72"/>
      <c r="Q138" s="73"/>
      <c r="R138" s="73"/>
      <c r="S138" s="73"/>
    </row>
    <row r="139" spans="1:19" x14ac:dyDescent="0.3">
      <c r="A139" s="94"/>
      <c r="B139" s="35"/>
      <c r="C139" s="55"/>
      <c r="D139" s="55"/>
      <c r="E139" s="55"/>
      <c r="F139" s="35"/>
      <c r="G139" s="55"/>
      <c r="H139" s="55"/>
      <c r="I139" s="56"/>
      <c r="J139" s="55"/>
      <c r="K139" s="55"/>
      <c r="L139" s="55"/>
      <c r="M139" s="57"/>
      <c r="N139" s="58"/>
      <c r="O139" s="92"/>
      <c r="P139" s="72"/>
      <c r="Q139" s="73"/>
      <c r="R139" s="73"/>
      <c r="S139" s="73"/>
    </row>
    <row r="140" spans="1:19" x14ac:dyDescent="0.3">
      <c r="A140" s="94"/>
      <c r="B140" s="35"/>
      <c r="C140" s="55"/>
      <c r="D140" s="55"/>
      <c r="E140" s="55"/>
      <c r="F140" s="35"/>
      <c r="G140" s="55"/>
      <c r="H140" s="55"/>
      <c r="I140" s="56"/>
      <c r="J140" s="55"/>
      <c r="K140" s="55"/>
      <c r="L140" s="55"/>
      <c r="M140" s="57"/>
      <c r="N140" s="58"/>
      <c r="O140" s="92"/>
      <c r="P140" s="72"/>
      <c r="Q140" s="73"/>
      <c r="R140" s="73"/>
      <c r="S140" s="73"/>
    </row>
    <row r="141" spans="1:19" x14ac:dyDescent="0.3">
      <c r="A141" s="94"/>
      <c r="B141" s="35"/>
      <c r="C141" s="55"/>
      <c r="D141" s="55"/>
      <c r="E141" s="55"/>
      <c r="F141" s="35"/>
      <c r="G141" s="55"/>
      <c r="H141" s="55"/>
      <c r="I141" s="56"/>
      <c r="J141" s="55"/>
      <c r="K141" s="55"/>
      <c r="L141" s="55"/>
      <c r="M141" s="57"/>
      <c r="N141" s="58"/>
      <c r="O141" s="92"/>
      <c r="P141" s="72"/>
      <c r="Q141" s="73"/>
      <c r="R141" s="73"/>
      <c r="S141" s="73"/>
    </row>
    <row r="142" spans="1:19" x14ac:dyDescent="0.3">
      <c r="A142" s="94"/>
      <c r="B142" s="35"/>
      <c r="C142" s="55"/>
      <c r="D142" s="55"/>
      <c r="E142" s="55"/>
      <c r="F142" s="35"/>
      <c r="G142" s="55"/>
      <c r="H142" s="55"/>
      <c r="I142" s="56"/>
      <c r="J142" s="55"/>
      <c r="K142" s="55"/>
      <c r="L142" s="55"/>
      <c r="M142" s="57"/>
      <c r="N142" s="58"/>
      <c r="O142" s="92"/>
      <c r="P142" s="72"/>
      <c r="Q142" s="73"/>
      <c r="R142" s="73"/>
      <c r="S142" s="73"/>
    </row>
    <row r="143" spans="1:19" x14ac:dyDescent="0.3">
      <c r="A143" s="94"/>
      <c r="B143" s="35"/>
      <c r="C143" s="55"/>
      <c r="D143" s="55"/>
      <c r="E143" s="55"/>
      <c r="F143" s="35"/>
      <c r="G143" s="55"/>
      <c r="H143" s="55"/>
      <c r="I143" s="56"/>
      <c r="J143" s="55"/>
      <c r="K143" s="55"/>
      <c r="L143" s="55"/>
      <c r="M143" s="57"/>
      <c r="N143" s="58"/>
      <c r="O143" s="92"/>
      <c r="P143" s="72"/>
      <c r="Q143" s="73"/>
      <c r="R143" s="73"/>
      <c r="S143" s="73"/>
    </row>
    <row r="144" spans="1:19" x14ac:dyDescent="0.3">
      <c r="A144" s="94"/>
      <c r="B144" s="35"/>
      <c r="C144" s="55"/>
      <c r="D144" s="55"/>
      <c r="E144" s="55"/>
      <c r="F144" s="35"/>
      <c r="G144" s="55"/>
      <c r="H144" s="55"/>
      <c r="I144" s="56"/>
      <c r="J144" s="55"/>
      <c r="K144" s="55"/>
      <c r="L144" s="55"/>
      <c r="M144" s="57"/>
      <c r="N144" s="58"/>
      <c r="O144" s="92"/>
      <c r="P144" s="72"/>
      <c r="Q144" s="73"/>
      <c r="R144" s="73"/>
      <c r="S144" s="73"/>
    </row>
    <row r="145" spans="1:19" x14ac:dyDescent="0.3">
      <c r="A145" s="94"/>
      <c r="B145" s="35"/>
      <c r="C145" s="55"/>
      <c r="D145" s="55"/>
      <c r="E145" s="55"/>
      <c r="F145" s="35"/>
      <c r="G145" s="55"/>
      <c r="H145" s="55"/>
      <c r="I145" s="56"/>
      <c r="J145" s="55"/>
      <c r="K145" s="55"/>
      <c r="L145" s="55"/>
      <c r="M145" s="57"/>
      <c r="N145" s="58"/>
      <c r="O145" s="92"/>
      <c r="P145" s="72"/>
      <c r="Q145" s="73"/>
      <c r="R145" s="73"/>
      <c r="S145" s="73"/>
    </row>
  </sheetData>
  <autoFilter ref="A1:P6" xr:uid="{B3159661-CA2A-4DB8-97C0-1DB85B0AF508}"/>
  <mergeCells count="139">
    <mergeCell ref="A144:A145"/>
    <mergeCell ref="O144:O145"/>
    <mergeCell ref="O47:O49"/>
    <mergeCell ref="A47:A49"/>
    <mergeCell ref="C49:G49"/>
    <mergeCell ref="A138:A139"/>
    <mergeCell ref="O138:O139"/>
    <mergeCell ref="A140:A141"/>
    <mergeCell ref="O140:O141"/>
    <mergeCell ref="A142:A143"/>
    <mergeCell ref="O142:O143"/>
    <mergeCell ref="A132:A133"/>
    <mergeCell ref="O132:O133"/>
    <mergeCell ref="A134:A135"/>
    <mergeCell ref="O134:O135"/>
    <mergeCell ref="A136:A137"/>
    <mergeCell ref="O136:O137"/>
    <mergeCell ref="A126:A127"/>
    <mergeCell ref="O126:O127"/>
    <mergeCell ref="A128:A129"/>
    <mergeCell ref="O128:O129"/>
    <mergeCell ref="A130:A131"/>
    <mergeCell ref="O130:O131"/>
    <mergeCell ref="A120:A121"/>
    <mergeCell ref="O120:O121"/>
    <mergeCell ref="A122:A123"/>
    <mergeCell ref="O122:O123"/>
    <mergeCell ref="A124:A125"/>
    <mergeCell ref="O124:O125"/>
    <mergeCell ref="A114:A115"/>
    <mergeCell ref="O114:O115"/>
    <mergeCell ref="A116:A117"/>
    <mergeCell ref="O116:O117"/>
    <mergeCell ref="A118:A119"/>
    <mergeCell ref="O118:O119"/>
    <mergeCell ref="A108:A109"/>
    <mergeCell ref="O108:O109"/>
    <mergeCell ref="A110:A111"/>
    <mergeCell ref="O110:O111"/>
    <mergeCell ref="A112:A113"/>
    <mergeCell ref="O112:O113"/>
    <mergeCell ref="A102:A103"/>
    <mergeCell ref="O102:O103"/>
    <mergeCell ref="A104:A105"/>
    <mergeCell ref="O104:O105"/>
    <mergeCell ref="A106:A107"/>
    <mergeCell ref="O106:O107"/>
    <mergeCell ref="A96:A97"/>
    <mergeCell ref="O96:O97"/>
    <mergeCell ref="A98:A99"/>
    <mergeCell ref="O98:O99"/>
    <mergeCell ref="A100:A101"/>
    <mergeCell ref="O100:O101"/>
    <mergeCell ref="A90:A91"/>
    <mergeCell ref="O90:O91"/>
    <mergeCell ref="A92:A93"/>
    <mergeCell ref="O92:O93"/>
    <mergeCell ref="A94:A95"/>
    <mergeCell ref="O94:O95"/>
    <mergeCell ref="A84:A85"/>
    <mergeCell ref="O84:O85"/>
    <mergeCell ref="A86:A87"/>
    <mergeCell ref="O86:O87"/>
    <mergeCell ref="A88:A89"/>
    <mergeCell ref="O88:O89"/>
    <mergeCell ref="A78:A79"/>
    <mergeCell ref="O78:O79"/>
    <mergeCell ref="A80:A81"/>
    <mergeCell ref="O80:O81"/>
    <mergeCell ref="A82:A83"/>
    <mergeCell ref="O82:O83"/>
    <mergeCell ref="A72:A73"/>
    <mergeCell ref="O72:O73"/>
    <mergeCell ref="A74:A75"/>
    <mergeCell ref="O74:O75"/>
    <mergeCell ref="A76:A77"/>
    <mergeCell ref="O76:O77"/>
    <mergeCell ref="A66:A67"/>
    <mergeCell ref="O66:O67"/>
    <mergeCell ref="A68:A69"/>
    <mergeCell ref="O68:O69"/>
    <mergeCell ref="A70:A71"/>
    <mergeCell ref="O70:O71"/>
    <mergeCell ref="A50:A51"/>
    <mergeCell ref="O50:O51"/>
    <mergeCell ref="A52:A53"/>
    <mergeCell ref="O52:O53"/>
    <mergeCell ref="A60:A61"/>
    <mergeCell ref="O60:O61"/>
    <mergeCell ref="A62:A63"/>
    <mergeCell ref="O62:O63"/>
    <mergeCell ref="A64:A65"/>
    <mergeCell ref="O64:O65"/>
    <mergeCell ref="A54:A55"/>
    <mergeCell ref="O54:O55"/>
    <mergeCell ref="A56:A57"/>
    <mergeCell ref="O56:O57"/>
    <mergeCell ref="A58:A59"/>
    <mergeCell ref="O58:O59"/>
    <mergeCell ref="O2:O3"/>
    <mergeCell ref="O4:O6"/>
    <mergeCell ref="A41:A42"/>
    <mergeCell ref="A38:A40"/>
    <mergeCell ref="O41:O42"/>
    <mergeCell ref="O43:O44"/>
    <mergeCell ref="O45:O46"/>
    <mergeCell ref="A43:A44"/>
    <mergeCell ref="A45:A46"/>
    <mergeCell ref="A2:A3"/>
    <mergeCell ref="O38:O40"/>
    <mergeCell ref="O7:O8"/>
    <mergeCell ref="A21:A22"/>
    <mergeCell ref="O21:O22"/>
    <mergeCell ref="A23:A24"/>
    <mergeCell ref="O23:O24"/>
    <mergeCell ref="A25:A26"/>
    <mergeCell ref="O25:O26"/>
    <mergeCell ref="A15:A16"/>
    <mergeCell ref="O15:O16"/>
    <mergeCell ref="A17:A18"/>
    <mergeCell ref="O17:O18"/>
    <mergeCell ref="A19:A20"/>
    <mergeCell ref="O19:O20"/>
    <mergeCell ref="O30:O31"/>
    <mergeCell ref="O32:O33"/>
    <mergeCell ref="O34:O35"/>
    <mergeCell ref="O36:O37"/>
    <mergeCell ref="A30:A31"/>
    <mergeCell ref="A32:A33"/>
    <mergeCell ref="A34:A35"/>
    <mergeCell ref="A36:A37"/>
    <mergeCell ref="A4:A6"/>
    <mergeCell ref="A9:A10"/>
    <mergeCell ref="O9:O10"/>
    <mergeCell ref="A11:A12"/>
    <mergeCell ref="O11:O12"/>
    <mergeCell ref="A13:A14"/>
    <mergeCell ref="O13:O14"/>
    <mergeCell ref="A7:A8"/>
  </mergeCells>
  <phoneticPr fontId="1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3B799-32FF-4570-8947-CB3C82B3907E}">
  <dimension ref="A2:V45"/>
  <sheetViews>
    <sheetView zoomScale="90" zoomScaleNormal="90" workbookViewId="0">
      <pane xSplit="1" ySplit="2" topLeftCell="J18" activePane="bottomRight" state="frozen"/>
      <selection pane="topRight" activeCell="B1" sqref="B1"/>
      <selection pane="bottomLeft" activeCell="A3" sqref="A3"/>
      <selection pane="bottomRight" activeCell="V23" sqref="V23:V26"/>
    </sheetView>
  </sheetViews>
  <sheetFormatPr defaultRowHeight="14.4" x14ac:dyDescent="0.3"/>
  <cols>
    <col min="1" max="1" width="29.33203125" customWidth="1"/>
    <col min="2" max="2" width="10.5546875" style="2" bestFit="1" customWidth="1"/>
    <col min="3" max="3" width="8.33203125" style="2" bestFit="1" customWidth="1"/>
    <col min="4" max="5" width="10" style="2" bestFit="1" customWidth="1"/>
    <col min="6" max="7" width="10.44140625" style="2" bestFit="1" customWidth="1"/>
    <col min="8" max="11" width="11.44140625" style="2" bestFit="1" customWidth="1"/>
    <col min="12" max="18" width="11.44140625" bestFit="1" customWidth="1"/>
    <col min="22" max="22" width="10.5546875" bestFit="1" customWidth="1"/>
  </cols>
  <sheetData>
    <row r="2" spans="1:18" x14ac:dyDescent="0.3">
      <c r="A2" s="6" t="s">
        <v>5</v>
      </c>
      <c r="B2" s="7" t="s">
        <v>6</v>
      </c>
      <c r="C2" s="7" t="s">
        <v>0</v>
      </c>
      <c r="D2" s="8">
        <v>44593</v>
      </c>
      <c r="E2" s="8">
        <v>44621</v>
      </c>
      <c r="F2" s="8">
        <v>44652</v>
      </c>
      <c r="G2" s="8">
        <v>44682</v>
      </c>
      <c r="H2" s="8">
        <v>44713</v>
      </c>
      <c r="I2" s="8">
        <v>44743</v>
      </c>
      <c r="J2" s="8">
        <v>44774</v>
      </c>
      <c r="K2" s="8">
        <v>44805</v>
      </c>
      <c r="L2" s="8">
        <v>44835</v>
      </c>
      <c r="M2" s="8">
        <v>44866</v>
      </c>
      <c r="N2" s="8">
        <v>44896</v>
      </c>
      <c r="O2" s="8">
        <v>44927</v>
      </c>
      <c r="P2" s="8">
        <v>44958</v>
      </c>
      <c r="Q2" s="8">
        <v>44986</v>
      </c>
      <c r="R2" s="8">
        <v>45017</v>
      </c>
    </row>
    <row r="3" spans="1:18" s="1" customFormat="1" x14ac:dyDescent="0.3">
      <c r="A3" s="3" t="s">
        <v>9</v>
      </c>
      <c r="B3" s="4"/>
      <c r="C3" s="4"/>
      <c r="D3" s="5">
        <f t="shared" ref="D3:R3" si="0">C45</f>
        <v>4638</v>
      </c>
      <c r="E3" s="5">
        <f t="shared" si="0"/>
        <v>-784.81999999999971</v>
      </c>
      <c r="F3" s="5">
        <f t="shared" si="0"/>
        <v>10296.37999999999</v>
      </c>
      <c r="G3" s="5">
        <f t="shared" si="0"/>
        <v>-18888.37000000001</v>
      </c>
      <c r="H3" s="5">
        <f t="shared" si="0"/>
        <v>1277.1100000000006</v>
      </c>
      <c r="I3" s="5">
        <f t="shared" si="0"/>
        <v>25286.29</v>
      </c>
      <c r="J3" s="5">
        <f t="shared" si="0"/>
        <v>55803.470000000008</v>
      </c>
      <c r="K3" s="5">
        <f t="shared" si="0"/>
        <v>86320.65</v>
      </c>
      <c r="L3" s="5">
        <f t="shared" si="0"/>
        <v>74931.139999999985</v>
      </c>
      <c r="M3" s="5">
        <f t="shared" si="0"/>
        <v>105448.31999999998</v>
      </c>
      <c r="N3" s="5">
        <f t="shared" si="0"/>
        <v>118818.49999999997</v>
      </c>
      <c r="O3" s="5">
        <f t="shared" si="0"/>
        <v>149335.67999999996</v>
      </c>
      <c r="P3" s="5">
        <f t="shared" si="0"/>
        <v>179852.85999999996</v>
      </c>
      <c r="Q3" s="5">
        <f t="shared" si="0"/>
        <v>203828.03999999995</v>
      </c>
      <c r="R3" s="5">
        <f t="shared" si="0"/>
        <v>204699.21999999991</v>
      </c>
    </row>
    <row r="4" spans="1:18" x14ac:dyDescent="0.3">
      <c r="A4" s="13" t="s">
        <v>25</v>
      </c>
      <c r="B4" s="14"/>
      <c r="C4" s="15"/>
      <c r="D4" s="24">
        <v>7200</v>
      </c>
      <c r="E4" s="23">
        <v>7008</v>
      </c>
      <c r="F4" s="23">
        <f>35778-5029-15572.98-5495-1513</f>
        <v>8168.02</v>
      </c>
      <c r="G4" s="14">
        <v>14977.7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 x14ac:dyDescent="0.3">
      <c r="A5" s="13" t="s">
        <v>26</v>
      </c>
      <c r="B5" s="14"/>
      <c r="C5" s="15"/>
      <c r="D5" s="21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3">
      <c r="A6" s="13" t="s">
        <v>16</v>
      </c>
      <c r="B6" s="14">
        <v>10</v>
      </c>
      <c r="C6" s="22">
        <v>1500</v>
      </c>
      <c r="D6" s="22">
        <f t="shared" ref="D6:R20" si="1">$C6</f>
        <v>1500</v>
      </c>
      <c r="E6" s="22">
        <f t="shared" si="1"/>
        <v>1500</v>
      </c>
      <c r="F6" s="22">
        <f t="shared" si="1"/>
        <v>1500</v>
      </c>
      <c r="G6" s="22">
        <f t="shared" si="1"/>
        <v>1500</v>
      </c>
      <c r="H6" s="15">
        <f t="shared" si="1"/>
        <v>1500</v>
      </c>
      <c r="I6" s="15">
        <f t="shared" si="1"/>
        <v>1500</v>
      </c>
      <c r="J6" s="15">
        <f t="shared" si="1"/>
        <v>1500</v>
      </c>
      <c r="K6" s="15">
        <f t="shared" si="1"/>
        <v>1500</v>
      </c>
      <c r="L6" s="15">
        <f t="shared" si="1"/>
        <v>1500</v>
      </c>
      <c r="M6" s="15">
        <f t="shared" si="1"/>
        <v>1500</v>
      </c>
      <c r="N6" s="15">
        <f t="shared" si="1"/>
        <v>1500</v>
      </c>
      <c r="O6" s="15">
        <f t="shared" si="1"/>
        <v>1500</v>
      </c>
      <c r="P6" s="15">
        <f t="shared" si="1"/>
        <v>1500</v>
      </c>
      <c r="Q6" s="15">
        <f t="shared" si="1"/>
        <v>1500</v>
      </c>
      <c r="R6" s="15">
        <f t="shared" si="1"/>
        <v>1500</v>
      </c>
    </row>
    <row r="7" spans="1:18" x14ac:dyDescent="0.3">
      <c r="A7" s="13" t="s">
        <v>19</v>
      </c>
      <c r="B7" s="14">
        <v>10</v>
      </c>
      <c r="C7" s="22">
        <v>1500</v>
      </c>
      <c r="D7" s="22">
        <f t="shared" si="1"/>
        <v>1500</v>
      </c>
      <c r="E7" s="22">
        <f t="shared" si="1"/>
        <v>1500</v>
      </c>
      <c r="F7" s="22">
        <f t="shared" si="1"/>
        <v>1500</v>
      </c>
      <c r="G7" s="22">
        <f t="shared" si="1"/>
        <v>1500</v>
      </c>
      <c r="H7" s="15">
        <f t="shared" si="1"/>
        <v>1500</v>
      </c>
      <c r="I7" s="15">
        <f t="shared" si="1"/>
        <v>1500</v>
      </c>
      <c r="J7" s="15">
        <f t="shared" si="1"/>
        <v>1500</v>
      </c>
      <c r="K7" s="15">
        <f t="shared" si="1"/>
        <v>1500</v>
      </c>
      <c r="L7" s="15">
        <f t="shared" si="1"/>
        <v>1500</v>
      </c>
      <c r="M7" s="15">
        <f t="shared" si="1"/>
        <v>1500</v>
      </c>
      <c r="N7" s="15">
        <f t="shared" si="1"/>
        <v>1500</v>
      </c>
      <c r="O7" s="15">
        <f t="shared" si="1"/>
        <v>1500</v>
      </c>
      <c r="P7" s="15">
        <f t="shared" si="1"/>
        <v>1500</v>
      </c>
      <c r="Q7" s="15">
        <f t="shared" si="1"/>
        <v>1500</v>
      </c>
      <c r="R7" s="15">
        <f t="shared" si="1"/>
        <v>1500</v>
      </c>
    </row>
    <row r="8" spans="1:18" x14ac:dyDescent="0.3">
      <c r="A8" s="13" t="s">
        <v>18</v>
      </c>
      <c r="B8" s="14">
        <v>14</v>
      </c>
      <c r="C8" s="22">
        <v>5000</v>
      </c>
      <c r="D8" s="22">
        <f t="shared" si="1"/>
        <v>5000</v>
      </c>
      <c r="E8" s="22">
        <f t="shared" si="1"/>
        <v>5000</v>
      </c>
      <c r="F8" s="22">
        <f t="shared" si="1"/>
        <v>5000</v>
      </c>
      <c r="G8" s="22">
        <f t="shared" si="1"/>
        <v>5000</v>
      </c>
      <c r="H8" s="15">
        <f t="shared" si="1"/>
        <v>5000</v>
      </c>
      <c r="I8" s="15">
        <f t="shared" si="1"/>
        <v>5000</v>
      </c>
      <c r="J8" s="15">
        <f t="shared" si="1"/>
        <v>5000</v>
      </c>
      <c r="K8" s="15">
        <f t="shared" si="1"/>
        <v>5000</v>
      </c>
      <c r="L8" s="15">
        <f t="shared" si="1"/>
        <v>5000</v>
      </c>
      <c r="M8" s="15">
        <f t="shared" si="1"/>
        <v>5000</v>
      </c>
      <c r="N8" s="15">
        <f t="shared" si="1"/>
        <v>5000</v>
      </c>
      <c r="O8" s="15">
        <f t="shared" si="1"/>
        <v>5000</v>
      </c>
      <c r="P8" s="15">
        <f t="shared" si="1"/>
        <v>5000</v>
      </c>
      <c r="Q8" s="15">
        <f t="shared" si="1"/>
        <v>5000</v>
      </c>
      <c r="R8" s="15">
        <f t="shared" si="1"/>
        <v>5000</v>
      </c>
    </row>
    <row r="9" spans="1:18" x14ac:dyDescent="0.3">
      <c r="A9" s="13" t="s">
        <v>17</v>
      </c>
      <c r="B9" s="14">
        <v>7</v>
      </c>
      <c r="C9" s="22">
        <v>2500</v>
      </c>
      <c r="D9" s="22">
        <f t="shared" si="1"/>
        <v>2500</v>
      </c>
      <c r="E9" s="22">
        <f t="shared" si="1"/>
        <v>2500</v>
      </c>
      <c r="F9" s="22">
        <f t="shared" si="1"/>
        <v>2500</v>
      </c>
      <c r="G9" s="22">
        <f t="shared" si="1"/>
        <v>2500</v>
      </c>
      <c r="H9" s="15">
        <f t="shared" si="1"/>
        <v>2500</v>
      </c>
      <c r="I9" s="15">
        <f t="shared" si="1"/>
        <v>2500</v>
      </c>
      <c r="J9" s="15">
        <f t="shared" si="1"/>
        <v>2500</v>
      </c>
      <c r="K9" s="15">
        <f t="shared" si="1"/>
        <v>2500</v>
      </c>
      <c r="L9" s="15">
        <f t="shared" si="1"/>
        <v>2500</v>
      </c>
      <c r="M9" s="15">
        <f t="shared" si="1"/>
        <v>2500</v>
      </c>
      <c r="N9" s="15">
        <f t="shared" si="1"/>
        <v>2500</v>
      </c>
      <c r="O9" s="15">
        <f t="shared" si="1"/>
        <v>2500</v>
      </c>
      <c r="P9" s="15">
        <f t="shared" si="1"/>
        <v>2500</v>
      </c>
      <c r="Q9" s="15">
        <f t="shared" si="1"/>
        <v>2500</v>
      </c>
      <c r="R9" s="15">
        <f t="shared" si="1"/>
        <v>2500</v>
      </c>
    </row>
    <row r="10" spans="1:18" x14ac:dyDescent="0.3">
      <c r="A10" s="13" t="s">
        <v>20</v>
      </c>
      <c r="B10" s="14">
        <v>14</v>
      </c>
      <c r="C10" s="22">
        <v>1500</v>
      </c>
      <c r="D10" s="22">
        <f t="shared" si="1"/>
        <v>1500</v>
      </c>
      <c r="E10" s="22">
        <f t="shared" si="1"/>
        <v>1500</v>
      </c>
      <c r="F10" s="22">
        <f t="shared" si="1"/>
        <v>1500</v>
      </c>
      <c r="G10" s="22">
        <f t="shared" si="1"/>
        <v>1500</v>
      </c>
      <c r="H10" s="15">
        <f t="shared" si="1"/>
        <v>1500</v>
      </c>
      <c r="I10" s="15">
        <f t="shared" si="1"/>
        <v>1500</v>
      </c>
      <c r="J10" s="15">
        <f t="shared" si="1"/>
        <v>1500</v>
      </c>
      <c r="K10" s="15">
        <f t="shared" si="1"/>
        <v>1500</v>
      </c>
      <c r="L10" s="15">
        <f t="shared" si="1"/>
        <v>1500</v>
      </c>
      <c r="M10" s="15">
        <f t="shared" si="1"/>
        <v>1500</v>
      </c>
      <c r="N10" s="15">
        <f t="shared" si="1"/>
        <v>1500</v>
      </c>
      <c r="O10" s="15">
        <f t="shared" si="1"/>
        <v>1500</v>
      </c>
      <c r="P10" s="15">
        <f t="shared" si="1"/>
        <v>1500</v>
      </c>
      <c r="Q10" s="15">
        <f t="shared" si="1"/>
        <v>1500</v>
      </c>
      <c r="R10" s="15">
        <f t="shared" si="1"/>
        <v>1500</v>
      </c>
    </row>
    <row r="11" spans="1:18" x14ac:dyDescent="0.3">
      <c r="A11" s="13" t="s">
        <v>21</v>
      </c>
      <c r="B11" s="14" t="s">
        <v>22</v>
      </c>
      <c r="C11" s="22">
        <v>5000</v>
      </c>
      <c r="D11" s="22">
        <f t="shared" si="1"/>
        <v>5000</v>
      </c>
      <c r="E11" s="22">
        <f t="shared" si="1"/>
        <v>5000</v>
      </c>
      <c r="F11" s="22">
        <f t="shared" si="1"/>
        <v>5000</v>
      </c>
      <c r="G11" s="22">
        <f t="shared" si="1"/>
        <v>5000</v>
      </c>
      <c r="H11" s="15">
        <f t="shared" si="1"/>
        <v>5000</v>
      </c>
      <c r="I11" s="15">
        <f t="shared" si="1"/>
        <v>5000</v>
      </c>
      <c r="J11" s="15">
        <f t="shared" si="1"/>
        <v>5000</v>
      </c>
      <c r="K11" s="15">
        <f t="shared" si="1"/>
        <v>5000</v>
      </c>
      <c r="L11" s="15">
        <f t="shared" si="1"/>
        <v>5000</v>
      </c>
      <c r="M11" s="15">
        <f t="shared" si="1"/>
        <v>5000</v>
      </c>
      <c r="N11" s="15">
        <f t="shared" si="1"/>
        <v>5000</v>
      </c>
      <c r="O11" s="15">
        <f t="shared" si="1"/>
        <v>5000</v>
      </c>
      <c r="P11" s="15">
        <f t="shared" si="1"/>
        <v>5000</v>
      </c>
      <c r="Q11" s="15">
        <f t="shared" si="1"/>
        <v>5000</v>
      </c>
      <c r="R11" s="15">
        <f t="shared" si="1"/>
        <v>5000</v>
      </c>
    </row>
    <row r="12" spans="1:18" x14ac:dyDescent="0.3">
      <c r="A12" s="13" t="s">
        <v>23</v>
      </c>
      <c r="B12" s="14">
        <v>10</v>
      </c>
      <c r="C12" s="22">
        <v>10500</v>
      </c>
      <c r="D12" s="22">
        <f t="shared" si="1"/>
        <v>10500</v>
      </c>
      <c r="E12" s="22">
        <f t="shared" si="1"/>
        <v>10500</v>
      </c>
      <c r="F12" s="22">
        <f t="shared" si="1"/>
        <v>10500</v>
      </c>
      <c r="G12" s="22">
        <f t="shared" si="1"/>
        <v>10500</v>
      </c>
      <c r="H12" s="15">
        <f t="shared" si="1"/>
        <v>10500</v>
      </c>
      <c r="I12" s="15">
        <f t="shared" si="1"/>
        <v>10500</v>
      </c>
      <c r="J12" s="15">
        <f t="shared" si="1"/>
        <v>10500</v>
      </c>
      <c r="K12" s="15">
        <f t="shared" si="1"/>
        <v>10500</v>
      </c>
      <c r="L12" s="15">
        <f t="shared" si="1"/>
        <v>10500</v>
      </c>
      <c r="M12" s="15">
        <f t="shared" si="1"/>
        <v>10500</v>
      </c>
      <c r="N12" s="15">
        <f t="shared" si="1"/>
        <v>10500</v>
      </c>
      <c r="O12" s="15">
        <f t="shared" si="1"/>
        <v>10500</v>
      </c>
      <c r="P12" s="15">
        <f t="shared" si="1"/>
        <v>10500</v>
      </c>
      <c r="Q12" s="15">
        <f t="shared" si="1"/>
        <v>10500</v>
      </c>
      <c r="R12" s="15">
        <f t="shared" si="1"/>
        <v>10500</v>
      </c>
    </row>
    <row r="13" spans="1:18" x14ac:dyDescent="0.3">
      <c r="A13" s="13" t="s">
        <v>24</v>
      </c>
      <c r="B13" s="14">
        <v>15</v>
      </c>
      <c r="C13" s="22">
        <v>6508</v>
      </c>
      <c r="D13" s="22">
        <v>96</v>
      </c>
      <c r="E13" s="22">
        <v>6483</v>
      </c>
      <c r="F13" s="22">
        <v>6469</v>
      </c>
      <c r="G13" s="22">
        <v>6456</v>
      </c>
      <c r="H13" s="15">
        <f t="shared" si="1"/>
        <v>6508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1:18" x14ac:dyDescent="0.3">
      <c r="A14" s="13" t="s">
        <v>10</v>
      </c>
      <c r="B14" s="14"/>
      <c r="C14" s="15"/>
      <c r="D14" s="15">
        <v>0</v>
      </c>
      <c r="E14" s="15">
        <v>0</v>
      </c>
      <c r="F14" s="15">
        <f t="shared" si="1"/>
        <v>0</v>
      </c>
      <c r="G14" s="15">
        <f t="shared" si="1"/>
        <v>0</v>
      </c>
      <c r="H14" s="15">
        <f t="shared" si="1"/>
        <v>0</v>
      </c>
      <c r="I14" s="15">
        <f t="shared" si="1"/>
        <v>0</v>
      </c>
      <c r="J14" s="15">
        <f t="shared" si="1"/>
        <v>0</v>
      </c>
      <c r="K14" s="15">
        <f t="shared" si="1"/>
        <v>0</v>
      </c>
      <c r="L14" s="15">
        <f t="shared" si="1"/>
        <v>0</v>
      </c>
      <c r="M14" s="15">
        <f t="shared" si="1"/>
        <v>0</v>
      </c>
      <c r="N14" s="15">
        <f t="shared" si="1"/>
        <v>0</v>
      </c>
      <c r="O14" s="15">
        <f t="shared" si="1"/>
        <v>0</v>
      </c>
      <c r="P14" s="15">
        <f t="shared" si="1"/>
        <v>0</v>
      </c>
      <c r="Q14" s="15">
        <f t="shared" si="1"/>
        <v>0</v>
      </c>
      <c r="R14" s="15">
        <f t="shared" si="1"/>
        <v>0</v>
      </c>
    </row>
    <row r="15" spans="1:18" x14ac:dyDescent="0.3">
      <c r="A15" s="13" t="s">
        <v>11</v>
      </c>
      <c r="B15" s="14"/>
      <c r="C15" s="15"/>
      <c r="D15" s="15">
        <v>0</v>
      </c>
      <c r="E15" s="15">
        <v>0</v>
      </c>
      <c r="F15" s="15">
        <f t="shared" si="1"/>
        <v>0</v>
      </c>
      <c r="G15" s="15">
        <f t="shared" si="1"/>
        <v>0</v>
      </c>
      <c r="H15" s="15">
        <f t="shared" si="1"/>
        <v>0</v>
      </c>
      <c r="I15" s="15">
        <f t="shared" si="1"/>
        <v>0</v>
      </c>
      <c r="J15" s="15">
        <f t="shared" si="1"/>
        <v>0</v>
      </c>
      <c r="K15" s="15">
        <f t="shared" si="1"/>
        <v>0</v>
      </c>
      <c r="L15" s="15">
        <f t="shared" si="1"/>
        <v>0</v>
      </c>
      <c r="M15" s="15">
        <f t="shared" si="1"/>
        <v>0</v>
      </c>
      <c r="N15" s="15">
        <f t="shared" si="1"/>
        <v>0</v>
      </c>
      <c r="O15" s="15">
        <f t="shared" si="1"/>
        <v>0</v>
      </c>
      <c r="P15" s="15">
        <f t="shared" si="1"/>
        <v>0</v>
      </c>
      <c r="Q15" s="15">
        <f t="shared" si="1"/>
        <v>0</v>
      </c>
      <c r="R15" s="15">
        <f t="shared" si="1"/>
        <v>0</v>
      </c>
    </row>
    <row r="16" spans="1:18" x14ac:dyDescent="0.3">
      <c r="A16" s="13" t="s">
        <v>27</v>
      </c>
      <c r="B16" s="14">
        <v>11</v>
      </c>
      <c r="C16" s="22">
        <v>352.82</v>
      </c>
      <c r="D16" s="22">
        <f t="shared" si="1"/>
        <v>352.82</v>
      </c>
      <c r="E16" s="22">
        <f t="shared" si="1"/>
        <v>352.82</v>
      </c>
      <c r="F16" s="22">
        <f t="shared" si="1"/>
        <v>352.82</v>
      </c>
      <c r="G16" s="22">
        <f t="shared" si="1"/>
        <v>352.82</v>
      </c>
      <c r="H16" s="15">
        <f t="shared" si="1"/>
        <v>352.82</v>
      </c>
      <c r="I16" s="15">
        <f t="shared" si="1"/>
        <v>352.82</v>
      </c>
      <c r="J16" s="15">
        <f t="shared" si="1"/>
        <v>352.82</v>
      </c>
      <c r="K16" s="15">
        <f t="shared" si="1"/>
        <v>352.82</v>
      </c>
      <c r="L16" s="15">
        <f t="shared" si="1"/>
        <v>352.82</v>
      </c>
      <c r="M16" s="15">
        <f t="shared" si="1"/>
        <v>352.82</v>
      </c>
      <c r="N16" s="15">
        <f t="shared" si="1"/>
        <v>352.82</v>
      </c>
      <c r="O16" s="15">
        <f t="shared" si="1"/>
        <v>352.82</v>
      </c>
      <c r="P16" s="15">
        <f t="shared" si="1"/>
        <v>352.82</v>
      </c>
      <c r="Q16" s="15">
        <f t="shared" si="1"/>
        <v>352.82</v>
      </c>
      <c r="R16" s="15">
        <f t="shared" si="1"/>
        <v>352.82</v>
      </c>
    </row>
    <row r="17" spans="1:22" x14ac:dyDescent="0.3">
      <c r="A17" s="13" t="s">
        <v>45</v>
      </c>
      <c r="B17" s="14"/>
      <c r="C17" s="15"/>
      <c r="D17" s="15"/>
      <c r="E17" s="15"/>
      <c r="F17" s="22">
        <v>455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1:22" x14ac:dyDescent="0.3">
      <c r="A18" s="13" t="s">
        <v>41</v>
      </c>
      <c r="B18" s="14"/>
      <c r="C18" s="15"/>
      <c r="D18" s="22">
        <v>459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</row>
    <row r="19" spans="1:22" x14ac:dyDescent="0.3">
      <c r="A19" s="13" t="s">
        <v>40</v>
      </c>
      <c r="B19" s="16"/>
      <c r="C19" s="15"/>
      <c r="D19" s="22">
        <v>179</v>
      </c>
      <c r="E19" s="22">
        <v>179</v>
      </c>
      <c r="F19" s="22">
        <f>179+479</f>
        <v>658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22" x14ac:dyDescent="0.3">
      <c r="A20" s="13" t="s">
        <v>35</v>
      </c>
      <c r="B20" s="16"/>
      <c r="C20" s="15"/>
      <c r="D20" s="22">
        <v>2000</v>
      </c>
      <c r="E20" s="22" t="s">
        <v>43</v>
      </c>
      <c r="F20" s="22" t="s">
        <v>43</v>
      </c>
      <c r="G20" s="22" t="s">
        <v>43</v>
      </c>
      <c r="H20" s="15">
        <f t="shared" si="1"/>
        <v>0</v>
      </c>
      <c r="I20" s="15">
        <f t="shared" si="1"/>
        <v>0</v>
      </c>
      <c r="J20" s="15">
        <f t="shared" si="1"/>
        <v>0</v>
      </c>
      <c r="K20" s="15">
        <f t="shared" si="1"/>
        <v>0</v>
      </c>
      <c r="L20" s="15">
        <f t="shared" si="1"/>
        <v>0</v>
      </c>
      <c r="M20" s="15">
        <f t="shared" si="1"/>
        <v>0</v>
      </c>
      <c r="N20" s="15">
        <f t="shared" si="1"/>
        <v>0</v>
      </c>
      <c r="O20" s="15">
        <f t="shared" si="1"/>
        <v>0</v>
      </c>
      <c r="P20" s="15">
        <f t="shared" si="1"/>
        <v>0</v>
      </c>
      <c r="Q20" s="15">
        <f t="shared" si="1"/>
        <v>0</v>
      </c>
      <c r="R20" s="15">
        <f t="shared" si="1"/>
        <v>0</v>
      </c>
    </row>
    <row r="21" spans="1:22" x14ac:dyDescent="0.3">
      <c r="A21" s="13" t="s">
        <v>42</v>
      </c>
      <c r="B21" s="16"/>
      <c r="C21" s="15"/>
      <c r="D21" s="15"/>
      <c r="E21" s="22">
        <v>300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spans="1:22" x14ac:dyDescent="0.3">
      <c r="A22" s="26" t="s">
        <v>28</v>
      </c>
      <c r="B22" s="16">
        <v>44828</v>
      </c>
      <c r="C22" s="15">
        <v>8941</v>
      </c>
      <c r="D22" s="15"/>
      <c r="E22" s="15"/>
      <c r="F22" s="15"/>
      <c r="G22" s="15"/>
      <c r="H22" s="15"/>
      <c r="I22" s="15"/>
      <c r="J22" s="15"/>
      <c r="K22" s="15">
        <f>C22</f>
        <v>8941</v>
      </c>
      <c r="L22" s="15"/>
      <c r="M22" s="15"/>
      <c r="N22" s="15"/>
      <c r="O22" s="15"/>
      <c r="P22" s="15"/>
      <c r="Q22" s="15"/>
      <c r="R22" s="15"/>
    </row>
    <row r="23" spans="1:22" x14ac:dyDescent="0.3">
      <c r="A23" s="26" t="s">
        <v>29</v>
      </c>
      <c r="B23" s="16">
        <v>44820</v>
      </c>
      <c r="C23" s="15">
        <v>31506</v>
      </c>
      <c r="D23" s="15"/>
      <c r="E23" s="15"/>
      <c r="F23" s="15"/>
      <c r="G23" s="15"/>
      <c r="H23" s="15"/>
      <c r="I23" s="15"/>
      <c r="J23" s="15"/>
      <c r="K23" s="15">
        <f>C23</f>
        <v>31506</v>
      </c>
      <c r="L23" s="15"/>
      <c r="M23" s="15"/>
      <c r="N23" s="15"/>
      <c r="O23" s="15"/>
      <c r="P23" s="15"/>
      <c r="Q23" s="15"/>
      <c r="R23" s="15"/>
      <c r="V23" s="25">
        <v>22791</v>
      </c>
    </row>
    <row r="24" spans="1:22" x14ac:dyDescent="0.3">
      <c r="A24" s="26" t="s">
        <v>31</v>
      </c>
      <c r="B24" s="16">
        <v>44642</v>
      </c>
      <c r="C24" s="15">
        <v>20662</v>
      </c>
      <c r="D24" s="15"/>
      <c r="E24" s="22">
        <f t="shared" ref="E24:E28" si="2">C24</f>
        <v>20662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>
        <f>C24</f>
        <v>20662</v>
      </c>
      <c r="R24" s="15"/>
      <c r="V24" s="25">
        <v>44950</v>
      </c>
    </row>
    <row r="25" spans="1:22" x14ac:dyDescent="0.3">
      <c r="A25" s="26" t="s">
        <v>30</v>
      </c>
      <c r="B25" s="16">
        <v>44649</v>
      </c>
      <c r="C25" s="15">
        <v>3489</v>
      </c>
      <c r="D25" s="15"/>
      <c r="E25" s="22">
        <f t="shared" si="2"/>
        <v>3489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>
        <f>C25</f>
        <v>3489</v>
      </c>
      <c r="R25" s="15"/>
      <c r="V25">
        <f>V24-V23</f>
        <v>22159</v>
      </c>
    </row>
    <row r="26" spans="1:22" x14ac:dyDescent="0.3">
      <c r="A26" s="13" t="s">
        <v>36</v>
      </c>
      <c r="B26" s="16">
        <v>44620</v>
      </c>
      <c r="C26" s="15">
        <v>1513</v>
      </c>
      <c r="D26" s="15"/>
      <c r="E26" s="22">
        <f t="shared" si="2"/>
        <v>1513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>
        <f>C26</f>
        <v>1513</v>
      </c>
      <c r="Q26" s="15"/>
      <c r="R26" s="15"/>
      <c r="V26">
        <f>V25/365</f>
        <v>60.709589041095889</v>
      </c>
    </row>
    <row r="27" spans="1:22" x14ac:dyDescent="0.3">
      <c r="A27" s="13" t="s">
        <v>37</v>
      </c>
      <c r="B27" s="16">
        <v>44620</v>
      </c>
      <c r="C27" s="15">
        <v>5029</v>
      </c>
      <c r="D27" s="15"/>
      <c r="E27" s="22">
        <f t="shared" si="2"/>
        <v>5029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>
        <f>C27</f>
        <v>5029</v>
      </c>
      <c r="Q27" s="15"/>
      <c r="R27" s="15"/>
    </row>
    <row r="28" spans="1:22" x14ac:dyDescent="0.3">
      <c r="A28" s="13" t="s">
        <v>38</v>
      </c>
      <c r="B28" s="16">
        <v>44648</v>
      </c>
      <c r="C28" s="15">
        <v>5495</v>
      </c>
      <c r="D28" s="15"/>
      <c r="E28" s="22">
        <f t="shared" si="2"/>
        <v>5495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>
        <f>C28</f>
        <v>5495</v>
      </c>
      <c r="R28" s="15"/>
    </row>
    <row r="29" spans="1:22" x14ac:dyDescent="0.3">
      <c r="A29" s="13" t="s">
        <v>39</v>
      </c>
      <c r="B29" s="16">
        <v>44885</v>
      </c>
      <c r="C29" s="15">
        <v>15012</v>
      </c>
      <c r="D29" s="15"/>
      <c r="E29" s="22">
        <v>15572.98</v>
      </c>
      <c r="F29" s="15"/>
      <c r="G29" s="15"/>
      <c r="H29" s="15"/>
      <c r="I29" s="15"/>
      <c r="J29" s="15"/>
      <c r="K29" s="15"/>
      <c r="L29" s="15"/>
      <c r="M29" s="15">
        <f>C29</f>
        <v>15012</v>
      </c>
      <c r="N29" s="15"/>
      <c r="O29" s="15"/>
      <c r="P29" s="15"/>
      <c r="Q29" s="15"/>
      <c r="R29" s="15"/>
    </row>
    <row r="30" spans="1:22" x14ac:dyDescent="0.3">
      <c r="A30" s="26" t="s">
        <v>34</v>
      </c>
      <c r="B30" s="16">
        <v>44659</v>
      </c>
      <c r="C30" s="15">
        <v>4543</v>
      </c>
      <c r="D30" s="15"/>
      <c r="E30" s="15"/>
      <c r="F30" s="22">
        <f>C30</f>
        <v>4543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</row>
    <row r="31" spans="1:22" x14ac:dyDescent="0.3">
      <c r="A31" s="13" t="s">
        <v>8</v>
      </c>
      <c r="B31" s="16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</row>
    <row r="32" spans="1:22" x14ac:dyDescent="0.3">
      <c r="A32" s="13" t="s">
        <v>46</v>
      </c>
      <c r="B32" s="16"/>
      <c r="C32" s="15"/>
      <c r="D32" s="15"/>
      <c r="E32" s="15"/>
      <c r="F32" s="22">
        <v>7495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 spans="1:18" x14ac:dyDescent="0.3">
      <c r="A33" s="13" t="s">
        <v>32</v>
      </c>
      <c r="B33" s="16">
        <v>44825</v>
      </c>
      <c r="C33" s="15">
        <v>1459.69</v>
      </c>
      <c r="D33" s="14"/>
      <c r="E33" s="14"/>
      <c r="F33" s="14"/>
      <c r="G33" s="14"/>
      <c r="H33" s="14"/>
      <c r="I33" s="14"/>
      <c r="J33" s="14"/>
      <c r="K33" s="15">
        <f>C33</f>
        <v>1459.69</v>
      </c>
      <c r="L33" s="14"/>
      <c r="M33" s="14"/>
      <c r="N33" s="14"/>
      <c r="O33" s="14"/>
      <c r="P33" s="14"/>
      <c r="Q33" s="14"/>
      <c r="R33" s="14"/>
    </row>
    <row r="34" spans="1:18" x14ac:dyDescent="0.3">
      <c r="A34" s="13" t="s">
        <v>33</v>
      </c>
      <c r="B34" s="16">
        <v>44871</v>
      </c>
      <c r="C34" s="15">
        <v>2135</v>
      </c>
      <c r="D34" s="14"/>
      <c r="E34" s="14"/>
      <c r="F34" s="14"/>
      <c r="G34" s="14"/>
      <c r="H34" s="14"/>
      <c r="I34" s="14"/>
      <c r="J34" s="14"/>
      <c r="K34" s="14"/>
      <c r="L34" s="14"/>
      <c r="M34" s="15">
        <f>C34</f>
        <v>2135</v>
      </c>
      <c r="N34" s="14"/>
      <c r="O34" s="14"/>
      <c r="P34" s="14"/>
      <c r="Q34" s="14"/>
      <c r="R34" s="14"/>
    </row>
    <row r="35" spans="1:18" x14ac:dyDescent="0.3">
      <c r="A35" s="13" t="s">
        <v>44</v>
      </c>
      <c r="B35" s="16">
        <v>44696</v>
      </c>
      <c r="C35" s="15">
        <v>13756</v>
      </c>
      <c r="D35" s="14"/>
      <c r="E35" s="14"/>
      <c r="F35" s="23">
        <v>11217</v>
      </c>
      <c r="G35" s="14"/>
      <c r="H35" s="14"/>
      <c r="I35" s="14"/>
      <c r="J35" s="14"/>
      <c r="K35" s="14"/>
      <c r="L35" s="14"/>
      <c r="M35" s="15"/>
      <c r="N35" s="14"/>
      <c r="O35" s="14"/>
      <c r="P35" s="14"/>
      <c r="Q35" s="14"/>
      <c r="R35" s="14"/>
    </row>
    <row r="36" spans="1:18" x14ac:dyDescent="0.3">
      <c r="A36" s="13" t="s">
        <v>47</v>
      </c>
      <c r="B36" s="16">
        <v>44684</v>
      </c>
      <c r="C36" s="15">
        <v>26000</v>
      </c>
      <c r="D36" s="14"/>
      <c r="E36" s="14"/>
      <c r="G36" s="23">
        <v>24430</v>
      </c>
      <c r="H36" s="14"/>
      <c r="I36" s="14"/>
      <c r="J36" s="14"/>
      <c r="K36" s="14"/>
      <c r="L36" s="14"/>
      <c r="M36" s="15"/>
      <c r="N36" s="14"/>
      <c r="O36" s="14"/>
      <c r="P36" s="14"/>
      <c r="Q36" s="14"/>
      <c r="R36" s="14"/>
    </row>
    <row r="37" spans="1:18" x14ac:dyDescent="0.3">
      <c r="A37" s="13" t="s">
        <v>12</v>
      </c>
      <c r="B37" s="14"/>
      <c r="C37" s="14"/>
      <c r="D37" s="23">
        <v>10000</v>
      </c>
      <c r="E37" s="14"/>
      <c r="F37" s="23">
        <v>2500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x14ac:dyDescent="0.3">
      <c r="A38" s="13" t="s">
        <v>13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x14ac:dyDescent="0.3">
      <c r="A39" s="13" t="s">
        <v>7</v>
      </c>
      <c r="B39" s="14"/>
      <c r="C39" s="14"/>
      <c r="D39" s="23">
        <f>114+2099+1250+135+3286</f>
        <v>6884</v>
      </c>
      <c r="E39" s="23">
        <f>500+1000+354+250</f>
        <v>2104</v>
      </c>
      <c r="F39" s="23">
        <f>2500+350+3285+198+1120+800+1200+3000+943+77.91+24+12+12</f>
        <v>13521.91</v>
      </c>
      <c r="G39" s="23">
        <f>1740+1293+900+120+15</f>
        <v>4068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3">
      <c r="A40" s="17" t="s">
        <v>3</v>
      </c>
      <c r="B40" s="18"/>
      <c r="C40" s="18"/>
      <c r="D40" s="18">
        <f t="shared" ref="D40:R40" si="3">SUM(D4:D39)</f>
        <v>54670.82</v>
      </c>
      <c r="E40" s="18">
        <f t="shared" si="3"/>
        <v>95687.8</v>
      </c>
      <c r="F40" s="18">
        <f t="shared" si="3"/>
        <v>82879.75</v>
      </c>
      <c r="G40" s="18">
        <f t="shared" si="3"/>
        <v>77784.51999999999</v>
      </c>
      <c r="H40" s="18">
        <f t="shared" si="3"/>
        <v>34360.82</v>
      </c>
      <c r="I40" s="18">
        <f t="shared" si="3"/>
        <v>27852.82</v>
      </c>
      <c r="J40" s="18">
        <f t="shared" si="3"/>
        <v>27852.82</v>
      </c>
      <c r="K40" s="18">
        <f t="shared" si="3"/>
        <v>69759.510000000009</v>
      </c>
      <c r="L40" s="18">
        <f t="shared" si="3"/>
        <v>27852.82</v>
      </c>
      <c r="M40" s="18">
        <f t="shared" si="3"/>
        <v>44999.82</v>
      </c>
      <c r="N40" s="18">
        <f t="shared" si="3"/>
        <v>27852.82</v>
      </c>
      <c r="O40" s="18">
        <f t="shared" si="3"/>
        <v>27852.82</v>
      </c>
      <c r="P40" s="18">
        <f t="shared" si="3"/>
        <v>34394.82</v>
      </c>
      <c r="Q40" s="18">
        <f t="shared" si="3"/>
        <v>57498.82</v>
      </c>
      <c r="R40" s="18">
        <f t="shared" si="3"/>
        <v>27852.82</v>
      </c>
    </row>
    <row r="41" spans="1:18" x14ac:dyDescent="0.3">
      <c r="A41" s="19" t="s">
        <v>14</v>
      </c>
      <c r="B41" s="20"/>
      <c r="C41" s="20"/>
      <c r="D41" s="20">
        <v>47998</v>
      </c>
      <c r="E41" s="20">
        <f>47927+3386</f>
        <v>51313</v>
      </c>
      <c r="F41" s="20">
        <v>47695</v>
      </c>
      <c r="G41" s="20">
        <v>62520</v>
      </c>
      <c r="H41" s="20">
        <v>58370</v>
      </c>
      <c r="I41" s="20">
        <v>58370</v>
      </c>
      <c r="J41" s="20">
        <v>58370</v>
      </c>
      <c r="K41" s="20">
        <v>58370</v>
      </c>
      <c r="L41" s="20">
        <v>58370</v>
      </c>
      <c r="M41" s="20">
        <v>58370</v>
      </c>
      <c r="N41" s="20">
        <v>58370</v>
      </c>
      <c r="O41" s="20">
        <v>58370</v>
      </c>
      <c r="P41" s="20">
        <v>58370</v>
      </c>
      <c r="Q41" s="20">
        <v>58370</v>
      </c>
      <c r="R41" s="20">
        <v>58370</v>
      </c>
    </row>
    <row r="42" spans="1:18" x14ac:dyDescent="0.3">
      <c r="A42" s="19" t="s">
        <v>15</v>
      </c>
      <c r="B42" s="20"/>
      <c r="C42" s="20"/>
      <c r="D42" s="20">
        <v>1250</v>
      </c>
      <c r="E42" s="20">
        <v>10000</v>
      </c>
      <c r="F42" s="20">
        <v>5000</v>
      </c>
      <c r="G42" s="20">
        <v>24430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</row>
    <row r="43" spans="1:18" x14ac:dyDescent="0.3">
      <c r="A43" s="19" t="s">
        <v>2</v>
      </c>
      <c r="B43" s="20"/>
      <c r="C43" s="20"/>
      <c r="D43" s="20"/>
      <c r="E43" s="20">
        <v>45456</v>
      </c>
      <c r="F43" s="20">
        <v>1000</v>
      </c>
      <c r="G43" s="20">
        <v>11000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 s="1" customFormat="1" x14ac:dyDescent="0.3">
      <c r="A44" s="17" t="s">
        <v>4</v>
      </c>
      <c r="B44" s="18"/>
      <c r="C44" s="18"/>
      <c r="D44" s="18">
        <f>SUM(D41:D43)</f>
        <v>49248</v>
      </c>
      <c r="E44" s="18">
        <f t="shared" ref="E44:R44" si="4">SUM(E41:E43)</f>
        <v>106769</v>
      </c>
      <c r="F44" s="18">
        <f t="shared" si="4"/>
        <v>53695</v>
      </c>
      <c r="G44" s="18">
        <f t="shared" si="4"/>
        <v>97950</v>
      </c>
      <c r="H44" s="18">
        <f>SUM(H41:H43)</f>
        <v>58370</v>
      </c>
      <c r="I44" s="18">
        <f t="shared" si="4"/>
        <v>58370</v>
      </c>
      <c r="J44" s="18">
        <f t="shared" si="4"/>
        <v>58370</v>
      </c>
      <c r="K44" s="18">
        <f t="shared" si="4"/>
        <v>58370</v>
      </c>
      <c r="L44" s="18">
        <f t="shared" si="4"/>
        <v>58370</v>
      </c>
      <c r="M44" s="18">
        <f t="shared" si="4"/>
        <v>58370</v>
      </c>
      <c r="N44" s="18">
        <f t="shared" si="4"/>
        <v>58370</v>
      </c>
      <c r="O44" s="18">
        <f t="shared" si="4"/>
        <v>58370</v>
      </c>
      <c r="P44" s="18">
        <f t="shared" si="4"/>
        <v>58370</v>
      </c>
      <c r="Q44" s="18">
        <f t="shared" si="4"/>
        <v>58370</v>
      </c>
      <c r="R44" s="18">
        <f t="shared" si="4"/>
        <v>58370</v>
      </c>
    </row>
    <row r="45" spans="1:18" x14ac:dyDescent="0.3">
      <c r="A45" s="9" t="s">
        <v>1</v>
      </c>
      <c r="B45" s="10"/>
      <c r="C45" s="11">
        <v>4638</v>
      </c>
      <c r="D45" s="12">
        <f t="shared" ref="D45:R45" si="5">D3+D44-D40</f>
        <v>-784.81999999999971</v>
      </c>
      <c r="E45" s="12">
        <f t="shared" si="5"/>
        <v>10296.37999999999</v>
      </c>
      <c r="F45" s="12">
        <f>F3+F44-F40</f>
        <v>-18888.37000000001</v>
      </c>
      <c r="G45" s="12">
        <f t="shared" si="5"/>
        <v>1277.1100000000006</v>
      </c>
      <c r="H45" s="12">
        <f t="shared" si="5"/>
        <v>25286.29</v>
      </c>
      <c r="I45" s="12">
        <f t="shared" si="5"/>
        <v>55803.470000000008</v>
      </c>
      <c r="J45" s="12">
        <f t="shared" si="5"/>
        <v>86320.65</v>
      </c>
      <c r="K45" s="12">
        <f t="shared" si="5"/>
        <v>74931.139999999985</v>
      </c>
      <c r="L45" s="12">
        <f t="shared" si="5"/>
        <v>105448.31999999998</v>
      </c>
      <c r="M45" s="12">
        <f t="shared" si="5"/>
        <v>118818.49999999997</v>
      </c>
      <c r="N45" s="12">
        <f t="shared" si="5"/>
        <v>149335.67999999996</v>
      </c>
      <c r="O45" s="12">
        <f t="shared" si="5"/>
        <v>179852.85999999996</v>
      </c>
      <c r="P45" s="12">
        <f t="shared" si="5"/>
        <v>203828.03999999995</v>
      </c>
      <c r="Q45" s="12">
        <f t="shared" si="5"/>
        <v>204699.21999999991</v>
      </c>
      <c r="R45" s="12">
        <f t="shared" si="5"/>
        <v>235216.39999999991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221AB-E127-4460-A8FA-3C25A3F13802}">
  <dimension ref="A1:S162"/>
  <sheetViews>
    <sheetView workbookViewId="0">
      <selection activeCell="I13" sqref="I13"/>
    </sheetView>
  </sheetViews>
  <sheetFormatPr defaultRowHeight="14.4" x14ac:dyDescent="0.3"/>
  <cols>
    <col min="2" max="2" width="10.5546875" bestFit="1" customWidth="1"/>
    <col min="3" max="3" width="8.88671875" style="50"/>
    <col min="4" max="4" width="11.109375" style="50" bestFit="1" customWidth="1"/>
    <col min="5" max="5" width="8.88671875" style="50"/>
    <col min="7" max="7" width="8.88671875" style="50"/>
    <col min="8" max="8" width="11.109375" style="50" bestFit="1" customWidth="1"/>
    <col min="9" max="9" width="11.109375" style="50" customWidth="1"/>
    <col min="10" max="10" width="10.44140625" style="50" bestFit="1" customWidth="1"/>
    <col min="11" max="15" width="8.88671875" style="50"/>
    <col min="18" max="18" width="12" bestFit="1" customWidth="1"/>
    <col min="19" max="19" width="14.6640625" bestFit="1" customWidth="1"/>
  </cols>
  <sheetData>
    <row r="1" spans="1:19" s="45" customFormat="1" ht="20.399999999999999" customHeight="1" x14ac:dyDescent="0.3">
      <c r="D1" s="46">
        <f>SUBTOTAL(9,D3:D1048576)</f>
        <v>1446</v>
      </c>
      <c r="F1" s="46">
        <f>SUBTOTAL(9,F3:F1048576)</f>
        <v>266.85000000000002</v>
      </c>
      <c r="H1" s="46">
        <f t="shared" ref="H1:N1" si="0">SUBTOTAL(9,H3:H1048576)</f>
        <v>40</v>
      </c>
      <c r="I1" s="47">
        <f t="shared" si="0"/>
        <v>36308.925000000003</v>
      </c>
      <c r="J1" s="46">
        <f t="shared" si="0"/>
        <v>5130.1800000000012</v>
      </c>
      <c r="K1" s="46">
        <f t="shared" si="0"/>
        <v>591.83000000000004</v>
      </c>
      <c r="L1" s="46">
        <f t="shared" si="0"/>
        <v>2008.1900000000003</v>
      </c>
      <c r="M1" s="48">
        <f t="shared" si="0"/>
        <v>7730.2000000000007</v>
      </c>
      <c r="N1" s="49">
        <f t="shared" si="0"/>
        <v>28578.724999999999</v>
      </c>
      <c r="Q1" s="69" t="s">
        <v>112</v>
      </c>
      <c r="R1" s="69" t="s">
        <v>113</v>
      </c>
      <c r="S1" s="69" t="s">
        <v>114</v>
      </c>
    </row>
    <row r="2" spans="1:19" x14ac:dyDescent="0.3">
      <c r="A2" s="39" t="s">
        <v>69</v>
      </c>
      <c r="B2" s="39" t="s">
        <v>6</v>
      </c>
      <c r="C2" s="39" t="s">
        <v>99</v>
      </c>
      <c r="D2" s="39" t="s">
        <v>77</v>
      </c>
      <c r="E2" s="39" t="s">
        <v>99</v>
      </c>
      <c r="F2" s="39" t="s">
        <v>78</v>
      </c>
      <c r="G2" s="39" t="s">
        <v>99</v>
      </c>
      <c r="H2" s="39" t="s">
        <v>79</v>
      </c>
      <c r="I2" s="52" t="s">
        <v>89</v>
      </c>
      <c r="J2" s="39" t="s">
        <v>80</v>
      </c>
      <c r="K2" s="39" t="s">
        <v>81</v>
      </c>
      <c r="L2" s="39" t="s">
        <v>82</v>
      </c>
      <c r="M2" s="53" t="s">
        <v>90</v>
      </c>
      <c r="N2" s="54" t="s">
        <v>83</v>
      </c>
      <c r="O2" s="39" t="s">
        <v>72</v>
      </c>
      <c r="P2" s="70" t="s">
        <v>98</v>
      </c>
      <c r="Q2" s="39"/>
      <c r="R2" s="35"/>
      <c r="S2" s="35"/>
    </row>
    <row r="3" spans="1:19" x14ac:dyDescent="0.3">
      <c r="A3" s="93" t="s">
        <v>84</v>
      </c>
      <c r="B3" s="59"/>
      <c r="C3" s="59"/>
      <c r="D3" s="59"/>
      <c r="E3" s="59"/>
      <c r="F3" s="59"/>
      <c r="G3" s="59"/>
      <c r="H3" s="60"/>
      <c r="I3" s="61">
        <f>C3*D3+E3*F3+G3*H3</f>
        <v>0</v>
      </c>
      <c r="J3" s="60"/>
      <c r="K3" s="60"/>
      <c r="L3" s="60"/>
      <c r="M3" s="62">
        <f t="shared" ref="M3:M22" si="1">J3+K3+L3</f>
        <v>0</v>
      </c>
      <c r="N3" s="63">
        <f t="shared" ref="N3:N22" si="2">I3-M3</f>
        <v>0</v>
      </c>
      <c r="O3" s="92">
        <f>N3+N4</f>
        <v>1085.8399999999999</v>
      </c>
      <c r="P3" s="71"/>
      <c r="Q3" s="73"/>
      <c r="R3" s="73"/>
      <c r="S3" s="73"/>
    </row>
    <row r="4" spans="1:19" x14ac:dyDescent="0.3">
      <c r="A4" s="93"/>
      <c r="B4" s="59" t="s">
        <v>95</v>
      </c>
      <c r="C4" s="60">
        <v>15.5</v>
      </c>
      <c r="D4" s="60">
        <v>85</v>
      </c>
      <c r="E4" s="59"/>
      <c r="F4" s="59"/>
      <c r="G4" s="60">
        <v>15.5</v>
      </c>
      <c r="H4" s="60"/>
      <c r="I4" s="61">
        <f>C4*D4+E4*F4+G4*H4</f>
        <v>1317.5</v>
      </c>
      <c r="J4" s="60">
        <v>139.80000000000001</v>
      </c>
      <c r="K4" s="60">
        <v>21.48</v>
      </c>
      <c r="L4" s="60">
        <v>70.38</v>
      </c>
      <c r="M4" s="62">
        <f t="shared" si="1"/>
        <v>231.66</v>
      </c>
      <c r="N4" s="63">
        <f t="shared" si="2"/>
        <v>1085.8399999999999</v>
      </c>
      <c r="O4" s="92"/>
      <c r="P4" s="71"/>
      <c r="Q4" s="74">
        <f>D4+F4+H4</f>
        <v>85</v>
      </c>
      <c r="R4" s="73">
        <f>N4*100/I4</f>
        <v>82.416698292220104</v>
      </c>
      <c r="S4" s="73">
        <f>100-R4</f>
        <v>17.583301707779896</v>
      </c>
    </row>
    <row r="5" spans="1:19" x14ac:dyDescent="0.3">
      <c r="A5" s="94" t="s">
        <v>85</v>
      </c>
      <c r="B5" s="35" t="s">
        <v>96</v>
      </c>
      <c r="C5" s="55">
        <v>16</v>
      </c>
      <c r="D5" s="35">
        <v>83.67</v>
      </c>
      <c r="E5" s="35"/>
      <c r="F5" s="35"/>
      <c r="G5" s="55">
        <v>16</v>
      </c>
      <c r="H5" s="55"/>
      <c r="I5" s="56">
        <f>C5*D5+E5*F5+G5*H5</f>
        <v>1338.72</v>
      </c>
      <c r="J5" s="55">
        <v>143.74</v>
      </c>
      <c r="K5" s="55">
        <v>21.82</v>
      </c>
      <c r="L5" s="55">
        <v>71.64</v>
      </c>
      <c r="M5" s="57">
        <f t="shared" si="1"/>
        <v>237.2</v>
      </c>
      <c r="N5" s="58">
        <f t="shared" si="2"/>
        <v>1101.52</v>
      </c>
      <c r="O5" s="92">
        <f>N5+N6</f>
        <v>2308</v>
      </c>
      <c r="P5" s="72"/>
      <c r="Q5" s="74">
        <f t="shared" ref="Q5:Q22" si="3">D5+F5+H5</f>
        <v>83.67</v>
      </c>
      <c r="R5" s="73">
        <f>N5*100/I5</f>
        <v>82.281582407075419</v>
      </c>
      <c r="S5" s="73">
        <f>100-R5</f>
        <v>17.718417592924581</v>
      </c>
    </row>
    <row r="6" spans="1:19" x14ac:dyDescent="0.3">
      <c r="A6" s="94"/>
      <c r="B6" s="35" t="s">
        <v>97</v>
      </c>
      <c r="C6" s="55">
        <v>16</v>
      </c>
      <c r="D6" s="35">
        <v>86.75</v>
      </c>
      <c r="E6" s="55">
        <v>24</v>
      </c>
      <c r="F6" s="35">
        <v>4.17</v>
      </c>
      <c r="G6" s="55">
        <v>16</v>
      </c>
      <c r="H6" s="55"/>
      <c r="I6" s="56">
        <f>C6*D6+E6*F6+G6*H6</f>
        <v>1488.08</v>
      </c>
      <c r="J6" s="55">
        <v>176.81</v>
      </c>
      <c r="K6" s="55">
        <v>24.26</v>
      </c>
      <c r="L6" s="55">
        <v>80.53</v>
      </c>
      <c r="M6" s="57">
        <f t="shared" si="1"/>
        <v>281.60000000000002</v>
      </c>
      <c r="N6" s="58">
        <f t="shared" si="2"/>
        <v>1206.48</v>
      </c>
      <c r="O6" s="92"/>
      <c r="P6" s="72"/>
      <c r="Q6" s="74">
        <f t="shared" si="3"/>
        <v>90.92</v>
      </c>
      <c r="R6" s="73">
        <f t="shared" ref="R6:R22" si="4">N6*100/I6</f>
        <v>81.076286221170903</v>
      </c>
      <c r="S6" s="73">
        <f t="shared" ref="S6:S22" si="5">100-R6</f>
        <v>18.923713778829097</v>
      </c>
    </row>
    <row r="7" spans="1:19" x14ac:dyDescent="0.3">
      <c r="A7" s="94" t="s">
        <v>86</v>
      </c>
      <c r="B7" s="35" t="s">
        <v>100</v>
      </c>
      <c r="C7" s="35" t="s">
        <v>101</v>
      </c>
      <c r="D7" s="35" t="s">
        <v>102</v>
      </c>
      <c r="E7" s="55">
        <v>27</v>
      </c>
      <c r="F7" s="55">
        <v>0.5</v>
      </c>
      <c r="G7" s="55">
        <v>18</v>
      </c>
      <c r="H7" s="55">
        <v>8</v>
      </c>
      <c r="I7" s="56">
        <f>16*60.08+18*18.08+27*0.5+18*8</f>
        <v>1444.2199999999998</v>
      </c>
      <c r="J7" s="55">
        <v>166.08</v>
      </c>
      <c r="K7" s="55">
        <v>23.54</v>
      </c>
      <c r="L7" s="55">
        <v>77.92</v>
      </c>
      <c r="M7" s="57">
        <f t="shared" si="1"/>
        <v>267.54000000000002</v>
      </c>
      <c r="N7" s="58">
        <f t="shared" si="2"/>
        <v>1176.6799999999998</v>
      </c>
      <c r="O7" s="92">
        <f t="shared" ref="O7" si="6">N7+N8</f>
        <v>2789.6</v>
      </c>
      <c r="P7" s="72"/>
      <c r="Q7" s="74">
        <f>60.08+18.08+F7+H7</f>
        <v>86.66</v>
      </c>
      <c r="R7" s="73">
        <f t="shared" si="4"/>
        <v>81.475121518882162</v>
      </c>
      <c r="S7" s="73">
        <f t="shared" si="5"/>
        <v>18.524878481117838</v>
      </c>
    </row>
    <row r="8" spans="1:19" x14ac:dyDescent="0.3">
      <c r="A8" s="94"/>
      <c r="B8" s="35" t="s">
        <v>103</v>
      </c>
      <c r="C8" s="55">
        <v>18</v>
      </c>
      <c r="D8" s="55">
        <v>88</v>
      </c>
      <c r="E8" s="55">
        <v>27</v>
      </c>
      <c r="F8" s="35">
        <v>17.420000000000002</v>
      </c>
      <c r="G8" s="55">
        <v>18</v>
      </c>
      <c r="H8" s="55"/>
      <c r="I8" s="56">
        <f>C8*D8+E8*F8+G8*H8</f>
        <v>2054.34</v>
      </c>
      <c r="J8" s="55">
        <v>293.70999999999998</v>
      </c>
      <c r="K8" s="55">
        <v>33.49</v>
      </c>
      <c r="L8" s="55">
        <v>114.22</v>
      </c>
      <c r="M8" s="57">
        <f t="shared" si="1"/>
        <v>441.41999999999996</v>
      </c>
      <c r="N8" s="58">
        <f t="shared" si="2"/>
        <v>1612.92</v>
      </c>
      <c r="O8" s="92"/>
      <c r="P8" s="72"/>
      <c r="Q8" s="74">
        <f t="shared" si="3"/>
        <v>105.42</v>
      </c>
      <c r="R8" s="73">
        <f t="shared" si="4"/>
        <v>78.512807032915674</v>
      </c>
      <c r="S8" s="73">
        <f t="shared" si="5"/>
        <v>21.487192967084326</v>
      </c>
    </row>
    <row r="9" spans="1:19" x14ac:dyDescent="0.3">
      <c r="A9" s="94" t="s">
        <v>87</v>
      </c>
      <c r="B9" s="35" t="s">
        <v>93</v>
      </c>
      <c r="C9" s="55">
        <v>18</v>
      </c>
      <c r="D9" s="55">
        <v>88</v>
      </c>
      <c r="E9" s="55">
        <v>27</v>
      </c>
      <c r="F9" s="55">
        <v>10</v>
      </c>
      <c r="G9" s="55">
        <v>18</v>
      </c>
      <c r="H9" s="55"/>
      <c r="I9" s="56">
        <f>C9*D9+E9*F9+G9*H9</f>
        <v>1854</v>
      </c>
      <c r="J9" s="55">
        <v>244.99</v>
      </c>
      <c r="K9" s="55">
        <v>30.22</v>
      </c>
      <c r="L9" s="55">
        <v>102.3</v>
      </c>
      <c r="M9" s="57">
        <f t="shared" si="1"/>
        <v>377.51000000000005</v>
      </c>
      <c r="N9" s="58">
        <f t="shared" si="2"/>
        <v>1476.49</v>
      </c>
      <c r="O9" s="92">
        <f t="shared" ref="O9" si="7">N9+N10</f>
        <v>2911.49</v>
      </c>
      <c r="P9" s="72"/>
      <c r="Q9" s="74">
        <f t="shared" si="3"/>
        <v>98</v>
      </c>
      <c r="R9" s="73">
        <f t="shared" si="4"/>
        <v>79.638079827400219</v>
      </c>
      <c r="S9" s="73">
        <f t="shared" si="5"/>
        <v>20.361920172599781</v>
      </c>
    </row>
    <row r="10" spans="1:19" x14ac:dyDescent="0.3">
      <c r="A10" s="94"/>
      <c r="B10" s="35" t="s">
        <v>88</v>
      </c>
      <c r="C10" s="55">
        <v>18</v>
      </c>
      <c r="D10" s="55">
        <v>80</v>
      </c>
      <c r="E10" s="55">
        <v>27</v>
      </c>
      <c r="F10" s="35">
        <v>7.92</v>
      </c>
      <c r="G10" s="55">
        <v>18</v>
      </c>
      <c r="H10" s="55">
        <v>8</v>
      </c>
      <c r="I10" s="56">
        <f t="shared" ref="I10:I21" si="8">C10*D10+E10*F10+G10*H10</f>
        <v>1797.84</v>
      </c>
      <c r="J10" s="55">
        <v>234.58</v>
      </c>
      <c r="K10" s="55">
        <v>29.3</v>
      </c>
      <c r="L10" s="55">
        <v>98.96</v>
      </c>
      <c r="M10" s="57">
        <f t="shared" si="1"/>
        <v>362.84</v>
      </c>
      <c r="N10" s="58">
        <f t="shared" si="2"/>
        <v>1435</v>
      </c>
      <c r="O10" s="92"/>
      <c r="P10" s="72"/>
      <c r="Q10" s="74">
        <f t="shared" si="3"/>
        <v>95.92</v>
      </c>
      <c r="R10" s="73">
        <f t="shared" si="4"/>
        <v>79.818003826814405</v>
      </c>
      <c r="S10" s="73">
        <f t="shared" si="5"/>
        <v>20.181996173185595</v>
      </c>
    </row>
    <row r="11" spans="1:19" x14ac:dyDescent="0.3">
      <c r="A11" s="95" t="s">
        <v>91</v>
      </c>
      <c r="B11" s="35" t="s">
        <v>107</v>
      </c>
      <c r="C11" s="55">
        <v>18</v>
      </c>
      <c r="D11" s="55">
        <v>88</v>
      </c>
      <c r="E11" s="55">
        <v>27</v>
      </c>
      <c r="F11" s="35">
        <v>13.58</v>
      </c>
      <c r="G11" s="55">
        <v>18</v>
      </c>
      <c r="H11" s="55"/>
      <c r="I11" s="56">
        <f t="shared" si="8"/>
        <v>1950.66</v>
      </c>
      <c r="J11" s="55">
        <v>270.27999999999997</v>
      </c>
      <c r="K11" s="55">
        <v>31.8</v>
      </c>
      <c r="L11" s="55">
        <v>108.06</v>
      </c>
      <c r="M11" s="57">
        <f t="shared" si="1"/>
        <v>410.14</v>
      </c>
      <c r="N11" s="58">
        <f t="shared" si="2"/>
        <v>1540.52</v>
      </c>
      <c r="O11" s="98">
        <f>N11+N12+N13</f>
        <v>4647.13</v>
      </c>
      <c r="P11" s="72"/>
      <c r="Q11" s="74">
        <f t="shared" si="3"/>
        <v>101.58</v>
      </c>
      <c r="R11" s="73">
        <f t="shared" si="4"/>
        <v>78.974295879343401</v>
      </c>
      <c r="S11" s="73">
        <f t="shared" si="5"/>
        <v>21.025704120656599</v>
      </c>
    </row>
    <row r="12" spans="1:19" x14ac:dyDescent="0.3">
      <c r="A12" s="96"/>
      <c r="B12" s="35" t="s">
        <v>94</v>
      </c>
      <c r="C12" s="55">
        <v>18</v>
      </c>
      <c r="D12" s="55">
        <v>71.75</v>
      </c>
      <c r="E12" s="55">
        <v>27</v>
      </c>
      <c r="F12" s="35">
        <v>11.67</v>
      </c>
      <c r="G12" s="55">
        <v>18</v>
      </c>
      <c r="H12" s="55">
        <v>8</v>
      </c>
      <c r="I12" s="56">
        <f t="shared" si="8"/>
        <v>1750.59</v>
      </c>
      <c r="J12" s="55">
        <v>225.83</v>
      </c>
      <c r="K12" s="55">
        <v>28.53</v>
      </c>
      <c r="L12" s="55">
        <v>96.15</v>
      </c>
      <c r="M12" s="57">
        <f t="shared" si="1"/>
        <v>350.51</v>
      </c>
      <c r="N12" s="58">
        <f t="shared" si="2"/>
        <v>1400.08</v>
      </c>
      <c r="O12" s="99"/>
      <c r="P12" s="72"/>
      <c r="Q12" s="74">
        <f t="shared" si="3"/>
        <v>91.42</v>
      </c>
      <c r="R12" s="73">
        <f t="shared" si="4"/>
        <v>79.97760754945476</v>
      </c>
      <c r="S12" s="73">
        <f t="shared" si="5"/>
        <v>20.02239245054524</v>
      </c>
    </row>
    <row r="13" spans="1:19" x14ac:dyDescent="0.3">
      <c r="A13" s="97"/>
      <c r="B13" s="35" t="s">
        <v>108</v>
      </c>
      <c r="C13" s="55">
        <v>18</v>
      </c>
      <c r="D13" s="55">
        <v>88</v>
      </c>
      <c r="E13" s="55">
        <v>27</v>
      </c>
      <c r="F13" s="35">
        <v>22.75</v>
      </c>
      <c r="G13" s="55">
        <v>18</v>
      </c>
      <c r="H13" s="55"/>
      <c r="I13" s="56">
        <f t="shared" si="8"/>
        <v>2198.25</v>
      </c>
      <c r="J13" s="55">
        <v>333.1</v>
      </c>
      <c r="K13" s="55">
        <v>35.83</v>
      </c>
      <c r="L13" s="55">
        <v>122.79</v>
      </c>
      <c r="M13" s="57">
        <f t="shared" si="1"/>
        <v>491.72</v>
      </c>
      <c r="N13" s="58">
        <f t="shared" si="2"/>
        <v>1706.53</v>
      </c>
      <c r="O13" s="100"/>
      <c r="P13" s="72"/>
      <c r="Q13" s="74">
        <f t="shared" si="3"/>
        <v>110.75</v>
      </c>
      <c r="R13" s="73">
        <f t="shared" si="4"/>
        <v>77.63129762310929</v>
      </c>
      <c r="S13" s="73">
        <f t="shared" si="5"/>
        <v>22.36870237689071</v>
      </c>
    </row>
    <row r="14" spans="1:19" x14ac:dyDescent="0.3">
      <c r="A14" s="94" t="s">
        <v>92</v>
      </c>
      <c r="B14" s="35" t="s">
        <v>111</v>
      </c>
      <c r="C14" s="55">
        <v>18</v>
      </c>
      <c r="D14" s="55">
        <v>80</v>
      </c>
      <c r="E14" s="55">
        <v>27</v>
      </c>
      <c r="F14" s="35">
        <v>25.25</v>
      </c>
      <c r="G14" s="55">
        <v>18</v>
      </c>
      <c r="H14" s="55">
        <v>8</v>
      </c>
      <c r="I14" s="56">
        <f t="shared" si="8"/>
        <v>2265.75</v>
      </c>
      <c r="J14" s="55">
        <v>352.02</v>
      </c>
      <c r="K14" s="55">
        <v>36.93</v>
      </c>
      <c r="L14" s="55">
        <v>126.8</v>
      </c>
      <c r="M14" s="57">
        <f t="shared" si="1"/>
        <v>515.75</v>
      </c>
      <c r="N14" s="58">
        <f t="shared" si="2"/>
        <v>1750</v>
      </c>
      <c r="O14" s="92">
        <f t="shared" ref="O14" si="9">N14+N15</f>
        <v>3701.9700000000003</v>
      </c>
      <c r="P14" s="72"/>
      <c r="Q14" s="74">
        <f t="shared" si="3"/>
        <v>113.25</v>
      </c>
      <c r="R14" s="73">
        <f t="shared" si="4"/>
        <v>77.237117952112982</v>
      </c>
      <c r="S14" s="73">
        <f t="shared" si="5"/>
        <v>22.762882047887018</v>
      </c>
    </row>
    <row r="15" spans="1:19" x14ac:dyDescent="0.3">
      <c r="A15" s="94"/>
      <c r="B15" s="35" t="s">
        <v>115</v>
      </c>
      <c r="C15" s="55">
        <v>18</v>
      </c>
      <c r="D15" s="55">
        <v>88</v>
      </c>
      <c r="E15" s="55">
        <v>27</v>
      </c>
      <c r="F15" s="35">
        <v>36.92</v>
      </c>
      <c r="G15" s="55">
        <v>18</v>
      </c>
      <c r="H15" s="55"/>
      <c r="I15" s="56">
        <f t="shared" si="8"/>
        <v>2580.84</v>
      </c>
      <c r="J15" s="55">
        <v>441.25</v>
      </c>
      <c r="K15" s="55">
        <v>42.07</v>
      </c>
      <c r="L15" s="55">
        <v>145.55000000000001</v>
      </c>
      <c r="M15" s="57">
        <f t="shared" si="1"/>
        <v>628.87</v>
      </c>
      <c r="N15" s="58">
        <f t="shared" si="2"/>
        <v>1951.9700000000003</v>
      </c>
      <c r="O15" s="92"/>
      <c r="P15" s="72"/>
      <c r="Q15" s="74">
        <f t="shared" si="3"/>
        <v>124.92</v>
      </c>
      <c r="R15" s="73">
        <f t="shared" si="4"/>
        <v>75.633127198896489</v>
      </c>
      <c r="S15" s="73">
        <f t="shared" si="5"/>
        <v>24.366872801103511</v>
      </c>
    </row>
    <row r="16" spans="1:19" x14ac:dyDescent="0.3">
      <c r="A16" s="94" t="s">
        <v>104</v>
      </c>
      <c r="B16" s="35" t="s">
        <v>116</v>
      </c>
      <c r="C16" s="55">
        <v>18</v>
      </c>
      <c r="D16" s="55">
        <v>88</v>
      </c>
      <c r="E16" s="55">
        <v>27</v>
      </c>
      <c r="F16" s="35">
        <v>41.5</v>
      </c>
      <c r="G16" s="55">
        <v>18</v>
      </c>
      <c r="H16" s="55"/>
      <c r="I16" s="56">
        <f t="shared" si="8"/>
        <v>2704.5</v>
      </c>
      <c r="J16" s="55">
        <v>477.55</v>
      </c>
      <c r="K16" s="55">
        <v>44.08</v>
      </c>
      <c r="L16" s="55">
        <v>152.91</v>
      </c>
      <c r="M16" s="57">
        <f t="shared" si="1"/>
        <v>674.54</v>
      </c>
      <c r="N16" s="58">
        <f t="shared" si="2"/>
        <v>2029.96</v>
      </c>
      <c r="O16" s="92">
        <f t="shared" ref="O16" si="10">N16+N17</f>
        <v>3499.26</v>
      </c>
      <c r="P16" s="72"/>
      <c r="Q16" s="73">
        <f t="shared" si="3"/>
        <v>129.5</v>
      </c>
      <c r="R16" s="73">
        <f t="shared" si="4"/>
        <v>75.058606026992052</v>
      </c>
      <c r="S16" s="73">
        <f t="shared" si="5"/>
        <v>24.941393973007948</v>
      </c>
    </row>
    <row r="17" spans="1:19" x14ac:dyDescent="0.3">
      <c r="A17" s="94"/>
      <c r="B17" s="35" t="s">
        <v>119</v>
      </c>
      <c r="C17" s="55">
        <v>18</v>
      </c>
      <c r="D17" s="55">
        <v>78.83</v>
      </c>
      <c r="E17" s="55">
        <v>27</v>
      </c>
      <c r="F17" s="35">
        <v>10.42</v>
      </c>
      <c r="G17" s="55">
        <v>18</v>
      </c>
      <c r="H17" s="55">
        <v>8</v>
      </c>
      <c r="I17" s="56">
        <f t="shared" si="8"/>
        <v>1844.28</v>
      </c>
      <c r="J17" s="55">
        <v>243.19</v>
      </c>
      <c r="K17" s="55">
        <v>30.06</v>
      </c>
      <c r="L17" s="55">
        <v>101.73</v>
      </c>
      <c r="M17" s="57">
        <f t="shared" si="1"/>
        <v>374.98</v>
      </c>
      <c r="N17" s="58">
        <f t="shared" si="2"/>
        <v>1469.3</v>
      </c>
      <c r="O17" s="92"/>
      <c r="P17" s="72"/>
      <c r="Q17" s="73">
        <f t="shared" si="3"/>
        <v>97.25</v>
      </c>
      <c r="R17" s="73">
        <f t="shared" si="4"/>
        <v>79.667946298826649</v>
      </c>
      <c r="S17" s="73">
        <f t="shared" si="5"/>
        <v>20.332053701173351</v>
      </c>
    </row>
    <row r="18" spans="1:19" x14ac:dyDescent="0.3">
      <c r="A18" s="94" t="s">
        <v>105</v>
      </c>
      <c r="B18" s="35" t="s">
        <v>121</v>
      </c>
      <c r="C18" s="55">
        <v>18</v>
      </c>
      <c r="D18" s="55">
        <v>88</v>
      </c>
      <c r="E18" s="55">
        <v>27</v>
      </c>
      <c r="F18" s="35">
        <v>14.5</v>
      </c>
      <c r="G18" s="55">
        <v>18</v>
      </c>
      <c r="H18" s="55"/>
      <c r="I18" s="56">
        <f t="shared" si="8"/>
        <v>1975.5</v>
      </c>
      <c r="J18" s="55">
        <v>275.89999999999998</v>
      </c>
      <c r="K18" s="55">
        <v>32.200000000000003</v>
      </c>
      <c r="L18" s="55">
        <v>109.53</v>
      </c>
      <c r="M18" s="57">
        <f t="shared" si="1"/>
        <v>417.63</v>
      </c>
      <c r="N18" s="58">
        <f t="shared" si="2"/>
        <v>1557.87</v>
      </c>
      <c r="O18" s="92">
        <f t="shared" ref="O18" si="11">N18+N19</f>
        <v>3099.4449999999997</v>
      </c>
      <c r="P18" s="72"/>
      <c r="Q18" s="73">
        <f t="shared" si="3"/>
        <v>102.5</v>
      </c>
      <c r="R18" s="73">
        <f t="shared" si="4"/>
        <v>78.859529233105548</v>
      </c>
      <c r="S18" s="73">
        <f t="shared" si="5"/>
        <v>21.140470766894452</v>
      </c>
    </row>
    <row r="19" spans="1:19" x14ac:dyDescent="0.3">
      <c r="A19" s="94"/>
      <c r="B19" s="35" t="s">
        <v>122</v>
      </c>
      <c r="C19" s="55">
        <v>19</v>
      </c>
      <c r="D19" s="55">
        <v>88</v>
      </c>
      <c r="E19" s="55">
        <v>28.5</v>
      </c>
      <c r="F19" s="35">
        <v>9.83</v>
      </c>
      <c r="G19" s="55">
        <v>19</v>
      </c>
      <c r="H19" s="55"/>
      <c r="I19" s="56">
        <f t="shared" si="8"/>
        <v>1952.155</v>
      </c>
      <c r="J19" s="55">
        <v>270.62</v>
      </c>
      <c r="K19" s="55">
        <v>31.82</v>
      </c>
      <c r="L19" s="55">
        <v>108.14</v>
      </c>
      <c r="M19" s="57">
        <f t="shared" si="1"/>
        <v>410.58</v>
      </c>
      <c r="N19" s="58">
        <f t="shared" si="2"/>
        <v>1541.575</v>
      </c>
      <c r="O19" s="92"/>
      <c r="P19" s="72"/>
      <c r="Q19" s="73">
        <f t="shared" si="3"/>
        <v>97.83</v>
      </c>
      <c r="R19" s="73">
        <f t="shared" si="4"/>
        <v>78.967858597293755</v>
      </c>
      <c r="S19" s="73">
        <f t="shared" si="5"/>
        <v>21.032141402706245</v>
      </c>
    </row>
    <row r="20" spans="1:19" x14ac:dyDescent="0.3">
      <c r="A20" s="95" t="s">
        <v>106</v>
      </c>
      <c r="B20" s="35" t="s">
        <v>123</v>
      </c>
      <c r="C20" s="55">
        <v>19</v>
      </c>
      <c r="D20" s="55">
        <v>88</v>
      </c>
      <c r="E20" s="55">
        <v>28.5</v>
      </c>
      <c r="F20" s="35">
        <v>7.17</v>
      </c>
      <c r="G20" s="55">
        <v>19</v>
      </c>
      <c r="H20" s="55"/>
      <c r="I20" s="56">
        <f t="shared" si="8"/>
        <v>1876.345</v>
      </c>
      <c r="J20" s="55">
        <v>252.32</v>
      </c>
      <c r="K20" s="55">
        <v>30.58</v>
      </c>
      <c r="L20" s="55">
        <v>103.63</v>
      </c>
      <c r="M20" s="57">
        <f t="shared" si="1"/>
        <v>386.53</v>
      </c>
      <c r="N20" s="58">
        <f t="shared" si="2"/>
        <v>1489.8150000000001</v>
      </c>
      <c r="O20" s="98">
        <f>N20+N21+N22</f>
        <v>4535.99</v>
      </c>
      <c r="P20" s="72"/>
      <c r="Q20" s="73">
        <f t="shared" si="3"/>
        <v>95.17</v>
      </c>
      <c r="R20" s="73">
        <f t="shared" si="4"/>
        <v>79.399843845348272</v>
      </c>
      <c r="S20" s="73">
        <f t="shared" si="5"/>
        <v>20.600156154651728</v>
      </c>
    </row>
    <row r="21" spans="1:19" x14ac:dyDescent="0.3">
      <c r="A21" s="96"/>
      <c r="B21" s="35" t="s">
        <v>124</v>
      </c>
      <c r="C21" s="55">
        <v>19</v>
      </c>
      <c r="D21" s="55">
        <v>88</v>
      </c>
      <c r="E21" s="55">
        <v>28.5</v>
      </c>
      <c r="F21" s="35">
        <v>33.25</v>
      </c>
      <c r="G21" s="55">
        <v>19</v>
      </c>
      <c r="H21" s="55"/>
      <c r="I21" s="56">
        <f t="shared" si="8"/>
        <v>2619.625</v>
      </c>
      <c r="J21" s="55">
        <v>452.64</v>
      </c>
      <c r="K21" s="55">
        <v>42.7</v>
      </c>
      <c r="L21" s="55">
        <v>147.86000000000001</v>
      </c>
      <c r="M21" s="57">
        <f t="shared" si="1"/>
        <v>643.20000000000005</v>
      </c>
      <c r="N21" s="58">
        <f t="shared" si="2"/>
        <v>1976.425</v>
      </c>
      <c r="O21" s="99"/>
      <c r="P21" s="72"/>
      <c r="Q21" s="73">
        <f t="shared" si="3"/>
        <v>121.25</v>
      </c>
      <c r="R21" s="73">
        <f t="shared" si="4"/>
        <v>75.446867395142434</v>
      </c>
      <c r="S21" s="73">
        <f t="shared" si="5"/>
        <v>24.553132604857566</v>
      </c>
    </row>
    <row r="22" spans="1:19" x14ac:dyDescent="0.3">
      <c r="A22" s="97"/>
      <c r="B22" s="35" t="s">
        <v>124</v>
      </c>
      <c r="C22" s="101" t="s">
        <v>125</v>
      </c>
      <c r="D22" s="102"/>
      <c r="E22" s="102"/>
      <c r="F22" s="102"/>
      <c r="G22" s="103"/>
      <c r="H22" s="55"/>
      <c r="I22" s="56">
        <v>1295.73</v>
      </c>
      <c r="J22" s="55">
        <v>135.77000000000001</v>
      </c>
      <c r="K22" s="55">
        <v>21.12</v>
      </c>
      <c r="L22" s="55">
        <v>69.09</v>
      </c>
      <c r="M22" s="57">
        <f t="shared" si="1"/>
        <v>225.98000000000002</v>
      </c>
      <c r="N22" s="58">
        <f t="shared" si="2"/>
        <v>1069.75</v>
      </c>
      <c r="O22" s="100"/>
      <c r="P22" s="72"/>
      <c r="Q22" s="73">
        <f t="shared" si="3"/>
        <v>0</v>
      </c>
      <c r="R22" s="73">
        <f t="shared" si="4"/>
        <v>82.559638196229145</v>
      </c>
      <c r="S22" s="73">
        <f t="shared" si="5"/>
        <v>17.440361803770855</v>
      </c>
    </row>
    <row r="23" spans="1:19" x14ac:dyDescent="0.3">
      <c r="A23" s="94"/>
      <c r="B23" s="35"/>
      <c r="C23" s="55"/>
      <c r="D23" s="55"/>
      <c r="E23" s="55"/>
      <c r="F23" s="35"/>
      <c r="G23" s="55"/>
      <c r="H23" s="55"/>
      <c r="I23" s="56"/>
      <c r="J23" s="55"/>
      <c r="K23" s="55"/>
      <c r="L23" s="55"/>
      <c r="M23" s="57"/>
      <c r="N23" s="58"/>
      <c r="O23" s="92"/>
      <c r="P23" s="72"/>
      <c r="Q23" s="73"/>
      <c r="R23" s="73"/>
      <c r="S23" s="73"/>
    </row>
    <row r="24" spans="1:19" x14ac:dyDescent="0.3">
      <c r="A24" s="94"/>
      <c r="B24" s="35"/>
      <c r="C24" s="55"/>
      <c r="D24" s="55"/>
      <c r="E24" s="55"/>
      <c r="F24" s="35"/>
      <c r="G24" s="55"/>
      <c r="H24" s="55"/>
      <c r="I24" s="56"/>
      <c r="J24" s="55"/>
      <c r="K24" s="55"/>
      <c r="L24" s="55"/>
      <c r="M24" s="57"/>
      <c r="N24" s="58"/>
      <c r="O24" s="92"/>
      <c r="P24" s="72"/>
      <c r="Q24" s="73"/>
      <c r="R24" s="73"/>
      <c r="S24" s="73"/>
    </row>
    <row r="25" spans="1:19" x14ac:dyDescent="0.3">
      <c r="A25" s="94"/>
      <c r="B25" s="35"/>
      <c r="C25" s="55"/>
      <c r="D25" s="55"/>
      <c r="E25" s="55"/>
      <c r="F25" s="35"/>
      <c r="G25" s="55"/>
      <c r="H25" s="55"/>
      <c r="I25" s="56"/>
      <c r="J25" s="55"/>
      <c r="K25" s="55"/>
      <c r="L25" s="55"/>
      <c r="M25" s="57"/>
      <c r="N25" s="58"/>
      <c r="O25" s="92"/>
      <c r="P25" s="72"/>
      <c r="Q25" s="73"/>
      <c r="R25" s="73"/>
      <c r="S25" s="73"/>
    </row>
    <row r="26" spans="1:19" x14ac:dyDescent="0.3">
      <c r="A26" s="94"/>
      <c r="B26" s="35"/>
      <c r="C26" s="55"/>
      <c r="D26" s="55"/>
      <c r="E26" s="55"/>
      <c r="F26" s="35"/>
      <c r="G26" s="55"/>
      <c r="H26" s="55"/>
      <c r="I26" s="56"/>
      <c r="J26" s="55"/>
      <c r="K26" s="55"/>
      <c r="L26" s="55"/>
      <c r="M26" s="57"/>
      <c r="N26" s="58"/>
      <c r="O26" s="92"/>
      <c r="P26" s="72"/>
      <c r="Q26" s="73"/>
      <c r="R26" s="73"/>
      <c r="S26" s="73"/>
    </row>
    <row r="27" spans="1:19" x14ac:dyDescent="0.3">
      <c r="A27" s="94"/>
      <c r="B27" s="35"/>
      <c r="C27" s="55"/>
      <c r="D27" s="55"/>
      <c r="E27" s="55"/>
      <c r="F27" s="35"/>
      <c r="G27" s="55"/>
      <c r="H27" s="55"/>
      <c r="I27" s="56"/>
      <c r="J27" s="55"/>
      <c r="K27" s="55"/>
      <c r="L27" s="55"/>
      <c r="M27" s="57"/>
      <c r="N27" s="58"/>
      <c r="O27" s="92"/>
      <c r="P27" s="72"/>
      <c r="Q27" s="73"/>
      <c r="R27" s="73"/>
      <c r="S27" s="73"/>
    </row>
    <row r="28" spans="1:19" x14ac:dyDescent="0.3">
      <c r="A28" s="94"/>
      <c r="B28" s="35"/>
      <c r="C28" s="55"/>
      <c r="D28" s="55"/>
      <c r="E28" s="55"/>
      <c r="F28" s="35"/>
      <c r="G28" s="55"/>
      <c r="H28" s="55"/>
      <c r="I28" s="56"/>
      <c r="J28" s="55"/>
      <c r="K28" s="55"/>
      <c r="L28" s="55"/>
      <c r="M28" s="57"/>
      <c r="N28" s="58"/>
      <c r="O28" s="92"/>
      <c r="P28" s="72"/>
      <c r="Q28" s="73"/>
      <c r="R28" s="73"/>
      <c r="S28" s="73"/>
    </row>
    <row r="29" spans="1:19" x14ac:dyDescent="0.3">
      <c r="A29" s="94"/>
      <c r="B29" s="35"/>
      <c r="C29" s="55"/>
      <c r="D29" s="55"/>
      <c r="E29" s="55"/>
      <c r="F29" s="35"/>
      <c r="G29" s="55"/>
      <c r="H29" s="55"/>
      <c r="I29" s="56"/>
      <c r="J29" s="55"/>
      <c r="K29" s="55"/>
      <c r="L29" s="55"/>
      <c r="M29" s="57"/>
      <c r="N29" s="58"/>
      <c r="O29" s="92"/>
      <c r="P29" s="72"/>
      <c r="Q29" s="73"/>
      <c r="R29" s="73"/>
      <c r="S29" s="73"/>
    </row>
    <row r="30" spans="1:19" x14ac:dyDescent="0.3">
      <c r="A30" s="94"/>
      <c r="B30" s="35"/>
      <c r="C30" s="55"/>
      <c r="D30" s="55"/>
      <c r="E30" s="55"/>
      <c r="F30" s="35"/>
      <c r="G30" s="55"/>
      <c r="H30" s="55"/>
      <c r="I30" s="56"/>
      <c r="J30" s="55"/>
      <c r="K30" s="55"/>
      <c r="L30" s="55"/>
      <c r="M30" s="57"/>
      <c r="N30" s="58"/>
      <c r="O30" s="92"/>
      <c r="P30" s="72"/>
      <c r="Q30" s="73"/>
      <c r="R30" s="73"/>
      <c r="S30" s="73"/>
    </row>
    <row r="31" spans="1:19" x14ac:dyDescent="0.3">
      <c r="A31" s="94"/>
      <c r="B31" s="35"/>
      <c r="C31" s="55"/>
      <c r="D31" s="55"/>
      <c r="E31" s="55"/>
      <c r="F31" s="35"/>
      <c r="G31" s="55"/>
      <c r="H31" s="55"/>
      <c r="I31" s="56"/>
      <c r="J31" s="55"/>
      <c r="K31" s="55"/>
      <c r="L31" s="55"/>
      <c r="M31" s="57"/>
      <c r="N31" s="58"/>
      <c r="O31" s="92"/>
      <c r="P31" s="72"/>
      <c r="Q31" s="73"/>
      <c r="R31" s="73"/>
      <c r="S31" s="73"/>
    </row>
    <row r="32" spans="1:19" x14ac:dyDescent="0.3">
      <c r="A32" s="94"/>
      <c r="B32" s="35"/>
      <c r="C32" s="55"/>
      <c r="D32" s="55"/>
      <c r="E32" s="55"/>
      <c r="F32" s="35"/>
      <c r="G32" s="55"/>
      <c r="H32" s="55"/>
      <c r="I32" s="56"/>
      <c r="J32" s="55"/>
      <c r="K32" s="55"/>
      <c r="L32" s="55"/>
      <c r="M32" s="57"/>
      <c r="N32" s="58"/>
      <c r="O32" s="92"/>
      <c r="P32" s="72"/>
      <c r="Q32" s="73"/>
      <c r="R32" s="73"/>
      <c r="S32" s="73"/>
    </row>
    <row r="33" spans="1:19" x14ac:dyDescent="0.3">
      <c r="A33" s="94"/>
      <c r="B33" s="35"/>
      <c r="C33" s="55"/>
      <c r="D33" s="55"/>
      <c r="E33" s="55"/>
      <c r="F33" s="35"/>
      <c r="G33" s="55"/>
      <c r="H33" s="55"/>
      <c r="I33" s="56"/>
      <c r="J33" s="55"/>
      <c r="K33" s="55"/>
      <c r="L33" s="55"/>
      <c r="M33" s="57"/>
      <c r="N33" s="58"/>
      <c r="O33" s="92"/>
      <c r="P33" s="72"/>
      <c r="Q33" s="73"/>
      <c r="R33" s="73"/>
      <c r="S33" s="73"/>
    </row>
    <row r="34" spans="1:19" x14ac:dyDescent="0.3">
      <c r="A34" s="94"/>
      <c r="B34" s="35"/>
      <c r="C34" s="55"/>
      <c r="D34" s="55"/>
      <c r="E34" s="55"/>
      <c r="F34" s="35"/>
      <c r="G34" s="55"/>
      <c r="H34" s="55"/>
      <c r="I34" s="56"/>
      <c r="J34" s="55"/>
      <c r="K34" s="55"/>
      <c r="L34" s="55"/>
      <c r="M34" s="57"/>
      <c r="N34" s="58"/>
      <c r="O34" s="92"/>
      <c r="P34" s="72"/>
      <c r="Q34" s="73"/>
      <c r="R34" s="73"/>
      <c r="S34" s="73"/>
    </row>
    <row r="35" spans="1:19" x14ac:dyDescent="0.3">
      <c r="A35" s="94"/>
      <c r="B35" s="35"/>
      <c r="C35" s="55"/>
      <c r="D35" s="55"/>
      <c r="E35" s="55"/>
      <c r="F35" s="35"/>
      <c r="G35" s="55"/>
      <c r="H35" s="55"/>
      <c r="I35" s="56"/>
      <c r="J35" s="55"/>
      <c r="K35" s="55"/>
      <c r="L35" s="55"/>
      <c r="M35" s="57"/>
      <c r="N35" s="58"/>
      <c r="O35" s="92"/>
      <c r="P35" s="72"/>
      <c r="Q35" s="73"/>
      <c r="R35" s="73"/>
      <c r="S35" s="73"/>
    </row>
    <row r="36" spans="1:19" x14ac:dyDescent="0.3">
      <c r="A36" s="94"/>
      <c r="B36" s="35"/>
      <c r="C36" s="55"/>
      <c r="D36" s="55"/>
      <c r="E36" s="55"/>
      <c r="F36" s="35"/>
      <c r="G36" s="55"/>
      <c r="H36" s="55"/>
      <c r="I36" s="56"/>
      <c r="J36" s="55"/>
      <c r="K36" s="55"/>
      <c r="L36" s="55"/>
      <c r="M36" s="57"/>
      <c r="N36" s="58"/>
      <c r="O36" s="92"/>
      <c r="P36" s="72"/>
      <c r="Q36" s="73"/>
      <c r="R36" s="73"/>
      <c r="S36" s="73"/>
    </row>
    <row r="37" spans="1:19" x14ac:dyDescent="0.3">
      <c r="A37" s="94"/>
      <c r="B37" s="35"/>
      <c r="C37" s="55"/>
      <c r="D37" s="55"/>
      <c r="E37" s="55"/>
      <c r="F37" s="35"/>
      <c r="G37" s="55"/>
      <c r="H37" s="55"/>
      <c r="I37" s="56"/>
      <c r="J37" s="55"/>
      <c r="K37" s="55"/>
      <c r="L37" s="55"/>
      <c r="M37" s="57"/>
      <c r="N37" s="58"/>
      <c r="O37" s="92"/>
      <c r="P37" s="72"/>
      <c r="Q37" s="73"/>
      <c r="R37" s="73"/>
      <c r="S37" s="73"/>
    </row>
    <row r="38" spans="1:19" x14ac:dyDescent="0.3">
      <c r="A38" s="94"/>
      <c r="B38" s="35"/>
      <c r="C38" s="55"/>
      <c r="D38" s="55"/>
      <c r="E38" s="55"/>
      <c r="F38" s="35"/>
      <c r="G38" s="55"/>
      <c r="H38" s="55"/>
      <c r="I38" s="56"/>
      <c r="J38" s="55"/>
      <c r="K38" s="55"/>
      <c r="L38" s="55"/>
      <c r="M38" s="57"/>
      <c r="N38" s="58"/>
      <c r="O38" s="92"/>
      <c r="P38" s="72"/>
      <c r="Q38" s="73"/>
      <c r="R38" s="73"/>
      <c r="S38" s="73"/>
    </row>
    <row r="39" spans="1:19" x14ac:dyDescent="0.3">
      <c r="A39" s="94"/>
      <c r="B39" s="35"/>
      <c r="C39" s="55"/>
      <c r="D39" s="55"/>
      <c r="E39" s="55"/>
      <c r="F39" s="35"/>
      <c r="G39" s="55"/>
      <c r="H39" s="55"/>
      <c r="I39" s="56"/>
      <c r="J39" s="55"/>
      <c r="K39" s="55"/>
      <c r="L39" s="55"/>
      <c r="M39" s="57"/>
      <c r="N39" s="58"/>
      <c r="O39" s="92"/>
      <c r="P39" s="72"/>
      <c r="Q39" s="73"/>
      <c r="R39" s="73"/>
      <c r="S39" s="73"/>
    </row>
    <row r="40" spans="1:19" x14ac:dyDescent="0.3">
      <c r="A40" s="94"/>
      <c r="B40" s="35"/>
      <c r="C40" s="55"/>
      <c r="D40" s="55"/>
      <c r="E40" s="55"/>
      <c r="F40" s="35"/>
      <c r="G40" s="55"/>
      <c r="H40" s="55"/>
      <c r="I40" s="56"/>
      <c r="J40" s="55"/>
      <c r="K40" s="55"/>
      <c r="L40" s="55"/>
      <c r="M40" s="57"/>
      <c r="N40" s="58"/>
      <c r="O40" s="92"/>
      <c r="P40" s="72"/>
      <c r="Q40" s="73"/>
      <c r="R40" s="73"/>
      <c r="S40" s="73"/>
    </row>
    <row r="41" spans="1:19" x14ac:dyDescent="0.3">
      <c r="A41" s="94"/>
      <c r="B41" s="35"/>
      <c r="C41" s="55"/>
      <c r="D41" s="55"/>
      <c r="E41" s="55"/>
      <c r="F41" s="35"/>
      <c r="G41" s="55"/>
      <c r="H41" s="55"/>
      <c r="I41" s="56"/>
      <c r="J41" s="55"/>
      <c r="K41" s="55"/>
      <c r="L41" s="55"/>
      <c r="M41" s="57"/>
      <c r="N41" s="58"/>
      <c r="O41" s="92"/>
      <c r="P41" s="72"/>
      <c r="Q41" s="73"/>
      <c r="R41" s="73"/>
      <c r="S41" s="73"/>
    </row>
    <row r="42" spans="1:19" x14ac:dyDescent="0.3">
      <c r="A42" s="94"/>
      <c r="B42" s="35"/>
      <c r="C42" s="55"/>
      <c r="D42" s="55"/>
      <c r="E42" s="55"/>
      <c r="F42" s="35"/>
      <c r="G42" s="55"/>
      <c r="H42" s="55"/>
      <c r="I42" s="56"/>
      <c r="J42" s="55"/>
      <c r="K42" s="55"/>
      <c r="L42" s="55"/>
      <c r="M42" s="57"/>
      <c r="N42" s="58"/>
      <c r="O42" s="92"/>
      <c r="P42" s="72"/>
      <c r="Q42" s="73"/>
      <c r="R42" s="73"/>
      <c r="S42" s="73"/>
    </row>
    <row r="43" spans="1:19" x14ac:dyDescent="0.3">
      <c r="A43" s="94"/>
      <c r="B43" s="35"/>
      <c r="C43" s="55"/>
      <c r="D43" s="55"/>
      <c r="E43" s="55"/>
      <c r="F43" s="35"/>
      <c r="G43" s="55"/>
      <c r="H43" s="55"/>
      <c r="I43" s="56"/>
      <c r="J43" s="55"/>
      <c r="K43" s="55"/>
      <c r="L43" s="55"/>
      <c r="M43" s="57"/>
      <c r="N43" s="58"/>
      <c r="O43" s="92"/>
      <c r="P43" s="72"/>
      <c r="Q43" s="73"/>
      <c r="R43" s="73"/>
      <c r="S43" s="73"/>
    </row>
    <row r="44" spans="1:19" x14ac:dyDescent="0.3">
      <c r="A44" s="94"/>
      <c r="B44" s="35"/>
      <c r="C44" s="55"/>
      <c r="D44" s="55"/>
      <c r="E44" s="55"/>
      <c r="F44" s="35"/>
      <c r="G44" s="55"/>
      <c r="H44" s="55"/>
      <c r="I44" s="56"/>
      <c r="J44" s="55"/>
      <c r="K44" s="55"/>
      <c r="L44" s="55"/>
      <c r="M44" s="57"/>
      <c r="N44" s="58"/>
      <c r="O44" s="92"/>
      <c r="P44" s="72"/>
      <c r="Q44" s="73"/>
      <c r="R44" s="73"/>
      <c r="S44" s="73"/>
    </row>
    <row r="45" spans="1:19" x14ac:dyDescent="0.3">
      <c r="A45" s="94"/>
      <c r="B45" s="35"/>
      <c r="C45" s="55"/>
      <c r="D45" s="55"/>
      <c r="E45" s="55"/>
      <c r="F45" s="35"/>
      <c r="G45" s="55"/>
      <c r="H45" s="55"/>
      <c r="I45" s="56"/>
      <c r="J45" s="55"/>
      <c r="K45" s="55"/>
      <c r="L45" s="55"/>
      <c r="M45" s="57"/>
      <c r="N45" s="58"/>
      <c r="O45" s="92"/>
      <c r="P45" s="72"/>
      <c r="Q45" s="73"/>
      <c r="R45" s="73"/>
      <c r="S45" s="73"/>
    </row>
    <row r="46" spans="1:19" x14ac:dyDescent="0.3">
      <c r="A46" s="94"/>
      <c r="B46" s="35"/>
      <c r="C46" s="55"/>
      <c r="D46" s="55"/>
      <c r="E46" s="55"/>
      <c r="F46" s="35"/>
      <c r="G46" s="55"/>
      <c r="H46" s="55"/>
      <c r="I46" s="56"/>
      <c r="J46" s="55"/>
      <c r="K46" s="55"/>
      <c r="L46" s="55"/>
      <c r="M46" s="57"/>
      <c r="N46" s="58"/>
      <c r="O46" s="92"/>
      <c r="P46" s="72"/>
      <c r="Q46" s="73"/>
      <c r="R46" s="73"/>
      <c r="S46" s="73"/>
    </row>
    <row r="47" spans="1:19" x14ac:dyDescent="0.3">
      <c r="A47" s="94"/>
      <c r="B47" s="35"/>
      <c r="C47" s="55"/>
      <c r="D47" s="55"/>
      <c r="E47" s="55"/>
      <c r="F47" s="35"/>
      <c r="G47" s="55"/>
      <c r="H47" s="55"/>
      <c r="I47" s="56"/>
      <c r="J47" s="55"/>
      <c r="K47" s="55"/>
      <c r="L47" s="55"/>
      <c r="M47" s="57"/>
      <c r="N47" s="58"/>
      <c r="O47" s="92"/>
      <c r="P47" s="72"/>
      <c r="Q47" s="73"/>
      <c r="R47" s="73"/>
      <c r="S47" s="73"/>
    </row>
    <row r="48" spans="1:19" x14ac:dyDescent="0.3">
      <c r="A48" s="94"/>
      <c r="B48" s="35"/>
      <c r="C48" s="55"/>
      <c r="D48" s="55"/>
      <c r="E48" s="55"/>
      <c r="F48" s="35"/>
      <c r="G48" s="55"/>
      <c r="H48" s="55"/>
      <c r="I48" s="56"/>
      <c r="J48" s="55"/>
      <c r="K48" s="55"/>
      <c r="L48" s="55"/>
      <c r="M48" s="57"/>
      <c r="N48" s="58"/>
      <c r="O48" s="92"/>
      <c r="P48" s="72"/>
      <c r="Q48" s="73"/>
      <c r="R48" s="73"/>
      <c r="S48" s="73"/>
    </row>
    <row r="49" spans="1:19" x14ac:dyDescent="0.3">
      <c r="A49" s="94"/>
      <c r="B49" s="35"/>
      <c r="C49" s="55"/>
      <c r="D49" s="55"/>
      <c r="E49" s="55"/>
      <c r="F49" s="35"/>
      <c r="G49" s="55"/>
      <c r="H49" s="55"/>
      <c r="I49" s="56"/>
      <c r="J49" s="55"/>
      <c r="K49" s="55"/>
      <c r="L49" s="55"/>
      <c r="M49" s="57"/>
      <c r="N49" s="58"/>
      <c r="O49" s="92"/>
      <c r="P49" s="72"/>
      <c r="Q49" s="73"/>
      <c r="R49" s="73"/>
      <c r="S49" s="73"/>
    </row>
    <row r="50" spans="1:19" x14ac:dyDescent="0.3">
      <c r="A50" s="94"/>
      <c r="B50" s="35"/>
      <c r="C50" s="55"/>
      <c r="D50" s="55"/>
      <c r="E50" s="55"/>
      <c r="F50" s="35"/>
      <c r="G50" s="55"/>
      <c r="H50" s="55"/>
      <c r="I50" s="56"/>
      <c r="J50" s="55"/>
      <c r="K50" s="55"/>
      <c r="L50" s="55"/>
      <c r="M50" s="57"/>
      <c r="N50" s="58"/>
      <c r="O50" s="92"/>
      <c r="P50" s="72"/>
      <c r="Q50" s="73"/>
      <c r="R50" s="73"/>
      <c r="S50" s="73"/>
    </row>
    <row r="51" spans="1:19" x14ac:dyDescent="0.3">
      <c r="A51" s="94"/>
      <c r="B51" s="35"/>
      <c r="C51" s="55"/>
      <c r="D51" s="55"/>
      <c r="E51" s="55"/>
      <c r="F51" s="35"/>
      <c r="G51" s="55"/>
      <c r="H51" s="55"/>
      <c r="I51" s="56"/>
      <c r="J51" s="55"/>
      <c r="K51" s="55"/>
      <c r="L51" s="55"/>
      <c r="M51" s="57"/>
      <c r="N51" s="58"/>
      <c r="O51" s="92"/>
      <c r="P51" s="72"/>
      <c r="Q51" s="73"/>
      <c r="R51" s="73"/>
      <c r="S51" s="73"/>
    </row>
    <row r="52" spans="1:19" x14ac:dyDescent="0.3">
      <c r="A52" s="94"/>
      <c r="B52" s="35"/>
      <c r="C52" s="55"/>
      <c r="D52" s="55"/>
      <c r="E52" s="55"/>
      <c r="F52" s="35"/>
      <c r="G52" s="55"/>
      <c r="H52" s="55"/>
      <c r="I52" s="56"/>
      <c r="J52" s="55"/>
      <c r="K52" s="55"/>
      <c r="L52" s="55"/>
      <c r="M52" s="57"/>
      <c r="N52" s="58"/>
      <c r="O52" s="92"/>
      <c r="P52" s="72"/>
      <c r="Q52" s="73"/>
      <c r="R52" s="73"/>
      <c r="S52" s="73"/>
    </row>
    <row r="53" spans="1:19" x14ac:dyDescent="0.3">
      <c r="A53" s="94"/>
      <c r="B53" s="35"/>
      <c r="C53" s="55"/>
      <c r="D53" s="55"/>
      <c r="E53" s="55"/>
      <c r="F53" s="35"/>
      <c r="G53" s="55"/>
      <c r="H53" s="55"/>
      <c r="I53" s="56"/>
      <c r="J53" s="55"/>
      <c r="K53" s="55"/>
      <c r="L53" s="55"/>
      <c r="M53" s="57"/>
      <c r="N53" s="58"/>
      <c r="O53" s="92"/>
      <c r="P53" s="72"/>
      <c r="Q53" s="73"/>
      <c r="R53" s="73"/>
      <c r="S53" s="73"/>
    </row>
    <row r="54" spans="1:19" x14ac:dyDescent="0.3">
      <c r="A54" s="94"/>
      <c r="B54" s="35"/>
      <c r="C54" s="55"/>
      <c r="D54" s="55"/>
      <c r="E54" s="55"/>
      <c r="F54" s="35"/>
      <c r="G54" s="55"/>
      <c r="H54" s="55"/>
      <c r="I54" s="56"/>
      <c r="J54" s="55"/>
      <c r="K54" s="55"/>
      <c r="L54" s="55"/>
      <c r="M54" s="57"/>
      <c r="N54" s="58"/>
      <c r="O54" s="92"/>
      <c r="P54" s="72"/>
      <c r="Q54" s="73"/>
      <c r="R54" s="73"/>
      <c r="S54" s="73"/>
    </row>
    <row r="55" spans="1:19" x14ac:dyDescent="0.3">
      <c r="A55" s="94"/>
      <c r="B55" s="35"/>
      <c r="C55" s="55"/>
      <c r="D55" s="55"/>
      <c r="E55" s="55"/>
      <c r="F55" s="35"/>
      <c r="G55" s="55"/>
      <c r="H55" s="55"/>
      <c r="I55" s="56"/>
      <c r="J55" s="55"/>
      <c r="K55" s="55"/>
      <c r="L55" s="55"/>
      <c r="M55" s="57"/>
      <c r="N55" s="58"/>
      <c r="O55" s="92"/>
      <c r="P55" s="72"/>
      <c r="Q55" s="73"/>
      <c r="R55" s="73"/>
      <c r="S55" s="73"/>
    </row>
    <row r="56" spans="1:19" x14ac:dyDescent="0.3">
      <c r="A56" s="94"/>
      <c r="B56" s="35"/>
      <c r="C56" s="55"/>
      <c r="D56" s="55"/>
      <c r="E56" s="55"/>
      <c r="F56" s="35"/>
      <c r="G56" s="55"/>
      <c r="H56" s="55"/>
      <c r="I56" s="56"/>
      <c r="J56" s="55"/>
      <c r="K56" s="55"/>
      <c r="L56" s="55"/>
      <c r="M56" s="57"/>
      <c r="N56" s="58"/>
      <c r="O56" s="92"/>
      <c r="P56" s="72"/>
      <c r="Q56" s="73"/>
      <c r="R56" s="73"/>
      <c r="S56" s="73"/>
    </row>
    <row r="57" spans="1:19" x14ac:dyDescent="0.3">
      <c r="A57" s="94"/>
      <c r="B57" s="35"/>
      <c r="C57" s="55"/>
      <c r="D57" s="55"/>
      <c r="E57" s="55"/>
      <c r="F57" s="35"/>
      <c r="G57" s="55"/>
      <c r="H57" s="55"/>
      <c r="I57" s="56"/>
      <c r="J57" s="55"/>
      <c r="K57" s="55"/>
      <c r="L57" s="55"/>
      <c r="M57" s="57"/>
      <c r="N57" s="58"/>
      <c r="O57" s="92"/>
      <c r="P57" s="72"/>
      <c r="Q57" s="73"/>
      <c r="R57" s="73"/>
      <c r="S57" s="73"/>
    </row>
    <row r="58" spans="1:19" x14ac:dyDescent="0.3">
      <c r="A58" s="94"/>
      <c r="B58" s="35"/>
      <c r="C58" s="55"/>
      <c r="D58" s="55"/>
      <c r="E58" s="55"/>
      <c r="F58" s="35"/>
      <c r="G58" s="55"/>
      <c r="H58" s="55"/>
      <c r="I58" s="56"/>
      <c r="J58" s="55"/>
      <c r="K58" s="55"/>
      <c r="L58" s="55"/>
      <c r="M58" s="57"/>
      <c r="N58" s="58"/>
      <c r="O58" s="92"/>
      <c r="P58" s="72"/>
      <c r="Q58" s="73"/>
      <c r="R58" s="73"/>
      <c r="S58" s="73"/>
    </row>
    <row r="59" spans="1:19" x14ac:dyDescent="0.3">
      <c r="A59" s="94"/>
      <c r="B59" s="35"/>
      <c r="C59" s="55"/>
      <c r="D59" s="55"/>
      <c r="E59" s="55"/>
      <c r="F59" s="35"/>
      <c r="G59" s="55"/>
      <c r="H59" s="55"/>
      <c r="I59" s="56"/>
      <c r="J59" s="55"/>
      <c r="K59" s="55"/>
      <c r="L59" s="55"/>
      <c r="M59" s="57"/>
      <c r="N59" s="58"/>
      <c r="O59" s="92"/>
      <c r="P59" s="72"/>
      <c r="Q59" s="73"/>
      <c r="R59" s="73"/>
      <c r="S59" s="73"/>
    </row>
    <row r="60" spans="1:19" x14ac:dyDescent="0.3">
      <c r="A60" s="94"/>
      <c r="B60" s="35"/>
      <c r="C60" s="55"/>
      <c r="D60" s="55"/>
      <c r="E60" s="55"/>
      <c r="F60" s="35"/>
      <c r="G60" s="55"/>
      <c r="H60" s="55"/>
      <c r="I60" s="56"/>
      <c r="J60" s="55"/>
      <c r="K60" s="55"/>
      <c r="L60" s="55"/>
      <c r="M60" s="57"/>
      <c r="N60" s="58"/>
      <c r="O60" s="92"/>
      <c r="P60" s="72"/>
      <c r="Q60" s="73"/>
      <c r="R60" s="73"/>
      <c r="S60" s="73"/>
    </row>
    <row r="61" spans="1:19" x14ac:dyDescent="0.3">
      <c r="A61" s="94"/>
      <c r="B61" s="35"/>
      <c r="C61" s="55"/>
      <c r="D61" s="55"/>
      <c r="E61" s="55"/>
      <c r="F61" s="35"/>
      <c r="G61" s="55"/>
      <c r="H61" s="55"/>
      <c r="I61" s="56"/>
      <c r="J61" s="55"/>
      <c r="K61" s="55"/>
      <c r="L61" s="55"/>
      <c r="M61" s="57"/>
      <c r="N61" s="58"/>
      <c r="O61" s="92"/>
      <c r="P61" s="72"/>
      <c r="Q61" s="73"/>
      <c r="R61" s="73"/>
      <c r="S61" s="73"/>
    </row>
    <row r="62" spans="1:19" x14ac:dyDescent="0.3">
      <c r="A62" s="94"/>
      <c r="B62" s="35"/>
      <c r="C62" s="55"/>
      <c r="D62" s="55"/>
      <c r="E62" s="55"/>
      <c r="F62" s="35"/>
      <c r="G62" s="55"/>
      <c r="H62" s="55"/>
      <c r="I62" s="56"/>
      <c r="J62" s="55"/>
      <c r="K62" s="55"/>
      <c r="L62" s="55"/>
      <c r="M62" s="57"/>
      <c r="N62" s="58"/>
      <c r="O62" s="92"/>
      <c r="P62" s="72"/>
      <c r="Q62" s="73"/>
      <c r="R62" s="73"/>
      <c r="S62" s="73"/>
    </row>
    <row r="63" spans="1:19" x14ac:dyDescent="0.3">
      <c r="A63" s="94"/>
      <c r="B63" s="35"/>
      <c r="C63" s="55"/>
      <c r="D63" s="55"/>
      <c r="E63" s="55"/>
      <c r="F63" s="35"/>
      <c r="G63" s="55"/>
      <c r="H63" s="55"/>
      <c r="I63" s="56"/>
      <c r="J63" s="55"/>
      <c r="K63" s="55"/>
      <c r="L63" s="55"/>
      <c r="M63" s="57"/>
      <c r="N63" s="58"/>
      <c r="O63" s="92"/>
      <c r="P63" s="72"/>
      <c r="Q63" s="73"/>
      <c r="R63" s="73"/>
      <c r="S63" s="73"/>
    </row>
    <row r="64" spans="1:19" x14ac:dyDescent="0.3">
      <c r="A64" s="94"/>
      <c r="B64" s="35"/>
      <c r="C64" s="55"/>
      <c r="D64" s="55"/>
      <c r="E64" s="55"/>
      <c r="F64" s="35"/>
      <c r="G64" s="55"/>
      <c r="H64" s="55"/>
      <c r="I64" s="56"/>
      <c r="J64" s="55"/>
      <c r="K64" s="55"/>
      <c r="L64" s="55"/>
      <c r="M64" s="57"/>
      <c r="N64" s="58"/>
      <c r="O64" s="92"/>
      <c r="P64" s="72"/>
      <c r="Q64" s="73"/>
      <c r="R64" s="73"/>
      <c r="S64" s="73"/>
    </row>
    <row r="65" spans="1:19" x14ac:dyDescent="0.3">
      <c r="A65" s="94"/>
      <c r="B65" s="35"/>
      <c r="C65" s="55"/>
      <c r="D65" s="55"/>
      <c r="E65" s="55"/>
      <c r="F65" s="35"/>
      <c r="G65" s="55"/>
      <c r="H65" s="55"/>
      <c r="I65" s="56"/>
      <c r="J65" s="55"/>
      <c r="K65" s="55"/>
      <c r="L65" s="55"/>
      <c r="M65" s="57"/>
      <c r="N65" s="58"/>
      <c r="O65" s="92"/>
      <c r="P65" s="72"/>
      <c r="Q65" s="73"/>
      <c r="R65" s="73"/>
      <c r="S65" s="73"/>
    </row>
    <row r="66" spans="1:19" x14ac:dyDescent="0.3">
      <c r="A66" s="94"/>
      <c r="B66" s="35"/>
      <c r="C66" s="55"/>
      <c r="D66" s="55"/>
      <c r="E66" s="55"/>
      <c r="F66" s="35"/>
      <c r="G66" s="55"/>
      <c r="H66" s="55"/>
      <c r="I66" s="56"/>
      <c r="J66" s="55"/>
      <c r="K66" s="55"/>
      <c r="L66" s="55"/>
      <c r="M66" s="57"/>
      <c r="N66" s="58"/>
      <c r="O66" s="92"/>
      <c r="P66" s="72"/>
      <c r="Q66" s="73"/>
      <c r="R66" s="73"/>
      <c r="S66" s="73"/>
    </row>
    <row r="67" spans="1:19" x14ac:dyDescent="0.3">
      <c r="A67" s="94"/>
      <c r="B67" s="35"/>
      <c r="C67" s="55"/>
      <c r="D67" s="55"/>
      <c r="E67" s="55"/>
      <c r="F67" s="35"/>
      <c r="G67" s="55"/>
      <c r="H67" s="55"/>
      <c r="I67" s="56"/>
      <c r="J67" s="55"/>
      <c r="K67" s="55"/>
      <c r="L67" s="55"/>
      <c r="M67" s="57"/>
      <c r="N67" s="58"/>
      <c r="O67" s="92"/>
      <c r="P67" s="72"/>
      <c r="Q67" s="73"/>
      <c r="R67" s="73"/>
      <c r="S67" s="73"/>
    </row>
    <row r="68" spans="1:19" x14ac:dyDescent="0.3">
      <c r="A68" s="94"/>
      <c r="B68" s="35"/>
      <c r="C68" s="55"/>
      <c r="D68" s="55"/>
      <c r="E68" s="55"/>
      <c r="F68" s="35"/>
      <c r="G68" s="55"/>
      <c r="H68" s="55"/>
      <c r="I68" s="56"/>
      <c r="J68" s="55"/>
      <c r="K68" s="55"/>
      <c r="L68" s="55"/>
      <c r="M68" s="57"/>
      <c r="N68" s="58"/>
      <c r="O68" s="92"/>
      <c r="P68" s="72"/>
      <c r="Q68" s="73"/>
      <c r="R68" s="73"/>
      <c r="S68" s="73"/>
    </row>
    <row r="69" spans="1:19" x14ac:dyDescent="0.3">
      <c r="A69" s="94"/>
      <c r="B69" s="35"/>
      <c r="C69" s="55"/>
      <c r="D69" s="55"/>
      <c r="E69" s="55"/>
      <c r="F69" s="35"/>
      <c r="G69" s="55"/>
      <c r="H69" s="55"/>
      <c r="I69" s="56"/>
      <c r="J69" s="55"/>
      <c r="K69" s="55"/>
      <c r="L69" s="55"/>
      <c r="M69" s="57"/>
      <c r="N69" s="58"/>
      <c r="O69" s="92"/>
      <c r="P69" s="72"/>
      <c r="Q69" s="73"/>
      <c r="R69" s="73"/>
      <c r="S69" s="73"/>
    </row>
    <row r="70" spans="1:19" x14ac:dyDescent="0.3">
      <c r="A70" s="94"/>
      <c r="B70" s="35"/>
      <c r="C70" s="55"/>
      <c r="D70" s="55"/>
      <c r="E70" s="55"/>
      <c r="F70" s="35"/>
      <c r="G70" s="55"/>
      <c r="H70" s="55"/>
      <c r="I70" s="56"/>
      <c r="J70" s="55"/>
      <c r="K70" s="55"/>
      <c r="L70" s="55"/>
      <c r="M70" s="57"/>
      <c r="N70" s="58"/>
      <c r="O70" s="92"/>
      <c r="P70" s="72"/>
      <c r="Q70" s="73"/>
      <c r="R70" s="73"/>
      <c r="S70" s="73"/>
    </row>
    <row r="71" spans="1:19" x14ac:dyDescent="0.3">
      <c r="A71" s="94"/>
      <c r="B71" s="35"/>
      <c r="C71" s="55"/>
      <c r="D71" s="55"/>
      <c r="E71" s="55"/>
      <c r="F71" s="35"/>
      <c r="G71" s="55"/>
      <c r="H71" s="55"/>
      <c r="I71" s="56"/>
      <c r="J71" s="55"/>
      <c r="K71" s="55"/>
      <c r="L71" s="55"/>
      <c r="M71" s="57"/>
      <c r="N71" s="58"/>
      <c r="O71" s="92"/>
      <c r="P71" s="72"/>
      <c r="Q71" s="73"/>
      <c r="R71" s="73"/>
      <c r="S71" s="73"/>
    </row>
    <row r="72" spans="1:19" x14ac:dyDescent="0.3">
      <c r="A72" s="94"/>
      <c r="B72" s="35"/>
      <c r="C72" s="55"/>
      <c r="D72" s="55"/>
      <c r="E72" s="55"/>
      <c r="F72" s="35"/>
      <c r="G72" s="55"/>
      <c r="H72" s="55"/>
      <c r="I72" s="56"/>
      <c r="J72" s="55"/>
      <c r="K72" s="55"/>
      <c r="L72" s="55"/>
      <c r="M72" s="57"/>
      <c r="N72" s="58"/>
      <c r="O72" s="92"/>
      <c r="P72" s="72"/>
      <c r="Q72" s="73"/>
      <c r="R72" s="73"/>
      <c r="S72" s="73"/>
    </row>
    <row r="73" spans="1:19" x14ac:dyDescent="0.3">
      <c r="A73" s="94"/>
      <c r="B73" s="35"/>
      <c r="C73" s="55"/>
      <c r="D73" s="55"/>
      <c r="E73" s="55"/>
      <c r="F73" s="35"/>
      <c r="G73" s="55"/>
      <c r="H73" s="55"/>
      <c r="I73" s="56"/>
      <c r="J73" s="55"/>
      <c r="K73" s="55"/>
      <c r="L73" s="55"/>
      <c r="M73" s="57"/>
      <c r="N73" s="58"/>
      <c r="O73" s="92"/>
      <c r="P73" s="72"/>
      <c r="Q73" s="73"/>
      <c r="R73" s="73"/>
      <c r="S73" s="73"/>
    </row>
    <row r="74" spans="1:19" x14ac:dyDescent="0.3">
      <c r="A74" s="94"/>
      <c r="B74" s="35"/>
      <c r="C74" s="55"/>
      <c r="D74" s="55"/>
      <c r="E74" s="55"/>
      <c r="F74" s="35"/>
      <c r="G74" s="55"/>
      <c r="H74" s="55"/>
      <c r="I74" s="56"/>
      <c r="J74" s="55"/>
      <c r="K74" s="55"/>
      <c r="L74" s="55"/>
      <c r="M74" s="57"/>
      <c r="N74" s="58"/>
      <c r="O74" s="92"/>
      <c r="P74" s="72"/>
      <c r="Q74" s="73"/>
      <c r="R74" s="73"/>
      <c r="S74" s="73"/>
    </row>
    <row r="75" spans="1:19" x14ac:dyDescent="0.3">
      <c r="A75" s="94"/>
      <c r="B75" s="35"/>
      <c r="C75" s="55"/>
      <c r="D75" s="55"/>
      <c r="E75" s="55"/>
      <c r="F75" s="35"/>
      <c r="G75" s="55"/>
      <c r="H75" s="55"/>
      <c r="I75" s="56"/>
      <c r="J75" s="55"/>
      <c r="K75" s="55"/>
      <c r="L75" s="55"/>
      <c r="M75" s="57"/>
      <c r="N75" s="58"/>
      <c r="O75" s="92"/>
      <c r="P75" s="72"/>
      <c r="Q75" s="73"/>
      <c r="R75" s="73"/>
      <c r="S75" s="73"/>
    </row>
    <row r="76" spans="1:19" x14ac:dyDescent="0.3">
      <c r="A76" s="94"/>
      <c r="B76" s="35"/>
      <c r="C76" s="55"/>
      <c r="D76" s="55"/>
      <c r="E76" s="55"/>
      <c r="F76" s="35"/>
      <c r="G76" s="55"/>
      <c r="H76" s="55"/>
      <c r="I76" s="56"/>
      <c r="J76" s="55"/>
      <c r="K76" s="55"/>
      <c r="L76" s="55"/>
      <c r="M76" s="57"/>
      <c r="N76" s="58"/>
      <c r="O76" s="92"/>
      <c r="P76" s="72"/>
      <c r="Q76" s="73"/>
      <c r="R76" s="73"/>
      <c r="S76" s="73"/>
    </row>
    <row r="77" spans="1:19" x14ac:dyDescent="0.3">
      <c r="A77" s="94"/>
      <c r="B77" s="35"/>
      <c r="C77" s="55"/>
      <c r="D77" s="55"/>
      <c r="E77" s="55"/>
      <c r="F77" s="35"/>
      <c r="G77" s="55"/>
      <c r="H77" s="55"/>
      <c r="I77" s="56"/>
      <c r="J77" s="55"/>
      <c r="K77" s="55"/>
      <c r="L77" s="55"/>
      <c r="M77" s="57"/>
      <c r="N77" s="58"/>
      <c r="O77" s="92"/>
      <c r="P77" s="72"/>
      <c r="Q77" s="73"/>
      <c r="R77" s="73"/>
      <c r="S77" s="73"/>
    </row>
    <row r="78" spans="1:19" x14ac:dyDescent="0.3">
      <c r="A78" s="94"/>
      <c r="B78" s="35"/>
      <c r="C78" s="55"/>
      <c r="D78" s="55"/>
      <c r="E78" s="55"/>
      <c r="F78" s="35"/>
      <c r="G78" s="55"/>
      <c r="H78" s="55"/>
      <c r="I78" s="56"/>
      <c r="J78" s="55"/>
      <c r="K78" s="55"/>
      <c r="L78" s="55"/>
      <c r="M78" s="57"/>
      <c r="N78" s="58"/>
      <c r="O78" s="92"/>
      <c r="P78" s="72"/>
      <c r="Q78" s="73"/>
      <c r="R78" s="73"/>
      <c r="S78" s="73"/>
    </row>
    <row r="79" spans="1:19" x14ac:dyDescent="0.3">
      <c r="A79" s="94"/>
      <c r="B79" s="35"/>
      <c r="C79" s="55"/>
      <c r="D79" s="55"/>
      <c r="E79" s="55"/>
      <c r="F79" s="35"/>
      <c r="G79" s="55"/>
      <c r="H79" s="55"/>
      <c r="I79" s="56"/>
      <c r="J79" s="55"/>
      <c r="K79" s="55"/>
      <c r="L79" s="55"/>
      <c r="M79" s="57"/>
      <c r="N79" s="58"/>
      <c r="O79" s="92"/>
      <c r="P79" s="72"/>
      <c r="Q79" s="73"/>
      <c r="R79" s="73"/>
      <c r="S79" s="73"/>
    </row>
    <row r="80" spans="1:19" x14ac:dyDescent="0.3">
      <c r="A80" s="94"/>
      <c r="B80" s="35"/>
      <c r="C80" s="55"/>
      <c r="D80" s="55"/>
      <c r="E80" s="55"/>
      <c r="F80" s="35"/>
      <c r="G80" s="55"/>
      <c r="H80" s="55"/>
      <c r="I80" s="56"/>
      <c r="J80" s="55"/>
      <c r="K80" s="55"/>
      <c r="L80" s="55"/>
      <c r="M80" s="57"/>
      <c r="N80" s="58"/>
      <c r="O80" s="92"/>
      <c r="P80" s="72"/>
      <c r="Q80" s="73"/>
      <c r="R80" s="73"/>
      <c r="S80" s="73"/>
    </row>
    <row r="81" spans="1:19" x14ac:dyDescent="0.3">
      <c r="A81" s="94"/>
      <c r="B81" s="35"/>
      <c r="C81" s="55"/>
      <c r="D81" s="55"/>
      <c r="E81" s="55"/>
      <c r="F81" s="35"/>
      <c r="G81" s="55"/>
      <c r="H81" s="55"/>
      <c r="I81" s="56"/>
      <c r="J81" s="55"/>
      <c r="K81" s="55"/>
      <c r="L81" s="55"/>
      <c r="M81" s="57"/>
      <c r="N81" s="58"/>
      <c r="O81" s="92"/>
      <c r="P81" s="72"/>
      <c r="Q81" s="73"/>
      <c r="R81" s="73"/>
      <c r="S81" s="73"/>
    </row>
    <row r="82" spans="1:19" x14ac:dyDescent="0.3">
      <c r="A82" s="94"/>
      <c r="B82" s="35"/>
      <c r="C82" s="55"/>
      <c r="D82" s="55"/>
      <c r="E82" s="55"/>
      <c r="F82" s="35"/>
      <c r="G82" s="55"/>
      <c r="H82" s="55"/>
      <c r="I82" s="56"/>
      <c r="J82" s="55"/>
      <c r="K82" s="55"/>
      <c r="L82" s="55"/>
      <c r="M82" s="57"/>
      <c r="N82" s="58"/>
      <c r="O82" s="92"/>
      <c r="P82" s="72"/>
      <c r="Q82" s="73"/>
      <c r="R82" s="73"/>
      <c r="S82" s="73"/>
    </row>
    <row r="83" spans="1:19" x14ac:dyDescent="0.3">
      <c r="A83" s="94"/>
      <c r="B83" s="35"/>
      <c r="C83" s="55"/>
      <c r="D83" s="55"/>
      <c r="E83" s="55"/>
      <c r="F83" s="35"/>
      <c r="G83" s="55"/>
      <c r="H83" s="55"/>
      <c r="I83" s="56"/>
      <c r="J83" s="55"/>
      <c r="K83" s="55"/>
      <c r="L83" s="55"/>
      <c r="M83" s="57"/>
      <c r="N83" s="58"/>
      <c r="O83" s="92"/>
      <c r="P83" s="72"/>
      <c r="Q83" s="73"/>
      <c r="R83" s="73"/>
      <c r="S83" s="73"/>
    </row>
    <row r="84" spans="1:19" x14ac:dyDescent="0.3">
      <c r="A84" s="94"/>
      <c r="B84" s="35"/>
      <c r="C84" s="55"/>
      <c r="D84" s="55"/>
      <c r="E84" s="55"/>
      <c r="F84" s="35"/>
      <c r="G84" s="55"/>
      <c r="H84" s="55"/>
      <c r="I84" s="56"/>
      <c r="J84" s="55"/>
      <c r="K84" s="55"/>
      <c r="L84" s="55"/>
      <c r="M84" s="57"/>
      <c r="N84" s="58"/>
      <c r="O84" s="92"/>
      <c r="P84" s="72"/>
      <c r="Q84" s="73"/>
      <c r="R84" s="73"/>
      <c r="S84" s="73"/>
    </row>
    <row r="85" spans="1:19" x14ac:dyDescent="0.3">
      <c r="A85" s="94"/>
      <c r="B85" s="35"/>
      <c r="C85" s="55"/>
      <c r="D85" s="55"/>
      <c r="E85" s="55"/>
      <c r="F85" s="35"/>
      <c r="G85" s="55"/>
      <c r="H85" s="55"/>
      <c r="I85" s="56"/>
      <c r="J85" s="55"/>
      <c r="K85" s="55"/>
      <c r="L85" s="55"/>
      <c r="M85" s="57"/>
      <c r="N85" s="58"/>
      <c r="O85" s="92"/>
      <c r="P85" s="72"/>
      <c r="Q85" s="73"/>
      <c r="R85" s="73"/>
      <c r="S85" s="73"/>
    </row>
    <row r="86" spans="1:19" x14ac:dyDescent="0.3">
      <c r="A86" s="94"/>
      <c r="B86" s="35"/>
      <c r="C86" s="55"/>
      <c r="D86" s="55"/>
      <c r="E86" s="55"/>
      <c r="F86" s="35"/>
      <c r="G86" s="55"/>
      <c r="H86" s="55"/>
      <c r="I86" s="56"/>
      <c r="J86" s="55"/>
      <c r="K86" s="55"/>
      <c r="L86" s="55"/>
      <c r="M86" s="57"/>
      <c r="N86" s="58"/>
      <c r="O86" s="92"/>
      <c r="P86" s="72"/>
      <c r="Q86" s="73"/>
      <c r="R86" s="73"/>
      <c r="S86" s="73"/>
    </row>
    <row r="87" spans="1:19" x14ac:dyDescent="0.3">
      <c r="A87" s="94"/>
      <c r="B87" s="35"/>
      <c r="C87" s="55"/>
      <c r="D87" s="55"/>
      <c r="E87" s="55"/>
      <c r="F87" s="35"/>
      <c r="G87" s="55"/>
      <c r="H87" s="55"/>
      <c r="I87" s="56"/>
      <c r="J87" s="55"/>
      <c r="K87" s="55"/>
      <c r="L87" s="55"/>
      <c r="M87" s="57"/>
      <c r="N87" s="58"/>
      <c r="O87" s="92"/>
      <c r="P87" s="72"/>
      <c r="Q87" s="73"/>
      <c r="R87" s="73"/>
      <c r="S87" s="73"/>
    </row>
    <row r="88" spans="1:19" x14ac:dyDescent="0.3">
      <c r="A88" s="94"/>
      <c r="B88" s="35"/>
      <c r="C88" s="55"/>
      <c r="D88" s="55"/>
      <c r="E88" s="55"/>
      <c r="F88" s="35"/>
      <c r="G88" s="55"/>
      <c r="H88" s="55"/>
      <c r="I88" s="56"/>
      <c r="J88" s="55"/>
      <c r="K88" s="55"/>
      <c r="L88" s="55"/>
      <c r="M88" s="57"/>
      <c r="N88" s="58"/>
      <c r="O88" s="92"/>
      <c r="P88" s="72"/>
      <c r="Q88" s="73"/>
      <c r="R88" s="73"/>
      <c r="S88" s="73"/>
    </row>
    <row r="89" spans="1:19" x14ac:dyDescent="0.3">
      <c r="A89" s="94"/>
      <c r="B89" s="35"/>
      <c r="C89" s="55"/>
      <c r="D89" s="55"/>
      <c r="E89" s="55"/>
      <c r="F89" s="35"/>
      <c r="G89" s="55"/>
      <c r="H89" s="55"/>
      <c r="I89" s="56"/>
      <c r="J89" s="55"/>
      <c r="K89" s="55"/>
      <c r="L89" s="55"/>
      <c r="M89" s="57"/>
      <c r="N89" s="58"/>
      <c r="O89" s="92"/>
      <c r="P89" s="72"/>
      <c r="Q89" s="73"/>
      <c r="R89" s="73"/>
      <c r="S89" s="73"/>
    </row>
    <row r="90" spans="1:19" x14ac:dyDescent="0.3">
      <c r="A90" s="94"/>
      <c r="B90" s="35"/>
      <c r="C90" s="55"/>
      <c r="D90" s="55"/>
      <c r="E90" s="55"/>
      <c r="F90" s="35"/>
      <c r="G90" s="55"/>
      <c r="H90" s="55"/>
      <c r="I90" s="56"/>
      <c r="J90" s="55"/>
      <c r="K90" s="55"/>
      <c r="L90" s="55"/>
      <c r="M90" s="57"/>
      <c r="N90" s="58"/>
      <c r="O90" s="92"/>
      <c r="P90" s="72"/>
      <c r="Q90" s="73"/>
      <c r="R90" s="73"/>
      <c r="S90" s="73"/>
    </row>
    <row r="91" spans="1:19" x14ac:dyDescent="0.3">
      <c r="A91" s="94"/>
      <c r="B91" s="35"/>
      <c r="C91" s="55"/>
      <c r="D91" s="55"/>
      <c r="E91" s="55"/>
      <c r="F91" s="35"/>
      <c r="G91" s="55"/>
      <c r="H91" s="55"/>
      <c r="I91" s="56"/>
      <c r="J91" s="55"/>
      <c r="K91" s="55"/>
      <c r="L91" s="55"/>
      <c r="M91" s="57"/>
      <c r="N91" s="58"/>
      <c r="O91" s="92"/>
      <c r="P91" s="72"/>
      <c r="Q91" s="73"/>
      <c r="R91" s="73"/>
      <c r="S91" s="73"/>
    </row>
    <row r="92" spans="1:19" x14ac:dyDescent="0.3">
      <c r="A92" s="94"/>
      <c r="B92" s="35"/>
      <c r="C92" s="55"/>
      <c r="D92" s="55"/>
      <c r="E92" s="55"/>
      <c r="F92" s="35"/>
      <c r="G92" s="55"/>
      <c r="H92" s="55"/>
      <c r="I92" s="56"/>
      <c r="J92" s="55"/>
      <c r="K92" s="55"/>
      <c r="L92" s="55"/>
      <c r="M92" s="57"/>
      <c r="N92" s="58"/>
      <c r="O92" s="92"/>
      <c r="P92" s="72"/>
      <c r="Q92" s="73"/>
      <c r="R92" s="73"/>
      <c r="S92" s="73"/>
    </row>
    <row r="93" spans="1:19" x14ac:dyDescent="0.3">
      <c r="A93" s="94"/>
      <c r="B93" s="35"/>
      <c r="C93" s="55"/>
      <c r="D93" s="55"/>
      <c r="E93" s="55"/>
      <c r="F93" s="35"/>
      <c r="G93" s="55"/>
      <c r="H93" s="55"/>
      <c r="I93" s="56"/>
      <c r="J93" s="55"/>
      <c r="K93" s="55"/>
      <c r="L93" s="55"/>
      <c r="M93" s="57"/>
      <c r="N93" s="58"/>
      <c r="O93" s="92"/>
      <c r="P93" s="72"/>
      <c r="Q93" s="73"/>
      <c r="R93" s="73"/>
      <c r="S93" s="73"/>
    </row>
    <row r="94" spans="1:19" x14ac:dyDescent="0.3">
      <c r="A94" s="94"/>
      <c r="B94" s="35"/>
      <c r="C94" s="55"/>
      <c r="D94" s="55"/>
      <c r="E94" s="55"/>
      <c r="F94" s="35"/>
      <c r="G94" s="55"/>
      <c r="H94" s="55"/>
      <c r="I94" s="56"/>
      <c r="J94" s="55"/>
      <c r="K94" s="55"/>
      <c r="L94" s="55"/>
      <c r="M94" s="57"/>
      <c r="N94" s="58"/>
      <c r="O94" s="92"/>
      <c r="P94" s="72"/>
      <c r="Q94" s="73"/>
      <c r="R94" s="73"/>
      <c r="S94" s="73"/>
    </row>
    <row r="95" spans="1:19" x14ac:dyDescent="0.3">
      <c r="A95" s="94"/>
      <c r="B95" s="35"/>
      <c r="C95" s="55"/>
      <c r="D95" s="55"/>
      <c r="E95" s="55"/>
      <c r="F95" s="35"/>
      <c r="G95" s="55"/>
      <c r="H95" s="55"/>
      <c r="I95" s="56"/>
      <c r="J95" s="55"/>
      <c r="K95" s="55"/>
      <c r="L95" s="55"/>
      <c r="M95" s="57"/>
      <c r="N95" s="58"/>
      <c r="O95" s="92"/>
      <c r="P95" s="72"/>
      <c r="Q95" s="73"/>
      <c r="R95" s="73"/>
      <c r="S95" s="73"/>
    </row>
    <row r="96" spans="1:19" x14ac:dyDescent="0.3">
      <c r="A96" s="94"/>
      <c r="B96" s="35"/>
      <c r="C96" s="55"/>
      <c r="D96" s="55"/>
      <c r="E96" s="55"/>
      <c r="F96" s="35"/>
      <c r="G96" s="55"/>
      <c r="H96" s="55"/>
      <c r="I96" s="56"/>
      <c r="J96" s="55"/>
      <c r="K96" s="55"/>
      <c r="L96" s="55"/>
      <c r="M96" s="57"/>
      <c r="N96" s="58"/>
      <c r="O96" s="92"/>
      <c r="P96" s="72"/>
      <c r="Q96" s="73"/>
      <c r="R96" s="73"/>
      <c r="S96" s="73"/>
    </row>
    <row r="97" spans="1:19" x14ac:dyDescent="0.3">
      <c r="A97" s="94"/>
      <c r="B97" s="35"/>
      <c r="C97" s="55"/>
      <c r="D97" s="55"/>
      <c r="E97" s="55"/>
      <c r="F97" s="35"/>
      <c r="G97" s="55"/>
      <c r="H97" s="55"/>
      <c r="I97" s="56"/>
      <c r="J97" s="55"/>
      <c r="K97" s="55"/>
      <c r="L97" s="55"/>
      <c r="M97" s="57"/>
      <c r="N97" s="58"/>
      <c r="O97" s="92"/>
      <c r="P97" s="72"/>
      <c r="Q97" s="73"/>
      <c r="R97" s="73"/>
      <c r="S97" s="73"/>
    </row>
    <row r="98" spans="1:19" x14ac:dyDescent="0.3">
      <c r="A98" s="94"/>
      <c r="B98" s="35"/>
      <c r="C98" s="55"/>
      <c r="D98" s="55"/>
      <c r="E98" s="55"/>
      <c r="F98" s="35"/>
      <c r="G98" s="55"/>
      <c r="H98" s="55"/>
      <c r="I98" s="56"/>
      <c r="J98" s="55"/>
      <c r="K98" s="55"/>
      <c r="L98" s="55"/>
      <c r="M98" s="57"/>
      <c r="N98" s="58"/>
      <c r="O98" s="92"/>
      <c r="P98" s="72"/>
      <c r="Q98" s="73"/>
      <c r="R98" s="73"/>
      <c r="S98" s="73"/>
    </row>
    <row r="99" spans="1:19" x14ac:dyDescent="0.3">
      <c r="A99" s="94"/>
      <c r="B99" s="35"/>
      <c r="C99" s="55"/>
      <c r="D99" s="55"/>
      <c r="E99" s="55"/>
      <c r="F99" s="35"/>
      <c r="G99" s="55"/>
      <c r="H99" s="55"/>
      <c r="I99" s="56"/>
      <c r="J99" s="55"/>
      <c r="K99" s="55"/>
      <c r="L99" s="55"/>
      <c r="M99" s="57"/>
      <c r="N99" s="58"/>
      <c r="O99" s="92"/>
      <c r="P99" s="72"/>
      <c r="Q99" s="73"/>
      <c r="R99" s="73"/>
      <c r="S99" s="73"/>
    </row>
    <row r="100" spans="1:19" x14ac:dyDescent="0.3">
      <c r="A100" s="94"/>
      <c r="B100" s="35"/>
      <c r="C100" s="55"/>
      <c r="D100" s="55"/>
      <c r="E100" s="55"/>
      <c r="F100" s="35"/>
      <c r="G100" s="55"/>
      <c r="H100" s="55"/>
      <c r="I100" s="56"/>
      <c r="J100" s="55"/>
      <c r="K100" s="55"/>
      <c r="L100" s="55"/>
      <c r="M100" s="57"/>
      <c r="N100" s="58"/>
      <c r="O100" s="92"/>
      <c r="P100" s="72"/>
      <c r="Q100" s="73"/>
      <c r="R100" s="73"/>
      <c r="S100" s="73"/>
    </row>
    <row r="101" spans="1:19" x14ac:dyDescent="0.3">
      <c r="A101" s="94"/>
      <c r="B101" s="35"/>
      <c r="C101" s="55"/>
      <c r="D101" s="55"/>
      <c r="E101" s="55"/>
      <c r="F101" s="35"/>
      <c r="G101" s="55"/>
      <c r="H101" s="55"/>
      <c r="I101" s="56"/>
      <c r="J101" s="55"/>
      <c r="K101" s="55"/>
      <c r="L101" s="55"/>
      <c r="M101" s="57"/>
      <c r="N101" s="58"/>
      <c r="O101" s="92"/>
      <c r="P101" s="72"/>
      <c r="Q101" s="73"/>
      <c r="R101" s="73"/>
      <c r="S101" s="73"/>
    </row>
    <row r="102" spans="1:19" x14ac:dyDescent="0.3">
      <c r="A102" s="94"/>
      <c r="B102" s="35"/>
      <c r="C102" s="55"/>
      <c r="D102" s="55"/>
      <c r="E102" s="55"/>
      <c r="F102" s="35"/>
      <c r="G102" s="55"/>
      <c r="H102" s="55"/>
      <c r="I102" s="56"/>
      <c r="J102" s="55"/>
      <c r="K102" s="55"/>
      <c r="L102" s="55"/>
      <c r="M102" s="57"/>
      <c r="N102" s="58"/>
      <c r="O102" s="92"/>
      <c r="P102" s="72"/>
      <c r="Q102" s="73"/>
      <c r="R102" s="73"/>
      <c r="S102" s="73"/>
    </row>
    <row r="103" spans="1:19" x14ac:dyDescent="0.3">
      <c r="A103" s="94"/>
      <c r="B103" s="35"/>
      <c r="C103" s="55"/>
      <c r="D103" s="55"/>
      <c r="E103" s="55"/>
      <c r="F103" s="35"/>
      <c r="G103" s="55"/>
      <c r="H103" s="55"/>
      <c r="I103" s="56"/>
      <c r="J103" s="55"/>
      <c r="K103" s="55"/>
      <c r="L103" s="55"/>
      <c r="M103" s="57"/>
      <c r="N103" s="58"/>
      <c r="O103" s="92"/>
      <c r="P103" s="72"/>
      <c r="Q103" s="73"/>
      <c r="R103" s="73"/>
      <c r="S103" s="73"/>
    </row>
    <row r="104" spans="1:19" x14ac:dyDescent="0.3">
      <c r="A104" s="94"/>
      <c r="B104" s="35"/>
      <c r="C104" s="55"/>
      <c r="D104" s="55"/>
      <c r="E104" s="55"/>
      <c r="F104" s="35"/>
      <c r="G104" s="55"/>
      <c r="H104" s="55"/>
      <c r="I104" s="56"/>
      <c r="J104" s="55"/>
      <c r="K104" s="55"/>
      <c r="L104" s="55"/>
      <c r="M104" s="57"/>
      <c r="N104" s="58"/>
      <c r="O104" s="92"/>
      <c r="P104" s="72"/>
      <c r="Q104" s="73"/>
      <c r="R104" s="73"/>
      <c r="S104" s="73"/>
    </row>
    <row r="105" spans="1:19" x14ac:dyDescent="0.3">
      <c r="A105" s="94"/>
      <c r="B105" s="35"/>
      <c r="C105" s="55"/>
      <c r="D105" s="55"/>
      <c r="E105" s="55"/>
      <c r="F105" s="35"/>
      <c r="G105" s="55"/>
      <c r="H105" s="55"/>
      <c r="I105" s="56"/>
      <c r="J105" s="55"/>
      <c r="K105" s="55"/>
      <c r="L105" s="55"/>
      <c r="M105" s="57"/>
      <c r="N105" s="58"/>
      <c r="O105" s="92"/>
      <c r="P105" s="72"/>
      <c r="Q105" s="73"/>
      <c r="R105" s="73"/>
      <c r="S105" s="73"/>
    </row>
    <row r="106" spans="1:19" x14ac:dyDescent="0.3">
      <c r="A106" s="94"/>
      <c r="B106" s="35"/>
      <c r="C106" s="55"/>
      <c r="D106" s="55"/>
      <c r="E106" s="55"/>
      <c r="F106" s="35"/>
      <c r="G106" s="55"/>
      <c r="H106" s="55"/>
      <c r="I106" s="56"/>
      <c r="J106" s="55"/>
      <c r="K106" s="55"/>
      <c r="L106" s="55"/>
      <c r="M106" s="57"/>
      <c r="N106" s="58"/>
      <c r="O106" s="92"/>
      <c r="P106" s="72"/>
      <c r="Q106" s="73"/>
      <c r="R106" s="73"/>
      <c r="S106" s="73"/>
    </row>
    <row r="107" spans="1:19" x14ac:dyDescent="0.3">
      <c r="A107" s="94"/>
      <c r="B107" s="35"/>
      <c r="C107" s="55"/>
      <c r="D107" s="55"/>
      <c r="E107" s="55"/>
      <c r="F107" s="35"/>
      <c r="G107" s="55"/>
      <c r="H107" s="55"/>
      <c r="I107" s="56"/>
      <c r="J107" s="55"/>
      <c r="K107" s="55"/>
      <c r="L107" s="55"/>
      <c r="M107" s="57"/>
      <c r="N107" s="58"/>
      <c r="O107" s="92"/>
      <c r="P107" s="72"/>
      <c r="Q107" s="73"/>
      <c r="R107" s="73"/>
      <c r="S107" s="73"/>
    </row>
    <row r="108" spans="1:19" x14ac:dyDescent="0.3">
      <c r="A108" s="94"/>
      <c r="B108" s="35"/>
      <c r="C108" s="55"/>
      <c r="D108" s="55"/>
      <c r="E108" s="55"/>
      <c r="F108" s="35"/>
      <c r="G108" s="55"/>
      <c r="H108" s="55"/>
      <c r="I108" s="56"/>
      <c r="J108" s="55"/>
      <c r="K108" s="55"/>
      <c r="L108" s="55"/>
      <c r="M108" s="57"/>
      <c r="N108" s="58"/>
      <c r="O108" s="92"/>
      <c r="P108" s="72"/>
      <c r="Q108" s="73"/>
      <c r="R108" s="73"/>
      <c r="S108" s="73"/>
    </row>
    <row r="109" spans="1:19" x14ac:dyDescent="0.3">
      <c r="A109" s="94"/>
      <c r="B109" s="35"/>
      <c r="C109" s="55"/>
      <c r="D109" s="55"/>
      <c r="E109" s="55"/>
      <c r="F109" s="35"/>
      <c r="G109" s="55"/>
      <c r="H109" s="55"/>
      <c r="I109" s="56"/>
      <c r="J109" s="55"/>
      <c r="K109" s="55"/>
      <c r="L109" s="55"/>
      <c r="M109" s="57"/>
      <c r="N109" s="58"/>
      <c r="O109" s="92"/>
      <c r="P109" s="72"/>
      <c r="Q109" s="73"/>
      <c r="R109" s="73"/>
      <c r="S109" s="73"/>
    </row>
    <row r="110" spans="1:19" x14ac:dyDescent="0.3">
      <c r="A110" s="94"/>
      <c r="B110" s="35"/>
      <c r="C110" s="55"/>
      <c r="D110" s="55"/>
      <c r="E110" s="55"/>
      <c r="F110" s="35"/>
      <c r="G110" s="55"/>
      <c r="H110" s="55"/>
      <c r="I110" s="56"/>
      <c r="J110" s="55"/>
      <c r="K110" s="55"/>
      <c r="L110" s="55"/>
      <c r="M110" s="57"/>
      <c r="N110" s="58"/>
      <c r="O110" s="92"/>
      <c r="P110" s="72"/>
      <c r="Q110" s="73"/>
      <c r="R110" s="73"/>
      <c r="S110" s="73"/>
    </row>
    <row r="111" spans="1:19" x14ac:dyDescent="0.3">
      <c r="A111" s="94"/>
      <c r="B111" s="35"/>
      <c r="C111" s="55"/>
      <c r="D111" s="55"/>
      <c r="E111" s="55"/>
      <c r="F111" s="35"/>
      <c r="G111" s="55"/>
      <c r="H111" s="55"/>
      <c r="I111" s="56"/>
      <c r="J111" s="55"/>
      <c r="K111" s="55"/>
      <c r="L111" s="55"/>
      <c r="M111" s="57"/>
      <c r="N111" s="58"/>
      <c r="O111" s="92"/>
      <c r="P111" s="72"/>
      <c r="Q111" s="73"/>
      <c r="R111" s="73"/>
      <c r="S111" s="73"/>
    </row>
    <row r="112" spans="1:19" x14ac:dyDescent="0.3">
      <c r="A112" s="94"/>
      <c r="B112" s="35"/>
      <c r="C112" s="55"/>
      <c r="D112" s="55"/>
      <c r="E112" s="55"/>
      <c r="F112" s="35"/>
      <c r="G112" s="55"/>
      <c r="H112" s="55"/>
      <c r="I112" s="56"/>
      <c r="J112" s="55"/>
      <c r="K112" s="55"/>
      <c r="L112" s="55"/>
      <c r="M112" s="57"/>
      <c r="N112" s="58"/>
      <c r="O112" s="92"/>
      <c r="P112" s="72"/>
      <c r="Q112" s="73"/>
      <c r="R112" s="73"/>
      <c r="S112" s="73"/>
    </row>
    <row r="113" spans="1:19" x14ac:dyDescent="0.3">
      <c r="A113" s="94"/>
      <c r="B113" s="35"/>
      <c r="C113" s="55"/>
      <c r="D113" s="55"/>
      <c r="E113" s="55"/>
      <c r="F113" s="35"/>
      <c r="G113" s="55"/>
      <c r="H113" s="55"/>
      <c r="I113" s="56"/>
      <c r="J113" s="55"/>
      <c r="K113" s="55"/>
      <c r="L113" s="55"/>
      <c r="M113" s="57"/>
      <c r="N113" s="58"/>
      <c r="O113" s="92"/>
      <c r="P113" s="72"/>
      <c r="Q113" s="73"/>
      <c r="R113" s="73"/>
      <c r="S113" s="73"/>
    </row>
    <row r="114" spans="1:19" x14ac:dyDescent="0.3">
      <c r="A114" s="94"/>
      <c r="B114" s="35"/>
      <c r="C114" s="55"/>
      <c r="D114" s="55"/>
      <c r="E114" s="55"/>
      <c r="F114" s="35"/>
      <c r="G114" s="55"/>
      <c r="H114" s="55"/>
      <c r="I114" s="56"/>
      <c r="J114" s="55"/>
      <c r="K114" s="55"/>
      <c r="L114" s="55"/>
      <c r="M114" s="57"/>
      <c r="N114" s="58"/>
      <c r="O114" s="92"/>
      <c r="P114" s="72"/>
      <c r="Q114" s="73"/>
      <c r="R114" s="73"/>
      <c r="S114" s="73"/>
    </row>
    <row r="115" spans="1:19" x14ac:dyDescent="0.3">
      <c r="A115" s="94"/>
      <c r="B115" s="35"/>
      <c r="C115" s="55"/>
      <c r="D115" s="55"/>
      <c r="E115" s="55"/>
      <c r="F115" s="35"/>
      <c r="G115" s="55"/>
      <c r="H115" s="55"/>
      <c r="I115" s="56"/>
      <c r="J115" s="55"/>
      <c r="K115" s="55"/>
      <c r="L115" s="55"/>
      <c r="M115" s="57"/>
      <c r="N115" s="58"/>
      <c r="O115" s="92"/>
      <c r="P115" s="72"/>
      <c r="Q115" s="73"/>
      <c r="R115" s="73"/>
      <c r="S115" s="73"/>
    </row>
    <row r="116" spans="1:19" x14ac:dyDescent="0.3">
      <c r="A116" s="94"/>
      <c r="B116" s="35"/>
      <c r="C116" s="55"/>
      <c r="D116" s="55"/>
      <c r="E116" s="55"/>
      <c r="F116" s="35"/>
      <c r="G116" s="55"/>
      <c r="H116" s="55"/>
      <c r="I116" s="56"/>
      <c r="J116" s="55"/>
      <c r="K116" s="55"/>
      <c r="L116" s="55"/>
      <c r="M116" s="57"/>
      <c r="N116" s="58"/>
      <c r="O116" s="92"/>
      <c r="P116" s="72"/>
      <c r="Q116" s="73"/>
      <c r="R116" s="73"/>
      <c r="S116" s="73"/>
    </row>
    <row r="117" spans="1:19" x14ac:dyDescent="0.3">
      <c r="A117" s="94"/>
      <c r="B117" s="35"/>
      <c r="C117" s="55"/>
      <c r="D117" s="55"/>
      <c r="E117" s="55"/>
      <c r="F117" s="35"/>
      <c r="G117" s="55"/>
      <c r="H117" s="55"/>
      <c r="I117" s="56"/>
      <c r="J117" s="55"/>
      <c r="K117" s="55"/>
      <c r="L117" s="55"/>
      <c r="M117" s="57"/>
      <c r="N117" s="58"/>
      <c r="O117" s="92"/>
      <c r="P117" s="72"/>
      <c r="Q117" s="73"/>
      <c r="R117" s="73"/>
      <c r="S117" s="73"/>
    </row>
    <row r="118" spans="1:19" x14ac:dyDescent="0.3">
      <c r="A118" s="94"/>
      <c r="B118" s="35"/>
      <c r="C118" s="55"/>
      <c r="D118" s="55"/>
      <c r="E118" s="55"/>
      <c r="F118" s="35"/>
      <c r="G118" s="55"/>
      <c r="H118" s="55"/>
      <c r="I118" s="56"/>
      <c r="J118" s="55"/>
      <c r="K118" s="55"/>
      <c r="L118" s="55"/>
      <c r="M118" s="57"/>
      <c r="N118" s="58"/>
      <c r="O118" s="92"/>
      <c r="P118" s="72"/>
      <c r="Q118" s="73"/>
      <c r="R118" s="73"/>
      <c r="S118" s="73"/>
    </row>
    <row r="119" spans="1:19" x14ac:dyDescent="0.3">
      <c r="A119" s="94"/>
      <c r="B119" s="35"/>
      <c r="C119" s="55"/>
      <c r="D119" s="55"/>
      <c r="E119" s="55"/>
      <c r="F119" s="35"/>
      <c r="G119" s="55"/>
      <c r="H119" s="55"/>
      <c r="I119" s="56"/>
      <c r="J119" s="55"/>
      <c r="K119" s="55"/>
      <c r="L119" s="55"/>
      <c r="M119" s="57"/>
      <c r="N119" s="58"/>
      <c r="O119" s="92"/>
      <c r="P119" s="72"/>
      <c r="Q119" s="73"/>
      <c r="R119" s="73"/>
      <c r="S119" s="73"/>
    </row>
    <row r="120" spans="1:19" x14ac:dyDescent="0.3">
      <c r="A120" s="94"/>
      <c r="B120" s="35"/>
      <c r="C120" s="55"/>
      <c r="D120" s="55"/>
      <c r="E120" s="55"/>
      <c r="F120" s="35"/>
      <c r="G120" s="55"/>
      <c r="H120" s="55"/>
      <c r="I120" s="56"/>
      <c r="J120" s="55"/>
      <c r="K120" s="55"/>
      <c r="L120" s="55"/>
      <c r="M120" s="57"/>
      <c r="N120" s="58"/>
      <c r="O120" s="92"/>
      <c r="P120" s="72"/>
      <c r="Q120" s="73"/>
      <c r="R120" s="73"/>
      <c r="S120" s="73"/>
    </row>
    <row r="121" spans="1:19" x14ac:dyDescent="0.3">
      <c r="A121" s="94"/>
      <c r="B121" s="35"/>
      <c r="C121" s="55"/>
      <c r="D121" s="55"/>
      <c r="E121" s="55"/>
      <c r="F121" s="35"/>
      <c r="G121" s="55"/>
      <c r="H121" s="55"/>
      <c r="I121" s="56"/>
      <c r="J121" s="55"/>
      <c r="K121" s="55"/>
      <c r="L121" s="55"/>
      <c r="M121" s="57"/>
      <c r="N121" s="58"/>
      <c r="O121" s="92"/>
      <c r="P121" s="72"/>
      <c r="Q121" s="73"/>
      <c r="R121" s="73"/>
      <c r="S121" s="73"/>
    </row>
    <row r="122" spans="1:19" x14ac:dyDescent="0.3">
      <c r="A122" s="94"/>
      <c r="B122" s="35"/>
      <c r="C122" s="55"/>
      <c r="D122" s="55"/>
      <c r="E122" s="55"/>
      <c r="F122" s="35"/>
      <c r="G122" s="55"/>
      <c r="H122" s="55"/>
      <c r="I122" s="56"/>
      <c r="J122" s="55"/>
      <c r="K122" s="55"/>
      <c r="L122" s="55"/>
      <c r="M122" s="57"/>
      <c r="N122" s="58"/>
      <c r="O122" s="92"/>
      <c r="P122" s="72"/>
      <c r="Q122" s="73"/>
      <c r="R122" s="73"/>
      <c r="S122" s="73"/>
    </row>
    <row r="123" spans="1:19" x14ac:dyDescent="0.3">
      <c r="A123" s="94"/>
      <c r="B123" s="35"/>
      <c r="C123" s="55"/>
      <c r="D123" s="55"/>
      <c r="E123" s="55"/>
      <c r="F123" s="35"/>
      <c r="G123" s="55"/>
      <c r="H123" s="55"/>
      <c r="I123" s="56"/>
      <c r="J123" s="55"/>
      <c r="K123" s="55"/>
      <c r="L123" s="55"/>
      <c r="M123" s="57"/>
      <c r="N123" s="58"/>
      <c r="O123" s="92"/>
      <c r="P123" s="72"/>
      <c r="Q123" s="73"/>
      <c r="R123" s="73"/>
      <c r="S123" s="73"/>
    </row>
    <row r="124" spans="1:19" x14ac:dyDescent="0.3">
      <c r="A124" s="94"/>
      <c r="B124" s="35"/>
      <c r="C124" s="55"/>
      <c r="D124" s="55"/>
      <c r="E124" s="55"/>
      <c r="F124" s="35"/>
      <c r="G124" s="55"/>
      <c r="H124" s="55"/>
      <c r="I124" s="56"/>
      <c r="J124" s="55"/>
      <c r="K124" s="55"/>
      <c r="L124" s="55"/>
      <c r="M124" s="57"/>
      <c r="N124" s="58"/>
      <c r="O124" s="92"/>
      <c r="P124" s="72"/>
      <c r="Q124" s="73"/>
      <c r="R124" s="73"/>
      <c r="S124" s="73"/>
    </row>
    <row r="125" spans="1:19" x14ac:dyDescent="0.3">
      <c r="A125" s="94"/>
      <c r="B125" s="35"/>
      <c r="C125" s="55"/>
      <c r="D125" s="55"/>
      <c r="E125" s="55"/>
      <c r="F125" s="35"/>
      <c r="G125" s="55"/>
      <c r="H125" s="55"/>
      <c r="I125" s="56"/>
      <c r="J125" s="55"/>
      <c r="K125" s="55"/>
      <c r="L125" s="55"/>
      <c r="M125" s="57"/>
      <c r="N125" s="58"/>
      <c r="O125" s="92"/>
      <c r="P125" s="72"/>
      <c r="Q125" s="73"/>
      <c r="R125" s="73"/>
      <c r="S125" s="73"/>
    </row>
    <row r="126" spans="1:19" x14ac:dyDescent="0.3">
      <c r="A126" s="94"/>
      <c r="B126" s="35"/>
      <c r="C126" s="55"/>
      <c r="D126" s="55"/>
      <c r="E126" s="55"/>
      <c r="F126" s="35"/>
      <c r="G126" s="55"/>
      <c r="H126" s="55"/>
      <c r="I126" s="56"/>
      <c r="J126" s="55"/>
      <c r="K126" s="55"/>
      <c r="L126" s="55"/>
      <c r="M126" s="57"/>
      <c r="N126" s="58"/>
      <c r="O126" s="92"/>
      <c r="P126" s="72"/>
      <c r="Q126" s="73"/>
      <c r="R126" s="73"/>
      <c r="S126" s="73"/>
    </row>
    <row r="127" spans="1:19" x14ac:dyDescent="0.3">
      <c r="A127" s="94"/>
      <c r="B127" s="35"/>
      <c r="C127" s="55"/>
      <c r="D127" s="55"/>
      <c r="E127" s="55"/>
      <c r="F127" s="35"/>
      <c r="G127" s="55"/>
      <c r="H127" s="55"/>
      <c r="I127" s="56"/>
      <c r="J127" s="55"/>
      <c r="K127" s="55"/>
      <c r="L127" s="55"/>
      <c r="M127" s="57"/>
      <c r="N127" s="58"/>
      <c r="O127" s="92"/>
      <c r="P127" s="72"/>
      <c r="Q127" s="73"/>
      <c r="R127" s="73"/>
      <c r="S127" s="73"/>
    </row>
    <row r="128" spans="1:19" x14ac:dyDescent="0.3">
      <c r="A128" s="94"/>
      <c r="B128" s="35"/>
      <c r="C128" s="55"/>
      <c r="D128" s="55"/>
      <c r="E128" s="55"/>
      <c r="F128" s="35"/>
      <c r="G128" s="55"/>
      <c r="H128" s="55"/>
      <c r="I128" s="56"/>
      <c r="J128" s="55"/>
      <c r="K128" s="55"/>
      <c r="L128" s="55"/>
      <c r="M128" s="57"/>
      <c r="N128" s="58"/>
      <c r="O128" s="92"/>
      <c r="P128" s="72"/>
      <c r="Q128" s="73"/>
      <c r="R128" s="73"/>
      <c r="S128" s="73"/>
    </row>
    <row r="129" spans="1:19" x14ac:dyDescent="0.3">
      <c r="A129" s="94"/>
      <c r="B129" s="35"/>
      <c r="C129" s="55"/>
      <c r="D129" s="55"/>
      <c r="E129" s="55"/>
      <c r="F129" s="35"/>
      <c r="G129" s="55"/>
      <c r="H129" s="55"/>
      <c r="I129" s="56"/>
      <c r="J129" s="55"/>
      <c r="K129" s="55"/>
      <c r="L129" s="55"/>
      <c r="M129" s="57"/>
      <c r="N129" s="58"/>
      <c r="O129" s="92"/>
      <c r="P129" s="72"/>
      <c r="Q129" s="73"/>
      <c r="R129" s="73"/>
      <c r="S129" s="73"/>
    </row>
    <row r="130" spans="1:19" x14ac:dyDescent="0.3">
      <c r="A130" s="94"/>
      <c r="B130" s="35"/>
      <c r="C130" s="55"/>
      <c r="D130" s="55"/>
      <c r="E130" s="55"/>
      <c r="F130" s="35"/>
      <c r="G130" s="55"/>
      <c r="H130" s="55"/>
      <c r="I130" s="56"/>
      <c r="J130" s="55"/>
      <c r="K130" s="55"/>
      <c r="L130" s="55"/>
      <c r="M130" s="57"/>
      <c r="N130" s="58"/>
      <c r="O130" s="92"/>
      <c r="P130" s="72"/>
      <c r="Q130" s="73"/>
      <c r="R130" s="73"/>
      <c r="S130" s="73"/>
    </row>
    <row r="131" spans="1:19" x14ac:dyDescent="0.3">
      <c r="A131" s="94"/>
      <c r="B131" s="35"/>
      <c r="C131" s="55"/>
      <c r="D131" s="55"/>
      <c r="E131" s="55"/>
      <c r="F131" s="35"/>
      <c r="G131" s="55"/>
      <c r="H131" s="55"/>
      <c r="I131" s="56"/>
      <c r="J131" s="55"/>
      <c r="K131" s="55"/>
      <c r="L131" s="55"/>
      <c r="M131" s="57"/>
      <c r="N131" s="58"/>
      <c r="O131" s="92"/>
      <c r="P131" s="72"/>
      <c r="Q131" s="73"/>
      <c r="R131" s="73"/>
      <c r="S131" s="73"/>
    </row>
    <row r="132" spans="1:19" x14ac:dyDescent="0.3">
      <c r="A132" s="94"/>
      <c r="B132" s="35"/>
      <c r="C132" s="55"/>
      <c r="D132" s="55"/>
      <c r="E132" s="55"/>
      <c r="F132" s="35"/>
      <c r="G132" s="55"/>
      <c r="H132" s="55"/>
      <c r="I132" s="56"/>
      <c r="J132" s="55"/>
      <c r="K132" s="55"/>
      <c r="L132" s="55"/>
      <c r="M132" s="57"/>
      <c r="N132" s="58"/>
      <c r="O132" s="92"/>
      <c r="P132" s="72"/>
      <c r="Q132" s="73"/>
      <c r="R132" s="73"/>
      <c r="S132" s="73"/>
    </row>
    <row r="133" spans="1:19" x14ac:dyDescent="0.3">
      <c r="A133" s="94"/>
      <c r="B133" s="35"/>
      <c r="C133" s="55"/>
      <c r="D133" s="55"/>
      <c r="E133" s="55"/>
      <c r="F133" s="35"/>
      <c r="G133" s="55"/>
      <c r="H133" s="55"/>
      <c r="I133" s="56"/>
      <c r="J133" s="55"/>
      <c r="K133" s="55"/>
      <c r="L133" s="55"/>
      <c r="M133" s="57"/>
      <c r="N133" s="58"/>
      <c r="O133" s="92"/>
      <c r="P133" s="72"/>
      <c r="Q133" s="73"/>
      <c r="R133" s="73"/>
      <c r="S133" s="73"/>
    </row>
    <row r="134" spans="1:19" x14ac:dyDescent="0.3">
      <c r="A134" s="94"/>
      <c r="B134" s="35"/>
      <c r="C134" s="55"/>
      <c r="D134" s="55"/>
      <c r="E134" s="55"/>
      <c r="F134" s="35"/>
      <c r="G134" s="55"/>
      <c r="H134" s="55"/>
      <c r="I134" s="56"/>
      <c r="J134" s="55"/>
      <c r="K134" s="55"/>
      <c r="L134" s="55"/>
      <c r="M134" s="57"/>
      <c r="N134" s="58"/>
      <c r="O134" s="92"/>
      <c r="P134" s="72"/>
      <c r="Q134" s="73"/>
      <c r="R134" s="73"/>
      <c r="S134" s="73"/>
    </row>
    <row r="135" spans="1:19" x14ac:dyDescent="0.3">
      <c r="A135" s="94"/>
      <c r="B135" s="35"/>
      <c r="C135" s="55"/>
      <c r="D135" s="55"/>
      <c r="E135" s="55"/>
      <c r="F135" s="35"/>
      <c r="G135" s="55"/>
      <c r="H135" s="55"/>
      <c r="I135" s="56"/>
      <c r="J135" s="55"/>
      <c r="K135" s="55"/>
      <c r="L135" s="55"/>
      <c r="M135" s="57"/>
      <c r="N135" s="58"/>
      <c r="O135" s="92"/>
      <c r="P135" s="72"/>
      <c r="Q135" s="73"/>
      <c r="R135" s="73"/>
      <c r="S135" s="73"/>
    </row>
    <row r="136" spans="1:19" x14ac:dyDescent="0.3">
      <c r="A136" s="94"/>
      <c r="B136" s="35"/>
      <c r="C136" s="55"/>
      <c r="D136" s="55"/>
      <c r="E136" s="55"/>
      <c r="F136" s="35"/>
      <c r="G136" s="55"/>
      <c r="H136" s="55"/>
      <c r="I136" s="56"/>
      <c r="J136" s="55"/>
      <c r="K136" s="55"/>
      <c r="L136" s="55"/>
      <c r="M136" s="57"/>
      <c r="N136" s="58"/>
      <c r="O136" s="92"/>
      <c r="P136" s="72"/>
      <c r="Q136" s="73"/>
      <c r="R136" s="73"/>
      <c r="S136" s="73"/>
    </row>
    <row r="137" spans="1:19" x14ac:dyDescent="0.3">
      <c r="A137" s="94"/>
      <c r="B137" s="35"/>
      <c r="C137" s="55"/>
      <c r="D137" s="55"/>
      <c r="E137" s="55"/>
      <c r="F137" s="35"/>
      <c r="G137" s="55"/>
      <c r="H137" s="55"/>
      <c r="I137" s="56"/>
      <c r="J137" s="55"/>
      <c r="K137" s="55"/>
      <c r="L137" s="55"/>
      <c r="M137" s="57"/>
      <c r="N137" s="58"/>
      <c r="O137" s="92"/>
      <c r="P137" s="72"/>
      <c r="Q137" s="73"/>
      <c r="R137" s="73"/>
      <c r="S137" s="73"/>
    </row>
    <row r="138" spans="1:19" x14ac:dyDescent="0.3">
      <c r="A138" s="94"/>
      <c r="B138" s="35"/>
      <c r="C138" s="55"/>
      <c r="D138" s="55"/>
      <c r="E138" s="55"/>
      <c r="F138" s="35"/>
      <c r="G138" s="55"/>
      <c r="H138" s="55"/>
      <c r="I138" s="56"/>
      <c r="J138" s="55"/>
      <c r="K138" s="55"/>
      <c r="L138" s="55"/>
      <c r="M138" s="57"/>
      <c r="N138" s="58"/>
      <c r="O138" s="92"/>
      <c r="P138" s="72"/>
      <c r="Q138" s="73"/>
      <c r="R138" s="73"/>
      <c r="S138" s="73"/>
    </row>
    <row r="139" spans="1:19" x14ac:dyDescent="0.3">
      <c r="A139" s="94"/>
      <c r="B139" s="35"/>
      <c r="C139" s="55"/>
      <c r="D139" s="55"/>
      <c r="E139" s="55"/>
      <c r="F139" s="35"/>
      <c r="G139" s="55"/>
      <c r="H139" s="55"/>
      <c r="I139" s="56"/>
      <c r="J139" s="55"/>
      <c r="K139" s="55"/>
      <c r="L139" s="55"/>
      <c r="M139" s="57"/>
      <c r="N139" s="58"/>
      <c r="O139" s="92"/>
      <c r="P139" s="72"/>
      <c r="Q139" s="73"/>
      <c r="R139" s="73"/>
      <c r="S139" s="73"/>
    </row>
    <row r="140" spans="1:19" x14ac:dyDescent="0.3">
      <c r="A140" s="94"/>
      <c r="B140" s="35"/>
      <c r="C140" s="55"/>
      <c r="D140" s="55"/>
      <c r="E140" s="55"/>
      <c r="F140" s="35"/>
      <c r="G140" s="55"/>
      <c r="H140" s="55"/>
      <c r="I140" s="56"/>
      <c r="J140" s="55"/>
      <c r="K140" s="55"/>
      <c r="L140" s="55"/>
      <c r="M140" s="57"/>
      <c r="N140" s="58"/>
      <c r="O140" s="92"/>
      <c r="P140" s="72"/>
      <c r="Q140" s="73"/>
      <c r="R140" s="73"/>
      <c r="S140" s="73"/>
    </row>
    <row r="141" spans="1:19" x14ac:dyDescent="0.3">
      <c r="A141" s="94"/>
      <c r="B141" s="35"/>
      <c r="C141" s="55"/>
      <c r="D141" s="55"/>
      <c r="E141" s="55"/>
      <c r="F141" s="35"/>
      <c r="G141" s="55"/>
      <c r="H141" s="55"/>
      <c r="I141" s="56"/>
      <c r="J141" s="55"/>
      <c r="K141" s="55"/>
      <c r="L141" s="55"/>
      <c r="M141" s="57"/>
      <c r="N141" s="58"/>
      <c r="O141" s="92"/>
      <c r="P141" s="72"/>
      <c r="Q141" s="73"/>
      <c r="R141" s="73"/>
      <c r="S141" s="73"/>
    </row>
    <row r="142" spans="1:19" x14ac:dyDescent="0.3">
      <c r="A142" s="94"/>
      <c r="B142" s="35"/>
      <c r="C142" s="55"/>
      <c r="D142" s="55"/>
      <c r="E142" s="55"/>
      <c r="F142" s="35"/>
      <c r="G142" s="55"/>
      <c r="H142" s="55"/>
      <c r="I142" s="56"/>
      <c r="J142" s="55"/>
      <c r="K142" s="55"/>
      <c r="L142" s="55"/>
      <c r="M142" s="57"/>
      <c r="N142" s="58"/>
      <c r="O142" s="92"/>
      <c r="P142" s="72"/>
      <c r="Q142" s="73"/>
      <c r="R142" s="73"/>
      <c r="S142" s="73"/>
    </row>
    <row r="143" spans="1:19" x14ac:dyDescent="0.3">
      <c r="A143" s="94"/>
      <c r="B143" s="35"/>
      <c r="C143" s="55"/>
      <c r="D143" s="55"/>
      <c r="E143" s="55"/>
      <c r="F143" s="35"/>
      <c r="G143" s="55"/>
      <c r="H143" s="55"/>
      <c r="I143" s="56"/>
      <c r="J143" s="55"/>
      <c r="K143" s="55"/>
      <c r="L143" s="55"/>
      <c r="M143" s="57"/>
      <c r="N143" s="58"/>
      <c r="O143" s="92"/>
      <c r="P143" s="72"/>
      <c r="Q143" s="73"/>
      <c r="R143" s="73"/>
      <c r="S143" s="73"/>
    </row>
    <row r="144" spans="1:19" x14ac:dyDescent="0.3">
      <c r="A144" s="94"/>
      <c r="B144" s="35"/>
      <c r="C144" s="55"/>
      <c r="D144" s="55"/>
      <c r="E144" s="55"/>
      <c r="F144" s="35"/>
      <c r="G144" s="55"/>
      <c r="H144" s="55"/>
      <c r="I144" s="56"/>
      <c r="J144" s="55"/>
      <c r="K144" s="55"/>
      <c r="L144" s="55"/>
      <c r="M144" s="57"/>
      <c r="N144" s="58"/>
      <c r="O144" s="92"/>
      <c r="P144" s="72"/>
      <c r="Q144" s="73"/>
      <c r="R144" s="73"/>
      <c r="S144" s="73"/>
    </row>
    <row r="145" spans="1:19" x14ac:dyDescent="0.3">
      <c r="A145" s="94"/>
      <c r="B145" s="35"/>
      <c r="C145" s="55"/>
      <c r="D145" s="55"/>
      <c r="E145" s="55"/>
      <c r="F145" s="35"/>
      <c r="G145" s="55"/>
      <c r="H145" s="55"/>
      <c r="I145" s="56"/>
      <c r="J145" s="55"/>
      <c r="K145" s="55"/>
      <c r="L145" s="55"/>
      <c r="M145" s="57"/>
      <c r="N145" s="58"/>
      <c r="O145" s="92"/>
      <c r="P145" s="72"/>
      <c r="Q145" s="73"/>
      <c r="R145" s="73"/>
      <c r="S145" s="73"/>
    </row>
    <row r="146" spans="1:19" x14ac:dyDescent="0.3">
      <c r="A146" s="94"/>
      <c r="B146" s="35"/>
      <c r="C146" s="55"/>
      <c r="D146" s="55"/>
      <c r="E146" s="55"/>
      <c r="F146" s="35"/>
      <c r="G146" s="55"/>
      <c r="H146" s="55"/>
      <c r="I146" s="56"/>
      <c r="J146" s="55"/>
      <c r="K146" s="55"/>
      <c r="L146" s="55"/>
      <c r="M146" s="57"/>
      <c r="N146" s="58"/>
      <c r="O146" s="92"/>
      <c r="P146" s="72"/>
      <c r="Q146" s="73"/>
      <c r="R146" s="73"/>
      <c r="S146" s="73"/>
    </row>
    <row r="147" spans="1:19" x14ac:dyDescent="0.3">
      <c r="A147" s="94"/>
      <c r="B147" s="35"/>
      <c r="C147" s="55"/>
      <c r="D147" s="55"/>
      <c r="E147" s="55"/>
      <c r="F147" s="35"/>
      <c r="G147" s="55"/>
      <c r="H147" s="55"/>
      <c r="I147" s="56"/>
      <c r="J147" s="55"/>
      <c r="K147" s="55"/>
      <c r="L147" s="55"/>
      <c r="M147" s="57"/>
      <c r="N147" s="58"/>
      <c r="O147" s="92"/>
      <c r="P147" s="72"/>
      <c r="Q147" s="73"/>
      <c r="R147" s="73"/>
      <c r="S147" s="73"/>
    </row>
    <row r="148" spans="1:19" x14ac:dyDescent="0.3">
      <c r="A148" s="94"/>
      <c r="B148" s="35"/>
      <c r="C148" s="55"/>
      <c r="D148" s="55"/>
      <c r="E148" s="55"/>
      <c r="F148" s="35"/>
      <c r="G148" s="55"/>
      <c r="H148" s="55"/>
      <c r="I148" s="56"/>
      <c r="J148" s="55"/>
      <c r="K148" s="55"/>
      <c r="L148" s="55"/>
      <c r="M148" s="57"/>
      <c r="N148" s="58"/>
      <c r="O148" s="92"/>
      <c r="P148" s="72"/>
      <c r="Q148" s="73"/>
      <c r="R148" s="73"/>
      <c r="S148" s="73"/>
    </row>
    <row r="149" spans="1:19" x14ac:dyDescent="0.3">
      <c r="A149" s="94"/>
      <c r="B149" s="35"/>
      <c r="C149" s="55"/>
      <c r="D149" s="55"/>
      <c r="E149" s="55"/>
      <c r="F149" s="35"/>
      <c r="G149" s="55"/>
      <c r="H149" s="55"/>
      <c r="I149" s="56"/>
      <c r="J149" s="55"/>
      <c r="K149" s="55"/>
      <c r="L149" s="55"/>
      <c r="M149" s="57"/>
      <c r="N149" s="58"/>
      <c r="O149" s="92"/>
      <c r="P149" s="72"/>
      <c r="Q149" s="73"/>
      <c r="R149" s="73"/>
      <c r="S149" s="73"/>
    </row>
    <row r="150" spans="1:19" x14ac:dyDescent="0.3">
      <c r="A150" s="94"/>
      <c r="B150" s="35"/>
      <c r="C150" s="55"/>
      <c r="D150" s="55"/>
      <c r="E150" s="55"/>
      <c r="F150" s="35"/>
      <c r="G150" s="55"/>
      <c r="H150" s="55"/>
      <c r="I150" s="56"/>
      <c r="J150" s="55"/>
      <c r="K150" s="55"/>
      <c r="L150" s="55"/>
      <c r="M150" s="57"/>
      <c r="N150" s="58"/>
      <c r="O150" s="92"/>
      <c r="P150" s="72"/>
      <c r="Q150" s="73"/>
      <c r="R150" s="73"/>
      <c r="S150" s="73"/>
    </row>
    <row r="151" spans="1:19" x14ac:dyDescent="0.3">
      <c r="A151" s="94"/>
      <c r="B151" s="35"/>
      <c r="C151" s="55"/>
      <c r="D151" s="55"/>
      <c r="E151" s="55"/>
      <c r="F151" s="35"/>
      <c r="G151" s="55"/>
      <c r="H151" s="55"/>
      <c r="I151" s="56"/>
      <c r="J151" s="55"/>
      <c r="K151" s="55"/>
      <c r="L151" s="55"/>
      <c r="M151" s="57"/>
      <c r="N151" s="58"/>
      <c r="O151" s="92"/>
      <c r="P151" s="72"/>
      <c r="Q151" s="73"/>
      <c r="R151" s="73"/>
      <c r="S151" s="73"/>
    </row>
    <row r="152" spans="1:19" x14ac:dyDescent="0.3">
      <c r="A152" s="94"/>
      <c r="B152" s="35"/>
      <c r="C152" s="55"/>
      <c r="D152" s="55"/>
      <c r="E152" s="55"/>
      <c r="F152" s="35"/>
      <c r="G152" s="55"/>
      <c r="H152" s="55"/>
      <c r="I152" s="56"/>
      <c r="J152" s="55"/>
      <c r="K152" s="55"/>
      <c r="L152" s="55"/>
      <c r="M152" s="57"/>
      <c r="N152" s="58"/>
      <c r="O152" s="92"/>
      <c r="P152" s="72"/>
      <c r="Q152" s="73"/>
      <c r="R152" s="73"/>
      <c r="S152" s="73"/>
    </row>
    <row r="153" spans="1:19" x14ac:dyDescent="0.3">
      <c r="A153" s="94"/>
      <c r="B153" s="35"/>
      <c r="C153" s="55"/>
      <c r="D153" s="55"/>
      <c r="E153" s="55"/>
      <c r="F153" s="35"/>
      <c r="G153" s="55"/>
      <c r="H153" s="55"/>
      <c r="I153" s="56"/>
      <c r="J153" s="55"/>
      <c r="K153" s="55"/>
      <c r="L153" s="55"/>
      <c r="M153" s="57"/>
      <c r="N153" s="58"/>
      <c r="O153" s="92"/>
      <c r="P153" s="72"/>
      <c r="Q153" s="73"/>
      <c r="R153" s="73"/>
      <c r="S153" s="73"/>
    </row>
    <row r="154" spans="1:19" x14ac:dyDescent="0.3">
      <c r="A154" s="94"/>
      <c r="B154" s="35"/>
      <c r="C154" s="55"/>
      <c r="D154" s="55"/>
      <c r="E154" s="55"/>
      <c r="F154" s="35"/>
      <c r="G154" s="55"/>
      <c r="H154" s="55"/>
      <c r="I154" s="56"/>
      <c r="J154" s="55"/>
      <c r="K154" s="55"/>
      <c r="L154" s="55"/>
      <c r="M154" s="57"/>
      <c r="N154" s="58"/>
      <c r="O154" s="92"/>
      <c r="P154" s="72"/>
      <c r="Q154" s="73"/>
      <c r="R154" s="73"/>
      <c r="S154" s="73"/>
    </row>
    <row r="155" spans="1:19" x14ac:dyDescent="0.3">
      <c r="A155" s="94"/>
      <c r="B155" s="35"/>
      <c r="C155" s="55"/>
      <c r="D155" s="55"/>
      <c r="E155" s="55"/>
      <c r="F155" s="35"/>
      <c r="G155" s="55"/>
      <c r="H155" s="55"/>
      <c r="I155" s="56"/>
      <c r="J155" s="55"/>
      <c r="K155" s="55"/>
      <c r="L155" s="55"/>
      <c r="M155" s="57"/>
      <c r="N155" s="58"/>
      <c r="O155" s="92"/>
      <c r="P155" s="72"/>
      <c r="Q155" s="73"/>
      <c r="R155" s="73"/>
      <c r="S155" s="73"/>
    </row>
    <row r="156" spans="1:19" x14ac:dyDescent="0.3">
      <c r="A156" s="94"/>
      <c r="B156" s="35"/>
      <c r="C156" s="55"/>
      <c r="D156" s="55"/>
      <c r="E156" s="55"/>
      <c r="F156" s="35"/>
      <c r="G156" s="55"/>
      <c r="H156" s="55"/>
      <c r="I156" s="56"/>
      <c r="J156" s="55"/>
      <c r="K156" s="55"/>
      <c r="L156" s="55"/>
      <c r="M156" s="57"/>
      <c r="N156" s="58"/>
      <c r="O156" s="92"/>
      <c r="P156" s="72"/>
      <c r="Q156" s="73"/>
      <c r="R156" s="73"/>
      <c r="S156" s="73"/>
    </row>
    <row r="157" spans="1:19" x14ac:dyDescent="0.3">
      <c r="A157" s="94"/>
      <c r="B157" s="35"/>
      <c r="C157" s="55"/>
      <c r="D157" s="55"/>
      <c r="E157" s="55"/>
      <c r="F157" s="35"/>
      <c r="G157" s="55"/>
      <c r="H157" s="55"/>
      <c r="I157" s="56"/>
      <c r="J157" s="55"/>
      <c r="K157" s="55"/>
      <c r="L157" s="55"/>
      <c r="M157" s="57"/>
      <c r="N157" s="58"/>
      <c r="O157" s="92"/>
      <c r="P157" s="72"/>
      <c r="Q157" s="73"/>
      <c r="R157" s="73"/>
      <c r="S157" s="73"/>
    </row>
    <row r="158" spans="1:19" x14ac:dyDescent="0.3">
      <c r="A158" s="94"/>
      <c r="B158" s="35"/>
      <c r="C158" s="55"/>
      <c r="D158" s="55"/>
      <c r="E158" s="55"/>
      <c r="F158" s="35"/>
      <c r="G158" s="55"/>
      <c r="H158" s="55"/>
      <c r="I158" s="56"/>
      <c r="J158" s="55"/>
      <c r="K158" s="55"/>
      <c r="L158" s="55"/>
      <c r="M158" s="57"/>
      <c r="N158" s="58"/>
      <c r="O158" s="92"/>
      <c r="P158" s="72"/>
      <c r="Q158" s="73"/>
      <c r="R158" s="73"/>
      <c r="S158" s="73"/>
    </row>
    <row r="159" spans="1:19" x14ac:dyDescent="0.3">
      <c r="A159" s="94"/>
      <c r="B159" s="35"/>
      <c r="C159" s="55"/>
      <c r="D159" s="55"/>
      <c r="E159" s="55"/>
      <c r="F159" s="35"/>
      <c r="G159" s="55"/>
      <c r="H159" s="55"/>
      <c r="I159" s="56"/>
      <c r="J159" s="55"/>
      <c r="K159" s="55"/>
      <c r="L159" s="55"/>
      <c r="M159" s="57"/>
      <c r="N159" s="58"/>
      <c r="O159" s="92"/>
      <c r="P159" s="72"/>
      <c r="Q159" s="73"/>
      <c r="R159" s="73"/>
      <c r="S159" s="73"/>
    </row>
    <row r="160" spans="1:19" x14ac:dyDescent="0.3">
      <c r="A160" s="94"/>
      <c r="B160" s="35"/>
      <c r="C160" s="55"/>
      <c r="D160" s="55"/>
      <c r="E160" s="55"/>
      <c r="F160" s="35"/>
      <c r="G160" s="55"/>
      <c r="H160" s="55"/>
      <c r="I160" s="56"/>
      <c r="J160" s="55"/>
      <c r="K160" s="55"/>
      <c r="L160" s="55"/>
      <c r="M160" s="57"/>
      <c r="N160" s="58"/>
      <c r="O160" s="92"/>
      <c r="P160" s="72"/>
      <c r="Q160" s="73"/>
      <c r="R160" s="73"/>
      <c r="S160" s="73"/>
    </row>
    <row r="161" spans="1:19" x14ac:dyDescent="0.3">
      <c r="A161" s="94"/>
      <c r="B161" s="35"/>
      <c r="C161" s="55"/>
      <c r="D161" s="55"/>
      <c r="E161" s="55"/>
      <c r="F161" s="35"/>
      <c r="G161" s="55"/>
      <c r="H161" s="55"/>
      <c r="I161" s="56"/>
      <c r="J161" s="55"/>
      <c r="K161" s="55"/>
      <c r="L161" s="55"/>
      <c r="M161" s="57"/>
      <c r="N161" s="58"/>
      <c r="O161" s="92"/>
      <c r="P161" s="72"/>
      <c r="Q161" s="73"/>
      <c r="R161" s="73"/>
      <c r="S161" s="73"/>
    </row>
    <row r="162" spans="1:19" x14ac:dyDescent="0.3">
      <c r="A162" s="94"/>
      <c r="B162" s="35"/>
      <c r="C162" s="55"/>
      <c r="D162" s="55"/>
      <c r="E162" s="55"/>
      <c r="F162" s="35"/>
      <c r="G162" s="55"/>
      <c r="H162" s="55"/>
      <c r="I162" s="56"/>
      <c r="J162" s="55"/>
      <c r="K162" s="55"/>
      <c r="L162" s="55"/>
      <c r="M162" s="57"/>
      <c r="N162" s="58"/>
      <c r="O162" s="92"/>
      <c r="P162" s="72"/>
      <c r="Q162" s="73"/>
      <c r="R162" s="73"/>
      <c r="S162" s="73"/>
    </row>
  </sheetData>
  <autoFilter ref="A2:P26" xr:uid="{B3159661-CA2A-4DB8-97C0-1DB85B0AF508}"/>
  <mergeCells count="159">
    <mergeCell ref="A161:A162"/>
    <mergeCell ref="O161:O162"/>
    <mergeCell ref="A155:A156"/>
    <mergeCell ref="O155:O156"/>
    <mergeCell ref="A157:A158"/>
    <mergeCell ref="O157:O158"/>
    <mergeCell ref="A159:A160"/>
    <mergeCell ref="O159:O160"/>
    <mergeCell ref="A149:A150"/>
    <mergeCell ref="O149:O150"/>
    <mergeCell ref="A151:A152"/>
    <mergeCell ref="O151:O152"/>
    <mergeCell ref="A153:A154"/>
    <mergeCell ref="O153:O154"/>
    <mergeCell ref="A143:A144"/>
    <mergeCell ref="O143:O144"/>
    <mergeCell ref="A145:A146"/>
    <mergeCell ref="O145:O146"/>
    <mergeCell ref="A147:A148"/>
    <mergeCell ref="O147:O148"/>
    <mergeCell ref="A137:A138"/>
    <mergeCell ref="O137:O138"/>
    <mergeCell ref="A139:A140"/>
    <mergeCell ref="O139:O140"/>
    <mergeCell ref="A141:A142"/>
    <mergeCell ref="O141:O142"/>
    <mergeCell ref="A131:A132"/>
    <mergeCell ref="O131:O132"/>
    <mergeCell ref="A133:A134"/>
    <mergeCell ref="O133:O134"/>
    <mergeCell ref="A135:A136"/>
    <mergeCell ref="O135:O136"/>
    <mergeCell ref="A125:A126"/>
    <mergeCell ref="O125:O126"/>
    <mergeCell ref="A127:A128"/>
    <mergeCell ref="O127:O128"/>
    <mergeCell ref="A129:A130"/>
    <mergeCell ref="O129:O130"/>
    <mergeCell ref="A119:A120"/>
    <mergeCell ref="O119:O120"/>
    <mergeCell ref="A121:A122"/>
    <mergeCell ref="O121:O122"/>
    <mergeCell ref="A123:A124"/>
    <mergeCell ref="O123:O124"/>
    <mergeCell ref="A113:A114"/>
    <mergeCell ref="O113:O114"/>
    <mergeCell ref="A115:A116"/>
    <mergeCell ref="O115:O116"/>
    <mergeCell ref="A117:A118"/>
    <mergeCell ref="O117:O118"/>
    <mergeCell ref="A107:A108"/>
    <mergeCell ref="O107:O108"/>
    <mergeCell ref="A109:A110"/>
    <mergeCell ref="O109:O110"/>
    <mergeCell ref="A111:A112"/>
    <mergeCell ref="O111:O112"/>
    <mergeCell ref="A101:A102"/>
    <mergeCell ref="O101:O102"/>
    <mergeCell ref="A103:A104"/>
    <mergeCell ref="O103:O104"/>
    <mergeCell ref="A105:A106"/>
    <mergeCell ref="O105:O106"/>
    <mergeCell ref="A95:A96"/>
    <mergeCell ref="O95:O96"/>
    <mergeCell ref="A97:A98"/>
    <mergeCell ref="O97:O98"/>
    <mergeCell ref="A99:A100"/>
    <mergeCell ref="O99:O100"/>
    <mergeCell ref="A89:A90"/>
    <mergeCell ref="O89:O90"/>
    <mergeCell ref="A91:A92"/>
    <mergeCell ref="O91:O92"/>
    <mergeCell ref="A93:A94"/>
    <mergeCell ref="O93:O94"/>
    <mergeCell ref="A83:A84"/>
    <mergeCell ref="O83:O84"/>
    <mergeCell ref="A85:A86"/>
    <mergeCell ref="O85:O86"/>
    <mergeCell ref="A87:A88"/>
    <mergeCell ref="O87:O88"/>
    <mergeCell ref="A77:A78"/>
    <mergeCell ref="O77:O78"/>
    <mergeCell ref="A79:A80"/>
    <mergeCell ref="O79:O80"/>
    <mergeCell ref="A81:A82"/>
    <mergeCell ref="O81:O82"/>
    <mergeCell ref="A71:A72"/>
    <mergeCell ref="O71:O72"/>
    <mergeCell ref="A73:A74"/>
    <mergeCell ref="O73:O74"/>
    <mergeCell ref="A75:A76"/>
    <mergeCell ref="O75:O76"/>
    <mergeCell ref="A65:A66"/>
    <mergeCell ref="O65:O66"/>
    <mergeCell ref="A67:A68"/>
    <mergeCell ref="O67:O68"/>
    <mergeCell ref="A69:A70"/>
    <mergeCell ref="O69:O70"/>
    <mergeCell ref="A59:A60"/>
    <mergeCell ref="O59:O60"/>
    <mergeCell ref="A61:A62"/>
    <mergeCell ref="O61:O62"/>
    <mergeCell ref="A63:A64"/>
    <mergeCell ref="O63:O64"/>
    <mergeCell ref="A53:A54"/>
    <mergeCell ref="O53:O54"/>
    <mergeCell ref="A55:A56"/>
    <mergeCell ref="O55:O56"/>
    <mergeCell ref="A57:A58"/>
    <mergeCell ref="O57:O58"/>
    <mergeCell ref="A47:A48"/>
    <mergeCell ref="O47:O48"/>
    <mergeCell ref="A49:A50"/>
    <mergeCell ref="O49:O50"/>
    <mergeCell ref="A51:A52"/>
    <mergeCell ref="O51:O52"/>
    <mergeCell ref="A41:A42"/>
    <mergeCell ref="O41:O42"/>
    <mergeCell ref="A43:A44"/>
    <mergeCell ref="O43:O44"/>
    <mergeCell ref="A45:A46"/>
    <mergeCell ref="O45:O46"/>
    <mergeCell ref="A35:A36"/>
    <mergeCell ref="O35:O36"/>
    <mergeCell ref="A37:A38"/>
    <mergeCell ref="O37:O38"/>
    <mergeCell ref="A39:A40"/>
    <mergeCell ref="O39:O40"/>
    <mergeCell ref="A29:A30"/>
    <mergeCell ref="O29:O30"/>
    <mergeCell ref="A31:A32"/>
    <mergeCell ref="O31:O32"/>
    <mergeCell ref="A33:A34"/>
    <mergeCell ref="O33:O34"/>
    <mergeCell ref="A23:A24"/>
    <mergeCell ref="O23:O24"/>
    <mergeCell ref="A25:A26"/>
    <mergeCell ref="O25:O26"/>
    <mergeCell ref="A27:A28"/>
    <mergeCell ref="O27:O28"/>
    <mergeCell ref="A16:A17"/>
    <mergeCell ref="O16:O17"/>
    <mergeCell ref="A18:A19"/>
    <mergeCell ref="O18:O19"/>
    <mergeCell ref="A20:A22"/>
    <mergeCell ref="O20:O22"/>
    <mergeCell ref="C22:G22"/>
    <mergeCell ref="A9:A10"/>
    <mergeCell ref="O9:O10"/>
    <mergeCell ref="A11:A13"/>
    <mergeCell ref="O11:O13"/>
    <mergeCell ref="A14:A15"/>
    <mergeCell ref="O14:O15"/>
    <mergeCell ref="A3:A4"/>
    <mergeCell ref="O3:O4"/>
    <mergeCell ref="A5:A6"/>
    <mergeCell ref="O5:O6"/>
    <mergeCell ref="A7:A8"/>
    <mergeCell ref="O7:O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5375A-47D2-4A35-BEF2-AAAC100556C2}">
  <dimension ref="A1:AE53"/>
  <sheetViews>
    <sheetView zoomScale="93" zoomScaleNormal="9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R34" sqref="R34"/>
    </sheetView>
  </sheetViews>
  <sheetFormatPr defaultRowHeight="14.4" x14ac:dyDescent="0.3"/>
  <cols>
    <col min="1" max="1" width="29.33203125" customWidth="1"/>
    <col min="2" max="2" width="10.5546875" style="2" bestFit="1" customWidth="1"/>
    <col min="3" max="4" width="10" style="2" bestFit="1" customWidth="1"/>
    <col min="5" max="6" width="10.44140625" style="2" bestFit="1" customWidth="1"/>
    <col min="7" max="10" width="11.44140625" style="2" bestFit="1" customWidth="1"/>
    <col min="11" max="17" width="11.44140625" bestFit="1" customWidth="1"/>
    <col min="18" max="26" width="11.44140625" customWidth="1"/>
    <col min="27" max="27" width="21" bestFit="1" customWidth="1"/>
    <col min="28" max="28" width="12.33203125" bestFit="1" customWidth="1"/>
    <col min="29" max="29" width="19.44140625" customWidth="1"/>
    <col min="31" max="31" width="15.33203125" bestFit="1" customWidth="1"/>
  </cols>
  <sheetData>
    <row r="1" spans="1:31" x14ac:dyDescent="0.3">
      <c r="A1" s="6" t="s">
        <v>5</v>
      </c>
      <c r="B1" s="7" t="s">
        <v>74</v>
      </c>
      <c r="C1" s="8">
        <v>44927</v>
      </c>
      <c r="D1" s="8">
        <v>44958</v>
      </c>
      <c r="E1" s="8">
        <v>44986</v>
      </c>
      <c r="F1" s="8">
        <v>45017</v>
      </c>
      <c r="G1" s="8">
        <v>45047</v>
      </c>
      <c r="H1" s="8">
        <v>45078</v>
      </c>
      <c r="I1" s="8">
        <v>45108</v>
      </c>
      <c r="J1" s="8">
        <v>45139</v>
      </c>
      <c r="K1" s="8">
        <v>45170</v>
      </c>
      <c r="L1" s="8">
        <v>45200</v>
      </c>
      <c r="M1" s="8">
        <v>45231</v>
      </c>
      <c r="N1" s="8">
        <v>45261</v>
      </c>
      <c r="O1" s="8">
        <v>45292</v>
      </c>
      <c r="P1" s="8">
        <v>45323</v>
      </c>
      <c r="Q1" s="8">
        <v>45352</v>
      </c>
      <c r="R1" s="8">
        <v>45383</v>
      </c>
      <c r="S1" s="8">
        <v>45413</v>
      </c>
      <c r="T1" s="8">
        <v>45444</v>
      </c>
      <c r="U1" s="8">
        <v>45474</v>
      </c>
      <c r="V1" s="8">
        <v>45505</v>
      </c>
      <c r="W1" s="8">
        <v>45536</v>
      </c>
      <c r="X1" s="8">
        <v>45566</v>
      </c>
      <c r="Y1" s="8">
        <v>45597</v>
      </c>
      <c r="Z1" s="8">
        <v>45627</v>
      </c>
    </row>
    <row r="2" spans="1:31" s="1" customFormat="1" x14ac:dyDescent="0.3">
      <c r="A2" s="3" t="s">
        <v>9</v>
      </c>
      <c r="B2" s="36" t="s">
        <v>75</v>
      </c>
      <c r="C2" s="5">
        <v>0</v>
      </c>
      <c r="D2" s="5">
        <f t="shared" ref="D2" si="0">C31</f>
        <v>1016.8</v>
      </c>
      <c r="E2" s="5">
        <f>D31</f>
        <v>1309.17</v>
      </c>
      <c r="F2" s="5">
        <f>E31</f>
        <v>2318.33</v>
      </c>
      <c r="G2" s="5">
        <f>F31</f>
        <v>3808.03</v>
      </c>
      <c r="H2" s="5">
        <f>G31</f>
        <v>5536.06</v>
      </c>
      <c r="I2" s="5">
        <f>H31</f>
        <v>6600.13</v>
      </c>
      <c r="J2" s="5">
        <f t="shared" ref="J2:Z2" si="1">I31</f>
        <v>9493.9699999999993</v>
      </c>
      <c r="K2" s="5">
        <f t="shared" si="1"/>
        <v>14334.349999999999</v>
      </c>
      <c r="L2" s="5">
        <f t="shared" si="1"/>
        <v>16258.72</v>
      </c>
      <c r="M2" s="5">
        <f t="shared" si="1"/>
        <v>20211.219999999998</v>
      </c>
      <c r="N2" s="5">
        <f t="shared" si="1"/>
        <v>11023.119999999999</v>
      </c>
      <c r="O2" s="5">
        <f t="shared" si="1"/>
        <v>15333.910000000002</v>
      </c>
      <c r="P2" s="5">
        <f t="shared" si="1"/>
        <v>8656.5300000000025</v>
      </c>
      <c r="Q2" s="5">
        <f t="shared" si="1"/>
        <v>12916.810000000003</v>
      </c>
      <c r="R2" s="5">
        <f t="shared" si="1"/>
        <v>14228.350000000002</v>
      </c>
      <c r="S2" s="5">
        <f t="shared" si="1"/>
        <v>13141.740000000003</v>
      </c>
      <c r="T2" s="5">
        <f t="shared" si="1"/>
        <v>13141.740000000003</v>
      </c>
      <c r="U2" s="5">
        <f t="shared" si="1"/>
        <v>13141.740000000003</v>
      </c>
      <c r="V2" s="5">
        <f t="shared" si="1"/>
        <v>13141.740000000003</v>
      </c>
      <c r="W2" s="5">
        <f t="shared" si="1"/>
        <v>13141.740000000003</v>
      </c>
      <c r="X2" s="5">
        <f t="shared" si="1"/>
        <v>13141.740000000003</v>
      </c>
      <c r="Y2" s="5">
        <f t="shared" si="1"/>
        <v>13141.740000000003</v>
      </c>
      <c r="Z2" s="5">
        <f t="shared" si="1"/>
        <v>13141.740000000003</v>
      </c>
      <c r="AA2" s="1" t="s">
        <v>118</v>
      </c>
      <c r="AB2" s="40" t="s">
        <v>6</v>
      </c>
      <c r="AC2" s="40" t="s">
        <v>146</v>
      </c>
      <c r="AD2" s="40" t="s">
        <v>0</v>
      </c>
      <c r="AE2" s="40" t="s">
        <v>148</v>
      </c>
    </row>
    <row r="3" spans="1:31" x14ac:dyDescent="0.3">
      <c r="A3" s="13" t="s">
        <v>59</v>
      </c>
      <c r="B3" s="36">
        <f>SUM(C3:Q3)</f>
        <v>27.259999999999998</v>
      </c>
      <c r="C3" s="29"/>
      <c r="D3" s="29"/>
      <c r="E3" s="29"/>
      <c r="F3" s="29">
        <v>7.2</v>
      </c>
      <c r="G3" s="29">
        <v>15.54</v>
      </c>
      <c r="H3" s="29"/>
      <c r="I3" s="29"/>
      <c r="J3" s="29"/>
      <c r="K3" s="29"/>
      <c r="L3" s="29"/>
      <c r="M3" s="29">
        <f>4.52</f>
        <v>4.5199999999999996</v>
      </c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t="s">
        <v>138</v>
      </c>
      <c r="AB3" s="35" t="s">
        <v>150</v>
      </c>
      <c r="AC3" s="35" t="s">
        <v>151</v>
      </c>
      <c r="AD3" s="35">
        <f>150+26.72</f>
        <v>176.72</v>
      </c>
      <c r="AE3" s="35" t="s">
        <v>153</v>
      </c>
    </row>
    <row r="4" spans="1:31" x14ac:dyDescent="0.3">
      <c r="A4" s="13" t="s">
        <v>58</v>
      </c>
      <c r="B4" s="36">
        <f t="shared" ref="B4:B29" si="2">SUM(C4:Q4)</f>
        <v>191.09</v>
      </c>
      <c r="C4" s="29"/>
      <c r="D4" s="29"/>
      <c r="E4" s="29"/>
      <c r="F4" s="29"/>
      <c r="G4" s="29"/>
      <c r="H4" s="29"/>
      <c r="I4" s="29">
        <v>40.85</v>
      </c>
      <c r="J4" s="29">
        <f>1.68</f>
        <v>1.68</v>
      </c>
      <c r="K4" s="29">
        <f>5.09+5.89+1.87</f>
        <v>12.850000000000001</v>
      </c>
      <c r="L4" s="29">
        <f>4.99+14.37+8.57+1.85+6+1.93+1.82+1.85+6.55</f>
        <v>47.93</v>
      </c>
      <c r="M4" s="29">
        <f>6.55+8.55</f>
        <v>15.100000000000001</v>
      </c>
      <c r="N4" s="29"/>
      <c r="O4" s="29">
        <f>1.13</f>
        <v>1.1299999999999999</v>
      </c>
      <c r="P4" s="29">
        <f>0.92+1.03+8.88+6.89+9.99+19.33-16.99</f>
        <v>30.05</v>
      </c>
      <c r="Q4" s="29">
        <f>29.97+11.53</f>
        <v>41.5</v>
      </c>
      <c r="R4" s="29"/>
      <c r="S4" s="29"/>
      <c r="T4" s="29"/>
      <c r="U4" s="29"/>
      <c r="V4" s="29"/>
      <c r="W4" s="29"/>
      <c r="X4" s="29"/>
      <c r="Y4" s="29"/>
      <c r="Z4" s="29"/>
      <c r="AA4" s="77"/>
      <c r="AB4" s="35" t="s">
        <v>147</v>
      </c>
      <c r="AC4" s="35" t="s">
        <v>152</v>
      </c>
      <c r="AD4" s="35">
        <v>1400</v>
      </c>
      <c r="AE4" s="35" t="s">
        <v>149</v>
      </c>
    </row>
    <row r="5" spans="1:31" x14ac:dyDescent="0.3">
      <c r="A5" s="13" t="s">
        <v>110</v>
      </c>
      <c r="B5" s="36">
        <f t="shared" si="2"/>
        <v>644.31000000000006</v>
      </c>
      <c r="C5" s="29"/>
      <c r="D5" s="29"/>
      <c r="E5" s="29"/>
      <c r="F5" s="29"/>
      <c r="G5" s="29">
        <f>6+4.45+120+5</f>
        <v>135.44999999999999</v>
      </c>
      <c r="H5" s="29">
        <f>22+5+13.78+16+30</f>
        <v>86.78</v>
      </c>
      <c r="I5" s="29">
        <f>164+15.8</f>
        <v>179.8</v>
      </c>
      <c r="J5" s="29"/>
      <c r="K5" s="29">
        <f>4+29.85</f>
        <v>33.85</v>
      </c>
      <c r="L5" s="29"/>
      <c r="M5" s="29"/>
      <c r="N5" s="29">
        <f>32.7+9+10.51+19.96</f>
        <v>72.17</v>
      </c>
      <c r="O5" s="29">
        <v>26.68</v>
      </c>
      <c r="P5" s="29"/>
      <c r="Q5" s="29">
        <f>17.1+10.15+14.35+14.34+16+20.17+17.47</f>
        <v>109.58</v>
      </c>
      <c r="R5" s="29">
        <f>9.49+8.28+2.1+5.65</f>
        <v>25.520000000000003</v>
      </c>
      <c r="S5" s="29"/>
      <c r="T5" s="29"/>
      <c r="U5" s="29"/>
      <c r="V5" s="29"/>
      <c r="W5" s="29"/>
      <c r="X5" s="29"/>
      <c r="Y5" s="29"/>
      <c r="Z5" s="29"/>
      <c r="AB5" s="35"/>
      <c r="AC5" s="35"/>
      <c r="AD5" s="35"/>
      <c r="AE5" s="35"/>
    </row>
    <row r="6" spans="1:31" x14ac:dyDescent="0.3">
      <c r="A6" s="13" t="s">
        <v>49</v>
      </c>
      <c r="B6" s="36">
        <f t="shared" si="2"/>
        <v>924.41</v>
      </c>
      <c r="C6" s="29"/>
      <c r="D6" s="29">
        <v>5</v>
      </c>
      <c r="E6" s="29">
        <v>15.04</v>
      </c>
      <c r="F6" s="29">
        <f>10.88+18.99</f>
        <v>29.869999999999997</v>
      </c>
      <c r="G6" s="29"/>
      <c r="H6" s="29">
        <f>13.78+1</f>
        <v>14.78</v>
      </c>
      <c r="I6" s="29">
        <f>20+2.5+2.8+3.4+54.7</f>
        <v>83.4</v>
      </c>
      <c r="J6" s="29">
        <f>21.5+20+6+3.29+1.12+12.64+9+5+5.99+1.2</f>
        <v>85.74</v>
      </c>
      <c r="K6" s="29">
        <f>51+1+3</f>
        <v>55</v>
      </c>
      <c r="L6" s="29">
        <f>7.32+29.86+3.35+30.09+5.63+72.55+34.97+6.08</f>
        <v>189.85000000000002</v>
      </c>
      <c r="M6" s="29">
        <f>34.97+13.15+10.59+14.24</f>
        <v>72.949999999999989</v>
      </c>
      <c r="N6" s="29">
        <f>34.06+9.58+5.06+2.5+4.79+7.99+32.7+6.89</f>
        <v>103.57000000000001</v>
      </c>
      <c r="O6" s="29">
        <f>50+10</f>
        <v>60</v>
      </c>
      <c r="P6" s="29">
        <f>10+12.36+37.9+14.66+27.14</f>
        <v>102.06</v>
      </c>
      <c r="Q6" s="29">
        <f>14.62+3+31.55+57.98</f>
        <v>107.15</v>
      </c>
      <c r="R6" s="29"/>
      <c r="S6" s="29"/>
      <c r="T6" s="29"/>
      <c r="U6" s="29"/>
      <c r="V6" s="29"/>
      <c r="W6" s="29"/>
      <c r="X6" s="29"/>
      <c r="Y6" s="29"/>
      <c r="Z6" s="29"/>
    </row>
    <row r="7" spans="1:31" x14ac:dyDescent="0.3">
      <c r="A7" s="13" t="s">
        <v>50</v>
      </c>
      <c r="B7" s="36">
        <f t="shared" si="2"/>
        <v>146.6</v>
      </c>
      <c r="C7" s="29"/>
      <c r="D7" s="29"/>
      <c r="E7" s="29"/>
      <c r="F7" s="29">
        <f>22.17</f>
        <v>22.17</v>
      </c>
      <c r="G7" s="29"/>
      <c r="H7" s="29">
        <v>22.8</v>
      </c>
      <c r="I7" s="29">
        <v>46.8</v>
      </c>
      <c r="J7" s="29"/>
      <c r="K7" s="29"/>
      <c r="L7" s="29"/>
      <c r="M7" s="29">
        <v>43.86</v>
      </c>
      <c r="N7" s="29"/>
      <c r="O7" s="29"/>
      <c r="P7" s="29">
        <v>10.97</v>
      </c>
      <c r="Q7" s="29"/>
      <c r="R7" s="29">
        <f>33.02+17.78+1.88</f>
        <v>52.680000000000007</v>
      </c>
      <c r="S7" s="29"/>
      <c r="T7" s="29"/>
      <c r="U7" s="29"/>
      <c r="V7" s="29"/>
      <c r="W7" s="29"/>
      <c r="X7" s="29"/>
      <c r="Y7" s="29"/>
      <c r="Z7" s="29"/>
    </row>
    <row r="8" spans="1:31" x14ac:dyDescent="0.3">
      <c r="A8" s="13" t="s">
        <v>120</v>
      </c>
      <c r="B8" s="36">
        <f t="shared" si="2"/>
        <v>178.04</v>
      </c>
      <c r="C8" s="29">
        <v>63</v>
      </c>
      <c r="D8" s="29"/>
      <c r="E8" s="29"/>
      <c r="F8" s="29"/>
      <c r="G8" s="29"/>
      <c r="H8" s="29">
        <v>21.47</v>
      </c>
      <c r="I8" s="29"/>
      <c r="J8" s="29"/>
      <c r="K8" s="29"/>
      <c r="L8" s="29"/>
      <c r="M8" s="29">
        <f>2.49+11.98+18.53+16.3</f>
        <v>49.3</v>
      </c>
      <c r="N8" s="29"/>
      <c r="O8" s="29">
        <f>18.71</f>
        <v>18.71</v>
      </c>
      <c r="P8" s="29">
        <f>10.98+14.58</f>
        <v>25.560000000000002</v>
      </c>
      <c r="Q8" s="29"/>
      <c r="R8" s="29">
        <v>20.49</v>
      </c>
      <c r="S8" s="29"/>
      <c r="T8" s="29"/>
      <c r="U8" s="29"/>
      <c r="V8" s="29"/>
      <c r="W8" s="29"/>
      <c r="X8" s="29"/>
      <c r="Y8" s="29"/>
      <c r="Z8" s="29"/>
    </row>
    <row r="9" spans="1:31" x14ac:dyDescent="0.3">
      <c r="A9" s="13" t="s">
        <v>51</v>
      </c>
      <c r="B9" s="36">
        <f t="shared" si="2"/>
        <v>610.31999999999994</v>
      </c>
      <c r="C9" s="29">
        <v>10.199999999999999</v>
      </c>
      <c r="D9" s="29"/>
      <c r="E9" s="29"/>
      <c r="F9" s="29"/>
      <c r="G9" s="29">
        <f>89.72+9.85</f>
        <v>99.57</v>
      </c>
      <c r="H9" s="29">
        <f>28.42+11.95+87.96</f>
        <v>128.32999999999998</v>
      </c>
      <c r="I9" s="29">
        <f>40</f>
        <v>40</v>
      </c>
      <c r="J9" s="29">
        <f>7.18</f>
        <v>7.18</v>
      </c>
      <c r="K9" s="29">
        <f>58.82+1.4+17.76+11.51+14.34+2.69+4.98</f>
        <v>111.50000000000001</v>
      </c>
      <c r="L9" s="29">
        <f>4.98+4.98+4.44</f>
        <v>14.400000000000002</v>
      </c>
      <c r="M9" s="29">
        <f>6.94+5.36+19.18</f>
        <v>31.48</v>
      </c>
      <c r="N9" s="29">
        <f>1.29+12.22+2.97+4+7.74</f>
        <v>28.22</v>
      </c>
      <c r="O9" s="29">
        <f>3.28+0.98+8+9.02</f>
        <v>21.28</v>
      </c>
      <c r="P9" s="29">
        <f>4.44+1.41+4.04</f>
        <v>9.89</v>
      </c>
      <c r="Q9" s="29">
        <f>1.2+15.27+7.72+52.21+8.13+6.75+3.28+13.71</f>
        <v>108.27000000000001</v>
      </c>
      <c r="R9" s="29">
        <f>2.97+5.62</f>
        <v>8.59</v>
      </c>
      <c r="S9" s="29"/>
      <c r="T9" s="29"/>
      <c r="U9" s="29"/>
      <c r="V9" s="29"/>
      <c r="W9" s="29"/>
      <c r="X9" s="29"/>
      <c r="Y9" s="29"/>
      <c r="Z9" s="29"/>
    </row>
    <row r="10" spans="1:31" x14ac:dyDescent="0.3">
      <c r="A10" s="65" t="s">
        <v>48</v>
      </c>
      <c r="B10" s="66">
        <f>SUM(C10:Q10)</f>
        <v>9250</v>
      </c>
      <c r="C10" s="67">
        <v>-375</v>
      </c>
      <c r="D10" s="67">
        <v>-375</v>
      </c>
      <c r="E10" s="67">
        <v>400</v>
      </c>
      <c r="F10" s="67">
        <v>800</v>
      </c>
      <c r="G10" s="67">
        <v>800</v>
      </c>
      <c r="H10" s="67">
        <v>800</v>
      </c>
      <c r="I10" s="67">
        <v>800</v>
      </c>
      <c r="J10" s="67">
        <v>800</v>
      </c>
      <c r="K10" s="67">
        <v>800</v>
      </c>
      <c r="L10" s="67">
        <v>0</v>
      </c>
      <c r="M10" s="67">
        <v>1600</v>
      </c>
      <c r="N10" s="67">
        <v>800</v>
      </c>
      <c r="O10" s="67">
        <v>800</v>
      </c>
      <c r="P10" s="67">
        <v>800</v>
      </c>
      <c r="Q10" s="67">
        <v>800</v>
      </c>
      <c r="R10" s="67">
        <v>800</v>
      </c>
      <c r="S10" s="67"/>
      <c r="T10" s="67"/>
      <c r="U10" s="67"/>
      <c r="V10" s="67"/>
      <c r="W10" s="67"/>
      <c r="X10" s="67"/>
      <c r="Y10" s="67"/>
      <c r="Z10" s="67"/>
    </row>
    <row r="11" spans="1:31" x14ac:dyDescent="0.3">
      <c r="A11" s="27" t="s">
        <v>52</v>
      </c>
      <c r="B11" s="42">
        <f t="shared" si="2"/>
        <v>699.2</v>
      </c>
      <c r="C11" s="30">
        <v>35</v>
      </c>
      <c r="D11" s="30">
        <v>37.630000000000003</v>
      </c>
      <c r="E11" s="30">
        <v>35.76</v>
      </c>
      <c r="F11" s="30">
        <v>33.9</v>
      </c>
      <c r="G11" s="30">
        <v>33.9</v>
      </c>
      <c r="H11" s="30">
        <v>33.9</v>
      </c>
      <c r="I11" s="30">
        <v>33.9</v>
      </c>
      <c r="J11" s="30">
        <v>33.9</v>
      </c>
      <c r="K11" s="30">
        <v>33.9</v>
      </c>
      <c r="L11" s="30">
        <v>33.9</v>
      </c>
      <c r="M11" s="30">
        <f>18.07+38.42</f>
        <v>56.49</v>
      </c>
      <c r="N11" s="30">
        <f>64.27+18.07</f>
        <v>82.34</v>
      </c>
      <c r="O11" s="30">
        <f>89.27+18.07</f>
        <v>107.34</v>
      </c>
      <c r="P11" s="30">
        <f>89.27+18.07</f>
        <v>107.34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31" x14ac:dyDescent="0.3">
      <c r="A12" s="27" t="s">
        <v>57</v>
      </c>
      <c r="B12" s="42">
        <f t="shared" si="2"/>
        <v>10661.95</v>
      </c>
      <c r="C12" s="30"/>
      <c r="D12" s="30"/>
      <c r="E12" s="30"/>
      <c r="F12" s="30"/>
      <c r="G12" s="30"/>
      <c r="H12" s="30">
        <f>6.15+14.3+7.92</f>
        <v>28.370000000000005</v>
      </c>
      <c r="I12" s="30">
        <f>3+5</f>
        <v>8</v>
      </c>
      <c r="J12" s="30">
        <f>3.25+5</f>
        <v>8.25</v>
      </c>
      <c r="K12" s="30">
        <f>5+1503.95</f>
        <v>1508.95</v>
      </c>
      <c r="L12" s="30">
        <f>3.3+25.58+6.5</f>
        <v>35.379999999999995</v>
      </c>
      <c r="M12" s="30">
        <f>9060+6.5</f>
        <v>9066.5</v>
      </c>
      <c r="N12" s="30"/>
      <c r="O12" s="30"/>
      <c r="P12" s="30"/>
      <c r="Q12" s="30">
        <v>6.5</v>
      </c>
      <c r="R12" s="30"/>
      <c r="S12" s="30"/>
      <c r="T12" s="30"/>
      <c r="U12" s="30"/>
      <c r="V12" s="30"/>
      <c r="W12" s="30"/>
      <c r="X12" s="30"/>
      <c r="Y12" s="30"/>
      <c r="Z12" s="30"/>
      <c r="AC12" s="39" t="s">
        <v>139</v>
      </c>
    </row>
    <row r="13" spans="1:31" x14ac:dyDescent="0.3">
      <c r="A13" s="27" t="s">
        <v>55</v>
      </c>
      <c r="B13" s="42">
        <f t="shared" si="2"/>
        <v>1092.75</v>
      </c>
      <c r="C13" s="30">
        <f>20+30</f>
        <v>50</v>
      </c>
      <c r="D13" s="30">
        <f>20+20</f>
        <v>40</v>
      </c>
      <c r="E13" s="30">
        <f>10+10+20+50</f>
        <v>90</v>
      </c>
      <c r="F13" s="30">
        <f>20+20</f>
        <v>40</v>
      </c>
      <c r="G13" s="30">
        <f>20+60</f>
        <v>80</v>
      </c>
      <c r="H13" s="30">
        <v>70</v>
      </c>
      <c r="I13" s="30">
        <v>70</v>
      </c>
      <c r="J13" s="30">
        <v>95</v>
      </c>
      <c r="K13" s="30"/>
      <c r="L13" s="30">
        <f>50+128.15</f>
        <v>178.15</v>
      </c>
      <c r="M13" s="30">
        <v>128.15</v>
      </c>
      <c r="N13" s="30">
        <f>3.3</f>
        <v>3.3</v>
      </c>
      <c r="O13" s="30">
        <v>128.15</v>
      </c>
      <c r="P13" s="30">
        <f>20+20+20</f>
        <v>60</v>
      </c>
      <c r="Q13" s="30">
        <f>20+20+20</f>
        <v>60</v>
      </c>
      <c r="R13" s="30">
        <f>2.3+9.4+20+20</f>
        <v>51.7</v>
      </c>
      <c r="S13" s="30"/>
      <c r="T13" s="30"/>
      <c r="U13" s="30"/>
      <c r="V13" s="30"/>
      <c r="W13" s="30"/>
      <c r="X13" s="30"/>
      <c r="Y13" s="30"/>
      <c r="Z13" s="30"/>
      <c r="AC13" s="35" t="s">
        <v>140</v>
      </c>
    </row>
    <row r="14" spans="1:31" x14ac:dyDescent="0.3">
      <c r="A14" s="28" t="s">
        <v>53</v>
      </c>
      <c r="B14" s="43">
        <f t="shared" si="2"/>
        <v>545.3900000000001</v>
      </c>
      <c r="C14" s="33"/>
      <c r="D14" s="33"/>
      <c r="E14" s="33"/>
      <c r="F14" s="33">
        <v>50</v>
      </c>
      <c r="G14" s="33">
        <v>40</v>
      </c>
      <c r="H14" s="33">
        <v>40</v>
      </c>
      <c r="I14" s="33">
        <v>40</v>
      </c>
      <c r="J14" s="33">
        <v>40</v>
      </c>
      <c r="K14" s="33">
        <v>40</v>
      </c>
      <c r="L14" s="33">
        <v>40</v>
      </c>
      <c r="M14" s="33">
        <f>40+15.81</f>
        <v>55.81</v>
      </c>
      <c r="N14" s="33">
        <f>31.22+15.81</f>
        <v>47.03</v>
      </c>
      <c r="O14" s="33">
        <v>50.85</v>
      </c>
      <c r="P14" s="33">
        <v>50.85</v>
      </c>
      <c r="Q14" s="33">
        <v>50.85</v>
      </c>
      <c r="R14" s="33">
        <v>28.25</v>
      </c>
      <c r="S14" s="33"/>
      <c r="T14" s="33"/>
      <c r="U14" s="33"/>
      <c r="V14" s="33"/>
      <c r="W14" s="33"/>
      <c r="X14" s="33"/>
      <c r="Y14" s="33"/>
      <c r="Z14" s="33"/>
      <c r="AC14" s="35" t="s">
        <v>141</v>
      </c>
    </row>
    <row r="15" spans="1:31" x14ac:dyDescent="0.3">
      <c r="A15" s="28" t="s">
        <v>56</v>
      </c>
      <c r="B15" s="43">
        <f t="shared" si="2"/>
        <v>1658.3</v>
      </c>
      <c r="C15" s="33"/>
      <c r="D15" s="33"/>
      <c r="E15" s="33"/>
      <c r="F15" s="33"/>
      <c r="G15" s="33"/>
      <c r="H15" s="33">
        <v>20.100000000000001</v>
      </c>
      <c r="I15" s="33">
        <f>10+30+50+100+4+106</f>
        <v>300</v>
      </c>
      <c r="J15" s="33">
        <v>16</v>
      </c>
      <c r="K15" s="33">
        <f>92</f>
        <v>92</v>
      </c>
      <c r="L15" s="33">
        <f>365+3.4</f>
        <v>368.4</v>
      </c>
      <c r="M15" s="33">
        <f>131.04</f>
        <v>131.04</v>
      </c>
      <c r="N15" s="33">
        <f>11.19+39.54+503.31</f>
        <v>554.04</v>
      </c>
      <c r="O15" s="33"/>
      <c r="P15" s="33"/>
      <c r="Q15" s="33">
        <f>150+26.72</f>
        <v>176.72</v>
      </c>
      <c r="R15" s="33">
        <f>90.38+60+228.88</f>
        <v>379.26</v>
      </c>
      <c r="S15" s="33"/>
      <c r="T15" s="33"/>
      <c r="U15" s="33"/>
      <c r="V15" s="33"/>
      <c r="W15" s="33"/>
      <c r="X15" s="33"/>
      <c r="Y15" s="33"/>
      <c r="Z15" s="33"/>
      <c r="AC15" s="35" t="s">
        <v>142</v>
      </c>
    </row>
    <row r="16" spans="1:31" x14ac:dyDescent="0.3">
      <c r="A16" s="28" t="s">
        <v>54</v>
      </c>
      <c r="B16" s="43">
        <f t="shared" si="2"/>
        <v>916.3</v>
      </c>
      <c r="C16" s="33"/>
      <c r="D16" s="33"/>
      <c r="E16" s="33"/>
      <c r="F16" s="33">
        <v>26</v>
      </c>
      <c r="G16" s="33">
        <v>60</v>
      </c>
      <c r="H16" s="33"/>
      <c r="I16" s="33">
        <v>70</v>
      </c>
      <c r="J16" s="33">
        <v>60</v>
      </c>
      <c r="K16" s="33">
        <v>100</v>
      </c>
      <c r="L16" s="33">
        <f>50+10+50+50</f>
        <v>160</v>
      </c>
      <c r="M16" s="33">
        <v>50</v>
      </c>
      <c r="N16" s="33">
        <f>53.3+97</f>
        <v>150.30000000000001</v>
      </c>
      <c r="O16" s="33">
        <v>30</v>
      </c>
      <c r="P16" s="33">
        <f>30+30+30</f>
        <v>90</v>
      </c>
      <c r="Q16" s="33">
        <f>30+30+30+30</f>
        <v>120</v>
      </c>
      <c r="R16" s="33">
        <f>30+30</f>
        <v>60</v>
      </c>
      <c r="S16" s="33"/>
      <c r="T16" s="33"/>
      <c r="U16" s="33"/>
      <c r="V16" s="33"/>
      <c r="W16" s="33"/>
      <c r="X16" s="33"/>
      <c r="Y16" s="33"/>
      <c r="Z16" s="33"/>
      <c r="AC16" s="35" t="s">
        <v>154</v>
      </c>
    </row>
    <row r="17" spans="1:29" x14ac:dyDescent="0.3">
      <c r="A17" s="31" t="s">
        <v>65</v>
      </c>
      <c r="B17" s="36">
        <f t="shared" si="2"/>
        <v>65.08</v>
      </c>
      <c r="C17" s="29"/>
      <c r="D17" s="29"/>
      <c r="E17" s="29"/>
      <c r="F17" s="29">
        <f>55-33</f>
        <v>22</v>
      </c>
      <c r="G17" s="29"/>
      <c r="H17" s="29"/>
      <c r="I17" s="29"/>
      <c r="J17" s="29">
        <v>25</v>
      </c>
      <c r="K17" s="29"/>
      <c r="L17" s="29"/>
      <c r="M17" s="29"/>
      <c r="N17" s="29"/>
      <c r="O17" s="29"/>
      <c r="P17" s="29">
        <v>18.079999999999998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C17" s="35" t="s">
        <v>143</v>
      </c>
    </row>
    <row r="18" spans="1:29" x14ac:dyDescent="0.3">
      <c r="A18" s="13" t="s">
        <v>7</v>
      </c>
      <c r="B18" s="36">
        <f t="shared" si="2"/>
        <v>723.46</v>
      </c>
      <c r="C18" s="29"/>
      <c r="D18" s="29"/>
      <c r="E18" s="29"/>
      <c r="F18" s="29">
        <v>30</v>
      </c>
      <c r="G18" s="29">
        <f>20.5+61.01+2+20+7.5</f>
        <v>111.00999999999999</v>
      </c>
      <c r="H18" s="29">
        <f>10+14.3-14.3+7.92-3.92</f>
        <v>14.000000000000002</v>
      </c>
      <c r="I18" s="29">
        <f>69+33.9+21+11</f>
        <v>134.9</v>
      </c>
      <c r="J18" s="29">
        <f>60+14+3+7</f>
        <v>84</v>
      </c>
      <c r="K18" s="29">
        <f>39.55</f>
        <v>39.549999999999997</v>
      </c>
      <c r="M18" s="29">
        <f>310</f>
        <v>310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C18" s="35" t="s">
        <v>144</v>
      </c>
    </row>
    <row r="19" spans="1:29" x14ac:dyDescent="0.3">
      <c r="A19" s="13" t="s">
        <v>66</v>
      </c>
      <c r="B19" s="36">
        <f>SUM(C19:R19)</f>
        <v>7156.72</v>
      </c>
      <c r="C19" s="29"/>
      <c r="D19" s="29"/>
      <c r="E19" s="29"/>
      <c r="F19" s="29"/>
      <c r="G19" s="29"/>
      <c r="H19" s="29">
        <f>1280+1000</f>
        <v>2280</v>
      </c>
      <c r="I19" s="29"/>
      <c r="J19" s="29"/>
      <c r="K19" s="29"/>
      <c r="L19" s="29"/>
      <c r="M19" s="29">
        <v>2500</v>
      </c>
      <c r="N19" s="78">
        <v>400</v>
      </c>
      <c r="O19" s="78">
        <v>400</v>
      </c>
      <c r="P19" s="29"/>
      <c r="Q19" s="78">
        <f>150+26.72</f>
        <v>176.72</v>
      </c>
      <c r="R19" s="78">
        <v>1400</v>
      </c>
      <c r="S19" s="29"/>
      <c r="T19" s="29"/>
      <c r="U19" s="29"/>
      <c r="V19" s="29"/>
      <c r="W19" s="29"/>
      <c r="X19" s="29"/>
      <c r="Y19" s="29"/>
      <c r="Z19" s="29"/>
      <c r="AC19" s="35" t="s">
        <v>145</v>
      </c>
    </row>
    <row r="20" spans="1:29" x14ac:dyDescent="0.3">
      <c r="A20" s="31" t="s">
        <v>76</v>
      </c>
      <c r="B20" s="36">
        <f>SUM(C20:Q20)</f>
        <v>-750</v>
      </c>
      <c r="C20" s="29"/>
      <c r="D20" s="29"/>
      <c r="E20" s="29"/>
      <c r="F20" s="29"/>
      <c r="G20" s="29"/>
      <c r="H20" s="51">
        <f>-250-500</f>
        <v>-750</v>
      </c>
      <c r="I20" s="29"/>
      <c r="J20" s="29"/>
      <c r="K20" s="29"/>
      <c r="L20" s="29"/>
      <c r="M20" s="29"/>
      <c r="N20" s="29"/>
      <c r="O20" s="29"/>
      <c r="Q20" s="29"/>
      <c r="R20" s="29">
        <f>-5.54-9.74</f>
        <v>-15.280000000000001</v>
      </c>
      <c r="S20" s="29"/>
      <c r="T20" s="29"/>
      <c r="U20" s="29"/>
      <c r="V20" s="29"/>
      <c r="W20" s="29"/>
      <c r="X20" s="29"/>
      <c r="Y20" s="29"/>
      <c r="Z20" s="29"/>
    </row>
    <row r="21" spans="1:29" x14ac:dyDescent="0.3">
      <c r="A21" s="31" t="s">
        <v>117</v>
      </c>
      <c r="B21" s="36">
        <f t="shared" si="2"/>
        <v>10955.99</v>
      </c>
      <c r="C21" s="29"/>
      <c r="D21" s="29"/>
      <c r="E21" s="29"/>
      <c r="F21" s="29"/>
      <c r="G21" s="29"/>
      <c r="H21" s="29"/>
      <c r="I21" s="29"/>
      <c r="J21" s="29"/>
      <c r="K21" s="29"/>
      <c r="L21" s="29">
        <f>218.64+63.94</f>
        <v>282.58</v>
      </c>
      <c r="M21" s="29">
        <f>33.9+97.7+10.2+54.87+33.9+38.5+48.78+62.97</f>
        <v>380.82000000000005</v>
      </c>
      <c r="N21" s="29">
        <f>7.74+126.89+75.71+93.18-28.12-20+11.19</f>
        <v>266.58999999999997</v>
      </c>
      <c r="O21" s="29">
        <f>3548-800+7252</f>
        <v>10000</v>
      </c>
      <c r="P21" s="29"/>
      <c r="Q21" s="29">
        <v>26</v>
      </c>
      <c r="R21" s="29"/>
      <c r="S21" s="29"/>
      <c r="T21" s="29"/>
      <c r="U21" s="29"/>
      <c r="V21" s="29"/>
      <c r="W21" s="29"/>
      <c r="X21" s="29"/>
      <c r="Y21" s="29"/>
      <c r="Z21" s="29"/>
    </row>
    <row r="22" spans="1:29" x14ac:dyDescent="0.3">
      <c r="A22" s="31"/>
      <c r="B22" s="36">
        <f>SUM(C22:Q22)</f>
        <v>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9" x14ac:dyDescent="0.3">
      <c r="A23" s="17" t="s">
        <v>3</v>
      </c>
      <c r="B23" s="32">
        <f>SUM(C23:Q23)</f>
        <v>44297.170000000006</v>
      </c>
      <c r="C23" s="32">
        <f t="shared" ref="C23:P23" si="3">SUM(C3:C22)</f>
        <v>-216.8</v>
      </c>
      <c r="D23" s="32">
        <f t="shared" si="3"/>
        <v>-292.37</v>
      </c>
      <c r="E23" s="32">
        <f t="shared" si="3"/>
        <v>540.79999999999995</v>
      </c>
      <c r="F23" s="32">
        <f t="shared" si="3"/>
        <v>1061.1399999999999</v>
      </c>
      <c r="G23" s="32">
        <f t="shared" si="3"/>
        <v>1375.47</v>
      </c>
      <c r="H23" s="32">
        <f t="shared" si="3"/>
        <v>2810.5299999999997</v>
      </c>
      <c r="I23" s="32">
        <f t="shared" si="3"/>
        <v>1847.65</v>
      </c>
      <c r="J23" s="32">
        <f t="shared" si="3"/>
        <v>1256.75</v>
      </c>
      <c r="K23" s="32">
        <f t="shared" si="3"/>
        <v>2827.6000000000004</v>
      </c>
      <c r="L23" s="32">
        <f t="shared" si="3"/>
        <v>1350.59</v>
      </c>
      <c r="M23" s="32">
        <f t="shared" si="3"/>
        <v>14496.02</v>
      </c>
      <c r="N23" s="32">
        <f t="shared" si="3"/>
        <v>2507.56</v>
      </c>
      <c r="O23" s="32">
        <f t="shared" si="3"/>
        <v>11644.14</v>
      </c>
      <c r="P23" s="32">
        <f t="shared" si="3"/>
        <v>1304.7999999999997</v>
      </c>
      <c r="Q23" s="32">
        <f>SUM(Q3:Q22)</f>
        <v>1783.29</v>
      </c>
      <c r="R23" s="32">
        <f>SUM(R3:R22)</f>
        <v>2811.2099999999996</v>
      </c>
      <c r="S23" s="32">
        <f t="shared" ref="S23:Z23" si="4">SUM(S3:S22)</f>
        <v>0</v>
      </c>
      <c r="T23" s="32">
        <f t="shared" si="4"/>
        <v>0</v>
      </c>
      <c r="U23" s="32">
        <f t="shared" si="4"/>
        <v>0</v>
      </c>
      <c r="V23" s="32">
        <f t="shared" si="4"/>
        <v>0</v>
      </c>
      <c r="W23" s="32">
        <f t="shared" si="4"/>
        <v>0</v>
      </c>
      <c r="X23" s="32">
        <f t="shared" si="4"/>
        <v>0</v>
      </c>
      <c r="Y23" s="32">
        <f t="shared" si="4"/>
        <v>0</v>
      </c>
      <c r="Z23" s="32">
        <f t="shared" si="4"/>
        <v>0</v>
      </c>
    </row>
    <row r="24" spans="1:29" x14ac:dyDescent="0.3">
      <c r="A24" s="19" t="s">
        <v>62</v>
      </c>
      <c r="B24" s="44">
        <f t="shared" si="2"/>
        <v>9839.92</v>
      </c>
      <c r="C24" s="34"/>
      <c r="D24" s="34"/>
      <c r="E24" s="34">
        <v>675</v>
      </c>
      <c r="F24" s="34">
        <v>1265</v>
      </c>
      <c r="G24" s="34">
        <f>785+10.5</f>
        <v>795.5</v>
      </c>
      <c r="H24" s="34">
        <v>1085</v>
      </c>
      <c r="I24" s="34">
        <v>490</v>
      </c>
      <c r="J24" s="34">
        <v>1450</v>
      </c>
      <c r="K24" s="34">
        <v>900</v>
      </c>
      <c r="L24" s="34">
        <v>1306</v>
      </c>
      <c r="M24" s="34">
        <f>632</f>
        <v>632</v>
      </c>
      <c r="N24" s="34">
        <f>453+28.12</f>
        <v>481.12</v>
      </c>
      <c r="O24" s="34">
        <v>760.3</v>
      </c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9" x14ac:dyDescent="0.3">
      <c r="A25" s="19" t="s">
        <v>63</v>
      </c>
      <c r="B25" s="44">
        <f t="shared" si="2"/>
        <v>5405.2</v>
      </c>
      <c r="C25" s="34"/>
      <c r="D25" s="34"/>
      <c r="E25" s="34"/>
      <c r="F25" s="34"/>
      <c r="G25" s="34"/>
      <c r="H25" s="34"/>
      <c r="I25" s="34">
        <v>1040</v>
      </c>
      <c r="J25" s="34"/>
      <c r="K25" s="34"/>
      <c r="L25" s="34">
        <f>160.96+336.87</f>
        <v>497.83000000000004</v>
      </c>
      <c r="M25" s="34">
        <f>37+24+677.41+528.06+310</f>
        <v>1576.4699999999998</v>
      </c>
      <c r="N25" s="34">
        <f>27.6+24.8+20+833.84+894.99</f>
        <v>1801.23</v>
      </c>
      <c r="O25" s="34">
        <v>489.67</v>
      </c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9" x14ac:dyDescent="0.3">
      <c r="A26" s="19" t="s">
        <v>68</v>
      </c>
      <c r="B26" s="44">
        <f t="shared" si="2"/>
        <v>3612.96</v>
      </c>
      <c r="C26" s="34">
        <v>800</v>
      </c>
      <c r="D26" s="34"/>
      <c r="E26" s="34">
        <v>874.96</v>
      </c>
      <c r="F26" s="34"/>
      <c r="G26" s="34"/>
      <c r="H26" s="34"/>
      <c r="I26" s="34">
        <v>150</v>
      </c>
      <c r="J26" s="34"/>
      <c r="K26" s="34">
        <v>150</v>
      </c>
      <c r="L26" s="34"/>
      <c r="M26" s="34"/>
      <c r="N26" s="34"/>
      <c r="O26" s="34">
        <v>581.25</v>
      </c>
      <c r="P26" s="34">
        <f>549.75+507</f>
        <v>1056.75</v>
      </c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9" x14ac:dyDescent="0.3">
      <c r="A27" s="19" t="s">
        <v>60</v>
      </c>
      <c r="B27" s="44">
        <f t="shared" si="2"/>
        <v>22227.14</v>
      </c>
      <c r="C27" s="34"/>
      <c r="D27" s="34"/>
      <c r="E27" s="34"/>
      <c r="F27" s="34">
        <v>1085.8399999999999</v>
      </c>
      <c r="G27" s="34">
        <f>1101.52+1206.48</f>
        <v>2308</v>
      </c>
      <c r="H27" s="34">
        <f>1176.68+1612.92</f>
        <v>2789.6000000000004</v>
      </c>
      <c r="I27" s="34">
        <f>1476.49+1435</f>
        <v>2911.49</v>
      </c>
      <c r="J27" s="34">
        <v>1540.52</v>
      </c>
      <c r="K27" s="34">
        <v>1750</v>
      </c>
      <c r="L27" s="34">
        <v>2029.96</v>
      </c>
      <c r="M27" s="34">
        <v>1557.87</v>
      </c>
      <c r="N27" s="34">
        <v>1489.82</v>
      </c>
      <c r="O27" s="34">
        <v>1644.58</v>
      </c>
      <c r="P27" s="34">
        <v>1562.36</v>
      </c>
      <c r="Q27" s="34">
        <v>1557.1</v>
      </c>
      <c r="R27" s="34">
        <v>1724.6</v>
      </c>
      <c r="S27" s="34"/>
      <c r="T27" s="34"/>
      <c r="U27" s="34"/>
      <c r="V27" s="34"/>
      <c r="W27" s="34"/>
      <c r="X27" s="34"/>
      <c r="Y27" s="34"/>
      <c r="Z27" s="34"/>
    </row>
    <row r="28" spans="1:29" x14ac:dyDescent="0.3">
      <c r="A28" s="19" t="s">
        <v>61</v>
      </c>
      <c r="B28" s="44">
        <f t="shared" si="2"/>
        <v>13033.57</v>
      </c>
      <c r="C28" s="34"/>
      <c r="D28" s="34"/>
      <c r="E28" s="34"/>
      <c r="F28" s="34"/>
      <c r="G28" s="34"/>
      <c r="H28" s="34"/>
      <c r="I28" s="34"/>
      <c r="J28" s="34">
        <v>1400.08</v>
      </c>
      <c r="K28" s="34">
        <v>1951.97</v>
      </c>
      <c r="L28" s="34">
        <v>1469.3</v>
      </c>
      <c r="M28" s="34">
        <v>1541.58</v>
      </c>
      <c r="N28" s="34">
        <v>1976.43</v>
      </c>
      <c r="O28" s="34">
        <v>1452.42</v>
      </c>
      <c r="P28" s="34">
        <v>1704.06</v>
      </c>
      <c r="Q28" s="34">
        <v>1537.73</v>
      </c>
      <c r="R28" s="34"/>
      <c r="S28" s="34"/>
      <c r="T28" s="34"/>
      <c r="U28" s="34"/>
      <c r="V28" s="34"/>
      <c r="W28" s="34"/>
      <c r="X28" s="34"/>
      <c r="Y28" s="34"/>
      <c r="Z28" s="34"/>
    </row>
    <row r="29" spans="1:29" x14ac:dyDescent="0.3">
      <c r="A29" s="19" t="s">
        <v>67</v>
      </c>
      <c r="B29" s="44">
        <f t="shared" si="2"/>
        <v>4406.7299999999996</v>
      </c>
      <c r="C29" s="34"/>
      <c r="D29" s="34"/>
      <c r="E29" s="34"/>
      <c r="F29" s="34">
        <v>200</v>
      </c>
      <c r="G29" s="34"/>
      <c r="H29" s="34"/>
      <c r="I29" s="34">
        <v>150</v>
      </c>
      <c r="J29" s="34">
        <v>1706.53</v>
      </c>
      <c r="K29" s="34"/>
      <c r="L29" s="34"/>
      <c r="M29" s="34"/>
      <c r="N29" s="34">
        <v>1069.75</v>
      </c>
      <c r="O29" s="34">
        <f>33.8+4.74</f>
        <v>38.54</v>
      </c>
      <c r="P29" s="34">
        <v>1241.9100000000001</v>
      </c>
      <c r="Q29" s="34"/>
      <c r="R29" s="34"/>
      <c r="S29" s="34"/>
      <c r="T29" s="34"/>
      <c r="U29" s="34"/>
      <c r="V29" s="34"/>
      <c r="W29" s="34"/>
      <c r="X29" s="34"/>
      <c r="Y29" s="34"/>
      <c r="Z29" s="34"/>
      <c r="AC29" s="1"/>
    </row>
    <row r="30" spans="1:29" s="1" customFormat="1" x14ac:dyDescent="0.3">
      <c r="A30" s="17" t="s">
        <v>4</v>
      </c>
      <c r="B30" s="32">
        <f>SUM(C30:Q30)</f>
        <v>58525.520000000004</v>
      </c>
      <c r="C30" s="32">
        <f t="shared" ref="C30:Z30" si="5">SUM(C24:C29)</f>
        <v>800</v>
      </c>
      <c r="D30" s="32">
        <f t="shared" si="5"/>
        <v>0</v>
      </c>
      <c r="E30" s="32">
        <f t="shared" si="5"/>
        <v>1549.96</v>
      </c>
      <c r="F30" s="32">
        <f t="shared" si="5"/>
        <v>2550.84</v>
      </c>
      <c r="G30" s="32">
        <f t="shared" si="5"/>
        <v>3103.5</v>
      </c>
      <c r="H30" s="32">
        <f t="shared" si="5"/>
        <v>3874.6000000000004</v>
      </c>
      <c r="I30" s="32">
        <f t="shared" si="5"/>
        <v>4741.49</v>
      </c>
      <c r="J30" s="32">
        <f t="shared" si="5"/>
        <v>6097.13</v>
      </c>
      <c r="K30" s="32">
        <f t="shared" si="5"/>
        <v>4751.97</v>
      </c>
      <c r="L30" s="32">
        <f t="shared" si="5"/>
        <v>5303.09</v>
      </c>
      <c r="M30" s="32">
        <f t="shared" si="5"/>
        <v>5307.92</v>
      </c>
      <c r="N30" s="32">
        <f>SUM(N24:N29)</f>
        <v>6818.35</v>
      </c>
      <c r="O30" s="32">
        <f t="shared" si="5"/>
        <v>4966.76</v>
      </c>
      <c r="P30" s="32">
        <f t="shared" si="5"/>
        <v>5565.08</v>
      </c>
      <c r="Q30" s="32">
        <f t="shared" si="5"/>
        <v>3094.83</v>
      </c>
      <c r="R30" s="32">
        <f t="shared" si="5"/>
        <v>1724.6</v>
      </c>
      <c r="S30" s="32">
        <f t="shared" si="5"/>
        <v>0</v>
      </c>
      <c r="T30" s="32">
        <f t="shared" si="5"/>
        <v>0</v>
      </c>
      <c r="U30" s="32">
        <f t="shared" si="5"/>
        <v>0</v>
      </c>
      <c r="V30" s="32">
        <f t="shared" si="5"/>
        <v>0</v>
      </c>
      <c r="W30" s="32">
        <f t="shared" si="5"/>
        <v>0</v>
      </c>
      <c r="X30" s="32">
        <f t="shared" si="5"/>
        <v>0</v>
      </c>
      <c r="Y30" s="32">
        <f t="shared" si="5"/>
        <v>0</v>
      </c>
      <c r="Z30" s="32">
        <f t="shared" si="5"/>
        <v>0</v>
      </c>
      <c r="AC30"/>
    </row>
    <row r="31" spans="1:29" x14ac:dyDescent="0.3">
      <c r="A31" s="9" t="s">
        <v>1</v>
      </c>
      <c r="B31" s="12">
        <f>B30-B23</f>
        <v>14228.349999999999</v>
      </c>
      <c r="C31" s="12">
        <f t="shared" ref="C31:Z31" si="6">C2+C30-C23</f>
        <v>1016.8</v>
      </c>
      <c r="D31" s="12">
        <f t="shared" si="6"/>
        <v>1309.17</v>
      </c>
      <c r="E31" s="12">
        <f t="shared" si="6"/>
        <v>2318.33</v>
      </c>
      <c r="F31" s="12">
        <f t="shared" si="6"/>
        <v>3808.03</v>
      </c>
      <c r="G31" s="12">
        <f t="shared" si="6"/>
        <v>5536.06</v>
      </c>
      <c r="H31" s="12">
        <f t="shared" si="6"/>
        <v>6600.13</v>
      </c>
      <c r="I31" s="12">
        <f t="shared" si="6"/>
        <v>9493.9699999999993</v>
      </c>
      <c r="J31" s="12">
        <f t="shared" si="6"/>
        <v>14334.349999999999</v>
      </c>
      <c r="K31" s="12">
        <f t="shared" si="6"/>
        <v>16258.72</v>
      </c>
      <c r="L31" s="12">
        <f t="shared" si="6"/>
        <v>20211.219999999998</v>
      </c>
      <c r="M31" s="12">
        <f t="shared" si="6"/>
        <v>11023.119999999999</v>
      </c>
      <c r="N31" s="12">
        <f t="shared" si="6"/>
        <v>15333.910000000002</v>
      </c>
      <c r="O31" s="12">
        <f t="shared" si="6"/>
        <v>8656.5300000000025</v>
      </c>
      <c r="P31" s="12">
        <f t="shared" si="6"/>
        <v>12916.810000000003</v>
      </c>
      <c r="Q31" s="12">
        <f t="shared" si="6"/>
        <v>14228.350000000002</v>
      </c>
      <c r="R31" s="12">
        <f t="shared" si="6"/>
        <v>13141.740000000003</v>
      </c>
      <c r="S31" s="12">
        <f t="shared" si="6"/>
        <v>13141.740000000003</v>
      </c>
      <c r="T31" s="12">
        <f t="shared" si="6"/>
        <v>13141.740000000003</v>
      </c>
      <c r="U31" s="12">
        <f t="shared" si="6"/>
        <v>13141.740000000003</v>
      </c>
      <c r="V31" s="12">
        <f t="shared" si="6"/>
        <v>13141.740000000003</v>
      </c>
      <c r="W31" s="12">
        <f t="shared" si="6"/>
        <v>13141.740000000003</v>
      </c>
      <c r="X31" s="12">
        <f t="shared" si="6"/>
        <v>13141.740000000003</v>
      </c>
      <c r="Y31" s="12">
        <f t="shared" si="6"/>
        <v>13141.740000000003</v>
      </c>
      <c r="Z31" s="12">
        <f t="shared" si="6"/>
        <v>13141.740000000003</v>
      </c>
    </row>
    <row r="33" spans="1:26" x14ac:dyDescent="0.3">
      <c r="A33" s="35" t="s">
        <v>64</v>
      </c>
      <c r="B33" s="36">
        <f>SUM(C33:Q33)</f>
        <v>8140.3700000000017</v>
      </c>
      <c r="C33" s="29">
        <f>2000+673.93</f>
        <v>2673.93</v>
      </c>
      <c r="D33" s="29">
        <f>673.93+75</f>
        <v>748.93</v>
      </c>
      <c r="E33" s="29">
        <v>673.93</v>
      </c>
      <c r="F33" s="29">
        <v>673.93</v>
      </c>
      <c r="G33" s="29">
        <v>673.93</v>
      </c>
      <c r="H33" s="29">
        <v>673.93</v>
      </c>
      <c r="I33" s="29">
        <v>673.93</v>
      </c>
      <c r="J33" s="29">
        <v>673.93</v>
      </c>
      <c r="K33" s="29">
        <v>673.93</v>
      </c>
      <c r="L33" s="29"/>
      <c r="M33" s="29"/>
      <c r="N33" s="29"/>
      <c r="O33" s="29"/>
      <c r="P33" s="29"/>
      <c r="Q33" s="29"/>
      <c r="R33" s="76"/>
      <c r="S33" s="76"/>
      <c r="T33" s="76"/>
      <c r="U33" s="76"/>
      <c r="V33" s="76"/>
      <c r="W33" s="76"/>
      <c r="X33" s="76"/>
      <c r="Y33" s="76"/>
      <c r="Z33" s="76"/>
    </row>
    <row r="34" spans="1:26" x14ac:dyDescent="0.3">
      <c r="A34" s="35" t="s">
        <v>109</v>
      </c>
      <c r="B34" s="64"/>
      <c r="C34" s="68">
        <f t="shared" ref="C34:Z34" si="7">SUM(C3:C9)</f>
        <v>73.2</v>
      </c>
      <c r="D34" s="68">
        <f t="shared" si="7"/>
        <v>5</v>
      </c>
      <c r="E34" s="68">
        <f t="shared" si="7"/>
        <v>15.04</v>
      </c>
      <c r="F34" s="68">
        <f t="shared" si="7"/>
        <v>59.24</v>
      </c>
      <c r="G34" s="68">
        <f>SUM(G3:G9)</f>
        <v>250.55999999999997</v>
      </c>
      <c r="H34" s="68">
        <f t="shared" si="7"/>
        <v>274.15999999999997</v>
      </c>
      <c r="I34" s="68">
        <f t="shared" si="7"/>
        <v>390.85</v>
      </c>
      <c r="J34" s="68">
        <f t="shared" si="7"/>
        <v>94.6</v>
      </c>
      <c r="K34" s="68">
        <f>SUM(K3:K9)</f>
        <v>213.20000000000002</v>
      </c>
      <c r="L34" s="68">
        <f t="shared" si="7"/>
        <v>252.18000000000004</v>
      </c>
      <c r="M34" s="68">
        <f t="shared" si="7"/>
        <v>217.21</v>
      </c>
      <c r="N34" s="68">
        <f>SUM(N3:N9)</f>
        <v>203.96</v>
      </c>
      <c r="O34" s="68">
        <f t="shared" si="7"/>
        <v>127.80000000000001</v>
      </c>
      <c r="P34" s="68">
        <f t="shared" si="7"/>
        <v>178.53000000000003</v>
      </c>
      <c r="Q34" s="68">
        <f>SUM(Q3:Q9)</f>
        <v>366.5</v>
      </c>
      <c r="R34" s="68">
        <f t="shared" si="7"/>
        <v>107.28000000000002</v>
      </c>
      <c r="S34" s="68">
        <f t="shared" si="7"/>
        <v>0</v>
      </c>
      <c r="T34" s="68">
        <f t="shared" si="7"/>
        <v>0</v>
      </c>
      <c r="U34" s="68">
        <f t="shared" si="7"/>
        <v>0</v>
      </c>
      <c r="V34" s="68">
        <f t="shared" si="7"/>
        <v>0</v>
      </c>
      <c r="W34" s="68">
        <f t="shared" si="7"/>
        <v>0</v>
      </c>
      <c r="X34" s="68">
        <f t="shared" si="7"/>
        <v>0</v>
      </c>
      <c r="Y34" s="68">
        <f t="shared" si="7"/>
        <v>0</v>
      </c>
      <c r="Z34" s="68">
        <f t="shared" si="7"/>
        <v>0</v>
      </c>
    </row>
    <row r="37" spans="1:26" x14ac:dyDescent="0.3">
      <c r="A37" s="37" t="s">
        <v>69</v>
      </c>
      <c r="B37" s="37" t="s">
        <v>73</v>
      </c>
      <c r="C37" s="37" t="s">
        <v>70</v>
      </c>
      <c r="D37" s="37" t="s">
        <v>71</v>
      </c>
    </row>
    <row r="38" spans="1:26" x14ac:dyDescent="0.3">
      <c r="A38" s="38">
        <v>44927</v>
      </c>
      <c r="B38" s="41">
        <f>C30</f>
        <v>800</v>
      </c>
      <c r="C38" s="41">
        <f>C23</f>
        <v>-216.8</v>
      </c>
      <c r="D38" s="35">
        <f>B38-C38</f>
        <v>1016.8</v>
      </c>
    </row>
    <row r="39" spans="1:26" x14ac:dyDescent="0.3">
      <c r="A39" s="38">
        <v>44958</v>
      </c>
      <c r="B39" s="41">
        <f>D30</f>
        <v>0</v>
      </c>
      <c r="C39" s="41">
        <f>D23</f>
        <v>-292.37</v>
      </c>
      <c r="D39" s="35">
        <f t="shared" ref="D39:D52" si="8">B39-C39</f>
        <v>292.37</v>
      </c>
    </row>
    <row r="40" spans="1:26" x14ac:dyDescent="0.3">
      <c r="A40" s="38">
        <v>44986</v>
      </c>
      <c r="B40" s="41">
        <f>E30</f>
        <v>1549.96</v>
      </c>
      <c r="C40" s="41">
        <f>E23</f>
        <v>540.79999999999995</v>
      </c>
      <c r="D40" s="35">
        <f t="shared" si="8"/>
        <v>1009.1600000000001</v>
      </c>
    </row>
    <row r="41" spans="1:26" x14ac:dyDescent="0.3">
      <c r="A41" s="38">
        <v>45017</v>
      </c>
      <c r="B41" s="41">
        <f>F30</f>
        <v>2550.84</v>
      </c>
      <c r="C41" s="41">
        <f>F23</f>
        <v>1061.1399999999999</v>
      </c>
      <c r="D41" s="35">
        <f t="shared" si="8"/>
        <v>1489.7000000000003</v>
      </c>
    </row>
    <row r="42" spans="1:26" x14ac:dyDescent="0.3">
      <c r="A42" s="38">
        <v>45047</v>
      </c>
      <c r="B42" s="41">
        <f>G30</f>
        <v>3103.5</v>
      </c>
      <c r="C42" s="41">
        <f>G23</f>
        <v>1375.47</v>
      </c>
      <c r="D42" s="35">
        <f t="shared" si="8"/>
        <v>1728.03</v>
      </c>
    </row>
    <row r="43" spans="1:26" x14ac:dyDescent="0.3">
      <c r="A43" s="38">
        <v>45078</v>
      </c>
      <c r="B43" s="41">
        <f>H30</f>
        <v>3874.6000000000004</v>
      </c>
      <c r="C43" s="41">
        <f>H23</f>
        <v>2810.5299999999997</v>
      </c>
      <c r="D43" s="35">
        <f t="shared" si="8"/>
        <v>1064.0700000000006</v>
      </c>
    </row>
    <row r="44" spans="1:26" x14ac:dyDescent="0.3">
      <c r="A44" s="38">
        <v>45108</v>
      </c>
      <c r="B44" s="41">
        <f>I30</f>
        <v>4741.49</v>
      </c>
      <c r="C44" s="41">
        <f>I23</f>
        <v>1847.65</v>
      </c>
      <c r="D44" s="35">
        <f t="shared" si="8"/>
        <v>2893.8399999999997</v>
      </c>
    </row>
    <row r="45" spans="1:26" x14ac:dyDescent="0.3">
      <c r="A45" s="38">
        <v>45139</v>
      </c>
      <c r="B45" s="41">
        <f>J30</f>
        <v>6097.13</v>
      </c>
      <c r="C45" s="41">
        <f>J23</f>
        <v>1256.75</v>
      </c>
      <c r="D45" s="35">
        <f t="shared" si="8"/>
        <v>4840.38</v>
      </c>
    </row>
    <row r="46" spans="1:26" x14ac:dyDescent="0.3">
      <c r="A46" s="38">
        <v>45170</v>
      </c>
      <c r="B46" s="41">
        <f>K30</f>
        <v>4751.97</v>
      </c>
      <c r="C46" s="41">
        <f>K23</f>
        <v>2827.6000000000004</v>
      </c>
      <c r="D46" s="35">
        <f t="shared" si="8"/>
        <v>1924.37</v>
      </c>
    </row>
    <row r="47" spans="1:26" x14ac:dyDescent="0.3">
      <c r="A47" s="38">
        <v>45200</v>
      </c>
      <c r="B47" s="41">
        <f>L30</f>
        <v>5303.09</v>
      </c>
      <c r="C47" s="41">
        <f>L23</f>
        <v>1350.59</v>
      </c>
      <c r="D47" s="35">
        <f t="shared" si="8"/>
        <v>3952.5</v>
      </c>
    </row>
    <row r="48" spans="1:26" x14ac:dyDescent="0.3">
      <c r="A48" s="38">
        <v>45231</v>
      </c>
      <c r="B48" s="41">
        <f>M30</f>
        <v>5307.92</v>
      </c>
      <c r="C48" s="41">
        <f>M23</f>
        <v>14496.02</v>
      </c>
      <c r="D48" s="35">
        <f t="shared" si="8"/>
        <v>-9188.1</v>
      </c>
    </row>
    <row r="49" spans="1:4" x14ac:dyDescent="0.3">
      <c r="A49" s="38">
        <v>45261</v>
      </c>
      <c r="B49" s="41">
        <f>N30</f>
        <v>6818.35</v>
      </c>
      <c r="C49" s="41">
        <f>N23</f>
        <v>2507.56</v>
      </c>
      <c r="D49" s="35">
        <f t="shared" si="8"/>
        <v>4310.7900000000009</v>
      </c>
    </row>
    <row r="50" spans="1:4" x14ac:dyDescent="0.3">
      <c r="A50" s="38">
        <v>45292</v>
      </c>
      <c r="B50" s="41">
        <f>O30</f>
        <v>4966.76</v>
      </c>
      <c r="C50" s="41">
        <f>O23</f>
        <v>11644.14</v>
      </c>
      <c r="D50" s="35">
        <f t="shared" si="8"/>
        <v>-6677.3799999999992</v>
      </c>
    </row>
    <row r="51" spans="1:4" x14ac:dyDescent="0.3">
      <c r="A51" s="38">
        <v>45323</v>
      </c>
      <c r="B51" s="41">
        <f>P30</f>
        <v>5565.08</v>
      </c>
      <c r="C51" s="41">
        <f>P23</f>
        <v>1304.7999999999997</v>
      </c>
      <c r="D51" s="35">
        <f t="shared" si="8"/>
        <v>4260.2800000000007</v>
      </c>
    </row>
    <row r="52" spans="1:4" x14ac:dyDescent="0.3">
      <c r="A52" s="38">
        <v>45352</v>
      </c>
      <c r="B52" s="41">
        <f>Q30</f>
        <v>3094.83</v>
      </c>
      <c r="C52" s="41">
        <f>Q23</f>
        <v>1783.29</v>
      </c>
      <c r="D52" s="35">
        <f t="shared" si="8"/>
        <v>1311.54</v>
      </c>
    </row>
    <row r="53" spans="1:4" x14ac:dyDescent="0.3">
      <c r="A53" s="39" t="s">
        <v>72</v>
      </c>
      <c r="B53" s="40">
        <f>SUM(B38:B52)</f>
        <v>58525.520000000004</v>
      </c>
      <c r="C53" s="40">
        <f>SUM(C38:C52)</f>
        <v>44297.170000000006</v>
      </c>
      <c r="D53" s="40">
        <f>B53-C53</f>
        <v>14228.349999999999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1C21-A6B4-4009-A64C-AA2A706C45E2}">
  <dimension ref="A1:S162"/>
  <sheetViews>
    <sheetView topLeftCell="A9" workbookViewId="0">
      <selection activeCell="B16" sqref="B16"/>
    </sheetView>
  </sheetViews>
  <sheetFormatPr defaultRowHeight="14.4" x14ac:dyDescent="0.3"/>
  <cols>
    <col min="2" max="2" width="10.5546875" bestFit="1" customWidth="1"/>
    <col min="3" max="3" width="8.88671875" style="50"/>
    <col min="4" max="4" width="11.109375" style="50" bestFit="1" customWidth="1"/>
    <col min="5" max="5" width="8.88671875" style="50"/>
    <col min="7" max="7" width="8.88671875" style="50"/>
    <col min="8" max="8" width="11.109375" style="50" bestFit="1" customWidth="1"/>
    <col min="9" max="9" width="11.109375" style="50" customWidth="1"/>
    <col min="10" max="10" width="10.44140625" style="50" bestFit="1" customWidth="1"/>
    <col min="11" max="15" width="8.88671875" style="50"/>
    <col min="18" max="18" width="12" bestFit="1" customWidth="1"/>
    <col min="19" max="19" width="14.6640625" bestFit="1" customWidth="1"/>
  </cols>
  <sheetData>
    <row r="1" spans="1:19" s="45" customFormat="1" ht="20.399999999999999" customHeight="1" x14ac:dyDescent="0.3">
      <c r="D1" s="46">
        <f>SUBTOTAL(9,D3:D1048576)</f>
        <v>1446</v>
      </c>
      <c r="F1" s="46">
        <f>SUBTOTAL(9,F3:F1048576)</f>
        <v>266.85000000000002</v>
      </c>
      <c r="H1" s="46">
        <f t="shared" ref="H1:N1" si="0">SUBTOTAL(9,H3:H1048576)</f>
        <v>40</v>
      </c>
      <c r="I1" s="47">
        <f t="shared" si="0"/>
        <v>36308.925000000003</v>
      </c>
      <c r="J1" s="46">
        <f t="shared" si="0"/>
        <v>5130.1800000000012</v>
      </c>
      <c r="K1" s="46">
        <f t="shared" si="0"/>
        <v>591.83000000000004</v>
      </c>
      <c r="L1" s="46">
        <f t="shared" si="0"/>
        <v>2008.1900000000003</v>
      </c>
      <c r="M1" s="48">
        <f t="shared" si="0"/>
        <v>7730.2000000000007</v>
      </c>
      <c r="N1" s="49">
        <f t="shared" si="0"/>
        <v>28578.724999999999</v>
      </c>
      <c r="Q1" s="46">
        <f>SUBTOTAL(9,Q3:Q1048576)</f>
        <v>1831.0100000000002</v>
      </c>
      <c r="R1" s="69" t="s">
        <v>113</v>
      </c>
      <c r="S1" s="69" t="s">
        <v>114</v>
      </c>
    </row>
    <row r="2" spans="1:19" x14ac:dyDescent="0.3">
      <c r="A2" s="39" t="s">
        <v>69</v>
      </c>
      <c r="B2" s="39" t="s">
        <v>6</v>
      </c>
      <c r="C2" s="39" t="s">
        <v>99</v>
      </c>
      <c r="D2" s="39" t="s">
        <v>77</v>
      </c>
      <c r="E2" s="39" t="s">
        <v>99</v>
      </c>
      <c r="F2" s="39" t="s">
        <v>78</v>
      </c>
      <c r="G2" s="39" t="s">
        <v>99</v>
      </c>
      <c r="H2" s="39" t="s">
        <v>79</v>
      </c>
      <c r="I2" s="52" t="s">
        <v>89</v>
      </c>
      <c r="J2" s="39" t="s">
        <v>80</v>
      </c>
      <c r="K2" s="39" t="s">
        <v>81</v>
      </c>
      <c r="L2" s="39" t="s">
        <v>82</v>
      </c>
      <c r="M2" s="53" t="s">
        <v>90</v>
      </c>
      <c r="N2" s="54" t="s">
        <v>83</v>
      </c>
      <c r="O2" s="39" t="s">
        <v>72</v>
      </c>
      <c r="P2" s="70" t="s">
        <v>98</v>
      </c>
      <c r="Q2" s="69" t="s">
        <v>112</v>
      </c>
      <c r="R2" s="69" t="s">
        <v>113</v>
      </c>
      <c r="S2" s="69" t="s">
        <v>114</v>
      </c>
    </row>
    <row r="3" spans="1:19" x14ac:dyDescent="0.3">
      <c r="A3" s="93" t="s">
        <v>84</v>
      </c>
      <c r="B3" s="59"/>
      <c r="C3" s="59"/>
      <c r="D3" s="59"/>
      <c r="E3" s="59"/>
      <c r="F3" s="59"/>
      <c r="G3" s="59"/>
      <c r="H3" s="80"/>
      <c r="I3" s="81">
        <f>C3*D3+E3*F3+G3*H3</f>
        <v>0</v>
      </c>
      <c r="J3" s="80"/>
      <c r="K3" s="80"/>
      <c r="L3" s="80"/>
      <c r="M3" s="82">
        <f t="shared" ref="M3:M22" si="1">J3+K3+L3</f>
        <v>0</v>
      </c>
      <c r="N3" s="83">
        <f t="shared" ref="N3:N22" si="2">I3-M3</f>
        <v>0</v>
      </c>
      <c r="O3" s="92">
        <f>N3+N4</f>
        <v>1085.8399999999999</v>
      </c>
      <c r="P3" s="71"/>
      <c r="Q3" s="73"/>
      <c r="R3" s="73"/>
      <c r="S3" s="73"/>
    </row>
    <row r="4" spans="1:19" x14ac:dyDescent="0.3">
      <c r="A4" s="93"/>
      <c r="B4" s="59" t="s">
        <v>95</v>
      </c>
      <c r="C4" s="80">
        <v>15.5</v>
      </c>
      <c r="D4" s="80">
        <v>85</v>
      </c>
      <c r="E4" s="69"/>
      <c r="F4" s="69"/>
      <c r="G4" s="80">
        <v>15.5</v>
      </c>
      <c r="H4" s="80"/>
      <c r="I4" s="81">
        <f>C4*D4+E4*F4+G4*H4</f>
        <v>1317.5</v>
      </c>
      <c r="J4" s="80">
        <v>139.80000000000001</v>
      </c>
      <c r="K4" s="80">
        <v>21.48</v>
      </c>
      <c r="L4" s="80">
        <v>70.38</v>
      </c>
      <c r="M4" s="82">
        <f t="shared" si="1"/>
        <v>231.66</v>
      </c>
      <c r="N4" s="83">
        <f t="shared" si="2"/>
        <v>1085.8399999999999</v>
      </c>
      <c r="O4" s="92"/>
      <c r="P4" s="71"/>
      <c r="Q4" s="74">
        <f>D4+F4+H4</f>
        <v>85</v>
      </c>
      <c r="R4" s="74">
        <f>N4*100/I4</f>
        <v>82.416698292220104</v>
      </c>
      <c r="S4" s="74">
        <f>100-R4</f>
        <v>17.583301707779896</v>
      </c>
    </row>
    <row r="5" spans="1:19" x14ac:dyDescent="0.3">
      <c r="A5" s="94" t="s">
        <v>85</v>
      </c>
      <c r="B5" s="35" t="s">
        <v>96</v>
      </c>
      <c r="C5" s="80">
        <v>16</v>
      </c>
      <c r="D5" s="69">
        <v>83.67</v>
      </c>
      <c r="E5" s="69"/>
      <c r="F5" s="69"/>
      <c r="G5" s="80">
        <v>16</v>
      </c>
      <c r="H5" s="80"/>
      <c r="I5" s="81">
        <f>C5*D5+E5*F5+G5*H5</f>
        <v>1338.72</v>
      </c>
      <c r="J5" s="80">
        <v>143.74</v>
      </c>
      <c r="K5" s="80">
        <v>21.82</v>
      </c>
      <c r="L5" s="80">
        <v>71.64</v>
      </c>
      <c r="M5" s="82">
        <f t="shared" si="1"/>
        <v>237.2</v>
      </c>
      <c r="N5" s="83">
        <f t="shared" si="2"/>
        <v>1101.52</v>
      </c>
      <c r="O5" s="92">
        <f>N5+N6</f>
        <v>2308</v>
      </c>
      <c r="P5" s="72"/>
      <c r="Q5" s="74">
        <f t="shared" ref="Q5:Q22" si="3">D5+F5+H5</f>
        <v>83.67</v>
      </c>
      <c r="R5" s="74">
        <f>N5*100/I5</f>
        <v>82.281582407075419</v>
      </c>
      <c r="S5" s="74">
        <f>100-R5</f>
        <v>17.718417592924581</v>
      </c>
    </row>
    <row r="6" spans="1:19" x14ac:dyDescent="0.3">
      <c r="A6" s="94"/>
      <c r="B6" s="35" t="s">
        <v>97</v>
      </c>
      <c r="C6" s="80">
        <v>16</v>
      </c>
      <c r="D6" s="69">
        <v>86.75</v>
      </c>
      <c r="E6" s="80">
        <v>24</v>
      </c>
      <c r="F6" s="69">
        <v>4.17</v>
      </c>
      <c r="G6" s="80">
        <v>16</v>
      </c>
      <c r="H6" s="80"/>
      <c r="I6" s="81">
        <f>C6*D6+E6*F6+G6*H6</f>
        <v>1488.08</v>
      </c>
      <c r="J6" s="80">
        <v>176.81</v>
      </c>
      <c r="K6" s="80">
        <v>24.26</v>
      </c>
      <c r="L6" s="80">
        <v>80.53</v>
      </c>
      <c r="M6" s="82">
        <f t="shared" si="1"/>
        <v>281.60000000000002</v>
      </c>
      <c r="N6" s="83">
        <f t="shared" si="2"/>
        <v>1206.48</v>
      </c>
      <c r="O6" s="92"/>
      <c r="P6" s="72"/>
      <c r="Q6" s="74">
        <f t="shared" si="3"/>
        <v>90.92</v>
      </c>
      <c r="R6" s="74">
        <f t="shared" ref="R6:R22" si="4">N6*100/I6</f>
        <v>81.076286221170903</v>
      </c>
      <c r="S6" s="74">
        <f t="shared" ref="S6:S22" si="5">100-R6</f>
        <v>18.923713778829097</v>
      </c>
    </row>
    <row r="7" spans="1:19" x14ac:dyDescent="0.3">
      <c r="A7" s="94" t="s">
        <v>86</v>
      </c>
      <c r="B7" s="35" t="s">
        <v>100</v>
      </c>
      <c r="C7" s="69" t="s">
        <v>101</v>
      </c>
      <c r="D7" s="69" t="s">
        <v>102</v>
      </c>
      <c r="E7" s="80">
        <v>27</v>
      </c>
      <c r="F7" s="80">
        <v>0.5</v>
      </c>
      <c r="G7" s="80">
        <v>18</v>
      </c>
      <c r="H7" s="80">
        <v>8</v>
      </c>
      <c r="I7" s="81">
        <f>16*60.08+18*18.08+27*0.5+18*8</f>
        <v>1444.2199999999998</v>
      </c>
      <c r="J7" s="80">
        <v>166.08</v>
      </c>
      <c r="K7" s="80">
        <v>23.54</v>
      </c>
      <c r="L7" s="80">
        <v>77.92</v>
      </c>
      <c r="M7" s="82">
        <f t="shared" si="1"/>
        <v>267.54000000000002</v>
      </c>
      <c r="N7" s="83">
        <f t="shared" si="2"/>
        <v>1176.6799999999998</v>
      </c>
      <c r="O7" s="92">
        <f t="shared" ref="O7" si="6">N7+N8</f>
        <v>2789.6</v>
      </c>
      <c r="P7" s="72"/>
      <c r="Q7" s="74">
        <f>60.08+18.08+F7+H7</f>
        <v>86.66</v>
      </c>
      <c r="R7" s="74">
        <f t="shared" si="4"/>
        <v>81.475121518882162</v>
      </c>
      <c r="S7" s="74">
        <f t="shared" si="5"/>
        <v>18.524878481117838</v>
      </c>
    </row>
    <row r="8" spans="1:19" x14ac:dyDescent="0.3">
      <c r="A8" s="94"/>
      <c r="B8" s="35" t="s">
        <v>103</v>
      </c>
      <c r="C8" s="80">
        <v>18</v>
      </c>
      <c r="D8" s="80">
        <v>88</v>
      </c>
      <c r="E8" s="80">
        <v>27</v>
      </c>
      <c r="F8" s="69">
        <v>17.420000000000002</v>
      </c>
      <c r="G8" s="80">
        <v>18</v>
      </c>
      <c r="H8" s="80"/>
      <c r="I8" s="81">
        <f>C8*D8+E8*F8+G8*H8</f>
        <v>2054.34</v>
      </c>
      <c r="J8" s="80">
        <v>293.70999999999998</v>
      </c>
      <c r="K8" s="80">
        <v>33.49</v>
      </c>
      <c r="L8" s="80">
        <v>114.22</v>
      </c>
      <c r="M8" s="82">
        <f t="shared" si="1"/>
        <v>441.41999999999996</v>
      </c>
      <c r="N8" s="83">
        <f t="shared" si="2"/>
        <v>1612.92</v>
      </c>
      <c r="O8" s="92"/>
      <c r="P8" s="72"/>
      <c r="Q8" s="74">
        <f t="shared" si="3"/>
        <v>105.42</v>
      </c>
      <c r="R8" s="74">
        <f t="shared" si="4"/>
        <v>78.512807032915674</v>
      </c>
      <c r="S8" s="74">
        <f t="shared" si="5"/>
        <v>21.487192967084326</v>
      </c>
    </row>
    <row r="9" spans="1:19" x14ac:dyDescent="0.3">
      <c r="A9" s="94" t="s">
        <v>87</v>
      </c>
      <c r="B9" s="35" t="s">
        <v>93</v>
      </c>
      <c r="C9" s="80">
        <v>18</v>
      </c>
      <c r="D9" s="80">
        <v>88</v>
      </c>
      <c r="E9" s="80">
        <v>27</v>
      </c>
      <c r="F9" s="80">
        <v>10</v>
      </c>
      <c r="G9" s="80">
        <v>18</v>
      </c>
      <c r="H9" s="80"/>
      <c r="I9" s="81">
        <f>C9*D9+E9*F9+G9*H9</f>
        <v>1854</v>
      </c>
      <c r="J9" s="80">
        <v>244.99</v>
      </c>
      <c r="K9" s="80">
        <v>30.22</v>
      </c>
      <c r="L9" s="80">
        <v>102.3</v>
      </c>
      <c r="M9" s="82">
        <f t="shared" si="1"/>
        <v>377.51000000000005</v>
      </c>
      <c r="N9" s="83">
        <f t="shared" si="2"/>
        <v>1476.49</v>
      </c>
      <c r="O9" s="92">
        <f t="shared" ref="O9" si="7">N9+N10</f>
        <v>2911.49</v>
      </c>
      <c r="P9" s="72"/>
      <c r="Q9" s="74">
        <f t="shared" si="3"/>
        <v>98</v>
      </c>
      <c r="R9" s="74">
        <f t="shared" si="4"/>
        <v>79.638079827400219</v>
      </c>
      <c r="S9" s="74">
        <f t="shared" si="5"/>
        <v>20.361920172599781</v>
      </c>
    </row>
    <row r="10" spans="1:19" x14ac:dyDescent="0.3">
      <c r="A10" s="94"/>
      <c r="B10" s="35" t="s">
        <v>88</v>
      </c>
      <c r="C10" s="80">
        <v>18</v>
      </c>
      <c r="D10" s="80">
        <v>80</v>
      </c>
      <c r="E10" s="80">
        <v>27</v>
      </c>
      <c r="F10" s="69">
        <v>7.92</v>
      </c>
      <c r="G10" s="80">
        <v>18</v>
      </c>
      <c r="H10" s="80">
        <v>8</v>
      </c>
      <c r="I10" s="81">
        <f t="shared" ref="I10:I21" si="8">C10*D10+E10*F10+G10*H10</f>
        <v>1797.84</v>
      </c>
      <c r="J10" s="80">
        <v>234.58</v>
      </c>
      <c r="K10" s="80">
        <v>29.3</v>
      </c>
      <c r="L10" s="80">
        <v>98.96</v>
      </c>
      <c r="M10" s="82">
        <f t="shared" si="1"/>
        <v>362.84</v>
      </c>
      <c r="N10" s="83">
        <f t="shared" si="2"/>
        <v>1435</v>
      </c>
      <c r="O10" s="92"/>
      <c r="P10" s="72"/>
      <c r="Q10" s="74">
        <f t="shared" si="3"/>
        <v>95.92</v>
      </c>
      <c r="R10" s="74">
        <f t="shared" si="4"/>
        <v>79.818003826814405</v>
      </c>
      <c r="S10" s="74">
        <f t="shared" si="5"/>
        <v>20.181996173185595</v>
      </c>
    </row>
    <row r="11" spans="1:19" x14ac:dyDescent="0.3">
      <c r="A11" s="95" t="s">
        <v>91</v>
      </c>
      <c r="B11" s="35" t="s">
        <v>107</v>
      </c>
      <c r="C11" s="80">
        <v>18</v>
      </c>
      <c r="D11" s="80">
        <v>88</v>
      </c>
      <c r="E11" s="80">
        <v>27</v>
      </c>
      <c r="F11" s="69">
        <v>13.58</v>
      </c>
      <c r="G11" s="80">
        <v>18</v>
      </c>
      <c r="H11" s="80"/>
      <c r="I11" s="81">
        <f t="shared" si="8"/>
        <v>1950.66</v>
      </c>
      <c r="J11" s="80">
        <v>270.27999999999997</v>
      </c>
      <c r="K11" s="80">
        <v>31.8</v>
      </c>
      <c r="L11" s="80">
        <v>108.06</v>
      </c>
      <c r="M11" s="82">
        <f t="shared" si="1"/>
        <v>410.14</v>
      </c>
      <c r="N11" s="83">
        <f t="shared" si="2"/>
        <v>1540.52</v>
      </c>
      <c r="O11" s="98">
        <f>N11+N12+N13</f>
        <v>4647.13</v>
      </c>
      <c r="P11" s="72"/>
      <c r="Q11" s="74">
        <f t="shared" si="3"/>
        <v>101.58</v>
      </c>
      <c r="R11" s="74">
        <f t="shared" si="4"/>
        <v>78.974295879343401</v>
      </c>
      <c r="S11" s="74">
        <f t="shared" si="5"/>
        <v>21.025704120656599</v>
      </c>
    </row>
    <row r="12" spans="1:19" x14ac:dyDescent="0.3">
      <c r="A12" s="96"/>
      <c r="B12" s="35" t="s">
        <v>94</v>
      </c>
      <c r="C12" s="80">
        <v>18</v>
      </c>
      <c r="D12" s="80">
        <v>71.75</v>
      </c>
      <c r="E12" s="80">
        <v>27</v>
      </c>
      <c r="F12" s="69">
        <v>11.67</v>
      </c>
      <c r="G12" s="80">
        <v>18</v>
      </c>
      <c r="H12" s="80">
        <v>8</v>
      </c>
      <c r="I12" s="81">
        <f t="shared" si="8"/>
        <v>1750.59</v>
      </c>
      <c r="J12" s="80">
        <v>225.83</v>
      </c>
      <c r="K12" s="80">
        <v>28.53</v>
      </c>
      <c r="L12" s="80">
        <v>96.15</v>
      </c>
      <c r="M12" s="82">
        <f t="shared" si="1"/>
        <v>350.51</v>
      </c>
      <c r="N12" s="83">
        <f t="shared" si="2"/>
        <v>1400.08</v>
      </c>
      <c r="O12" s="99"/>
      <c r="P12" s="72"/>
      <c r="Q12" s="74">
        <f t="shared" si="3"/>
        <v>91.42</v>
      </c>
      <c r="R12" s="74">
        <f t="shared" si="4"/>
        <v>79.97760754945476</v>
      </c>
      <c r="S12" s="74">
        <f t="shared" si="5"/>
        <v>20.02239245054524</v>
      </c>
    </row>
    <row r="13" spans="1:19" x14ac:dyDescent="0.3">
      <c r="A13" s="97"/>
      <c r="B13" s="35" t="s">
        <v>108</v>
      </c>
      <c r="C13" s="80">
        <v>18</v>
      </c>
      <c r="D13" s="80">
        <v>88</v>
      </c>
      <c r="E13" s="80">
        <v>27</v>
      </c>
      <c r="F13" s="69">
        <v>22.75</v>
      </c>
      <c r="G13" s="80">
        <v>18</v>
      </c>
      <c r="H13" s="80"/>
      <c r="I13" s="81">
        <f t="shared" si="8"/>
        <v>2198.25</v>
      </c>
      <c r="J13" s="80">
        <v>333.1</v>
      </c>
      <c r="K13" s="80">
        <v>35.83</v>
      </c>
      <c r="L13" s="80">
        <v>122.79</v>
      </c>
      <c r="M13" s="82">
        <f t="shared" si="1"/>
        <v>491.72</v>
      </c>
      <c r="N13" s="83">
        <f t="shared" si="2"/>
        <v>1706.53</v>
      </c>
      <c r="O13" s="100"/>
      <c r="P13" s="72"/>
      <c r="Q13" s="74">
        <f t="shared" si="3"/>
        <v>110.75</v>
      </c>
      <c r="R13" s="74">
        <f t="shared" si="4"/>
        <v>77.63129762310929</v>
      </c>
      <c r="S13" s="74">
        <f t="shared" si="5"/>
        <v>22.36870237689071</v>
      </c>
    </row>
    <row r="14" spans="1:19" x14ac:dyDescent="0.3">
      <c r="A14" s="94" t="s">
        <v>92</v>
      </c>
      <c r="B14" s="35" t="s">
        <v>111</v>
      </c>
      <c r="C14" s="80">
        <v>18</v>
      </c>
      <c r="D14" s="80">
        <v>80</v>
      </c>
      <c r="E14" s="80">
        <v>27</v>
      </c>
      <c r="F14" s="69">
        <v>25.25</v>
      </c>
      <c r="G14" s="80">
        <v>18</v>
      </c>
      <c r="H14" s="80">
        <v>8</v>
      </c>
      <c r="I14" s="81">
        <f t="shared" si="8"/>
        <v>2265.75</v>
      </c>
      <c r="J14" s="80">
        <v>352.02</v>
      </c>
      <c r="K14" s="80">
        <v>36.93</v>
      </c>
      <c r="L14" s="80">
        <v>126.8</v>
      </c>
      <c r="M14" s="82">
        <f t="shared" si="1"/>
        <v>515.75</v>
      </c>
      <c r="N14" s="83">
        <f t="shared" si="2"/>
        <v>1750</v>
      </c>
      <c r="O14" s="92">
        <f t="shared" ref="O14" si="9">N14+N15</f>
        <v>3701.9700000000003</v>
      </c>
      <c r="P14" s="72"/>
      <c r="Q14" s="74">
        <f t="shared" si="3"/>
        <v>113.25</v>
      </c>
      <c r="R14" s="74">
        <f t="shared" si="4"/>
        <v>77.237117952112982</v>
      </c>
      <c r="S14" s="74">
        <f t="shared" si="5"/>
        <v>22.762882047887018</v>
      </c>
    </row>
    <row r="15" spans="1:19" x14ac:dyDescent="0.3">
      <c r="A15" s="94"/>
      <c r="B15" s="35" t="s">
        <v>115</v>
      </c>
      <c r="C15" s="80">
        <v>18</v>
      </c>
      <c r="D15" s="80">
        <v>88</v>
      </c>
      <c r="E15" s="80">
        <v>27</v>
      </c>
      <c r="F15" s="69">
        <v>36.92</v>
      </c>
      <c r="G15" s="80">
        <v>18</v>
      </c>
      <c r="H15" s="80"/>
      <c r="I15" s="81">
        <f t="shared" si="8"/>
        <v>2580.84</v>
      </c>
      <c r="J15" s="80">
        <v>441.25</v>
      </c>
      <c r="K15" s="80">
        <v>42.07</v>
      </c>
      <c r="L15" s="80">
        <v>145.55000000000001</v>
      </c>
      <c r="M15" s="82">
        <f t="shared" si="1"/>
        <v>628.87</v>
      </c>
      <c r="N15" s="83">
        <f t="shared" si="2"/>
        <v>1951.9700000000003</v>
      </c>
      <c r="O15" s="92"/>
      <c r="P15" s="72"/>
      <c r="Q15" s="74">
        <f t="shared" si="3"/>
        <v>124.92</v>
      </c>
      <c r="R15" s="74">
        <f t="shared" si="4"/>
        <v>75.633127198896489</v>
      </c>
      <c r="S15" s="74">
        <f t="shared" si="5"/>
        <v>24.366872801103511</v>
      </c>
    </row>
    <row r="16" spans="1:19" x14ac:dyDescent="0.3">
      <c r="A16" s="94" t="s">
        <v>104</v>
      </c>
      <c r="B16" s="35" t="s">
        <v>116</v>
      </c>
      <c r="C16" s="80">
        <v>18</v>
      </c>
      <c r="D16" s="80">
        <v>88</v>
      </c>
      <c r="E16" s="80">
        <v>27</v>
      </c>
      <c r="F16" s="69">
        <v>41.5</v>
      </c>
      <c r="G16" s="80">
        <v>18</v>
      </c>
      <c r="H16" s="80"/>
      <c r="I16" s="81">
        <f t="shared" si="8"/>
        <v>2704.5</v>
      </c>
      <c r="J16" s="80">
        <v>477.55</v>
      </c>
      <c r="K16" s="80">
        <v>44.08</v>
      </c>
      <c r="L16" s="80">
        <v>152.91</v>
      </c>
      <c r="M16" s="82">
        <f t="shared" si="1"/>
        <v>674.54</v>
      </c>
      <c r="N16" s="83">
        <f t="shared" si="2"/>
        <v>2029.96</v>
      </c>
      <c r="O16" s="92">
        <f t="shared" ref="O16" si="10">N16+N17</f>
        <v>3499.26</v>
      </c>
      <c r="P16" s="72"/>
      <c r="Q16" s="73">
        <f t="shared" si="3"/>
        <v>129.5</v>
      </c>
      <c r="R16" s="74">
        <f t="shared" si="4"/>
        <v>75.058606026992052</v>
      </c>
      <c r="S16" s="74">
        <f t="shared" si="5"/>
        <v>24.941393973007948</v>
      </c>
    </row>
    <row r="17" spans="1:19" x14ac:dyDescent="0.3">
      <c r="A17" s="94"/>
      <c r="B17" s="35" t="s">
        <v>119</v>
      </c>
      <c r="C17" s="80">
        <v>18</v>
      </c>
      <c r="D17" s="80">
        <v>78.83</v>
      </c>
      <c r="E17" s="80">
        <v>27</v>
      </c>
      <c r="F17" s="69">
        <v>10.42</v>
      </c>
      <c r="G17" s="80">
        <v>18</v>
      </c>
      <c r="H17" s="80">
        <v>8</v>
      </c>
      <c r="I17" s="81">
        <f t="shared" si="8"/>
        <v>1844.28</v>
      </c>
      <c r="J17" s="80">
        <v>243.19</v>
      </c>
      <c r="K17" s="80">
        <v>30.06</v>
      </c>
      <c r="L17" s="80">
        <v>101.73</v>
      </c>
      <c r="M17" s="82">
        <f t="shared" si="1"/>
        <v>374.98</v>
      </c>
      <c r="N17" s="83">
        <f t="shared" si="2"/>
        <v>1469.3</v>
      </c>
      <c r="O17" s="92"/>
      <c r="P17" s="72"/>
      <c r="Q17" s="73">
        <f t="shared" si="3"/>
        <v>97.25</v>
      </c>
      <c r="R17" s="74">
        <f t="shared" si="4"/>
        <v>79.667946298826649</v>
      </c>
      <c r="S17" s="74">
        <f t="shared" si="5"/>
        <v>20.332053701173351</v>
      </c>
    </row>
    <row r="18" spans="1:19" x14ac:dyDescent="0.3">
      <c r="A18" s="94" t="s">
        <v>105</v>
      </c>
      <c r="B18" s="35" t="s">
        <v>121</v>
      </c>
      <c r="C18" s="80">
        <v>18</v>
      </c>
      <c r="D18" s="80">
        <v>88</v>
      </c>
      <c r="E18" s="80">
        <v>27</v>
      </c>
      <c r="F18" s="69">
        <v>14.5</v>
      </c>
      <c r="G18" s="80">
        <v>18</v>
      </c>
      <c r="H18" s="80"/>
      <c r="I18" s="81">
        <f t="shared" si="8"/>
        <v>1975.5</v>
      </c>
      <c r="J18" s="80">
        <v>275.89999999999998</v>
      </c>
      <c r="K18" s="80">
        <v>32.200000000000003</v>
      </c>
      <c r="L18" s="80">
        <v>109.53</v>
      </c>
      <c r="M18" s="82">
        <f t="shared" si="1"/>
        <v>417.63</v>
      </c>
      <c r="N18" s="83">
        <f t="shared" si="2"/>
        <v>1557.87</v>
      </c>
      <c r="O18" s="92">
        <f t="shared" ref="O18" si="11">N18+N19</f>
        <v>3099.4449999999997</v>
      </c>
      <c r="P18" s="72"/>
      <c r="Q18" s="73">
        <f t="shared" si="3"/>
        <v>102.5</v>
      </c>
      <c r="R18" s="74">
        <f t="shared" si="4"/>
        <v>78.859529233105548</v>
      </c>
      <c r="S18" s="74">
        <f t="shared" si="5"/>
        <v>21.140470766894452</v>
      </c>
    </row>
    <row r="19" spans="1:19" x14ac:dyDescent="0.3">
      <c r="A19" s="94"/>
      <c r="B19" s="35" t="s">
        <v>122</v>
      </c>
      <c r="C19" s="80">
        <v>19</v>
      </c>
      <c r="D19" s="80">
        <v>88</v>
      </c>
      <c r="E19" s="80">
        <v>28.5</v>
      </c>
      <c r="F19" s="69">
        <v>9.83</v>
      </c>
      <c r="G19" s="80">
        <v>19</v>
      </c>
      <c r="H19" s="80"/>
      <c r="I19" s="81">
        <f t="shared" si="8"/>
        <v>1952.155</v>
      </c>
      <c r="J19" s="80">
        <v>270.62</v>
      </c>
      <c r="K19" s="80">
        <v>31.82</v>
      </c>
      <c r="L19" s="80">
        <v>108.14</v>
      </c>
      <c r="M19" s="82">
        <f t="shared" si="1"/>
        <v>410.58</v>
      </c>
      <c r="N19" s="83">
        <f t="shared" si="2"/>
        <v>1541.575</v>
      </c>
      <c r="O19" s="92"/>
      <c r="P19" s="72"/>
      <c r="Q19" s="73">
        <f t="shared" si="3"/>
        <v>97.83</v>
      </c>
      <c r="R19" s="74">
        <f t="shared" si="4"/>
        <v>78.967858597293755</v>
      </c>
      <c r="S19" s="74">
        <f t="shared" si="5"/>
        <v>21.032141402706245</v>
      </c>
    </row>
    <row r="20" spans="1:19" x14ac:dyDescent="0.3">
      <c r="A20" s="95" t="s">
        <v>106</v>
      </c>
      <c r="B20" s="35" t="s">
        <v>123</v>
      </c>
      <c r="C20" s="80">
        <v>19</v>
      </c>
      <c r="D20" s="80">
        <v>88</v>
      </c>
      <c r="E20" s="80">
        <v>28.5</v>
      </c>
      <c r="F20" s="69">
        <v>7.17</v>
      </c>
      <c r="G20" s="80">
        <v>19</v>
      </c>
      <c r="H20" s="80"/>
      <c r="I20" s="81">
        <f t="shared" si="8"/>
        <v>1876.345</v>
      </c>
      <c r="J20" s="80">
        <v>252.32</v>
      </c>
      <c r="K20" s="80">
        <v>30.58</v>
      </c>
      <c r="L20" s="80">
        <v>103.63</v>
      </c>
      <c r="M20" s="82">
        <f t="shared" si="1"/>
        <v>386.53</v>
      </c>
      <c r="N20" s="83">
        <f t="shared" si="2"/>
        <v>1489.8150000000001</v>
      </c>
      <c r="O20" s="98">
        <f>N20+N21+N22</f>
        <v>4535.99</v>
      </c>
      <c r="P20" s="72"/>
      <c r="Q20" s="73">
        <f t="shared" si="3"/>
        <v>95.17</v>
      </c>
      <c r="R20" s="74">
        <f t="shared" si="4"/>
        <v>79.399843845348272</v>
      </c>
      <c r="S20" s="74">
        <f t="shared" si="5"/>
        <v>20.600156154651728</v>
      </c>
    </row>
    <row r="21" spans="1:19" x14ac:dyDescent="0.3">
      <c r="A21" s="96"/>
      <c r="B21" s="35" t="s">
        <v>124</v>
      </c>
      <c r="C21" s="80">
        <v>19</v>
      </c>
      <c r="D21" s="80">
        <v>88</v>
      </c>
      <c r="E21" s="80">
        <v>28.5</v>
      </c>
      <c r="F21" s="69">
        <v>33.25</v>
      </c>
      <c r="G21" s="80">
        <v>19</v>
      </c>
      <c r="H21" s="80"/>
      <c r="I21" s="81">
        <f t="shared" si="8"/>
        <v>2619.625</v>
      </c>
      <c r="J21" s="80">
        <v>452.64</v>
      </c>
      <c r="K21" s="80">
        <v>42.7</v>
      </c>
      <c r="L21" s="80">
        <v>147.86000000000001</v>
      </c>
      <c r="M21" s="82">
        <f t="shared" si="1"/>
        <v>643.20000000000005</v>
      </c>
      <c r="N21" s="83">
        <f t="shared" si="2"/>
        <v>1976.425</v>
      </c>
      <c r="O21" s="99"/>
      <c r="P21" s="72"/>
      <c r="Q21" s="73">
        <f t="shared" si="3"/>
        <v>121.25</v>
      </c>
      <c r="R21" s="74">
        <f t="shared" si="4"/>
        <v>75.446867395142434</v>
      </c>
      <c r="S21" s="74">
        <f t="shared" si="5"/>
        <v>24.553132604857566</v>
      </c>
    </row>
    <row r="22" spans="1:19" x14ac:dyDescent="0.3">
      <c r="A22" s="97"/>
      <c r="B22" s="75" t="s">
        <v>124</v>
      </c>
      <c r="C22" s="101" t="s">
        <v>125</v>
      </c>
      <c r="D22" s="102"/>
      <c r="E22" s="102"/>
      <c r="F22" s="102"/>
      <c r="G22" s="103"/>
      <c r="H22" s="80"/>
      <c r="I22" s="81">
        <v>1295.73</v>
      </c>
      <c r="J22" s="80">
        <v>135.77000000000001</v>
      </c>
      <c r="K22" s="80">
        <v>21.12</v>
      </c>
      <c r="L22" s="80">
        <v>69.09</v>
      </c>
      <c r="M22" s="82">
        <f t="shared" si="1"/>
        <v>225.98000000000002</v>
      </c>
      <c r="N22" s="83">
        <f t="shared" si="2"/>
        <v>1069.75</v>
      </c>
      <c r="O22" s="100"/>
      <c r="P22" s="72"/>
      <c r="Q22" s="73">
        <f t="shared" si="3"/>
        <v>0</v>
      </c>
      <c r="R22" s="74">
        <f t="shared" si="4"/>
        <v>82.559638196229145</v>
      </c>
      <c r="S22" s="74">
        <f t="shared" si="5"/>
        <v>17.440361803770855</v>
      </c>
    </row>
    <row r="23" spans="1:19" x14ac:dyDescent="0.3">
      <c r="A23" s="94" t="s">
        <v>126</v>
      </c>
      <c r="B23" s="35"/>
      <c r="C23" s="55"/>
      <c r="D23" s="55"/>
      <c r="E23" s="55"/>
      <c r="F23" s="35"/>
      <c r="G23" s="55"/>
      <c r="H23" s="55"/>
      <c r="I23" s="56"/>
      <c r="J23" s="55"/>
      <c r="K23" s="55"/>
      <c r="L23" s="55"/>
      <c r="M23" s="57"/>
      <c r="N23" s="58"/>
      <c r="O23" s="92"/>
      <c r="P23" s="72"/>
      <c r="Q23" s="73"/>
      <c r="R23" s="73"/>
      <c r="S23" s="73"/>
    </row>
    <row r="24" spans="1:19" x14ac:dyDescent="0.3">
      <c r="A24" s="94"/>
      <c r="B24" s="35"/>
      <c r="C24" s="55"/>
      <c r="D24" s="55"/>
      <c r="E24" s="55"/>
      <c r="F24" s="35"/>
      <c r="G24" s="55"/>
      <c r="H24" s="55"/>
      <c r="I24" s="56"/>
      <c r="J24" s="55"/>
      <c r="K24" s="55"/>
      <c r="L24" s="55"/>
      <c r="M24" s="57"/>
      <c r="N24" s="58"/>
      <c r="O24" s="92"/>
      <c r="P24" s="72"/>
      <c r="Q24" s="73"/>
      <c r="R24" s="73"/>
      <c r="S24" s="73"/>
    </row>
    <row r="25" spans="1:19" x14ac:dyDescent="0.3">
      <c r="A25" s="95" t="s">
        <v>130</v>
      </c>
      <c r="B25" s="35"/>
      <c r="C25" s="55"/>
      <c r="D25" s="55"/>
      <c r="E25" s="55"/>
      <c r="F25" s="35"/>
      <c r="G25" s="55"/>
      <c r="H25" s="55"/>
      <c r="I25" s="56"/>
      <c r="J25" s="55"/>
      <c r="K25" s="55"/>
      <c r="L25" s="55"/>
      <c r="M25" s="57"/>
      <c r="N25" s="58"/>
      <c r="O25" s="92"/>
      <c r="P25" s="72"/>
      <c r="Q25" s="73"/>
      <c r="R25" s="73"/>
      <c r="S25" s="73"/>
    </row>
    <row r="26" spans="1:19" x14ac:dyDescent="0.3">
      <c r="A26" s="97"/>
      <c r="B26" s="35"/>
      <c r="C26" s="55"/>
      <c r="D26" s="55"/>
      <c r="E26" s="55"/>
      <c r="F26" s="35"/>
      <c r="G26" s="55"/>
      <c r="H26" s="55"/>
      <c r="I26" s="56"/>
      <c r="J26" s="55"/>
      <c r="K26" s="55"/>
      <c r="L26" s="55"/>
      <c r="M26" s="57"/>
      <c r="N26" s="58"/>
      <c r="O26" s="92"/>
      <c r="P26" s="72"/>
      <c r="Q26" s="73"/>
      <c r="R26" s="73"/>
      <c r="S26" s="73"/>
    </row>
    <row r="27" spans="1:19" x14ac:dyDescent="0.3">
      <c r="A27" s="95" t="s">
        <v>131</v>
      </c>
      <c r="B27" s="35"/>
      <c r="C27" s="55"/>
      <c r="D27" s="55"/>
      <c r="E27" s="55"/>
      <c r="F27" s="35"/>
      <c r="G27" s="55"/>
      <c r="H27" s="55"/>
      <c r="I27" s="56"/>
      <c r="J27" s="55"/>
      <c r="K27" s="55"/>
      <c r="L27" s="55"/>
      <c r="M27" s="57"/>
      <c r="N27" s="58"/>
      <c r="O27" s="92"/>
      <c r="P27" s="72"/>
      <c r="Q27" s="73"/>
      <c r="R27" s="73"/>
      <c r="S27" s="73"/>
    </row>
    <row r="28" spans="1:19" x14ac:dyDescent="0.3">
      <c r="A28" s="97"/>
      <c r="B28" s="35"/>
      <c r="C28" s="55"/>
      <c r="D28" s="55"/>
      <c r="E28" s="55"/>
      <c r="F28" s="35"/>
      <c r="G28" s="55"/>
      <c r="H28" s="55"/>
      <c r="I28" s="56"/>
      <c r="J28" s="55"/>
      <c r="K28" s="55"/>
      <c r="L28" s="55"/>
      <c r="M28" s="57"/>
      <c r="N28" s="58"/>
      <c r="O28" s="92"/>
      <c r="P28" s="72"/>
      <c r="Q28" s="73"/>
      <c r="R28" s="73"/>
      <c r="S28" s="73"/>
    </row>
    <row r="29" spans="1:19" x14ac:dyDescent="0.3">
      <c r="A29" s="95" t="s">
        <v>132</v>
      </c>
      <c r="B29" s="35"/>
      <c r="C29" s="55"/>
      <c r="D29" s="55"/>
      <c r="E29" s="55"/>
      <c r="F29" s="35"/>
      <c r="G29" s="55"/>
      <c r="H29" s="55"/>
      <c r="I29" s="56"/>
      <c r="J29" s="55"/>
      <c r="K29" s="55"/>
      <c r="L29" s="55"/>
      <c r="M29" s="57"/>
      <c r="N29" s="58"/>
      <c r="O29" s="92"/>
      <c r="P29" s="72"/>
      <c r="Q29" s="73"/>
      <c r="R29" s="73"/>
      <c r="S29" s="73"/>
    </row>
    <row r="30" spans="1:19" x14ac:dyDescent="0.3">
      <c r="A30" s="97"/>
      <c r="B30" s="35"/>
      <c r="C30" s="55"/>
      <c r="D30" s="55"/>
      <c r="E30" s="55"/>
      <c r="F30" s="35"/>
      <c r="G30" s="55"/>
      <c r="H30" s="55"/>
      <c r="I30" s="56"/>
      <c r="J30" s="55"/>
      <c r="K30" s="55"/>
      <c r="L30" s="55"/>
      <c r="M30" s="57"/>
      <c r="N30" s="58"/>
      <c r="O30" s="92"/>
      <c r="P30" s="72"/>
      <c r="Q30" s="73"/>
      <c r="R30" s="73"/>
      <c r="S30" s="73"/>
    </row>
    <row r="31" spans="1:19" x14ac:dyDescent="0.3">
      <c r="A31" s="95" t="s">
        <v>133</v>
      </c>
      <c r="B31" s="35"/>
      <c r="C31" s="55"/>
      <c r="D31" s="55"/>
      <c r="E31" s="55"/>
      <c r="F31" s="35"/>
      <c r="G31" s="55"/>
      <c r="H31" s="55"/>
      <c r="I31" s="56"/>
      <c r="J31" s="55"/>
      <c r="K31" s="55"/>
      <c r="L31" s="55"/>
      <c r="M31" s="57"/>
      <c r="N31" s="58"/>
      <c r="O31" s="92"/>
      <c r="P31" s="72"/>
      <c r="Q31" s="73"/>
      <c r="R31" s="73"/>
      <c r="S31" s="73"/>
    </row>
    <row r="32" spans="1:19" x14ac:dyDescent="0.3">
      <c r="A32" s="97"/>
      <c r="B32" s="35"/>
      <c r="C32" s="55"/>
      <c r="D32" s="55"/>
      <c r="E32" s="55"/>
      <c r="F32" s="35"/>
      <c r="G32" s="55"/>
      <c r="H32" s="55"/>
      <c r="I32" s="56"/>
      <c r="J32" s="55"/>
      <c r="K32" s="55"/>
      <c r="L32" s="55"/>
      <c r="M32" s="57"/>
      <c r="N32" s="58"/>
      <c r="O32" s="92"/>
      <c r="P32" s="72"/>
      <c r="Q32" s="73"/>
      <c r="R32" s="73"/>
      <c r="S32" s="73"/>
    </row>
    <row r="33" spans="1:19" x14ac:dyDescent="0.3">
      <c r="A33" s="95" t="s">
        <v>134</v>
      </c>
      <c r="B33" s="35"/>
      <c r="C33" s="55"/>
      <c r="D33" s="55"/>
      <c r="E33" s="55"/>
      <c r="F33" s="35"/>
      <c r="G33" s="55"/>
      <c r="H33" s="55"/>
      <c r="I33" s="56"/>
      <c r="J33" s="55"/>
      <c r="K33" s="55"/>
      <c r="L33" s="55"/>
      <c r="M33" s="57"/>
      <c r="N33" s="58"/>
      <c r="O33" s="92"/>
      <c r="P33" s="72"/>
      <c r="Q33" s="73"/>
      <c r="R33" s="73"/>
      <c r="S33" s="73"/>
    </row>
    <row r="34" spans="1:19" x14ac:dyDescent="0.3">
      <c r="A34" s="97"/>
      <c r="B34" s="35"/>
      <c r="C34" s="55"/>
      <c r="D34" s="55"/>
      <c r="E34" s="55"/>
      <c r="F34" s="35"/>
      <c r="G34" s="55"/>
      <c r="H34" s="55"/>
      <c r="I34" s="56"/>
      <c r="J34" s="55"/>
      <c r="K34" s="55"/>
      <c r="L34" s="55"/>
      <c r="M34" s="57"/>
      <c r="N34" s="58"/>
      <c r="O34" s="92"/>
      <c r="P34" s="72"/>
      <c r="Q34" s="73"/>
      <c r="R34" s="73"/>
      <c r="S34" s="73"/>
    </row>
    <row r="35" spans="1:19" x14ac:dyDescent="0.3">
      <c r="A35" s="95" t="s">
        <v>135</v>
      </c>
      <c r="B35" s="35"/>
      <c r="C35" s="55"/>
      <c r="D35" s="55"/>
      <c r="E35" s="55"/>
      <c r="F35" s="35"/>
      <c r="G35" s="55"/>
      <c r="H35" s="55"/>
      <c r="I35" s="56"/>
      <c r="J35" s="55"/>
      <c r="K35" s="55"/>
      <c r="L35" s="55"/>
      <c r="M35" s="57"/>
      <c r="N35" s="58"/>
      <c r="O35" s="92"/>
      <c r="P35" s="72"/>
      <c r="Q35" s="73"/>
      <c r="R35" s="73"/>
      <c r="S35" s="73"/>
    </row>
    <row r="36" spans="1:19" x14ac:dyDescent="0.3">
      <c r="A36" s="97"/>
      <c r="B36" s="35"/>
      <c r="C36" s="55"/>
      <c r="D36" s="55"/>
      <c r="E36" s="55"/>
      <c r="F36" s="35"/>
      <c r="G36" s="55"/>
      <c r="H36" s="55"/>
      <c r="I36" s="56"/>
      <c r="J36" s="55"/>
      <c r="K36" s="55"/>
      <c r="L36" s="55"/>
      <c r="M36" s="57"/>
      <c r="N36" s="58"/>
      <c r="O36" s="92"/>
      <c r="P36" s="72"/>
      <c r="Q36" s="73"/>
      <c r="R36" s="73"/>
      <c r="S36" s="73"/>
    </row>
    <row r="37" spans="1:19" x14ac:dyDescent="0.3">
      <c r="A37" s="95" t="s">
        <v>136</v>
      </c>
      <c r="B37" s="35"/>
      <c r="C37" s="55"/>
      <c r="D37" s="55"/>
      <c r="E37" s="55"/>
      <c r="F37" s="35"/>
      <c r="G37" s="55"/>
      <c r="H37" s="55"/>
      <c r="I37" s="56"/>
      <c r="J37" s="55"/>
      <c r="K37" s="55"/>
      <c r="L37" s="55"/>
      <c r="M37" s="57"/>
      <c r="N37" s="58"/>
      <c r="O37" s="92"/>
      <c r="P37" s="72"/>
      <c r="Q37" s="73"/>
      <c r="R37" s="73"/>
      <c r="S37" s="73"/>
    </row>
    <row r="38" spans="1:19" x14ac:dyDescent="0.3">
      <c r="A38" s="97"/>
      <c r="B38" s="35"/>
      <c r="C38" s="55"/>
      <c r="D38" s="55"/>
      <c r="E38" s="55"/>
      <c r="F38" s="35"/>
      <c r="G38" s="55"/>
      <c r="H38" s="55"/>
      <c r="I38" s="56"/>
      <c r="J38" s="55"/>
      <c r="K38" s="55"/>
      <c r="L38" s="55"/>
      <c r="M38" s="57"/>
      <c r="N38" s="58"/>
      <c r="O38" s="92"/>
      <c r="P38" s="72"/>
      <c r="Q38" s="73"/>
      <c r="R38" s="73"/>
      <c r="S38" s="73"/>
    </row>
    <row r="39" spans="1:19" x14ac:dyDescent="0.3">
      <c r="A39" s="95" t="s">
        <v>137</v>
      </c>
      <c r="B39" s="35"/>
      <c r="C39" s="55"/>
      <c r="D39" s="55"/>
      <c r="E39" s="55"/>
      <c r="F39" s="35"/>
      <c r="G39" s="55"/>
      <c r="H39" s="55"/>
      <c r="I39" s="56"/>
      <c r="J39" s="55"/>
      <c r="K39" s="55"/>
      <c r="L39" s="55"/>
      <c r="M39" s="57"/>
      <c r="N39" s="58"/>
      <c r="O39" s="92"/>
      <c r="P39" s="72"/>
      <c r="Q39" s="73"/>
      <c r="R39" s="73"/>
      <c r="S39" s="73"/>
    </row>
    <row r="40" spans="1:19" x14ac:dyDescent="0.3">
      <c r="A40" s="97"/>
      <c r="B40" s="35"/>
      <c r="C40" s="55"/>
      <c r="D40" s="55"/>
      <c r="E40" s="55"/>
      <c r="F40" s="35"/>
      <c r="G40" s="55"/>
      <c r="H40" s="55"/>
      <c r="I40" s="56"/>
      <c r="J40" s="55"/>
      <c r="K40" s="55"/>
      <c r="L40" s="55"/>
      <c r="M40" s="57"/>
      <c r="N40" s="58"/>
      <c r="O40" s="92"/>
      <c r="P40" s="72"/>
      <c r="Q40" s="73"/>
      <c r="R40" s="73"/>
      <c r="S40" s="73"/>
    </row>
    <row r="41" spans="1:19" x14ac:dyDescent="0.3">
      <c r="A41" s="95" t="s">
        <v>127</v>
      </c>
      <c r="B41" s="35"/>
      <c r="C41" s="55"/>
      <c r="D41" s="55"/>
      <c r="E41" s="55"/>
      <c r="F41" s="35"/>
      <c r="G41" s="55"/>
      <c r="H41" s="55"/>
      <c r="I41" s="56"/>
      <c r="J41" s="55"/>
      <c r="K41" s="55"/>
      <c r="L41" s="55"/>
      <c r="M41" s="57"/>
      <c r="N41" s="58"/>
      <c r="O41" s="92"/>
      <c r="P41" s="72"/>
      <c r="Q41" s="73"/>
      <c r="R41" s="73"/>
      <c r="S41" s="73"/>
    </row>
    <row r="42" spans="1:19" x14ac:dyDescent="0.3">
      <c r="A42" s="97"/>
      <c r="B42" s="35"/>
      <c r="C42" s="55"/>
      <c r="D42" s="55"/>
      <c r="E42" s="55"/>
      <c r="F42" s="35"/>
      <c r="G42" s="55"/>
      <c r="H42" s="55"/>
      <c r="I42" s="56"/>
      <c r="J42" s="55"/>
      <c r="K42" s="55"/>
      <c r="L42" s="55"/>
      <c r="M42" s="57"/>
      <c r="N42" s="58"/>
      <c r="O42" s="92"/>
      <c r="P42" s="72"/>
      <c r="Q42" s="73"/>
      <c r="R42" s="73"/>
      <c r="S42" s="73"/>
    </row>
    <row r="43" spans="1:19" x14ac:dyDescent="0.3">
      <c r="A43" s="94" t="s">
        <v>128</v>
      </c>
      <c r="B43" s="35"/>
      <c r="C43" s="55"/>
      <c r="D43" s="55"/>
      <c r="E43" s="55"/>
      <c r="F43" s="35"/>
      <c r="G43" s="55"/>
      <c r="H43" s="55"/>
      <c r="I43" s="56"/>
      <c r="J43" s="55"/>
      <c r="K43" s="55"/>
      <c r="L43" s="55"/>
      <c r="M43" s="57"/>
      <c r="N43" s="58"/>
      <c r="O43" s="92"/>
      <c r="P43" s="72"/>
      <c r="Q43" s="73"/>
      <c r="R43" s="73"/>
      <c r="S43" s="73"/>
    </row>
    <row r="44" spans="1:19" x14ac:dyDescent="0.3">
      <c r="A44" s="94"/>
      <c r="B44" s="35"/>
      <c r="C44" s="55"/>
      <c r="D44" s="55"/>
      <c r="E44" s="55"/>
      <c r="F44" s="35"/>
      <c r="G44" s="55"/>
      <c r="H44" s="55"/>
      <c r="I44" s="56"/>
      <c r="J44" s="55"/>
      <c r="K44" s="55"/>
      <c r="L44" s="55"/>
      <c r="M44" s="57"/>
      <c r="N44" s="58"/>
      <c r="O44" s="92"/>
      <c r="P44" s="72"/>
      <c r="Q44" s="73"/>
      <c r="R44" s="73"/>
      <c r="S44" s="73"/>
    </row>
    <row r="45" spans="1:19" x14ac:dyDescent="0.3">
      <c r="A45" s="94" t="s">
        <v>129</v>
      </c>
      <c r="B45" s="35"/>
      <c r="C45" s="55"/>
      <c r="D45" s="55"/>
      <c r="E45" s="55"/>
      <c r="F45" s="35"/>
      <c r="G45" s="55"/>
      <c r="H45" s="55"/>
      <c r="I45" s="56"/>
      <c r="J45" s="55"/>
      <c r="K45" s="55"/>
      <c r="L45" s="55"/>
      <c r="M45" s="57"/>
      <c r="N45" s="58"/>
      <c r="O45" s="92"/>
      <c r="P45" s="72"/>
      <c r="Q45" s="73"/>
      <c r="R45" s="73"/>
      <c r="S45" s="73"/>
    </row>
    <row r="46" spans="1:19" x14ac:dyDescent="0.3">
      <c r="A46" s="94"/>
      <c r="B46" s="35"/>
      <c r="C46" s="55"/>
      <c r="D46" s="55"/>
      <c r="E46" s="55"/>
      <c r="F46" s="35"/>
      <c r="G46" s="55"/>
      <c r="H46" s="55"/>
      <c r="I46" s="56"/>
      <c r="J46" s="55"/>
      <c r="K46" s="55"/>
      <c r="L46" s="55"/>
      <c r="M46" s="57"/>
      <c r="N46" s="58"/>
      <c r="O46" s="92"/>
      <c r="P46" s="72"/>
      <c r="Q46" s="73"/>
      <c r="R46" s="73"/>
      <c r="S46" s="73"/>
    </row>
    <row r="47" spans="1:19" x14ac:dyDescent="0.3">
      <c r="A47" s="94"/>
      <c r="B47" s="35"/>
      <c r="C47" s="55"/>
      <c r="D47" s="55"/>
      <c r="E47" s="55"/>
      <c r="F47" s="35"/>
      <c r="G47" s="55"/>
      <c r="H47" s="55"/>
      <c r="I47" s="56"/>
      <c r="J47" s="55"/>
      <c r="K47" s="55"/>
      <c r="L47" s="55"/>
      <c r="M47" s="57"/>
      <c r="N47" s="58"/>
      <c r="O47" s="92"/>
      <c r="P47" s="72"/>
      <c r="Q47" s="73"/>
      <c r="R47" s="73"/>
      <c r="S47" s="73"/>
    </row>
    <row r="48" spans="1:19" x14ac:dyDescent="0.3">
      <c r="A48" s="94"/>
      <c r="B48" s="35"/>
      <c r="C48" s="55"/>
      <c r="D48" s="55"/>
      <c r="E48" s="55"/>
      <c r="F48" s="35"/>
      <c r="G48" s="55"/>
      <c r="H48" s="55"/>
      <c r="I48" s="56"/>
      <c r="J48" s="55"/>
      <c r="K48" s="55"/>
      <c r="L48" s="55"/>
      <c r="M48" s="57"/>
      <c r="N48" s="58"/>
      <c r="O48" s="92"/>
      <c r="P48" s="72"/>
      <c r="Q48" s="73"/>
      <c r="R48" s="73"/>
      <c r="S48" s="73"/>
    </row>
    <row r="49" spans="1:19" x14ac:dyDescent="0.3">
      <c r="A49" s="94"/>
      <c r="B49" s="35"/>
      <c r="C49" s="55"/>
      <c r="D49" s="55"/>
      <c r="E49" s="55"/>
      <c r="F49" s="35"/>
      <c r="G49" s="55"/>
      <c r="H49" s="55"/>
      <c r="I49" s="56"/>
      <c r="J49" s="55"/>
      <c r="K49" s="55"/>
      <c r="L49" s="55"/>
      <c r="M49" s="57"/>
      <c r="N49" s="58"/>
      <c r="O49" s="92"/>
      <c r="P49" s="72"/>
      <c r="Q49" s="73"/>
      <c r="R49" s="73"/>
      <c r="S49" s="73"/>
    </row>
    <row r="50" spans="1:19" x14ac:dyDescent="0.3">
      <c r="A50" s="94"/>
      <c r="B50" s="35"/>
      <c r="C50" s="55"/>
      <c r="D50" s="55"/>
      <c r="E50" s="55"/>
      <c r="F50" s="35"/>
      <c r="G50" s="55"/>
      <c r="H50" s="55"/>
      <c r="I50" s="56"/>
      <c r="J50" s="55"/>
      <c r="K50" s="55"/>
      <c r="L50" s="55"/>
      <c r="M50" s="57"/>
      <c r="N50" s="58"/>
      <c r="O50" s="92"/>
      <c r="P50" s="72"/>
      <c r="Q50" s="73"/>
      <c r="R50" s="73"/>
      <c r="S50" s="73"/>
    </row>
    <row r="51" spans="1:19" x14ac:dyDescent="0.3">
      <c r="A51" s="94"/>
      <c r="B51" s="35"/>
      <c r="C51" s="55"/>
      <c r="D51" s="55"/>
      <c r="E51" s="55"/>
      <c r="F51" s="35"/>
      <c r="G51" s="55"/>
      <c r="H51" s="55"/>
      <c r="I51" s="56"/>
      <c r="J51" s="55"/>
      <c r="K51" s="55"/>
      <c r="L51" s="55"/>
      <c r="M51" s="57"/>
      <c r="N51" s="58"/>
      <c r="O51" s="92"/>
      <c r="P51" s="72"/>
      <c r="Q51" s="73"/>
      <c r="R51" s="73"/>
      <c r="S51" s="73"/>
    </row>
    <row r="52" spans="1:19" x14ac:dyDescent="0.3">
      <c r="A52" s="94"/>
      <c r="B52" s="35"/>
      <c r="C52" s="55"/>
      <c r="D52" s="55"/>
      <c r="E52" s="55"/>
      <c r="F52" s="35"/>
      <c r="G52" s="55"/>
      <c r="H52" s="55"/>
      <c r="I52" s="56"/>
      <c r="J52" s="55"/>
      <c r="K52" s="55"/>
      <c r="L52" s="55"/>
      <c r="M52" s="57"/>
      <c r="N52" s="58"/>
      <c r="O52" s="92"/>
      <c r="P52" s="72"/>
      <c r="Q52" s="73"/>
      <c r="R52" s="73"/>
      <c r="S52" s="73"/>
    </row>
    <row r="53" spans="1:19" x14ac:dyDescent="0.3">
      <c r="A53" s="94"/>
      <c r="B53" s="35"/>
      <c r="C53" s="55"/>
      <c r="D53" s="55"/>
      <c r="E53" s="55"/>
      <c r="F53" s="35"/>
      <c r="G53" s="55"/>
      <c r="H53" s="55"/>
      <c r="I53" s="56"/>
      <c r="J53" s="55"/>
      <c r="K53" s="55"/>
      <c r="L53" s="55"/>
      <c r="M53" s="57"/>
      <c r="N53" s="58"/>
      <c r="O53" s="92"/>
      <c r="P53" s="72"/>
      <c r="Q53" s="73"/>
      <c r="R53" s="73"/>
      <c r="S53" s="73"/>
    </row>
    <row r="54" spans="1:19" x14ac:dyDescent="0.3">
      <c r="A54" s="94"/>
      <c r="B54" s="35"/>
      <c r="C54" s="55"/>
      <c r="D54" s="55"/>
      <c r="E54" s="55"/>
      <c r="F54" s="35"/>
      <c r="G54" s="55"/>
      <c r="H54" s="55"/>
      <c r="I54" s="56"/>
      <c r="J54" s="55"/>
      <c r="K54" s="55"/>
      <c r="L54" s="55"/>
      <c r="M54" s="57"/>
      <c r="N54" s="58"/>
      <c r="O54" s="92"/>
      <c r="P54" s="72"/>
      <c r="Q54" s="73"/>
      <c r="R54" s="73"/>
      <c r="S54" s="73"/>
    </row>
    <row r="55" spans="1:19" x14ac:dyDescent="0.3">
      <c r="A55" s="94"/>
      <c r="B55" s="35"/>
      <c r="C55" s="55"/>
      <c r="D55" s="55"/>
      <c r="E55" s="55"/>
      <c r="F55" s="35"/>
      <c r="G55" s="55"/>
      <c r="H55" s="55"/>
      <c r="I55" s="56"/>
      <c r="J55" s="55"/>
      <c r="K55" s="55"/>
      <c r="L55" s="55"/>
      <c r="M55" s="57"/>
      <c r="N55" s="58"/>
      <c r="O55" s="92"/>
      <c r="P55" s="72"/>
      <c r="Q55" s="73"/>
      <c r="R55" s="73"/>
      <c r="S55" s="73"/>
    </row>
    <row r="56" spans="1:19" x14ac:dyDescent="0.3">
      <c r="A56" s="94"/>
      <c r="B56" s="35"/>
      <c r="C56" s="55"/>
      <c r="D56" s="55"/>
      <c r="E56" s="55"/>
      <c r="F56" s="35"/>
      <c r="G56" s="55"/>
      <c r="H56" s="55"/>
      <c r="I56" s="56"/>
      <c r="J56" s="55"/>
      <c r="K56" s="55"/>
      <c r="L56" s="55"/>
      <c r="M56" s="57"/>
      <c r="N56" s="58"/>
      <c r="O56" s="92"/>
      <c r="P56" s="72"/>
      <c r="Q56" s="73"/>
      <c r="R56" s="73"/>
      <c r="S56" s="73"/>
    </row>
    <row r="57" spans="1:19" x14ac:dyDescent="0.3">
      <c r="A57" s="94"/>
      <c r="B57" s="35"/>
      <c r="C57" s="55"/>
      <c r="D57" s="55"/>
      <c r="E57" s="55"/>
      <c r="F57" s="35"/>
      <c r="G57" s="55"/>
      <c r="H57" s="55"/>
      <c r="I57" s="56"/>
      <c r="J57" s="55"/>
      <c r="K57" s="55"/>
      <c r="L57" s="55"/>
      <c r="M57" s="57"/>
      <c r="N57" s="58"/>
      <c r="O57" s="92"/>
      <c r="P57" s="72"/>
      <c r="Q57" s="73"/>
      <c r="R57" s="73"/>
      <c r="S57" s="73"/>
    </row>
    <row r="58" spans="1:19" x14ac:dyDescent="0.3">
      <c r="A58" s="94"/>
      <c r="B58" s="35"/>
      <c r="C58" s="55"/>
      <c r="D58" s="55"/>
      <c r="E58" s="55"/>
      <c r="F58" s="35"/>
      <c r="G58" s="55"/>
      <c r="H58" s="55"/>
      <c r="I58" s="56"/>
      <c r="J58" s="55"/>
      <c r="K58" s="55"/>
      <c r="L58" s="55"/>
      <c r="M58" s="57"/>
      <c r="N58" s="58"/>
      <c r="O58" s="92"/>
      <c r="P58" s="72"/>
      <c r="Q58" s="73"/>
      <c r="R58" s="73"/>
      <c r="S58" s="73"/>
    </row>
    <row r="59" spans="1:19" x14ac:dyDescent="0.3">
      <c r="A59" s="94"/>
      <c r="B59" s="35"/>
      <c r="C59" s="55"/>
      <c r="D59" s="55"/>
      <c r="E59" s="55"/>
      <c r="F59" s="35"/>
      <c r="G59" s="55"/>
      <c r="H59" s="55"/>
      <c r="I59" s="56"/>
      <c r="J59" s="55"/>
      <c r="K59" s="55"/>
      <c r="L59" s="55"/>
      <c r="M59" s="57"/>
      <c r="N59" s="58"/>
      <c r="O59" s="92"/>
      <c r="P59" s="72"/>
      <c r="Q59" s="73"/>
      <c r="R59" s="73"/>
      <c r="S59" s="73"/>
    </row>
    <row r="60" spans="1:19" x14ac:dyDescent="0.3">
      <c r="A60" s="94"/>
      <c r="B60" s="35"/>
      <c r="C60" s="55"/>
      <c r="D60" s="55"/>
      <c r="E60" s="55"/>
      <c r="F60" s="35"/>
      <c r="G60" s="55"/>
      <c r="H60" s="55"/>
      <c r="I60" s="56"/>
      <c r="J60" s="55"/>
      <c r="K60" s="55"/>
      <c r="L60" s="55"/>
      <c r="M60" s="57"/>
      <c r="N60" s="58"/>
      <c r="O60" s="92"/>
      <c r="P60" s="72"/>
      <c r="Q60" s="73"/>
      <c r="R60" s="73"/>
      <c r="S60" s="73"/>
    </row>
    <row r="61" spans="1:19" x14ac:dyDescent="0.3">
      <c r="A61" s="94"/>
      <c r="B61" s="35"/>
      <c r="C61" s="55"/>
      <c r="D61" s="55"/>
      <c r="E61" s="55"/>
      <c r="F61" s="35"/>
      <c r="G61" s="55"/>
      <c r="H61" s="55"/>
      <c r="I61" s="56"/>
      <c r="J61" s="55"/>
      <c r="K61" s="55"/>
      <c r="L61" s="55"/>
      <c r="M61" s="57"/>
      <c r="N61" s="58"/>
      <c r="O61" s="92"/>
      <c r="P61" s="72"/>
      <c r="Q61" s="73"/>
      <c r="R61" s="73"/>
      <c r="S61" s="73"/>
    </row>
    <row r="62" spans="1:19" x14ac:dyDescent="0.3">
      <c r="A62" s="94"/>
      <c r="B62" s="35"/>
      <c r="C62" s="55"/>
      <c r="D62" s="55"/>
      <c r="E62" s="55"/>
      <c r="F62" s="35"/>
      <c r="G62" s="55"/>
      <c r="H62" s="55"/>
      <c r="I62" s="56"/>
      <c r="J62" s="55"/>
      <c r="K62" s="55"/>
      <c r="L62" s="55"/>
      <c r="M62" s="57"/>
      <c r="N62" s="58"/>
      <c r="O62" s="92"/>
      <c r="P62" s="72"/>
      <c r="Q62" s="73"/>
      <c r="R62" s="73"/>
      <c r="S62" s="73"/>
    </row>
    <row r="63" spans="1:19" x14ac:dyDescent="0.3">
      <c r="A63" s="94"/>
      <c r="B63" s="35"/>
      <c r="C63" s="55"/>
      <c r="D63" s="55"/>
      <c r="E63" s="55"/>
      <c r="F63" s="35"/>
      <c r="G63" s="55"/>
      <c r="H63" s="55"/>
      <c r="I63" s="56"/>
      <c r="J63" s="55"/>
      <c r="K63" s="55"/>
      <c r="L63" s="55"/>
      <c r="M63" s="57"/>
      <c r="N63" s="58"/>
      <c r="O63" s="92"/>
      <c r="P63" s="72"/>
      <c r="Q63" s="73"/>
      <c r="R63" s="73"/>
      <c r="S63" s="73"/>
    </row>
    <row r="64" spans="1:19" x14ac:dyDescent="0.3">
      <c r="A64" s="94"/>
      <c r="B64" s="35"/>
      <c r="C64" s="55"/>
      <c r="D64" s="55"/>
      <c r="E64" s="55"/>
      <c r="F64" s="35"/>
      <c r="G64" s="55"/>
      <c r="H64" s="55"/>
      <c r="I64" s="56"/>
      <c r="J64" s="55"/>
      <c r="K64" s="55"/>
      <c r="L64" s="55"/>
      <c r="M64" s="57"/>
      <c r="N64" s="58"/>
      <c r="O64" s="92"/>
      <c r="P64" s="72"/>
      <c r="Q64" s="73"/>
      <c r="R64" s="73"/>
      <c r="S64" s="73"/>
    </row>
    <row r="65" spans="1:19" x14ac:dyDescent="0.3">
      <c r="A65" s="94"/>
      <c r="B65" s="35"/>
      <c r="C65" s="55"/>
      <c r="D65" s="55"/>
      <c r="E65" s="55"/>
      <c r="F65" s="35"/>
      <c r="G65" s="55"/>
      <c r="H65" s="55"/>
      <c r="I65" s="56"/>
      <c r="J65" s="55"/>
      <c r="K65" s="55"/>
      <c r="L65" s="55"/>
      <c r="M65" s="57"/>
      <c r="N65" s="58"/>
      <c r="O65" s="92"/>
      <c r="P65" s="72"/>
      <c r="Q65" s="73"/>
      <c r="R65" s="73"/>
      <c r="S65" s="73"/>
    </row>
    <row r="66" spans="1:19" x14ac:dyDescent="0.3">
      <c r="A66" s="94"/>
      <c r="B66" s="35"/>
      <c r="C66" s="55"/>
      <c r="D66" s="55"/>
      <c r="E66" s="55"/>
      <c r="F66" s="35"/>
      <c r="G66" s="55"/>
      <c r="H66" s="55"/>
      <c r="I66" s="56"/>
      <c r="J66" s="55"/>
      <c r="K66" s="55"/>
      <c r="L66" s="55"/>
      <c r="M66" s="57"/>
      <c r="N66" s="58"/>
      <c r="O66" s="92"/>
      <c r="P66" s="72"/>
      <c r="Q66" s="73"/>
      <c r="R66" s="73"/>
      <c r="S66" s="73"/>
    </row>
    <row r="67" spans="1:19" x14ac:dyDescent="0.3">
      <c r="A67" s="94"/>
      <c r="B67" s="35"/>
      <c r="C67" s="55"/>
      <c r="D67" s="55"/>
      <c r="E67" s="55"/>
      <c r="F67" s="35"/>
      <c r="G67" s="55"/>
      <c r="H67" s="55"/>
      <c r="I67" s="56"/>
      <c r="J67" s="55"/>
      <c r="K67" s="55"/>
      <c r="L67" s="55"/>
      <c r="M67" s="57"/>
      <c r="N67" s="58"/>
      <c r="O67" s="92"/>
      <c r="P67" s="72"/>
      <c r="Q67" s="73"/>
      <c r="R67" s="73"/>
      <c r="S67" s="73"/>
    </row>
    <row r="68" spans="1:19" x14ac:dyDescent="0.3">
      <c r="A68" s="94"/>
      <c r="B68" s="35"/>
      <c r="C68" s="55"/>
      <c r="D68" s="55"/>
      <c r="E68" s="55"/>
      <c r="F68" s="35"/>
      <c r="G68" s="55"/>
      <c r="H68" s="55"/>
      <c r="I68" s="56"/>
      <c r="J68" s="55"/>
      <c r="K68" s="55"/>
      <c r="L68" s="55"/>
      <c r="M68" s="57"/>
      <c r="N68" s="58"/>
      <c r="O68" s="92"/>
      <c r="P68" s="72"/>
      <c r="Q68" s="73"/>
      <c r="R68" s="73"/>
      <c r="S68" s="73"/>
    </row>
    <row r="69" spans="1:19" x14ac:dyDescent="0.3">
      <c r="A69" s="94"/>
      <c r="B69" s="35"/>
      <c r="C69" s="55"/>
      <c r="D69" s="55"/>
      <c r="E69" s="55"/>
      <c r="F69" s="35"/>
      <c r="G69" s="55"/>
      <c r="H69" s="55"/>
      <c r="I69" s="56"/>
      <c r="J69" s="55"/>
      <c r="K69" s="55"/>
      <c r="L69" s="55"/>
      <c r="M69" s="57"/>
      <c r="N69" s="58"/>
      <c r="O69" s="92"/>
      <c r="P69" s="72"/>
      <c r="Q69" s="73"/>
      <c r="R69" s="73"/>
      <c r="S69" s="73"/>
    </row>
    <row r="70" spans="1:19" x14ac:dyDescent="0.3">
      <c r="A70" s="94"/>
      <c r="B70" s="35"/>
      <c r="C70" s="55"/>
      <c r="D70" s="55"/>
      <c r="E70" s="55"/>
      <c r="F70" s="35"/>
      <c r="G70" s="55"/>
      <c r="H70" s="55"/>
      <c r="I70" s="56"/>
      <c r="J70" s="55"/>
      <c r="K70" s="55"/>
      <c r="L70" s="55"/>
      <c r="M70" s="57"/>
      <c r="N70" s="58"/>
      <c r="O70" s="92"/>
      <c r="P70" s="72"/>
      <c r="Q70" s="73"/>
      <c r="R70" s="73"/>
      <c r="S70" s="73"/>
    </row>
    <row r="71" spans="1:19" x14ac:dyDescent="0.3">
      <c r="A71" s="94"/>
      <c r="B71" s="35"/>
      <c r="C71" s="55"/>
      <c r="D71" s="55"/>
      <c r="E71" s="55"/>
      <c r="F71" s="35"/>
      <c r="G71" s="55"/>
      <c r="H71" s="55"/>
      <c r="I71" s="56"/>
      <c r="J71" s="55"/>
      <c r="K71" s="55"/>
      <c r="L71" s="55"/>
      <c r="M71" s="57"/>
      <c r="N71" s="58"/>
      <c r="O71" s="92"/>
      <c r="P71" s="72"/>
      <c r="Q71" s="73"/>
      <c r="R71" s="73"/>
      <c r="S71" s="73"/>
    </row>
    <row r="72" spans="1:19" x14ac:dyDescent="0.3">
      <c r="A72" s="94"/>
      <c r="B72" s="35"/>
      <c r="C72" s="55"/>
      <c r="D72" s="55"/>
      <c r="E72" s="55"/>
      <c r="F72" s="35"/>
      <c r="G72" s="55"/>
      <c r="H72" s="55"/>
      <c r="I72" s="56"/>
      <c r="J72" s="55"/>
      <c r="K72" s="55"/>
      <c r="L72" s="55"/>
      <c r="M72" s="57"/>
      <c r="N72" s="58"/>
      <c r="O72" s="92"/>
      <c r="P72" s="72"/>
      <c r="Q72" s="73"/>
      <c r="R72" s="73"/>
      <c r="S72" s="73"/>
    </row>
    <row r="73" spans="1:19" x14ac:dyDescent="0.3">
      <c r="A73" s="94"/>
      <c r="B73" s="35"/>
      <c r="C73" s="55"/>
      <c r="D73" s="55"/>
      <c r="E73" s="55"/>
      <c r="F73" s="35"/>
      <c r="G73" s="55"/>
      <c r="H73" s="55"/>
      <c r="I73" s="56"/>
      <c r="J73" s="55"/>
      <c r="K73" s="55"/>
      <c r="L73" s="55"/>
      <c r="M73" s="57"/>
      <c r="N73" s="58"/>
      <c r="O73" s="92"/>
      <c r="P73" s="72"/>
      <c r="Q73" s="73"/>
      <c r="R73" s="73"/>
      <c r="S73" s="73"/>
    </row>
    <row r="74" spans="1:19" x14ac:dyDescent="0.3">
      <c r="A74" s="94"/>
      <c r="B74" s="35"/>
      <c r="C74" s="55"/>
      <c r="D74" s="55"/>
      <c r="E74" s="55"/>
      <c r="F74" s="35"/>
      <c r="G74" s="55"/>
      <c r="H74" s="55"/>
      <c r="I74" s="56"/>
      <c r="J74" s="55"/>
      <c r="K74" s="55"/>
      <c r="L74" s="55"/>
      <c r="M74" s="57"/>
      <c r="N74" s="58"/>
      <c r="O74" s="92"/>
      <c r="P74" s="72"/>
      <c r="Q74" s="73"/>
      <c r="R74" s="73"/>
      <c r="S74" s="73"/>
    </row>
    <row r="75" spans="1:19" x14ac:dyDescent="0.3">
      <c r="A75" s="94"/>
      <c r="B75" s="35"/>
      <c r="C75" s="55"/>
      <c r="D75" s="55"/>
      <c r="E75" s="55"/>
      <c r="F75" s="35"/>
      <c r="G75" s="55"/>
      <c r="H75" s="55"/>
      <c r="I75" s="56"/>
      <c r="J75" s="55"/>
      <c r="K75" s="55"/>
      <c r="L75" s="55"/>
      <c r="M75" s="57"/>
      <c r="N75" s="58"/>
      <c r="O75" s="92"/>
      <c r="P75" s="72"/>
      <c r="Q75" s="73"/>
      <c r="R75" s="73"/>
      <c r="S75" s="73"/>
    </row>
    <row r="76" spans="1:19" x14ac:dyDescent="0.3">
      <c r="A76" s="94"/>
      <c r="B76" s="35"/>
      <c r="C76" s="55"/>
      <c r="D76" s="55"/>
      <c r="E76" s="55"/>
      <c r="F76" s="35"/>
      <c r="G76" s="55"/>
      <c r="H76" s="55"/>
      <c r="I76" s="56"/>
      <c r="J76" s="55"/>
      <c r="K76" s="55"/>
      <c r="L76" s="55"/>
      <c r="M76" s="57"/>
      <c r="N76" s="58"/>
      <c r="O76" s="92"/>
      <c r="P76" s="72"/>
      <c r="Q76" s="73"/>
      <c r="R76" s="73"/>
      <c r="S76" s="73"/>
    </row>
    <row r="77" spans="1:19" x14ac:dyDescent="0.3">
      <c r="A77" s="94"/>
      <c r="B77" s="35"/>
      <c r="C77" s="55"/>
      <c r="D77" s="55"/>
      <c r="E77" s="55"/>
      <c r="F77" s="35"/>
      <c r="G77" s="55"/>
      <c r="H77" s="55"/>
      <c r="I77" s="56"/>
      <c r="J77" s="55"/>
      <c r="K77" s="55"/>
      <c r="L77" s="55"/>
      <c r="M77" s="57"/>
      <c r="N77" s="58"/>
      <c r="O77" s="92"/>
      <c r="P77" s="72"/>
      <c r="Q77" s="73"/>
      <c r="R77" s="73"/>
      <c r="S77" s="73"/>
    </row>
    <row r="78" spans="1:19" x14ac:dyDescent="0.3">
      <c r="A78" s="94"/>
      <c r="B78" s="35"/>
      <c r="C78" s="55"/>
      <c r="D78" s="55"/>
      <c r="E78" s="55"/>
      <c r="F78" s="35"/>
      <c r="G78" s="55"/>
      <c r="H78" s="55"/>
      <c r="I78" s="56"/>
      <c r="J78" s="55"/>
      <c r="K78" s="55"/>
      <c r="L78" s="55"/>
      <c r="M78" s="57"/>
      <c r="N78" s="58"/>
      <c r="O78" s="92"/>
      <c r="P78" s="72"/>
      <c r="Q78" s="73"/>
      <c r="R78" s="73"/>
      <c r="S78" s="73"/>
    </row>
    <row r="79" spans="1:19" x14ac:dyDescent="0.3">
      <c r="A79" s="94"/>
      <c r="B79" s="35"/>
      <c r="C79" s="55"/>
      <c r="D79" s="55"/>
      <c r="E79" s="55"/>
      <c r="F79" s="35"/>
      <c r="G79" s="55"/>
      <c r="H79" s="55"/>
      <c r="I79" s="56"/>
      <c r="J79" s="55"/>
      <c r="K79" s="55"/>
      <c r="L79" s="55"/>
      <c r="M79" s="57"/>
      <c r="N79" s="58"/>
      <c r="O79" s="92"/>
      <c r="P79" s="72"/>
      <c r="Q79" s="73"/>
      <c r="R79" s="73"/>
      <c r="S79" s="73"/>
    </row>
    <row r="80" spans="1:19" x14ac:dyDescent="0.3">
      <c r="A80" s="94"/>
      <c r="B80" s="35"/>
      <c r="C80" s="55"/>
      <c r="D80" s="55"/>
      <c r="E80" s="55"/>
      <c r="F80" s="35"/>
      <c r="G80" s="55"/>
      <c r="H80" s="55"/>
      <c r="I80" s="56"/>
      <c r="J80" s="55"/>
      <c r="K80" s="55"/>
      <c r="L80" s="55"/>
      <c r="M80" s="57"/>
      <c r="N80" s="58"/>
      <c r="O80" s="92"/>
      <c r="P80" s="72"/>
      <c r="Q80" s="73"/>
      <c r="R80" s="73"/>
      <c r="S80" s="73"/>
    </row>
    <row r="81" spans="1:19" x14ac:dyDescent="0.3">
      <c r="A81" s="94"/>
      <c r="B81" s="35"/>
      <c r="C81" s="55"/>
      <c r="D81" s="55"/>
      <c r="E81" s="55"/>
      <c r="F81" s="35"/>
      <c r="G81" s="55"/>
      <c r="H81" s="55"/>
      <c r="I81" s="56"/>
      <c r="J81" s="55"/>
      <c r="K81" s="55"/>
      <c r="L81" s="55"/>
      <c r="M81" s="57"/>
      <c r="N81" s="58"/>
      <c r="O81" s="92"/>
      <c r="P81" s="72"/>
      <c r="Q81" s="73"/>
      <c r="R81" s="73"/>
      <c r="S81" s="73"/>
    </row>
    <row r="82" spans="1:19" x14ac:dyDescent="0.3">
      <c r="A82" s="94"/>
      <c r="B82" s="35"/>
      <c r="C82" s="55"/>
      <c r="D82" s="55"/>
      <c r="E82" s="55"/>
      <c r="F82" s="35"/>
      <c r="G82" s="55"/>
      <c r="H82" s="55"/>
      <c r="I82" s="56"/>
      <c r="J82" s="55"/>
      <c r="K82" s="55"/>
      <c r="L82" s="55"/>
      <c r="M82" s="57"/>
      <c r="N82" s="58"/>
      <c r="O82" s="92"/>
      <c r="P82" s="72"/>
      <c r="Q82" s="73"/>
      <c r="R82" s="73"/>
      <c r="S82" s="73"/>
    </row>
    <row r="83" spans="1:19" x14ac:dyDescent="0.3">
      <c r="A83" s="94"/>
      <c r="B83" s="35"/>
      <c r="C83" s="55"/>
      <c r="D83" s="55"/>
      <c r="E83" s="55"/>
      <c r="F83" s="35"/>
      <c r="G83" s="55"/>
      <c r="H83" s="55"/>
      <c r="I83" s="56"/>
      <c r="J83" s="55"/>
      <c r="K83" s="55"/>
      <c r="L83" s="55"/>
      <c r="M83" s="57"/>
      <c r="N83" s="58"/>
      <c r="O83" s="92"/>
      <c r="P83" s="72"/>
      <c r="Q83" s="73"/>
      <c r="R83" s="73"/>
      <c r="S83" s="73"/>
    </row>
    <row r="84" spans="1:19" x14ac:dyDescent="0.3">
      <c r="A84" s="94"/>
      <c r="B84" s="35"/>
      <c r="C84" s="55"/>
      <c r="D84" s="55"/>
      <c r="E84" s="55"/>
      <c r="F84" s="35"/>
      <c r="G84" s="55"/>
      <c r="H84" s="55"/>
      <c r="I84" s="56"/>
      <c r="J84" s="55"/>
      <c r="K84" s="55"/>
      <c r="L84" s="55"/>
      <c r="M84" s="57"/>
      <c r="N84" s="58"/>
      <c r="O84" s="92"/>
      <c r="P84" s="72"/>
      <c r="Q84" s="73"/>
      <c r="R84" s="73"/>
      <c r="S84" s="73"/>
    </row>
    <row r="85" spans="1:19" x14ac:dyDescent="0.3">
      <c r="A85" s="94"/>
      <c r="B85" s="35"/>
      <c r="C85" s="55"/>
      <c r="D85" s="55"/>
      <c r="E85" s="55"/>
      <c r="F85" s="35"/>
      <c r="G85" s="55"/>
      <c r="H85" s="55"/>
      <c r="I85" s="56"/>
      <c r="J85" s="55"/>
      <c r="K85" s="55"/>
      <c r="L85" s="55"/>
      <c r="M85" s="57"/>
      <c r="N85" s="58"/>
      <c r="O85" s="92"/>
      <c r="P85" s="72"/>
      <c r="Q85" s="73"/>
      <c r="R85" s="73"/>
      <c r="S85" s="73"/>
    </row>
    <row r="86" spans="1:19" x14ac:dyDescent="0.3">
      <c r="A86" s="94"/>
      <c r="B86" s="35"/>
      <c r="C86" s="55"/>
      <c r="D86" s="55"/>
      <c r="E86" s="55"/>
      <c r="F86" s="35"/>
      <c r="G86" s="55"/>
      <c r="H86" s="55"/>
      <c r="I86" s="56"/>
      <c r="J86" s="55"/>
      <c r="K86" s="55"/>
      <c r="L86" s="55"/>
      <c r="M86" s="57"/>
      <c r="N86" s="58"/>
      <c r="O86" s="92"/>
      <c r="P86" s="72"/>
      <c r="Q86" s="73"/>
      <c r="R86" s="73"/>
      <c r="S86" s="73"/>
    </row>
    <row r="87" spans="1:19" x14ac:dyDescent="0.3">
      <c r="A87" s="94"/>
      <c r="B87" s="35"/>
      <c r="C87" s="55"/>
      <c r="D87" s="55"/>
      <c r="E87" s="55"/>
      <c r="F87" s="35"/>
      <c r="G87" s="55"/>
      <c r="H87" s="55"/>
      <c r="I87" s="56"/>
      <c r="J87" s="55"/>
      <c r="K87" s="55"/>
      <c r="L87" s="55"/>
      <c r="M87" s="57"/>
      <c r="N87" s="58"/>
      <c r="O87" s="92"/>
      <c r="P87" s="72"/>
      <c r="Q87" s="73"/>
      <c r="R87" s="73"/>
      <c r="S87" s="73"/>
    </row>
    <row r="88" spans="1:19" x14ac:dyDescent="0.3">
      <c r="A88" s="94"/>
      <c r="B88" s="35"/>
      <c r="C88" s="55"/>
      <c r="D88" s="55"/>
      <c r="E88" s="55"/>
      <c r="F88" s="35"/>
      <c r="G88" s="55"/>
      <c r="H88" s="55"/>
      <c r="I88" s="56"/>
      <c r="J88" s="55"/>
      <c r="K88" s="55"/>
      <c r="L88" s="55"/>
      <c r="M88" s="57"/>
      <c r="N88" s="58"/>
      <c r="O88" s="92"/>
      <c r="P88" s="72"/>
      <c r="Q88" s="73"/>
      <c r="R88" s="73"/>
      <c r="S88" s="73"/>
    </row>
    <row r="89" spans="1:19" x14ac:dyDescent="0.3">
      <c r="A89" s="94"/>
      <c r="B89" s="35"/>
      <c r="C89" s="55"/>
      <c r="D89" s="55"/>
      <c r="E89" s="55"/>
      <c r="F89" s="35"/>
      <c r="G89" s="55"/>
      <c r="H89" s="55"/>
      <c r="I89" s="56"/>
      <c r="J89" s="55"/>
      <c r="K89" s="55"/>
      <c r="L89" s="55"/>
      <c r="M89" s="57"/>
      <c r="N89" s="58"/>
      <c r="O89" s="92"/>
      <c r="P89" s="72"/>
      <c r="Q89" s="73"/>
      <c r="R89" s="73"/>
      <c r="S89" s="73"/>
    </row>
    <row r="90" spans="1:19" x14ac:dyDescent="0.3">
      <c r="A90" s="94"/>
      <c r="B90" s="35"/>
      <c r="C90" s="55"/>
      <c r="D90" s="55"/>
      <c r="E90" s="55"/>
      <c r="F90" s="35"/>
      <c r="G90" s="55"/>
      <c r="H90" s="55"/>
      <c r="I90" s="56"/>
      <c r="J90" s="55"/>
      <c r="K90" s="55"/>
      <c r="L90" s="55"/>
      <c r="M90" s="57"/>
      <c r="N90" s="58"/>
      <c r="O90" s="92"/>
      <c r="P90" s="72"/>
      <c r="Q90" s="73"/>
      <c r="R90" s="73"/>
      <c r="S90" s="73"/>
    </row>
    <row r="91" spans="1:19" x14ac:dyDescent="0.3">
      <c r="A91" s="94"/>
      <c r="B91" s="35"/>
      <c r="C91" s="55"/>
      <c r="D91" s="55"/>
      <c r="E91" s="55"/>
      <c r="F91" s="35"/>
      <c r="G91" s="55"/>
      <c r="H91" s="55"/>
      <c r="I91" s="56"/>
      <c r="J91" s="55"/>
      <c r="K91" s="55"/>
      <c r="L91" s="55"/>
      <c r="M91" s="57"/>
      <c r="N91" s="58"/>
      <c r="O91" s="92"/>
      <c r="P91" s="72"/>
      <c r="Q91" s="73"/>
      <c r="R91" s="73"/>
      <c r="S91" s="73"/>
    </row>
    <row r="92" spans="1:19" x14ac:dyDescent="0.3">
      <c r="A92" s="94"/>
      <c r="B92" s="35"/>
      <c r="C92" s="55"/>
      <c r="D92" s="55"/>
      <c r="E92" s="55"/>
      <c r="F92" s="35"/>
      <c r="G92" s="55"/>
      <c r="H92" s="55"/>
      <c r="I92" s="56"/>
      <c r="J92" s="55"/>
      <c r="K92" s="55"/>
      <c r="L92" s="55"/>
      <c r="M92" s="57"/>
      <c r="N92" s="58"/>
      <c r="O92" s="92"/>
      <c r="P92" s="72"/>
      <c r="Q92" s="73"/>
      <c r="R92" s="73"/>
      <c r="S92" s="73"/>
    </row>
    <row r="93" spans="1:19" x14ac:dyDescent="0.3">
      <c r="A93" s="94"/>
      <c r="B93" s="35"/>
      <c r="C93" s="55"/>
      <c r="D93" s="55"/>
      <c r="E93" s="55"/>
      <c r="F93" s="35"/>
      <c r="G93" s="55"/>
      <c r="H93" s="55"/>
      <c r="I93" s="56"/>
      <c r="J93" s="55"/>
      <c r="K93" s="55"/>
      <c r="L93" s="55"/>
      <c r="M93" s="57"/>
      <c r="N93" s="58"/>
      <c r="O93" s="92"/>
      <c r="P93" s="72"/>
      <c r="Q93" s="73"/>
      <c r="R93" s="73"/>
      <c r="S93" s="73"/>
    </row>
    <row r="94" spans="1:19" x14ac:dyDescent="0.3">
      <c r="A94" s="94"/>
      <c r="B94" s="35"/>
      <c r="C94" s="55"/>
      <c r="D94" s="55"/>
      <c r="E94" s="55"/>
      <c r="F94" s="35"/>
      <c r="G94" s="55"/>
      <c r="H94" s="55"/>
      <c r="I94" s="56"/>
      <c r="J94" s="55"/>
      <c r="K94" s="55"/>
      <c r="L94" s="55"/>
      <c r="M94" s="57"/>
      <c r="N94" s="58"/>
      <c r="O94" s="92"/>
      <c r="P94" s="72"/>
      <c r="Q94" s="73"/>
      <c r="R94" s="73"/>
      <c r="S94" s="73"/>
    </row>
    <row r="95" spans="1:19" x14ac:dyDescent="0.3">
      <c r="A95" s="94"/>
      <c r="B95" s="35"/>
      <c r="C95" s="55"/>
      <c r="D95" s="55"/>
      <c r="E95" s="55"/>
      <c r="F95" s="35"/>
      <c r="G95" s="55"/>
      <c r="H95" s="55"/>
      <c r="I95" s="56"/>
      <c r="J95" s="55"/>
      <c r="K95" s="55"/>
      <c r="L95" s="55"/>
      <c r="M95" s="57"/>
      <c r="N95" s="58"/>
      <c r="O95" s="92"/>
      <c r="P95" s="72"/>
      <c r="Q95" s="73"/>
      <c r="R95" s="73"/>
      <c r="S95" s="73"/>
    </row>
    <row r="96" spans="1:19" x14ac:dyDescent="0.3">
      <c r="A96" s="94"/>
      <c r="B96" s="35"/>
      <c r="C96" s="55"/>
      <c r="D96" s="55"/>
      <c r="E96" s="55"/>
      <c r="F96" s="35"/>
      <c r="G96" s="55"/>
      <c r="H96" s="55"/>
      <c r="I96" s="56"/>
      <c r="J96" s="55"/>
      <c r="K96" s="55"/>
      <c r="L96" s="55"/>
      <c r="M96" s="57"/>
      <c r="N96" s="58"/>
      <c r="O96" s="92"/>
      <c r="P96" s="72"/>
      <c r="Q96" s="73"/>
      <c r="R96" s="73"/>
      <c r="S96" s="73"/>
    </row>
    <row r="97" spans="1:19" x14ac:dyDescent="0.3">
      <c r="A97" s="94"/>
      <c r="B97" s="35"/>
      <c r="C97" s="55"/>
      <c r="D97" s="55"/>
      <c r="E97" s="55"/>
      <c r="F97" s="35"/>
      <c r="G97" s="55"/>
      <c r="H97" s="55"/>
      <c r="I97" s="56"/>
      <c r="J97" s="55"/>
      <c r="K97" s="55"/>
      <c r="L97" s="55"/>
      <c r="M97" s="57"/>
      <c r="N97" s="58"/>
      <c r="O97" s="92"/>
      <c r="P97" s="72"/>
      <c r="Q97" s="73"/>
      <c r="R97" s="73"/>
      <c r="S97" s="73"/>
    </row>
    <row r="98" spans="1:19" x14ac:dyDescent="0.3">
      <c r="A98" s="94"/>
      <c r="B98" s="35"/>
      <c r="C98" s="55"/>
      <c r="D98" s="55"/>
      <c r="E98" s="55"/>
      <c r="F98" s="35"/>
      <c r="G98" s="55"/>
      <c r="H98" s="55"/>
      <c r="I98" s="56"/>
      <c r="J98" s="55"/>
      <c r="K98" s="55"/>
      <c r="L98" s="55"/>
      <c r="M98" s="57"/>
      <c r="N98" s="58"/>
      <c r="O98" s="92"/>
      <c r="P98" s="72"/>
      <c r="Q98" s="73"/>
      <c r="R98" s="73"/>
      <c r="S98" s="73"/>
    </row>
    <row r="99" spans="1:19" x14ac:dyDescent="0.3">
      <c r="A99" s="94"/>
      <c r="B99" s="35"/>
      <c r="C99" s="55"/>
      <c r="D99" s="55"/>
      <c r="E99" s="55"/>
      <c r="F99" s="35"/>
      <c r="G99" s="55"/>
      <c r="H99" s="55"/>
      <c r="I99" s="56"/>
      <c r="J99" s="55"/>
      <c r="K99" s="55"/>
      <c r="L99" s="55"/>
      <c r="M99" s="57"/>
      <c r="N99" s="58"/>
      <c r="O99" s="92"/>
      <c r="P99" s="72"/>
      <c r="Q99" s="73"/>
      <c r="R99" s="73"/>
      <c r="S99" s="73"/>
    </row>
    <row r="100" spans="1:19" x14ac:dyDescent="0.3">
      <c r="A100" s="94"/>
      <c r="B100" s="35"/>
      <c r="C100" s="55"/>
      <c r="D100" s="55"/>
      <c r="E100" s="55"/>
      <c r="F100" s="35"/>
      <c r="G100" s="55"/>
      <c r="H100" s="55"/>
      <c r="I100" s="56"/>
      <c r="J100" s="55"/>
      <c r="K100" s="55"/>
      <c r="L100" s="55"/>
      <c r="M100" s="57"/>
      <c r="N100" s="58"/>
      <c r="O100" s="92"/>
      <c r="P100" s="72"/>
      <c r="Q100" s="73"/>
      <c r="R100" s="73"/>
      <c r="S100" s="73"/>
    </row>
    <row r="101" spans="1:19" x14ac:dyDescent="0.3">
      <c r="A101" s="94"/>
      <c r="B101" s="35"/>
      <c r="C101" s="55"/>
      <c r="D101" s="55"/>
      <c r="E101" s="55"/>
      <c r="F101" s="35"/>
      <c r="G101" s="55"/>
      <c r="H101" s="55"/>
      <c r="I101" s="56"/>
      <c r="J101" s="55"/>
      <c r="K101" s="55"/>
      <c r="L101" s="55"/>
      <c r="M101" s="57"/>
      <c r="N101" s="58"/>
      <c r="O101" s="92"/>
      <c r="P101" s="72"/>
      <c r="Q101" s="73"/>
      <c r="R101" s="73"/>
      <c r="S101" s="73"/>
    </row>
    <row r="102" spans="1:19" x14ac:dyDescent="0.3">
      <c r="A102" s="94"/>
      <c r="B102" s="35"/>
      <c r="C102" s="55"/>
      <c r="D102" s="55"/>
      <c r="E102" s="55"/>
      <c r="F102" s="35"/>
      <c r="G102" s="55"/>
      <c r="H102" s="55"/>
      <c r="I102" s="56"/>
      <c r="J102" s="55"/>
      <c r="K102" s="55"/>
      <c r="L102" s="55"/>
      <c r="M102" s="57"/>
      <c r="N102" s="58"/>
      <c r="O102" s="92"/>
      <c r="P102" s="72"/>
      <c r="Q102" s="73"/>
      <c r="R102" s="73"/>
      <c r="S102" s="73"/>
    </row>
    <row r="103" spans="1:19" x14ac:dyDescent="0.3">
      <c r="A103" s="94"/>
      <c r="B103" s="35"/>
      <c r="C103" s="55"/>
      <c r="D103" s="55"/>
      <c r="E103" s="55"/>
      <c r="F103" s="35"/>
      <c r="G103" s="55"/>
      <c r="H103" s="55"/>
      <c r="I103" s="56"/>
      <c r="J103" s="55"/>
      <c r="K103" s="55"/>
      <c r="L103" s="55"/>
      <c r="M103" s="57"/>
      <c r="N103" s="58"/>
      <c r="O103" s="92"/>
      <c r="P103" s="72"/>
      <c r="Q103" s="73"/>
      <c r="R103" s="73"/>
      <c r="S103" s="73"/>
    </row>
    <row r="104" spans="1:19" x14ac:dyDescent="0.3">
      <c r="A104" s="94"/>
      <c r="B104" s="35"/>
      <c r="C104" s="55"/>
      <c r="D104" s="55"/>
      <c r="E104" s="55"/>
      <c r="F104" s="35"/>
      <c r="G104" s="55"/>
      <c r="H104" s="55"/>
      <c r="I104" s="56"/>
      <c r="J104" s="55"/>
      <c r="K104" s="55"/>
      <c r="L104" s="55"/>
      <c r="M104" s="57"/>
      <c r="N104" s="58"/>
      <c r="O104" s="92"/>
      <c r="P104" s="72"/>
      <c r="Q104" s="73"/>
      <c r="R104" s="73"/>
      <c r="S104" s="73"/>
    </row>
    <row r="105" spans="1:19" x14ac:dyDescent="0.3">
      <c r="A105" s="94"/>
      <c r="B105" s="35"/>
      <c r="C105" s="55"/>
      <c r="D105" s="55"/>
      <c r="E105" s="55"/>
      <c r="F105" s="35"/>
      <c r="G105" s="55"/>
      <c r="H105" s="55"/>
      <c r="I105" s="56"/>
      <c r="J105" s="55"/>
      <c r="K105" s="55"/>
      <c r="L105" s="55"/>
      <c r="M105" s="57"/>
      <c r="N105" s="58"/>
      <c r="O105" s="92"/>
      <c r="P105" s="72"/>
      <c r="Q105" s="73"/>
      <c r="R105" s="73"/>
      <c r="S105" s="73"/>
    </row>
    <row r="106" spans="1:19" x14ac:dyDescent="0.3">
      <c r="A106" s="94"/>
      <c r="B106" s="35"/>
      <c r="C106" s="55"/>
      <c r="D106" s="55"/>
      <c r="E106" s="55"/>
      <c r="F106" s="35"/>
      <c r="G106" s="55"/>
      <c r="H106" s="55"/>
      <c r="I106" s="56"/>
      <c r="J106" s="55"/>
      <c r="K106" s="55"/>
      <c r="L106" s="55"/>
      <c r="M106" s="57"/>
      <c r="N106" s="58"/>
      <c r="O106" s="92"/>
      <c r="P106" s="72"/>
      <c r="Q106" s="73"/>
      <c r="R106" s="73"/>
      <c r="S106" s="73"/>
    </row>
    <row r="107" spans="1:19" x14ac:dyDescent="0.3">
      <c r="A107" s="94"/>
      <c r="B107" s="35"/>
      <c r="C107" s="55"/>
      <c r="D107" s="55"/>
      <c r="E107" s="55"/>
      <c r="F107" s="35"/>
      <c r="G107" s="55"/>
      <c r="H107" s="55"/>
      <c r="I107" s="56"/>
      <c r="J107" s="55"/>
      <c r="K107" s="55"/>
      <c r="L107" s="55"/>
      <c r="M107" s="57"/>
      <c r="N107" s="58"/>
      <c r="O107" s="92"/>
      <c r="P107" s="72"/>
      <c r="Q107" s="73"/>
      <c r="R107" s="73"/>
      <c r="S107" s="73"/>
    </row>
    <row r="108" spans="1:19" x14ac:dyDescent="0.3">
      <c r="A108" s="94"/>
      <c r="B108" s="35"/>
      <c r="C108" s="55"/>
      <c r="D108" s="55"/>
      <c r="E108" s="55"/>
      <c r="F108" s="35"/>
      <c r="G108" s="55"/>
      <c r="H108" s="55"/>
      <c r="I108" s="56"/>
      <c r="J108" s="55"/>
      <c r="K108" s="55"/>
      <c r="L108" s="55"/>
      <c r="M108" s="57"/>
      <c r="N108" s="58"/>
      <c r="O108" s="92"/>
      <c r="P108" s="72"/>
      <c r="Q108" s="73"/>
      <c r="R108" s="73"/>
      <c r="S108" s="73"/>
    </row>
    <row r="109" spans="1:19" x14ac:dyDescent="0.3">
      <c r="A109" s="94"/>
      <c r="B109" s="35"/>
      <c r="C109" s="55"/>
      <c r="D109" s="55"/>
      <c r="E109" s="55"/>
      <c r="F109" s="35"/>
      <c r="G109" s="55"/>
      <c r="H109" s="55"/>
      <c r="I109" s="56"/>
      <c r="J109" s="55"/>
      <c r="K109" s="55"/>
      <c r="L109" s="55"/>
      <c r="M109" s="57"/>
      <c r="N109" s="58"/>
      <c r="O109" s="92"/>
      <c r="P109" s="72"/>
      <c r="Q109" s="73"/>
      <c r="R109" s="73"/>
      <c r="S109" s="73"/>
    </row>
    <row r="110" spans="1:19" x14ac:dyDescent="0.3">
      <c r="A110" s="94"/>
      <c r="B110" s="35"/>
      <c r="C110" s="55"/>
      <c r="D110" s="55"/>
      <c r="E110" s="55"/>
      <c r="F110" s="35"/>
      <c r="G110" s="55"/>
      <c r="H110" s="55"/>
      <c r="I110" s="56"/>
      <c r="J110" s="55"/>
      <c r="K110" s="55"/>
      <c r="L110" s="55"/>
      <c r="M110" s="57"/>
      <c r="N110" s="58"/>
      <c r="O110" s="92"/>
      <c r="P110" s="72"/>
      <c r="Q110" s="73"/>
      <c r="R110" s="73"/>
      <c r="S110" s="73"/>
    </row>
    <row r="111" spans="1:19" x14ac:dyDescent="0.3">
      <c r="A111" s="94"/>
      <c r="B111" s="35"/>
      <c r="C111" s="55"/>
      <c r="D111" s="55"/>
      <c r="E111" s="55"/>
      <c r="F111" s="35"/>
      <c r="G111" s="55"/>
      <c r="H111" s="55"/>
      <c r="I111" s="56"/>
      <c r="J111" s="55"/>
      <c r="K111" s="55"/>
      <c r="L111" s="55"/>
      <c r="M111" s="57"/>
      <c r="N111" s="58"/>
      <c r="O111" s="92"/>
      <c r="P111" s="72"/>
      <c r="Q111" s="73"/>
      <c r="R111" s="73"/>
      <c r="S111" s="73"/>
    </row>
    <row r="112" spans="1:19" x14ac:dyDescent="0.3">
      <c r="A112" s="94"/>
      <c r="B112" s="35"/>
      <c r="C112" s="55"/>
      <c r="D112" s="55"/>
      <c r="E112" s="55"/>
      <c r="F112" s="35"/>
      <c r="G112" s="55"/>
      <c r="H112" s="55"/>
      <c r="I112" s="56"/>
      <c r="J112" s="55"/>
      <c r="K112" s="55"/>
      <c r="L112" s="55"/>
      <c r="M112" s="57"/>
      <c r="N112" s="58"/>
      <c r="O112" s="92"/>
      <c r="P112" s="72"/>
      <c r="Q112" s="73"/>
      <c r="R112" s="73"/>
      <c r="S112" s="73"/>
    </row>
    <row r="113" spans="1:19" x14ac:dyDescent="0.3">
      <c r="A113" s="94"/>
      <c r="B113" s="35"/>
      <c r="C113" s="55"/>
      <c r="D113" s="55"/>
      <c r="E113" s="55"/>
      <c r="F113" s="35"/>
      <c r="G113" s="55"/>
      <c r="H113" s="55"/>
      <c r="I113" s="56"/>
      <c r="J113" s="55"/>
      <c r="K113" s="55"/>
      <c r="L113" s="55"/>
      <c r="M113" s="57"/>
      <c r="N113" s="58"/>
      <c r="O113" s="92"/>
      <c r="P113" s="72"/>
      <c r="Q113" s="73"/>
      <c r="R113" s="73"/>
      <c r="S113" s="73"/>
    </row>
    <row r="114" spans="1:19" x14ac:dyDescent="0.3">
      <c r="A114" s="94"/>
      <c r="B114" s="35"/>
      <c r="C114" s="55"/>
      <c r="D114" s="55"/>
      <c r="E114" s="55"/>
      <c r="F114" s="35"/>
      <c r="G114" s="55"/>
      <c r="H114" s="55"/>
      <c r="I114" s="56"/>
      <c r="J114" s="55"/>
      <c r="K114" s="55"/>
      <c r="L114" s="55"/>
      <c r="M114" s="57"/>
      <c r="N114" s="58"/>
      <c r="O114" s="92"/>
      <c r="P114" s="72"/>
      <c r="Q114" s="73"/>
      <c r="R114" s="73"/>
      <c r="S114" s="73"/>
    </row>
    <row r="115" spans="1:19" x14ac:dyDescent="0.3">
      <c r="A115" s="94"/>
      <c r="B115" s="35"/>
      <c r="C115" s="55"/>
      <c r="D115" s="55"/>
      <c r="E115" s="55"/>
      <c r="F115" s="35"/>
      <c r="G115" s="55"/>
      <c r="H115" s="55"/>
      <c r="I115" s="56"/>
      <c r="J115" s="55"/>
      <c r="K115" s="55"/>
      <c r="L115" s="55"/>
      <c r="M115" s="57"/>
      <c r="N115" s="58"/>
      <c r="O115" s="92"/>
      <c r="P115" s="72"/>
      <c r="Q115" s="73"/>
      <c r="R115" s="73"/>
      <c r="S115" s="73"/>
    </row>
    <row r="116" spans="1:19" x14ac:dyDescent="0.3">
      <c r="A116" s="94"/>
      <c r="B116" s="35"/>
      <c r="C116" s="55"/>
      <c r="D116" s="55"/>
      <c r="E116" s="55"/>
      <c r="F116" s="35"/>
      <c r="G116" s="55"/>
      <c r="H116" s="55"/>
      <c r="I116" s="56"/>
      <c r="J116" s="55"/>
      <c r="K116" s="55"/>
      <c r="L116" s="55"/>
      <c r="M116" s="57"/>
      <c r="N116" s="58"/>
      <c r="O116" s="92"/>
      <c r="P116" s="72"/>
      <c r="Q116" s="73"/>
      <c r="R116" s="73"/>
      <c r="S116" s="73"/>
    </row>
    <row r="117" spans="1:19" x14ac:dyDescent="0.3">
      <c r="A117" s="94"/>
      <c r="B117" s="35"/>
      <c r="C117" s="55"/>
      <c r="D117" s="55"/>
      <c r="E117" s="55"/>
      <c r="F117" s="35"/>
      <c r="G117" s="55"/>
      <c r="H117" s="55"/>
      <c r="I117" s="56"/>
      <c r="J117" s="55"/>
      <c r="K117" s="55"/>
      <c r="L117" s="55"/>
      <c r="M117" s="57"/>
      <c r="N117" s="58"/>
      <c r="O117" s="92"/>
      <c r="P117" s="72"/>
      <c r="Q117" s="73"/>
      <c r="R117" s="73"/>
      <c r="S117" s="73"/>
    </row>
    <row r="118" spans="1:19" x14ac:dyDescent="0.3">
      <c r="A118" s="94"/>
      <c r="B118" s="35"/>
      <c r="C118" s="55"/>
      <c r="D118" s="55"/>
      <c r="E118" s="55"/>
      <c r="F118" s="35"/>
      <c r="G118" s="55"/>
      <c r="H118" s="55"/>
      <c r="I118" s="56"/>
      <c r="J118" s="55"/>
      <c r="K118" s="55"/>
      <c r="L118" s="55"/>
      <c r="M118" s="57"/>
      <c r="N118" s="58"/>
      <c r="O118" s="92"/>
      <c r="P118" s="72"/>
      <c r="Q118" s="73"/>
      <c r="R118" s="73"/>
      <c r="S118" s="73"/>
    </row>
    <row r="119" spans="1:19" x14ac:dyDescent="0.3">
      <c r="A119" s="94"/>
      <c r="B119" s="35"/>
      <c r="C119" s="55"/>
      <c r="D119" s="55"/>
      <c r="E119" s="55"/>
      <c r="F119" s="35"/>
      <c r="G119" s="55"/>
      <c r="H119" s="55"/>
      <c r="I119" s="56"/>
      <c r="J119" s="55"/>
      <c r="K119" s="55"/>
      <c r="L119" s="55"/>
      <c r="M119" s="57"/>
      <c r="N119" s="58"/>
      <c r="O119" s="92"/>
      <c r="P119" s="72"/>
      <c r="Q119" s="73"/>
      <c r="R119" s="73"/>
      <c r="S119" s="73"/>
    </row>
    <row r="120" spans="1:19" x14ac:dyDescent="0.3">
      <c r="A120" s="94"/>
      <c r="B120" s="35"/>
      <c r="C120" s="55"/>
      <c r="D120" s="55"/>
      <c r="E120" s="55"/>
      <c r="F120" s="35"/>
      <c r="G120" s="55"/>
      <c r="H120" s="55"/>
      <c r="I120" s="56"/>
      <c r="J120" s="55"/>
      <c r="K120" s="55"/>
      <c r="L120" s="55"/>
      <c r="M120" s="57"/>
      <c r="N120" s="58"/>
      <c r="O120" s="92"/>
      <c r="P120" s="72"/>
      <c r="Q120" s="73"/>
      <c r="R120" s="73"/>
      <c r="S120" s="73"/>
    </row>
    <row r="121" spans="1:19" x14ac:dyDescent="0.3">
      <c r="A121" s="94"/>
      <c r="B121" s="35"/>
      <c r="C121" s="55"/>
      <c r="D121" s="55"/>
      <c r="E121" s="55"/>
      <c r="F121" s="35"/>
      <c r="G121" s="55"/>
      <c r="H121" s="55"/>
      <c r="I121" s="56"/>
      <c r="J121" s="55"/>
      <c r="K121" s="55"/>
      <c r="L121" s="55"/>
      <c r="M121" s="57"/>
      <c r="N121" s="58"/>
      <c r="O121" s="92"/>
      <c r="P121" s="72"/>
      <c r="Q121" s="73"/>
      <c r="R121" s="73"/>
      <c r="S121" s="73"/>
    </row>
    <row r="122" spans="1:19" x14ac:dyDescent="0.3">
      <c r="A122" s="94"/>
      <c r="B122" s="35"/>
      <c r="C122" s="55"/>
      <c r="D122" s="55"/>
      <c r="E122" s="55"/>
      <c r="F122" s="35"/>
      <c r="G122" s="55"/>
      <c r="H122" s="55"/>
      <c r="I122" s="56"/>
      <c r="J122" s="55"/>
      <c r="K122" s="55"/>
      <c r="L122" s="55"/>
      <c r="M122" s="57"/>
      <c r="N122" s="58"/>
      <c r="O122" s="92"/>
      <c r="P122" s="72"/>
      <c r="Q122" s="73"/>
      <c r="R122" s="73"/>
      <c r="S122" s="73"/>
    </row>
    <row r="123" spans="1:19" x14ac:dyDescent="0.3">
      <c r="A123" s="94"/>
      <c r="B123" s="35"/>
      <c r="C123" s="55"/>
      <c r="D123" s="55"/>
      <c r="E123" s="55"/>
      <c r="F123" s="35"/>
      <c r="G123" s="55"/>
      <c r="H123" s="55"/>
      <c r="I123" s="56"/>
      <c r="J123" s="55"/>
      <c r="K123" s="55"/>
      <c r="L123" s="55"/>
      <c r="M123" s="57"/>
      <c r="N123" s="58"/>
      <c r="O123" s="92"/>
      <c r="P123" s="72"/>
      <c r="Q123" s="73"/>
      <c r="R123" s="73"/>
      <c r="S123" s="73"/>
    </row>
    <row r="124" spans="1:19" x14ac:dyDescent="0.3">
      <c r="A124" s="94"/>
      <c r="B124" s="35"/>
      <c r="C124" s="55"/>
      <c r="D124" s="55"/>
      <c r="E124" s="55"/>
      <c r="F124" s="35"/>
      <c r="G124" s="55"/>
      <c r="H124" s="55"/>
      <c r="I124" s="56"/>
      <c r="J124" s="55"/>
      <c r="K124" s="55"/>
      <c r="L124" s="55"/>
      <c r="M124" s="57"/>
      <c r="N124" s="58"/>
      <c r="O124" s="92"/>
      <c r="P124" s="72"/>
      <c r="Q124" s="73"/>
      <c r="R124" s="73"/>
      <c r="S124" s="73"/>
    </row>
    <row r="125" spans="1:19" x14ac:dyDescent="0.3">
      <c r="A125" s="94"/>
      <c r="B125" s="35"/>
      <c r="C125" s="55"/>
      <c r="D125" s="55"/>
      <c r="E125" s="55"/>
      <c r="F125" s="35"/>
      <c r="G125" s="55"/>
      <c r="H125" s="55"/>
      <c r="I125" s="56"/>
      <c r="J125" s="55"/>
      <c r="K125" s="55"/>
      <c r="L125" s="55"/>
      <c r="M125" s="57"/>
      <c r="N125" s="58"/>
      <c r="O125" s="92"/>
      <c r="P125" s="72"/>
      <c r="Q125" s="73"/>
      <c r="R125" s="73"/>
      <c r="S125" s="73"/>
    </row>
    <row r="126" spans="1:19" x14ac:dyDescent="0.3">
      <c r="A126" s="94"/>
      <c r="B126" s="35"/>
      <c r="C126" s="55"/>
      <c r="D126" s="55"/>
      <c r="E126" s="55"/>
      <c r="F126" s="35"/>
      <c r="G126" s="55"/>
      <c r="H126" s="55"/>
      <c r="I126" s="56"/>
      <c r="J126" s="55"/>
      <c r="K126" s="55"/>
      <c r="L126" s="55"/>
      <c r="M126" s="57"/>
      <c r="N126" s="58"/>
      <c r="O126" s="92"/>
      <c r="P126" s="72"/>
      <c r="Q126" s="73"/>
      <c r="R126" s="73"/>
      <c r="S126" s="73"/>
    </row>
    <row r="127" spans="1:19" x14ac:dyDescent="0.3">
      <c r="A127" s="94"/>
      <c r="B127" s="35"/>
      <c r="C127" s="55"/>
      <c r="D127" s="55"/>
      <c r="E127" s="55"/>
      <c r="F127" s="35"/>
      <c r="G127" s="55"/>
      <c r="H127" s="55"/>
      <c r="I127" s="56"/>
      <c r="J127" s="55"/>
      <c r="K127" s="55"/>
      <c r="L127" s="55"/>
      <c r="M127" s="57"/>
      <c r="N127" s="58"/>
      <c r="O127" s="92"/>
      <c r="P127" s="72"/>
      <c r="Q127" s="73"/>
      <c r="R127" s="73"/>
      <c r="S127" s="73"/>
    </row>
    <row r="128" spans="1:19" x14ac:dyDescent="0.3">
      <c r="A128" s="94"/>
      <c r="B128" s="35"/>
      <c r="C128" s="55"/>
      <c r="D128" s="55"/>
      <c r="E128" s="55"/>
      <c r="F128" s="35"/>
      <c r="G128" s="55"/>
      <c r="H128" s="55"/>
      <c r="I128" s="56"/>
      <c r="J128" s="55"/>
      <c r="K128" s="55"/>
      <c r="L128" s="55"/>
      <c r="M128" s="57"/>
      <c r="N128" s="58"/>
      <c r="O128" s="92"/>
      <c r="P128" s="72"/>
      <c r="Q128" s="73"/>
      <c r="R128" s="73"/>
      <c r="S128" s="73"/>
    </row>
    <row r="129" spans="1:19" x14ac:dyDescent="0.3">
      <c r="A129" s="94"/>
      <c r="B129" s="35"/>
      <c r="C129" s="55"/>
      <c r="D129" s="55"/>
      <c r="E129" s="55"/>
      <c r="F129" s="35"/>
      <c r="G129" s="55"/>
      <c r="H129" s="55"/>
      <c r="I129" s="56"/>
      <c r="J129" s="55"/>
      <c r="K129" s="55"/>
      <c r="L129" s="55"/>
      <c r="M129" s="57"/>
      <c r="N129" s="58"/>
      <c r="O129" s="92"/>
      <c r="P129" s="72"/>
      <c r="Q129" s="73"/>
      <c r="R129" s="73"/>
      <c r="S129" s="73"/>
    </row>
    <row r="130" spans="1:19" x14ac:dyDescent="0.3">
      <c r="A130" s="94"/>
      <c r="B130" s="35"/>
      <c r="C130" s="55"/>
      <c r="D130" s="55"/>
      <c r="E130" s="55"/>
      <c r="F130" s="35"/>
      <c r="G130" s="55"/>
      <c r="H130" s="55"/>
      <c r="I130" s="56"/>
      <c r="J130" s="55"/>
      <c r="K130" s="55"/>
      <c r="L130" s="55"/>
      <c r="M130" s="57"/>
      <c r="N130" s="58"/>
      <c r="O130" s="92"/>
      <c r="P130" s="72"/>
      <c r="Q130" s="73"/>
      <c r="R130" s="73"/>
      <c r="S130" s="73"/>
    </row>
    <row r="131" spans="1:19" x14ac:dyDescent="0.3">
      <c r="A131" s="94"/>
      <c r="B131" s="35"/>
      <c r="C131" s="55"/>
      <c r="D131" s="55"/>
      <c r="E131" s="55"/>
      <c r="F131" s="35"/>
      <c r="G131" s="55"/>
      <c r="H131" s="55"/>
      <c r="I131" s="56"/>
      <c r="J131" s="55"/>
      <c r="K131" s="55"/>
      <c r="L131" s="55"/>
      <c r="M131" s="57"/>
      <c r="N131" s="58"/>
      <c r="O131" s="92"/>
      <c r="P131" s="72"/>
      <c r="Q131" s="73"/>
      <c r="R131" s="73"/>
      <c r="S131" s="73"/>
    </row>
    <row r="132" spans="1:19" x14ac:dyDescent="0.3">
      <c r="A132" s="94"/>
      <c r="B132" s="35"/>
      <c r="C132" s="55"/>
      <c r="D132" s="55"/>
      <c r="E132" s="55"/>
      <c r="F132" s="35"/>
      <c r="G132" s="55"/>
      <c r="H132" s="55"/>
      <c r="I132" s="56"/>
      <c r="J132" s="55"/>
      <c r="K132" s="55"/>
      <c r="L132" s="55"/>
      <c r="M132" s="57"/>
      <c r="N132" s="58"/>
      <c r="O132" s="92"/>
      <c r="P132" s="72"/>
      <c r="Q132" s="73"/>
      <c r="R132" s="73"/>
      <c r="S132" s="73"/>
    </row>
    <row r="133" spans="1:19" x14ac:dyDescent="0.3">
      <c r="A133" s="94"/>
      <c r="B133" s="35"/>
      <c r="C133" s="55"/>
      <c r="D133" s="55"/>
      <c r="E133" s="55"/>
      <c r="F133" s="35"/>
      <c r="G133" s="55"/>
      <c r="H133" s="55"/>
      <c r="I133" s="56"/>
      <c r="J133" s="55"/>
      <c r="K133" s="55"/>
      <c r="L133" s="55"/>
      <c r="M133" s="57"/>
      <c r="N133" s="58"/>
      <c r="O133" s="92"/>
      <c r="P133" s="72"/>
      <c r="Q133" s="73"/>
      <c r="R133" s="73"/>
      <c r="S133" s="73"/>
    </row>
    <row r="134" spans="1:19" x14ac:dyDescent="0.3">
      <c r="A134" s="94"/>
      <c r="B134" s="35"/>
      <c r="C134" s="55"/>
      <c r="D134" s="55"/>
      <c r="E134" s="55"/>
      <c r="F134" s="35"/>
      <c r="G134" s="55"/>
      <c r="H134" s="55"/>
      <c r="I134" s="56"/>
      <c r="J134" s="55"/>
      <c r="K134" s="55"/>
      <c r="L134" s="55"/>
      <c r="M134" s="57"/>
      <c r="N134" s="58"/>
      <c r="O134" s="92"/>
      <c r="P134" s="72"/>
      <c r="Q134" s="73"/>
      <c r="R134" s="73"/>
      <c r="S134" s="73"/>
    </row>
    <row r="135" spans="1:19" x14ac:dyDescent="0.3">
      <c r="A135" s="94"/>
      <c r="B135" s="35"/>
      <c r="C135" s="55"/>
      <c r="D135" s="55"/>
      <c r="E135" s="55"/>
      <c r="F135" s="35"/>
      <c r="G135" s="55"/>
      <c r="H135" s="55"/>
      <c r="I135" s="56"/>
      <c r="J135" s="55"/>
      <c r="K135" s="55"/>
      <c r="L135" s="55"/>
      <c r="M135" s="57"/>
      <c r="N135" s="58"/>
      <c r="O135" s="92"/>
      <c r="P135" s="72"/>
      <c r="Q135" s="73"/>
      <c r="R135" s="73"/>
      <c r="S135" s="73"/>
    </row>
    <row r="136" spans="1:19" x14ac:dyDescent="0.3">
      <c r="A136" s="94"/>
      <c r="B136" s="35"/>
      <c r="C136" s="55"/>
      <c r="D136" s="55"/>
      <c r="E136" s="55"/>
      <c r="F136" s="35"/>
      <c r="G136" s="55"/>
      <c r="H136" s="55"/>
      <c r="I136" s="56"/>
      <c r="J136" s="55"/>
      <c r="K136" s="55"/>
      <c r="L136" s="55"/>
      <c r="M136" s="57"/>
      <c r="N136" s="58"/>
      <c r="O136" s="92"/>
      <c r="P136" s="72"/>
      <c r="Q136" s="73"/>
      <c r="R136" s="73"/>
      <c r="S136" s="73"/>
    </row>
    <row r="137" spans="1:19" x14ac:dyDescent="0.3">
      <c r="A137" s="94"/>
      <c r="B137" s="35"/>
      <c r="C137" s="55"/>
      <c r="D137" s="55"/>
      <c r="E137" s="55"/>
      <c r="F137" s="35"/>
      <c r="G137" s="55"/>
      <c r="H137" s="55"/>
      <c r="I137" s="56"/>
      <c r="J137" s="55"/>
      <c r="K137" s="55"/>
      <c r="L137" s="55"/>
      <c r="M137" s="57"/>
      <c r="N137" s="58"/>
      <c r="O137" s="92"/>
      <c r="P137" s="72"/>
      <c r="Q137" s="73"/>
      <c r="R137" s="73"/>
      <c r="S137" s="73"/>
    </row>
    <row r="138" spans="1:19" x14ac:dyDescent="0.3">
      <c r="A138" s="94"/>
      <c r="B138" s="35"/>
      <c r="C138" s="55"/>
      <c r="D138" s="55"/>
      <c r="E138" s="55"/>
      <c r="F138" s="35"/>
      <c r="G138" s="55"/>
      <c r="H138" s="55"/>
      <c r="I138" s="56"/>
      <c r="J138" s="55"/>
      <c r="K138" s="55"/>
      <c r="L138" s="55"/>
      <c r="M138" s="57"/>
      <c r="N138" s="58"/>
      <c r="O138" s="92"/>
      <c r="P138" s="72"/>
      <c r="Q138" s="73"/>
      <c r="R138" s="73"/>
      <c r="S138" s="73"/>
    </row>
    <row r="139" spans="1:19" x14ac:dyDescent="0.3">
      <c r="A139" s="94"/>
      <c r="B139" s="35"/>
      <c r="C139" s="55"/>
      <c r="D139" s="55"/>
      <c r="E139" s="55"/>
      <c r="F139" s="35"/>
      <c r="G139" s="55"/>
      <c r="H139" s="55"/>
      <c r="I139" s="56"/>
      <c r="J139" s="55"/>
      <c r="K139" s="55"/>
      <c r="L139" s="55"/>
      <c r="M139" s="57"/>
      <c r="N139" s="58"/>
      <c r="O139" s="92"/>
      <c r="P139" s="72"/>
      <c r="Q139" s="73"/>
      <c r="R139" s="73"/>
      <c r="S139" s="73"/>
    </row>
    <row r="140" spans="1:19" x14ac:dyDescent="0.3">
      <c r="A140" s="94"/>
      <c r="B140" s="35"/>
      <c r="C140" s="55"/>
      <c r="D140" s="55"/>
      <c r="E140" s="55"/>
      <c r="F140" s="35"/>
      <c r="G140" s="55"/>
      <c r="H140" s="55"/>
      <c r="I140" s="56"/>
      <c r="J140" s="55"/>
      <c r="K140" s="55"/>
      <c r="L140" s="55"/>
      <c r="M140" s="57"/>
      <c r="N140" s="58"/>
      <c r="O140" s="92"/>
      <c r="P140" s="72"/>
      <c r="Q140" s="73"/>
      <c r="R140" s="73"/>
      <c r="S140" s="73"/>
    </row>
    <row r="141" spans="1:19" x14ac:dyDescent="0.3">
      <c r="A141" s="94"/>
      <c r="B141" s="35"/>
      <c r="C141" s="55"/>
      <c r="D141" s="55"/>
      <c r="E141" s="55"/>
      <c r="F141" s="35"/>
      <c r="G141" s="55"/>
      <c r="H141" s="55"/>
      <c r="I141" s="56"/>
      <c r="J141" s="55"/>
      <c r="K141" s="55"/>
      <c r="L141" s="55"/>
      <c r="M141" s="57"/>
      <c r="N141" s="58"/>
      <c r="O141" s="92"/>
      <c r="P141" s="72"/>
      <c r="Q141" s="73"/>
      <c r="R141" s="73"/>
      <c r="S141" s="73"/>
    </row>
    <row r="142" spans="1:19" x14ac:dyDescent="0.3">
      <c r="A142" s="94"/>
      <c r="B142" s="35"/>
      <c r="C142" s="55"/>
      <c r="D142" s="55"/>
      <c r="E142" s="55"/>
      <c r="F142" s="35"/>
      <c r="G142" s="55"/>
      <c r="H142" s="55"/>
      <c r="I142" s="56"/>
      <c r="J142" s="55"/>
      <c r="K142" s="55"/>
      <c r="L142" s="55"/>
      <c r="M142" s="57"/>
      <c r="N142" s="58"/>
      <c r="O142" s="92"/>
      <c r="P142" s="72"/>
      <c r="Q142" s="73"/>
      <c r="R142" s="73"/>
      <c r="S142" s="73"/>
    </row>
    <row r="143" spans="1:19" x14ac:dyDescent="0.3">
      <c r="A143" s="94"/>
      <c r="B143" s="35"/>
      <c r="C143" s="55"/>
      <c r="D143" s="55"/>
      <c r="E143" s="55"/>
      <c r="F143" s="35"/>
      <c r="G143" s="55"/>
      <c r="H143" s="55"/>
      <c r="I143" s="56"/>
      <c r="J143" s="55"/>
      <c r="K143" s="55"/>
      <c r="L143" s="55"/>
      <c r="M143" s="57"/>
      <c r="N143" s="58"/>
      <c r="O143" s="92"/>
      <c r="P143" s="72"/>
      <c r="Q143" s="73"/>
      <c r="R143" s="73"/>
      <c r="S143" s="73"/>
    </row>
    <row r="144" spans="1:19" x14ac:dyDescent="0.3">
      <c r="A144" s="94"/>
      <c r="B144" s="35"/>
      <c r="C144" s="55"/>
      <c r="D144" s="55"/>
      <c r="E144" s="55"/>
      <c r="F144" s="35"/>
      <c r="G144" s="55"/>
      <c r="H144" s="55"/>
      <c r="I144" s="56"/>
      <c r="J144" s="55"/>
      <c r="K144" s="55"/>
      <c r="L144" s="55"/>
      <c r="M144" s="57"/>
      <c r="N144" s="58"/>
      <c r="O144" s="92"/>
      <c r="P144" s="72"/>
      <c r="Q144" s="73"/>
      <c r="R144" s="73"/>
      <c r="S144" s="73"/>
    </row>
    <row r="145" spans="1:19" x14ac:dyDescent="0.3">
      <c r="A145" s="94"/>
      <c r="B145" s="35"/>
      <c r="C145" s="55"/>
      <c r="D145" s="55"/>
      <c r="E145" s="55"/>
      <c r="F145" s="35"/>
      <c r="G145" s="55"/>
      <c r="H145" s="55"/>
      <c r="I145" s="56"/>
      <c r="J145" s="55"/>
      <c r="K145" s="55"/>
      <c r="L145" s="55"/>
      <c r="M145" s="57"/>
      <c r="N145" s="58"/>
      <c r="O145" s="92"/>
      <c r="P145" s="72"/>
      <c r="Q145" s="73"/>
      <c r="R145" s="73"/>
      <c r="S145" s="73"/>
    </row>
    <row r="146" spans="1:19" x14ac:dyDescent="0.3">
      <c r="A146" s="94"/>
      <c r="B146" s="35"/>
      <c r="C146" s="55"/>
      <c r="D146" s="55"/>
      <c r="E146" s="55"/>
      <c r="F146" s="35"/>
      <c r="G146" s="55"/>
      <c r="H146" s="55"/>
      <c r="I146" s="56"/>
      <c r="J146" s="55"/>
      <c r="K146" s="55"/>
      <c r="L146" s="55"/>
      <c r="M146" s="57"/>
      <c r="N146" s="58"/>
      <c r="O146" s="92"/>
      <c r="P146" s="72"/>
      <c r="Q146" s="73"/>
      <c r="R146" s="73"/>
      <c r="S146" s="73"/>
    </row>
    <row r="147" spans="1:19" x14ac:dyDescent="0.3">
      <c r="A147" s="94"/>
      <c r="B147" s="35"/>
      <c r="C147" s="55"/>
      <c r="D147" s="55"/>
      <c r="E147" s="55"/>
      <c r="F147" s="35"/>
      <c r="G147" s="55"/>
      <c r="H147" s="55"/>
      <c r="I147" s="56"/>
      <c r="J147" s="55"/>
      <c r="K147" s="55"/>
      <c r="L147" s="55"/>
      <c r="M147" s="57"/>
      <c r="N147" s="58"/>
      <c r="O147" s="92"/>
      <c r="P147" s="72"/>
      <c r="Q147" s="73"/>
      <c r="R147" s="73"/>
      <c r="S147" s="73"/>
    </row>
    <row r="148" spans="1:19" x14ac:dyDescent="0.3">
      <c r="A148" s="94"/>
      <c r="B148" s="35"/>
      <c r="C148" s="55"/>
      <c r="D148" s="55"/>
      <c r="E148" s="55"/>
      <c r="F148" s="35"/>
      <c r="G148" s="55"/>
      <c r="H148" s="55"/>
      <c r="I148" s="56"/>
      <c r="J148" s="55"/>
      <c r="K148" s="55"/>
      <c r="L148" s="55"/>
      <c r="M148" s="57"/>
      <c r="N148" s="58"/>
      <c r="O148" s="92"/>
      <c r="P148" s="72"/>
      <c r="Q148" s="73"/>
      <c r="R148" s="73"/>
      <c r="S148" s="73"/>
    </row>
    <row r="149" spans="1:19" x14ac:dyDescent="0.3">
      <c r="A149" s="94"/>
      <c r="B149" s="35"/>
      <c r="C149" s="55"/>
      <c r="D149" s="55"/>
      <c r="E149" s="55"/>
      <c r="F149" s="35"/>
      <c r="G149" s="55"/>
      <c r="H149" s="55"/>
      <c r="I149" s="56"/>
      <c r="J149" s="55"/>
      <c r="K149" s="55"/>
      <c r="L149" s="55"/>
      <c r="M149" s="57"/>
      <c r="N149" s="58"/>
      <c r="O149" s="92"/>
      <c r="P149" s="72"/>
      <c r="Q149" s="73"/>
      <c r="R149" s="73"/>
      <c r="S149" s="73"/>
    </row>
    <row r="150" spans="1:19" x14ac:dyDescent="0.3">
      <c r="A150" s="94"/>
      <c r="B150" s="35"/>
      <c r="C150" s="55"/>
      <c r="D150" s="55"/>
      <c r="E150" s="55"/>
      <c r="F150" s="35"/>
      <c r="G150" s="55"/>
      <c r="H150" s="55"/>
      <c r="I150" s="56"/>
      <c r="J150" s="55"/>
      <c r="K150" s="55"/>
      <c r="L150" s="55"/>
      <c r="M150" s="57"/>
      <c r="N150" s="58"/>
      <c r="O150" s="92"/>
      <c r="P150" s="72"/>
      <c r="Q150" s="73"/>
      <c r="R150" s="73"/>
      <c r="S150" s="73"/>
    </row>
    <row r="151" spans="1:19" x14ac:dyDescent="0.3">
      <c r="A151" s="94"/>
      <c r="B151" s="35"/>
      <c r="C151" s="55"/>
      <c r="D151" s="55"/>
      <c r="E151" s="55"/>
      <c r="F151" s="35"/>
      <c r="G151" s="55"/>
      <c r="H151" s="55"/>
      <c r="I151" s="56"/>
      <c r="J151" s="55"/>
      <c r="K151" s="55"/>
      <c r="L151" s="55"/>
      <c r="M151" s="57"/>
      <c r="N151" s="58"/>
      <c r="O151" s="92"/>
      <c r="P151" s="72"/>
      <c r="Q151" s="73"/>
      <c r="R151" s="73"/>
      <c r="S151" s="73"/>
    </row>
    <row r="152" spans="1:19" x14ac:dyDescent="0.3">
      <c r="A152" s="94"/>
      <c r="B152" s="35"/>
      <c r="C152" s="55"/>
      <c r="D152" s="55"/>
      <c r="E152" s="55"/>
      <c r="F152" s="35"/>
      <c r="G152" s="55"/>
      <c r="H152" s="55"/>
      <c r="I152" s="56"/>
      <c r="J152" s="55"/>
      <c r="K152" s="55"/>
      <c r="L152" s="55"/>
      <c r="M152" s="57"/>
      <c r="N152" s="58"/>
      <c r="O152" s="92"/>
      <c r="P152" s="72"/>
      <c r="Q152" s="73"/>
      <c r="R152" s="73"/>
      <c r="S152" s="73"/>
    </row>
    <row r="153" spans="1:19" x14ac:dyDescent="0.3">
      <c r="A153" s="94"/>
      <c r="B153" s="35"/>
      <c r="C153" s="55"/>
      <c r="D153" s="55"/>
      <c r="E153" s="55"/>
      <c r="F153" s="35"/>
      <c r="G153" s="55"/>
      <c r="H153" s="55"/>
      <c r="I153" s="56"/>
      <c r="J153" s="55"/>
      <c r="K153" s="55"/>
      <c r="L153" s="55"/>
      <c r="M153" s="57"/>
      <c r="N153" s="58"/>
      <c r="O153" s="92"/>
      <c r="P153" s="72"/>
      <c r="Q153" s="73"/>
      <c r="R153" s="73"/>
      <c r="S153" s="73"/>
    </row>
    <row r="154" spans="1:19" x14ac:dyDescent="0.3">
      <c r="A154" s="94"/>
      <c r="B154" s="35"/>
      <c r="C154" s="55"/>
      <c r="D154" s="55"/>
      <c r="E154" s="55"/>
      <c r="F154" s="35"/>
      <c r="G154" s="55"/>
      <c r="H154" s="55"/>
      <c r="I154" s="56"/>
      <c r="J154" s="55"/>
      <c r="K154" s="55"/>
      <c r="L154" s="55"/>
      <c r="M154" s="57"/>
      <c r="N154" s="58"/>
      <c r="O154" s="92"/>
      <c r="P154" s="72"/>
      <c r="Q154" s="73"/>
      <c r="R154" s="73"/>
      <c r="S154" s="73"/>
    </row>
    <row r="155" spans="1:19" x14ac:dyDescent="0.3">
      <c r="A155" s="94"/>
      <c r="B155" s="35"/>
      <c r="C155" s="55"/>
      <c r="D155" s="55"/>
      <c r="E155" s="55"/>
      <c r="F155" s="35"/>
      <c r="G155" s="55"/>
      <c r="H155" s="55"/>
      <c r="I155" s="56"/>
      <c r="J155" s="55"/>
      <c r="K155" s="55"/>
      <c r="L155" s="55"/>
      <c r="M155" s="57"/>
      <c r="N155" s="58"/>
      <c r="O155" s="92"/>
      <c r="P155" s="72"/>
      <c r="Q155" s="73"/>
      <c r="R155" s="73"/>
      <c r="S155" s="73"/>
    </row>
    <row r="156" spans="1:19" x14ac:dyDescent="0.3">
      <c r="A156" s="94"/>
      <c r="B156" s="35"/>
      <c r="C156" s="55"/>
      <c r="D156" s="55"/>
      <c r="E156" s="55"/>
      <c r="F156" s="35"/>
      <c r="G156" s="55"/>
      <c r="H156" s="55"/>
      <c r="I156" s="56"/>
      <c r="J156" s="55"/>
      <c r="K156" s="55"/>
      <c r="L156" s="55"/>
      <c r="M156" s="57"/>
      <c r="N156" s="58"/>
      <c r="O156" s="92"/>
      <c r="P156" s="72"/>
      <c r="Q156" s="73"/>
      <c r="R156" s="73"/>
      <c r="S156" s="73"/>
    </row>
    <row r="157" spans="1:19" x14ac:dyDescent="0.3">
      <c r="A157" s="94"/>
      <c r="B157" s="35"/>
      <c r="C157" s="55"/>
      <c r="D157" s="55"/>
      <c r="E157" s="55"/>
      <c r="F157" s="35"/>
      <c r="G157" s="55"/>
      <c r="H157" s="55"/>
      <c r="I157" s="56"/>
      <c r="J157" s="55"/>
      <c r="K157" s="55"/>
      <c r="L157" s="55"/>
      <c r="M157" s="57"/>
      <c r="N157" s="58"/>
      <c r="O157" s="92"/>
      <c r="P157" s="72"/>
      <c r="Q157" s="73"/>
      <c r="R157" s="73"/>
      <c r="S157" s="73"/>
    </row>
    <row r="158" spans="1:19" x14ac:dyDescent="0.3">
      <c r="A158" s="94"/>
      <c r="B158" s="35"/>
      <c r="C158" s="55"/>
      <c r="D158" s="55"/>
      <c r="E158" s="55"/>
      <c r="F158" s="35"/>
      <c r="G158" s="55"/>
      <c r="H158" s="55"/>
      <c r="I158" s="56"/>
      <c r="J158" s="55"/>
      <c r="K158" s="55"/>
      <c r="L158" s="55"/>
      <c r="M158" s="57"/>
      <c r="N158" s="58"/>
      <c r="O158" s="92"/>
      <c r="P158" s="72"/>
      <c r="Q158" s="73"/>
      <c r="R158" s="73"/>
      <c r="S158" s="73"/>
    </row>
    <row r="159" spans="1:19" x14ac:dyDescent="0.3">
      <c r="A159" s="94"/>
      <c r="B159" s="35"/>
      <c r="C159" s="55"/>
      <c r="D159" s="55"/>
      <c r="E159" s="55"/>
      <c r="F159" s="35"/>
      <c r="G159" s="55"/>
      <c r="H159" s="55"/>
      <c r="I159" s="56"/>
      <c r="J159" s="55"/>
      <c r="K159" s="55"/>
      <c r="L159" s="55"/>
      <c r="M159" s="57"/>
      <c r="N159" s="58"/>
      <c r="O159" s="92"/>
      <c r="P159" s="72"/>
      <c r="Q159" s="73"/>
      <c r="R159" s="73"/>
      <c r="S159" s="73"/>
    </row>
    <row r="160" spans="1:19" x14ac:dyDescent="0.3">
      <c r="A160" s="94"/>
      <c r="B160" s="35"/>
      <c r="C160" s="55"/>
      <c r="D160" s="55"/>
      <c r="E160" s="55"/>
      <c r="F160" s="35"/>
      <c r="G160" s="55"/>
      <c r="H160" s="55"/>
      <c r="I160" s="56"/>
      <c r="J160" s="55"/>
      <c r="K160" s="55"/>
      <c r="L160" s="55"/>
      <c r="M160" s="57"/>
      <c r="N160" s="58"/>
      <c r="O160" s="92"/>
      <c r="P160" s="72"/>
      <c r="Q160" s="73"/>
      <c r="R160" s="73"/>
      <c r="S160" s="73"/>
    </row>
    <row r="161" spans="1:19" x14ac:dyDescent="0.3">
      <c r="A161" s="94"/>
      <c r="B161" s="35"/>
      <c r="C161" s="55"/>
      <c r="D161" s="55"/>
      <c r="E161" s="55"/>
      <c r="F161" s="35"/>
      <c r="G161" s="55"/>
      <c r="H161" s="55"/>
      <c r="I161" s="56"/>
      <c r="J161" s="55"/>
      <c r="K161" s="55"/>
      <c r="L161" s="55"/>
      <c r="M161" s="57"/>
      <c r="N161" s="58"/>
      <c r="O161" s="92"/>
      <c r="P161" s="72"/>
      <c r="Q161" s="73"/>
      <c r="R161" s="73"/>
      <c r="S161" s="73"/>
    </row>
    <row r="162" spans="1:19" x14ac:dyDescent="0.3">
      <c r="A162" s="94"/>
      <c r="B162" s="35"/>
      <c r="C162" s="55"/>
      <c r="D162" s="55"/>
      <c r="E162" s="55"/>
      <c r="F162" s="35"/>
      <c r="G162" s="55"/>
      <c r="H162" s="55"/>
      <c r="I162" s="56"/>
      <c r="J162" s="55"/>
      <c r="K162" s="55"/>
      <c r="L162" s="55"/>
      <c r="M162" s="57"/>
      <c r="N162" s="58"/>
      <c r="O162" s="92"/>
      <c r="P162" s="72"/>
      <c r="Q162" s="73"/>
      <c r="R162" s="73"/>
      <c r="S162" s="73"/>
    </row>
  </sheetData>
  <autoFilter ref="A2:P26" xr:uid="{B3159661-CA2A-4DB8-97C0-1DB85B0AF508}"/>
  <mergeCells count="159">
    <mergeCell ref="A9:A10"/>
    <mergeCell ref="O9:O10"/>
    <mergeCell ref="A11:A13"/>
    <mergeCell ref="O11:O13"/>
    <mergeCell ref="A14:A15"/>
    <mergeCell ref="O14:O15"/>
    <mergeCell ref="A3:A4"/>
    <mergeCell ref="O3:O4"/>
    <mergeCell ref="A5:A6"/>
    <mergeCell ref="O5:O6"/>
    <mergeCell ref="A7:A8"/>
    <mergeCell ref="O7:O8"/>
    <mergeCell ref="A23:A24"/>
    <mergeCell ref="O23:O24"/>
    <mergeCell ref="A25:A26"/>
    <mergeCell ref="O25:O26"/>
    <mergeCell ref="A27:A28"/>
    <mergeCell ref="O27:O28"/>
    <mergeCell ref="A16:A17"/>
    <mergeCell ref="O16:O17"/>
    <mergeCell ref="A18:A19"/>
    <mergeCell ref="O18:O19"/>
    <mergeCell ref="A20:A22"/>
    <mergeCell ref="O20:O22"/>
    <mergeCell ref="C22:G22"/>
    <mergeCell ref="A35:A36"/>
    <mergeCell ref="O35:O36"/>
    <mergeCell ref="A37:A38"/>
    <mergeCell ref="O37:O38"/>
    <mergeCell ref="A39:A40"/>
    <mergeCell ref="O39:O40"/>
    <mergeCell ref="A29:A30"/>
    <mergeCell ref="O29:O30"/>
    <mergeCell ref="A31:A32"/>
    <mergeCell ref="O31:O32"/>
    <mergeCell ref="A33:A34"/>
    <mergeCell ref="O33:O34"/>
    <mergeCell ref="A47:A48"/>
    <mergeCell ref="O47:O48"/>
    <mergeCell ref="A49:A50"/>
    <mergeCell ref="O49:O50"/>
    <mergeCell ref="A51:A52"/>
    <mergeCell ref="O51:O52"/>
    <mergeCell ref="A41:A42"/>
    <mergeCell ref="O41:O42"/>
    <mergeCell ref="A43:A44"/>
    <mergeCell ref="O43:O44"/>
    <mergeCell ref="A45:A46"/>
    <mergeCell ref="O45:O46"/>
    <mergeCell ref="A59:A60"/>
    <mergeCell ref="O59:O60"/>
    <mergeCell ref="A61:A62"/>
    <mergeCell ref="O61:O62"/>
    <mergeCell ref="A63:A64"/>
    <mergeCell ref="O63:O64"/>
    <mergeCell ref="A53:A54"/>
    <mergeCell ref="O53:O54"/>
    <mergeCell ref="A55:A56"/>
    <mergeCell ref="O55:O56"/>
    <mergeCell ref="A57:A58"/>
    <mergeCell ref="O57:O58"/>
    <mergeCell ref="A71:A72"/>
    <mergeCell ref="O71:O72"/>
    <mergeCell ref="A73:A74"/>
    <mergeCell ref="O73:O74"/>
    <mergeCell ref="A75:A76"/>
    <mergeCell ref="O75:O76"/>
    <mergeCell ref="A65:A66"/>
    <mergeCell ref="O65:O66"/>
    <mergeCell ref="A67:A68"/>
    <mergeCell ref="O67:O68"/>
    <mergeCell ref="A69:A70"/>
    <mergeCell ref="O69:O70"/>
    <mergeCell ref="A83:A84"/>
    <mergeCell ref="O83:O84"/>
    <mergeCell ref="A85:A86"/>
    <mergeCell ref="O85:O86"/>
    <mergeCell ref="A87:A88"/>
    <mergeCell ref="O87:O88"/>
    <mergeCell ref="A77:A78"/>
    <mergeCell ref="O77:O78"/>
    <mergeCell ref="A79:A80"/>
    <mergeCell ref="O79:O80"/>
    <mergeCell ref="A81:A82"/>
    <mergeCell ref="O81:O82"/>
    <mergeCell ref="A95:A96"/>
    <mergeCell ref="O95:O96"/>
    <mergeCell ref="A97:A98"/>
    <mergeCell ref="O97:O98"/>
    <mergeCell ref="A99:A100"/>
    <mergeCell ref="O99:O100"/>
    <mergeCell ref="A89:A90"/>
    <mergeCell ref="O89:O90"/>
    <mergeCell ref="A91:A92"/>
    <mergeCell ref="O91:O92"/>
    <mergeCell ref="A93:A94"/>
    <mergeCell ref="O93:O94"/>
    <mergeCell ref="A107:A108"/>
    <mergeCell ref="O107:O108"/>
    <mergeCell ref="A109:A110"/>
    <mergeCell ref="O109:O110"/>
    <mergeCell ref="A111:A112"/>
    <mergeCell ref="O111:O112"/>
    <mergeCell ref="A101:A102"/>
    <mergeCell ref="O101:O102"/>
    <mergeCell ref="A103:A104"/>
    <mergeCell ref="O103:O104"/>
    <mergeCell ref="A105:A106"/>
    <mergeCell ref="O105:O106"/>
    <mergeCell ref="A119:A120"/>
    <mergeCell ref="O119:O120"/>
    <mergeCell ref="A121:A122"/>
    <mergeCell ref="O121:O122"/>
    <mergeCell ref="A123:A124"/>
    <mergeCell ref="O123:O124"/>
    <mergeCell ref="A113:A114"/>
    <mergeCell ref="O113:O114"/>
    <mergeCell ref="A115:A116"/>
    <mergeCell ref="O115:O116"/>
    <mergeCell ref="A117:A118"/>
    <mergeCell ref="O117:O118"/>
    <mergeCell ref="A131:A132"/>
    <mergeCell ref="O131:O132"/>
    <mergeCell ref="A133:A134"/>
    <mergeCell ref="O133:O134"/>
    <mergeCell ref="A135:A136"/>
    <mergeCell ref="O135:O136"/>
    <mergeCell ref="A125:A126"/>
    <mergeCell ref="O125:O126"/>
    <mergeCell ref="A127:A128"/>
    <mergeCell ref="O127:O128"/>
    <mergeCell ref="A129:A130"/>
    <mergeCell ref="O129:O130"/>
    <mergeCell ref="A143:A144"/>
    <mergeCell ref="O143:O144"/>
    <mergeCell ref="A145:A146"/>
    <mergeCell ref="O145:O146"/>
    <mergeCell ref="A147:A148"/>
    <mergeCell ref="O147:O148"/>
    <mergeCell ref="A137:A138"/>
    <mergeCell ref="O137:O138"/>
    <mergeCell ref="A139:A140"/>
    <mergeCell ref="O139:O140"/>
    <mergeCell ref="A141:A142"/>
    <mergeCell ref="O141:O142"/>
    <mergeCell ref="A161:A162"/>
    <mergeCell ref="O161:O162"/>
    <mergeCell ref="A155:A156"/>
    <mergeCell ref="O155:O156"/>
    <mergeCell ref="A157:A158"/>
    <mergeCell ref="O157:O158"/>
    <mergeCell ref="A159:A160"/>
    <mergeCell ref="O159:O160"/>
    <mergeCell ref="A149:A150"/>
    <mergeCell ref="O149:O150"/>
    <mergeCell ref="A151:A152"/>
    <mergeCell ref="O151:O152"/>
    <mergeCell ref="A153:A154"/>
    <mergeCell ref="O153:O1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RK</vt:lpstr>
      <vt:lpstr>Sheet2</vt:lpstr>
      <vt:lpstr>Sheet1</vt:lpstr>
      <vt:lpstr>RK Working Hrs</vt:lpstr>
      <vt:lpstr>Expenses (2)</vt:lpstr>
      <vt:lpstr>2023</vt:lpstr>
      <vt:lpstr>2023 Exp</vt:lpstr>
      <vt:lpstr>2023 Hrs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2025-02-03T00:04:47Z</dcterms:modified>
</cp:coreProperties>
</file>