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rkaSolarEngineer\Documents\DesignWebApp\ClientOnboarding\backend\"/>
    </mc:Choice>
  </mc:AlternateContent>
  <xr:revisionPtr revIDLastSave="0" documentId="13_ncr:1_{FB77F3F8-C50D-4E4F-8B0C-F896C8E65057}" xr6:coauthVersionLast="47" xr6:coauthVersionMax="47" xr10:uidLastSave="{00000000-0000-0000-0000-000000000000}"/>
  <bookViews>
    <workbookView xWindow="-120" yWindow="-120" windowWidth="29040" windowHeight="15720" tabRatio="671" activeTab="5" xr2:uid="{00000000-000D-0000-FFFF-FFFF00000000}"/>
  </bookViews>
  <sheets>
    <sheet name="Steps" sheetId="6" r:id="rId1"/>
    <sheet name="Workflow" sheetId="4" r:id="rId2"/>
    <sheet name="BOM" sheetId="8" r:id="rId3"/>
    <sheet name="Original List" sheetId="1" r:id="rId4"/>
    <sheet name="Unkown Comp" sheetId="3" r:id="rId5"/>
    <sheet name="Equipment" sheetId="2" r:id="rId6"/>
    <sheet name="Cable (AC) Tech Data" sheetId="9" r:id="rId7"/>
    <sheet name="Cable (DC) Tech Data" sheetId="10" r:id="rId8"/>
    <sheet name="DropDown" sheetId="7" r:id="rId9"/>
  </sheets>
  <externalReferences>
    <externalReference r:id="rId10"/>
  </externalReferences>
  <definedNames>
    <definedName name="_xlnm._FilterDatabase" localSheetId="3" hidden="1">'Original List'!$B$2:$G$360</definedName>
    <definedName name="Inverter_Sizes_Drop">DropDown!$A$4:INDEX(DropDown!$A:$A,COUNTA(DropDown!$A:$A))</definedName>
    <definedName name="Max_Series_Panels">Workflow!$J$2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 a="1"/>
  <c r="J4" i="4"/>
  <c r="K4" i="4" a="1"/>
  <c r="K4" i="4"/>
  <c r="C19" i="4"/>
  <c r="C14" i="4"/>
  <c r="D2" i="4"/>
  <c r="D14" i="4" a="1"/>
  <c r="D14" i="4" s="1"/>
  <c r="H4" i="7" a="1"/>
  <c r="H4" i="7" s="1"/>
  <c r="J2" i="4"/>
  <c r="B57" i="9" l="1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37" i="9"/>
  <c r="B36" i="9"/>
  <c r="B35" i="9"/>
  <c r="B34" i="9"/>
  <c r="B33" i="9"/>
  <c r="B32" i="9"/>
  <c r="B31" i="9"/>
  <c r="B30" i="9"/>
  <c r="B29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H8" i="4" l="1"/>
  <c r="J4" i="7" a="1"/>
  <c r="J4" i="7" s="1"/>
  <c r="J3" i="7"/>
  <c r="H12" i="2"/>
  <c r="H9" i="2"/>
  <c r="G4" i="7" a="1"/>
  <c r="G4" i="7" s="1"/>
  <c r="G3" i="7"/>
  <c r="H2" i="4"/>
  <c r="E4" i="7" a="1"/>
  <c r="E4" i="7" s="1"/>
  <c r="D4" i="7" a="1"/>
  <c r="D4" i="7" s="1"/>
  <c r="D3" i="7"/>
  <c r="A4" i="7" a="1"/>
  <c r="A4" i="7" s="1"/>
  <c r="B4" i="7" a="1"/>
  <c r="B4" i="7" s="1"/>
  <c r="K4" i="7" l="1" a="1"/>
  <c r="K4" i="7" s="1"/>
  <c r="E14" i="4"/>
  <c r="A3" i="7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G353" i="1"/>
  <c r="J354" i="1" s="1"/>
  <c r="K353" i="1"/>
  <c r="J353" i="1"/>
  <c r="K352" i="1"/>
  <c r="J352" i="1"/>
  <c r="K351" i="1"/>
  <c r="J351" i="1"/>
  <c r="K350" i="1"/>
  <c r="J350" i="1"/>
  <c r="K349" i="1"/>
  <c r="J349" i="1"/>
  <c r="K347" i="1"/>
  <c r="J347" i="1"/>
  <c r="K346" i="1"/>
  <c r="G345" i="1"/>
  <c r="J346" i="1" s="1"/>
  <c r="K345" i="1"/>
  <c r="G344" i="1"/>
  <c r="J345" i="1" s="1"/>
  <c r="K344" i="1"/>
  <c r="G343" i="1"/>
  <c r="J344" i="1" s="1"/>
  <c r="K343" i="1"/>
  <c r="J343" i="1"/>
  <c r="K341" i="1"/>
  <c r="J341" i="1"/>
  <c r="K340" i="1"/>
  <c r="G339" i="1"/>
  <c r="J340" i="1" s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29" i="1"/>
  <c r="J329" i="1"/>
  <c r="K328" i="1"/>
  <c r="J328" i="1"/>
  <c r="K327" i="1"/>
  <c r="J327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J295" i="1"/>
  <c r="J294" i="1"/>
  <c r="K293" i="1"/>
  <c r="J293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J248" i="1"/>
  <c r="J247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J235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99" i="1"/>
  <c r="J99" i="1"/>
  <c r="K98" i="1"/>
  <c r="J98" i="1"/>
  <c r="K97" i="1"/>
  <c r="J97" i="1"/>
  <c r="K96" i="1"/>
  <c r="J96" i="1"/>
  <c r="K95" i="1"/>
  <c r="J95" i="1"/>
  <c r="H95" i="1"/>
  <c r="K94" i="1"/>
  <c r="J94" i="1"/>
  <c r="H94" i="1"/>
  <c r="K93" i="1"/>
  <c r="J93" i="1"/>
  <c r="K92" i="1"/>
  <c r="G91" i="1"/>
  <c r="J92" i="1" s="1"/>
  <c r="K91" i="1"/>
  <c r="G90" i="1"/>
  <c r="J91" i="1" s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G83" i="1"/>
  <c r="J84" i="1" s="1"/>
  <c r="K83" i="1"/>
  <c r="J83" i="1"/>
  <c r="K82" i="1"/>
  <c r="J82" i="1"/>
  <c r="K81" i="1"/>
  <c r="J81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59" i="1"/>
  <c r="J59" i="1"/>
  <c r="K58" i="1"/>
  <c r="J58" i="1"/>
  <c r="K57" i="1"/>
  <c r="J57" i="1"/>
  <c r="K55" i="1"/>
  <c r="J55" i="1"/>
  <c r="J54" i="1"/>
  <c r="J53" i="1"/>
  <c r="L53" i="1" s="1"/>
  <c r="J52" i="1"/>
  <c r="L52" i="1" s="1"/>
  <c r="H52" i="1" s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H34" i="1"/>
  <c r="K33" i="1"/>
  <c r="J33" i="1"/>
  <c r="K32" i="1"/>
  <c r="J32" i="1"/>
  <c r="K31" i="1"/>
  <c r="J31" i="1"/>
  <c r="K30" i="1"/>
  <c r="J30" i="1"/>
  <c r="K29" i="1"/>
  <c r="J29" i="1"/>
  <c r="K28" i="1"/>
  <c r="J28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H12" i="1"/>
  <c r="K11" i="1"/>
  <c r="J11" i="1"/>
  <c r="K10" i="1"/>
  <c r="J10" i="1"/>
  <c r="K9" i="1"/>
  <c r="J9" i="1"/>
  <c r="K8" i="1"/>
  <c r="J8" i="1"/>
  <c r="J4" i="1"/>
  <c r="L58" i="1" l="1"/>
  <c r="M58" i="1" s="1"/>
  <c r="L209" i="1"/>
  <c r="L68" i="1"/>
  <c r="H68" i="1" s="1"/>
  <c r="L225" i="1"/>
  <c r="L238" i="1"/>
  <c r="L242" i="1"/>
  <c r="H242" i="1" s="1"/>
  <c r="L293" i="1"/>
  <c r="H293" i="1" s="1"/>
  <c r="L298" i="1"/>
  <c r="M298" i="1" s="1"/>
  <c r="L306" i="1"/>
  <c r="H306" i="1" s="1"/>
  <c r="L314" i="1"/>
  <c r="H314" i="1" s="1"/>
  <c r="L322" i="1"/>
  <c r="M322" i="1" s="1"/>
  <c r="L341" i="1"/>
  <c r="H341" i="1" s="1"/>
  <c r="L146" i="1"/>
  <c r="M146" i="1" s="1"/>
  <c r="L128" i="1"/>
  <c r="M128" i="1" s="1"/>
  <c r="L136" i="1"/>
  <c r="M136" i="1" s="1"/>
  <c r="L140" i="1"/>
  <c r="M140" i="1" s="1"/>
  <c r="L160" i="1"/>
  <c r="H160" i="1" s="1"/>
  <c r="L181" i="1"/>
  <c r="H181" i="1" s="1"/>
  <c r="L185" i="1"/>
  <c r="H185" i="1" s="1"/>
  <c r="L85" i="1"/>
  <c r="M85" i="1" s="1"/>
  <c r="L89" i="1"/>
  <c r="H89" i="1" s="1"/>
  <c r="L321" i="1"/>
  <c r="M321" i="1" s="1"/>
  <c r="L97" i="1"/>
  <c r="H97" i="1" s="1"/>
  <c r="L110" i="1"/>
  <c r="H110" i="1" s="1"/>
  <c r="L133" i="1"/>
  <c r="H133" i="1" s="1"/>
  <c r="L137" i="1"/>
  <c r="M137" i="1" s="1"/>
  <c r="L141" i="1"/>
  <c r="L145" i="1"/>
  <c r="M145" i="1" s="1"/>
  <c r="L149" i="1"/>
  <c r="H149" i="1" s="1"/>
  <c r="L157" i="1"/>
  <c r="H157" i="1" s="1"/>
  <c r="L162" i="1"/>
  <c r="H162" i="1" s="1"/>
  <c r="L170" i="1"/>
  <c r="H170" i="1" s="1"/>
  <c r="L174" i="1"/>
  <c r="H174" i="1" s="1"/>
  <c r="L178" i="1"/>
  <c r="H178" i="1" s="1"/>
  <c r="L182" i="1"/>
  <c r="M182" i="1" s="1"/>
  <c r="L305" i="1"/>
  <c r="H305" i="1" s="1"/>
  <c r="L32" i="1"/>
  <c r="M32" i="1" s="1"/>
  <c r="L87" i="1"/>
  <c r="M87" i="1" s="1"/>
  <c r="L10" i="1"/>
  <c r="H10" i="1" s="1"/>
  <c r="L36" i="1"/>
  <c r="M36" i="1" s="1"/>
  <c r="L44" i="1"/>
  <c r="M44" i="1" s="1"/>
  <c r="L107" i="1"/>
  <c r="H107" i="1" s="1"/>
  <c r="L111" i="1"/>
  <c r="M111" i="1" s="1"/>
  <c r="L123" i="1"/>
  <c r="H123" i="1" s="1"/>
  <c r="L127" i="1"/>
  <c r="H127" i="1" s="1"/>
  <c r="L307" i="1"/>
  <c r="H307" i="1" s="1"/>
  <c r="L311" i="1"/>
  <c r="M311" i="1" s="1"/>
  <c r="L315" i="1"/>
  <c r="H315" i="1" s="1"/>
  <c r="L319" i="1"/>
  <c r="H319" i="1" s="1"/>
  <c r="L323" i="1"/>
  <c r="M323" i="1" s="1"/>
  <c r="L333" i="1"/>
  <c r="L337" i="1"/>
  <c r="M337" i="1" s="1"/>
  <c r="L347" i="1"/>
  <c r="H347" i="1" s="1"/>
  <c r="L352" i="1"/>
  <c r="M352" i="1" s="1"/>
  <c r="L356" i="1"/>
  <c r="M356" i="1" s="1"/>
  <c r="L360" i="1"/>
  <c r="M360" i="1" s="1"/>
  <c r="L104" i="1"/>
  <c r="M104" i="1" s="1"/>
  <c r="L131" i="1"/>
  <c r="M131" i="1" s="1"/>
  <c r="L203" i="1"/>
  <c r="M203" i="1" s="1"/>
  <c r="L223" i="1"/>
  <c r="M223" i="1" s="1"/>
  <c r="L227" i="1"/>
  <c r="M227" i="1" s="1"/>
  <c r="L282" i="1"/>
  <c r="H282" i="1" s="1"/>
  <c r="L286" i="1"/>
  <c r="M286" i="1" s="1"/>
  <c r="L290" i="1"/>
  <c r="M290" i="1" s="1"/>
  <c r="L194" i="1"/>
  <c r="H194" i="1" s="1"/>
  <c r="L206" i="1"/>
  <c r="H206" i="1" s="1"/>
  <c r="L256" i="1"/>
  <c r="H256" i="1" s="1"/>
  <c r="L277" i="1"/>
  <c r="H277" i="1" s="1"/>
  <c r="L285" i="1"/>
  <c r="H285" i="1" s="1"/>
  <c r="L303" i="1"/>
  <c r="H303" i="1" s="1"/>
  <c r="L15" i="1"/>
  <c r="H15" i="1" s="1"/>
  <c r="L300" i="1"/>
  <c r="M300" i="1" s="1"/>
  <c r="L8" i="1"/>
  <c r="H8" i="1" s="1"/>
  <c r="L16" i="1"/>
  <c r="M16" i="1" s="1"/>
  <c r="L20" i="1"/>
  <c r="H20" i="1" s="1"/>
  <c r="L254" i="1"/>
  <c r="M254" i="1" s="1"/>
  <c r="L266" i="1"/>
  <c r="M266" i="1" s="1"/>
  <c r="L78" i="1"/>
  <c r="M78" i="1" s="1"/>
  <c r="L82" i="1"/>
  <c r="M82" i="1" s="1"/>
  <c r="L113" i="1"/>
  <c r="M113" i="1" s="1"/>
  <c r="L117" i="1"/>
  <c r="H117" i="1" s="1"/>
  <c r="L121" i="1"/>
  <c r="M121" i="1" s="1"/>
  <c r="L125" i="1"/>
  <c r="H125" i="1" s="1"/>
  <c r="L200" i="1"/>
  <c r="M200" i="1" s="1"/>
  <c r="L358" i="1"/>
  <c r="M358" i="1" s="1"/>
  <c r="L302" i="1"/>
  <c r="H302" i="1" s="1"/>
  <c r="L236" i="1"/>
  <c r="H236" i="1" s="1"/>
  <c r="L75" i="1"/>
  <c r="H75" i="1" s="1"/>
  <c r="L153" i="1"/>
  <c r="M153" i="1" s="1"/>
  <c r="L11" i="1"/>
  <c r="H11" i="1" s="1"/>
  <c r="L19" i="1"/>
  <c r="M19" i="1" s="1"/>
  <c r="L45" i="1"/>
  <c r="H45" i="1" s="1"/>
  <c r="L65" i="1"/>
  <c r="H65" i="1" s="1"/>
  <c r="L76" i="1"/>
  <c r="H76" i="1" s="1"/>
  <c r="L134" i="1"/>
  <c r="H134" i="1" s="1"/>
  <c r="L150" i="1"/>
  <c r="H150" i="1" s="1"/>
  <c r="L183" i="1"/>
  <c r="H183" i="1" s="1"/>
  <c r="L187" i="1"/>
  <c r="H187" i="1" s="1"/>
  <c r="L216" i="1"/>
  <c r="H216" i="1" s="1"/>
  <c r="L224" i="1"/>
  <c r="M224" i="1" s="1"/>
  <c r="L258" i="1"/>
  <c r="M258" i="1" s="1"/>
  <c r="L283" i="1"/>
  <c r="H283" i="1" s="1"/>
  <c r="L301" i="1"/>
  <c r="H301" i="1" s="1"/>
  <c r="L21" i="1"/>
  <c r="M21" i="1" s="1"/>
  <c r="L92" i="1"/>
  <c r="H92" i="1" s="1"/>
  <c r="L260" i="1"/>
  <c r="H260" i="1" s="1"/>
  <c r="L96" i="1"/>
  <c r="H96" i="1" s="1"/>
  <c r="L13" i="1"/>
  <c r="M13" i="1" s="1"/>
  <c r="L38" i="1"/>
  <c r="M38" i="1" s="1"/>
  <c r="L42" i="1"/>
  <c r="M42" i="1" s="1"/>
  <c r="L46" i="1"/>
  <c r="H46" i="1" s="1"/>
  <c r="L50" i="1"/>
  <c r="H50" i="1" s="1"/>
  <c r="L103" i="1"/>
  <c r="H103" i="1" s="1"/>
  <c r="L139" i="1"/>
  <c r="H139" i="1" s="1"/>
  <c r="L143" i="1"/>
  <c r="M143" i="1" s="1"/>
  <c r="L147" i="1"/>
  <c r="H147" i="1" s="1"/>
  <c r="L159" i="1"/>
  <c r="H159" i="1" s="1"/>
  <c r="L168" i="1"/>
  <c r="M168" i="1" s="1"/>
  <c r="L176" i="1"/>
  <c r="M176" i="1" s="1"/>
  <c r="L180" i="1"/>
  <c r="H180" i="1" s="1"/>
  <c r="L271" i="1"/>
  <c r="M271" i="1" s="1"/>
  <c r="L276" i="1"/>
  <c r="H276" i="1" s="1"/>
  <c r="L280" i="1"/>
  <c r="M280" i="1" s="1"/>
  <c r="L284" i="1"/>
  <c r="M284" i="1" s="1"/>
  <c r="L334" i="1"/>
  <c r="H334" i="1" s="1"/>
  <c r="L357" i="1"/>
  <c r="H357" i="1" s="1"/>
  <c r="L9" i="1"/>
  <c r="M9" i="1" s="1"/>
  <c r="L37" i="1"/>
  <c r="H37" i="1" s="1"/>
  <c r="L63" i="1"/>
  <c r="M63" i="1" s="1"/>
  <c r="L71" i="1"/>
  <c r="M71" i="1" s="1"/>
  <c r="L86" i="1"/>
  <c r="M86" i="1" s="1"/>
  <c r="L93" i="1"/>
  <c r="M93" i="1" s="1"/>
  <c r="L112" i="1"/>
  <c r="M112" i="1" s="1"/>
  <c r="L116" i="1"/>
  <c r="M116" i="1" s="1"/>
  <c r="L138" i="1"/>
  <c r="H138" i="1" s="1"/>
  <c r="L142" i="1"/>
  <c r="L184" i="1"/>
  <c r="M184" i="1" s="1"/>
  <c r="L199" i="1"/>
  <c r="M199" i="1" s="1"/>
  <c r="L202" i="1"/>
  <c r="H202" i="1" s="1"/>
  <c r="L210" i="1"/>
  <c r="H210" i="1" s="1"/>
  <c r="L232" i="1"/>
  <c r="H232" i="1" s="1"/>
  <c r="L245" i="1"/>
  <c r="M245" i="1" s="1"/>
  <c r="L269" i="1"/>
  <c r="M269" i="1" s="1"/>
  <c r="L273" i="1"/>
  <c r="M273" i="1" s="1"/>
  <c r="L308" i="1"/>
  <c r="L329" i="1"/>
  <c r="M329" i="1" s="1"/>
  <c r="L355" i="1"/>
  <c r="M355" i="1" s="1"/>
  <c r="L83" i="1"/>
  <c r="H83" i="1" s="1"/>
  <c r="L105" i="1"/>
  <c r="M105" i="1" s="1"/>
  <c r="L135" i="1"/>
  <c r="H135" i="1" s="1"/>
  <c r="J330" i="1"/>
  <c r="J326" i="1" s="1"/>
  <c r="L338" i="1"/>
  <c r="M338" i="1" s="1"/>
  <c r="L359" i="1"/>
  <c r="M359" i="1" s="1"/>
  <c r="L35" i="1"/>
  <c r="M35" i="1" s="1"/>
  <c r="L39" i="1"/>
  <c r="H39" i="1" s="1"/>
  <c r="L43" i="1"/>
  <c r="M43" i="1" s="1"/>
  <c r="L47" i="1"/>
  <c r="H47" i="1" s="1"/>
  <c r="L62" i="1"/>
  <c r="H62" i="1" s="1"/>
  <c r="L215" i="1"/>
  <c r="H215" i="1" s="1"/>
  <c r="L259" i="1"/>
  <c r="H259" i="1" s="1"/>
  <c r="L309" i="1"/>
  <c r="M309" i="1" s="1"/>
  <c r="L331" i="1"/>
  <c r="H331" i="1" s="1"/>
  <c r="L335" i="1"/>
  <c r="H335" i="1" s="1"/>
  <c r="L31" i="1"/>
  <c r="M31" i="1" s="1"/>
  <c r="L69" i="1"/>
  <c r="H69" i="1" s="1"/>
  <c r="L73" i="1"/>
  <c r="H73" i="1" s="1"/>
  <c r="L98" i="1"/>
  <c r="H98" i="1" s="1"/>
  <c r="L106" i="1"/>
  <c r="M106" i="1" s="1"/>
  <c r="L129" i="1"/>
  <c r="M129" i="1" s="1"/>
  <c r="L171" i="1"/>
  <c r="H171" i="1" s="1"/>
  <c r="L175" i="1"/>
  <c r="H175" i="1" s="1"/>
  <c r="L190" i="1"/>
  <c r="M190" i="1" s="1"/>
  <c r="L193" i="1"/>
  <c r="M193" i="1" s="1"/>
  <c r="L204" i="1"/>
  <c r="H204" i="1" s="1"/>
  <c r="L208" i="1"/>
  <c r="H208" i="1" s="1"/>
  <c r="L212" i="1"/>
  <c r="H212" i="1" s="1"/>
  <c r="L219" i="1"/>
  <c r="L222" i="1"/>
  <c r="L226" i="1"/>
  <c r="H226" i="1" s="1"/>
  <c r="L230" i="1"/>
  <c r="M230" i="1" s="1"/>
  <c r="L263" i="1"/>
  <c r="M263" i="1" s="1"/>
  <c r="L267" i="1"/>
  <c r="H267" i="1" s="1"/>
  <c r="L291" i="1"/>
  <c r="M291" i="1" s="1"/>
  <c r="L313" i="1"/>
  <c r="H313" i="1" s="1"/>
  <c r="L345" i="1"/>
  <c r="H345" i="1" s="1"/>
  <c r="L353" i="1"/>
  <c r="M353" i="1" s="1"/>
  <c r="L59" i="1"/>
  <c r="M59" i="1" s="1"/>
  <c r="L155" i="1"/>
  <c r="H155" i="1" s="1"/>
  <c r="L201" i="1"/>
  <c r="L240" i="1"/>
  <c r="H240" i="1" s="1"/>
  <c r="L244" i="1"/>
  <c r="H244" i="1" s="1"/>
  <c r="L253" i="1"/>
  <c r="M253" i="1" s="1"/>
  <c r="L257" i="1"/>
  <c r="M257" i="1" s="1"/>
  <c r="L261" i="1"/>
  <c r="L14" i="1"/>
  <c r="M14" i="1" s="1"/>
  <c r="L29" i="1"/>
  <c r="H29" i="1" s="1"/>
  <c r="L130" i="1"/>
  <c r="H130" i="1" s="1"/>
  <c r="L164" i="1"/>
  <c r="H164" i="1" s="1"/>
  <c r="L172" i="1"/>
  <c r="H172" i="1" s="1"/>
  <c r="L288" i="1"/>
  <c r="H288" i="1" s="1"/>
  <c r="J3" i="1"/>
  <c r="L17" i="1"/>
  <c r="H17" i="1" s="1"/>
  <c r="L28" i="1"/>
  <c r="M28" i="1" s="1"/>
  <c r="L40" i="1"/>
  <c r="M40" i="1" s="1"/>
  <c r="L88" i="1"/>
  <c r="H88" i="1" s="1"/>
  <c r="L167" i="1"/>
  <c r="H167" i="1" s="1"/>
  <c r="L186" i="1"/>
  <c r="L196" i="1"/>
  <c r="H196" i="1" s="1"/>
  <c r="L218" i="1"/>
  <c r="H218" i="1" s="1"/>
  <c r="L241" i="1"/>
  <c r="M241" i="1" s="1"/>
  <c r="L249" i="1"/>
  <c r="H249" i="1" s="1"/>
  <c r="L268" i="1"/>
  <c r="M268" i="1" s="1"/>
  <c r="L278" i="1"/>
  <c r="M278" i="1" s="1"/>
  <c r="L296" i="1"/>
  <c r="M296" i="1" s="1"/>
  <c r="L327" i="1"/>
  <c r="H327" i="1" s="1"/>
  <c r="L349" i="1"/>
  <c r="M349" i="1" s="1"/>
  <c r="L41" i="1"/>
  <c r="M41" i="1" s="1"/>
  <c r="L57" i="1"/>
  <c r="H57" i="1" s="1"/>
  <c r="L70" i="1"/>
  <c r="H70" i="1" s="1"/>
  <c r="L81" i="1"/>
  <c r="M81" i="1" s="1"/>
  <c r="L99" i="1"/>
  <c r="H99" i="1" s="1"/>
  <c r="L119" i="1"/>
  <c r="M119" i="1" s="1"/>
  <c r="L265" i="1"/>
  <c r="M265" i="1" s="1"/>
  <c r="L287" i="1"/>
  <c r="L77" i="1"/>
  <c r="M77" i="1" s="1"/>
  <c r="J80" i="1"/>
  <c r="L84" i="1"/>
  <c r="J100" i="1"/>
  <c r="L122" i="1"/>
  <c r="L151" i="1"/>
  <c r="M151" i="1" s="1"/>
  <c r="L154" i="1"/>
  <c r="H154" i="1" s="1"/>
  <c r="L207" i="1"/>
  <c r="L279" i="1"/>
  <c r="L318" i="1"/>
  <c r="L328" i="1"/>
  <c r="M328" i="1" s="1"/>
  <c r="M341" i="1"/>
  <c r="L350" i="1"/>
  <c r="L18" i="1"/>
  <c r="H18" i="1" s="1"/>
  <c r="L33" i="1"/>
  <c r="M33" i="1" s="1"/>
  <c r="L48" i="1"/>
  <c r="H48" i="1" s="1"/>
  <c r="L114" i="1"/>
  <c r="L191" i="1"/>
  <c r="M191" i="1" s="1"/>
  <c r="L195" i="1"/>
  <c r="L205" i="1"/>
  <c r="L228" i="1"/>
  <c r="H228" i="1" s="1"/>
  <c r="L231" i="1"/>
  <c r="M231" i="1" s="1"/>
  <c r="L239" i="1"/>
  <c r="M239" i="1" s="1"/>
  <c r="L297" i="1"/>
  <c r="L310" i="1"/>
  <c r="L316" i="1"/>
  <c r="L332" i="1"/>
  <c r="J342" i="1"/>
  <c r="L346" i="1"/>
  <c r="H346" i="1" s="1"/>
  <c r="L354" i="1"/>
  <c r="M354" i="1" s="1"/>
  <c r="L49" i="1"/>
  <c r="H49" i="1" s="1"/>
  <c r="L67" i="1"/>
  <c r="H67" i="1" s="1"/>
  <c r="L72" i="1"/>
  <c r="H72" i="1" s="1"/>
  <c r="L90" i="1"/>
  <c r="L102" i="1"/>
  <c r="L108" i="1"/>
  <c r="M108" i="1" s="1"/>
  <c r="L118" i="1"/>
  <c r="L132" i="1"/>
  <c r="M149" i="1"/>
  <c r="L163" i="1"/>
  <c r="M163" i="1" s="1"/>
  <c r="L211" i="1"/>
  <c r="L214" i="1"/>
  <c r="L217" i="1"/>
  <c r="H217" i="1" s="1"/>
  <c r="L220" i="1"/>
  <c r="M220" i="1" s="1"/>
  <c r="L229" i="1"/>
  <c r="M229" i="1" s="1"/>
  <c r="L243" i="1"/>
  <c r="L252" i="1"/>
  <c r="H252" i="1" s="1"/>
  <c r="L270" i="1"/>
  <c r="L325" i="1"/>
  <c r="M325" i="1" s="1"/>
  <c r="L343" i="1"/>
  <c r="H343" i="1" s="1"/>
  <c r="L351" i="1"/>
  <c r="M351" i="1" s="1"/>
  <c r="J161" i="1"/>
  <c r="L30" i="1"/>
  <c r="H30" i="1" s="1"/>
  <c r="L264" i="1"/>
  <c r="M264" i="1" s="1"/>
  <c r="L274" i="1"/>
  <c r="M274" i="1" s="1"/>
  <c r="L317" i="1"/>
  <c r="H317" i="1" s="1"/>
  <c r="L344" i="1"/>
  <c r="H344" i="1" s="1"/>
  <c r="H146" i="1"/>
  <c r="H182" i="1"/>
  <c r="H141" i="1"/>
  <c r="M141" i="1"/>
  <c r="M53" i="1"/>
  <c r="H53" i="1"/>
  <c r="M52" i="1"/>
  <c r="L115" i="1"/>
  <c r="M115" i="1" s="1"/>
  <c r="L144" i="1"/>
  <c r="M160" i="1"/>
  <c r="L169" i="1"/>
  <c r="L55" i="1"/>
  <c r="L64" i="1"/>
  <c r="L66" i="1"/>
  <c r="M68" i="1"/>
  <c r="L101" i="1"/>
  <c r="L166" i="1"/>
  <c r="L188" i="1"/>
  <c r="H85" i="1"/>
  <c r="H111" i="1"/>
  <c r="L4" i="1"/>
  <c r="L91" i="1"/>
  <c r="L109" i="1"/>
  <c r="L148" i="1"/>
  <c r="L165" i="1"/>
  <c r="H145" i="1"/>
  <c r="L74" i="1"/>
  <c r="M209" i="1"/>
  <c r="H209" i="1"/>
  <c r="L120" i="1"/>
  <c r="L124" i="1"/>
  <c r="L126" i="1"/>
  <c r="L189" i="1"/>
  <c r="L213" i="1"/>
  <c r="L250" i="1"/>
  <c r="M250" i="1" s="1"/>
  <c r="L152" i="1"/>
  <c r="L156" i="1"/>
  <c r="L158" i="1"/>
  <c r="L173" i="1"/>
  <c r="L177" i="1"/>
  <c r="L179" i="1"/>
  <c r="M225" i="1"/>
  <c r="H225" i="1"/>
  <c r="L233" i="1"/>
  <c r="M238" i="1"/>
  <c r="H238" i="1"/>
  <c r="L255" i="1"/>
  <c r="L197" i="1"/>
  <c r="L251" i="1"/>
  <c r="M251" i="1" s="1"/>
  <c r="L272" i="1"/>
  <c r="L281" i="1"/>
  <c r="L312" i="1"/>
  <c r="L221" i="1"/>
  <c r="L262" i="1"/>
  <c r="M262" i="1" s="1"/>
  <c r="L289" i="1"/>
  <c r="L320" i="1"/>
  <c r="L198" i="1"/>
  <c r="L237" i="1"/>
  <c r="J292" i="1"/>
  <c r="L299" i="1"/>
  <c r="L304" i="1"/>
  <c r="M304" i="1" s="1"/>
  <c r="L324" i="1"/>
  <c r="H333" i="1"/>
  <c r="M333" i="1"/>
  <c r="L336" i="1"/>
  <c r="J339" i="1"/>
  <c r="L340" i="1"/>
  <c r="J348" i="1"/>
  <c r="M139" i="1" l="1"/>
  <c r="M276" i="1"/>
  <c r="H254" i="1"/>
  <c r="H153" i="1"/>
  <c r="M159" i="1"/>
  <c r="M147" i="1"/>
  <c r="M282" i="1"/>
  <c r="M226" i="1"/>
  <c r="M331" i="1"/>
  <c r="M242" i="1"/>
  <c r="M335" i="1"/>
  <c r="M293" i="1"/>
  <c r="H286" i="1"/>
  <c r="H359" i="1"/>
  <c r="M89" i="1"/>
  <c r="H356" i="1"/>
  <c r="H298" i="1"/>
  <c r="M344" i="1"/>
  <c r="M244" i="1"/>
  <c r="M174" i="1"/>
  <c r="M334" i="1"/>
  <c r="H290" i="1"/>
  <c r="H360" i="1"/>
  <c r="M283" i="1"/>
  <c r="M315" i="1"/>
  <c r="H190" i="1"/>
  <c r="H300" i="1"/>
  <c r="M10" i="1"/>
  <c r="H21" i="1"/>
  <c r="M183" i="1"/>
  <c r="H104" i="1"/>
  <c r="M181" i="1"/>
  <c r="M133" i="1"/>
  <c r="M319" i="1"/>
  <c r="H176" i="1"/>
  <c r="H131" i="1"/>
  <c r="H44" i="1"/>
  <c r="H263" i="1"/>
  <c r="H323" i="1"/>
  <c r="M232" i="1"/>
  <c r="M343" i="1"/>
  <c r="H59" i="1"/>
  <c r="M107" i="1"/>
  <c r="M46" i="1"/>
  <c r="M117" i="1"/>
  <c r="H321" i="1"/>
  <c r="H93" i="1"/>
  <c r="H16" i="1"/>
  <c r="M307" i="1"/>
  <c r="M256" i="1"/>
  <c r="H140" i="1"/>
  <c r="M65" i="1"/>
  <c r="H352" i="1"/>
  <c r="H273" i="1"/>
  <c r="M135" i="1"/>
  <c r="M236" i="1"/>
  <c r="M134" i="1"/>
  <c r="H223" i="1"/>
  <c r="H87" i="1"/>
  <c r="M88" i="1"/>
  <c r="M305" i="1"/>
  <c r="M314" i="1"/>
  <c r="H284" i="1"/>
  <c r="M8" i="1"/>
  <c r="H184" i="1"/>
  <c r="H40" i="1"/>
  <c r="M157" i="1"/>
  <c r="M127" i="1"/>
  <c r="H353" i="1"/>
  <c r="M216" i="1"/>
  <c r="M206" i="1"/>
  <c r="M97" i="1"/>
  <c r="M83" i="1"/>
  <c r="M210" i="1"/>
  <c r="H128" i="1"/>
  <c r="M194" i="1"/>
  <c r="H136" i="1"/>
  <c r="M347" i="1"/>
  <c r="H322" i="1"/>
  <c r="M288" i="1"/>
  <c r="H354" i="1"/>
  <c r="M98" i="1"/>
  <c r="H81" i="1"/>
  <c r="H203" i="1"/>
  <c r="M306" i="1"/>
  <c r="H253" i="1"/>
  <c r="M50" i="1"/>
  <c r="M92" i="1"/>
  <c r="M259" i="1"/>
  <c r="M345" i="1"/>
  <c r="H280" i="1"/>
  <c r="H78" i="1"/>
  <c r="H265" i="1"/>
  <c r="M155" i="1"/>
  <c r="M18" i="1"/>
  <c r="H86" i="1"/>
  <c r="M187" i="1"/>
  <c r="M11" i="1"/>
  <c r="M48" i="1"/>
  <c r="M204" i="1"/>
  <c r="H129" i="1"/>
  <c r="M267" i="1"/>
  <c r="H200" i="1"/>
  <c r="H229" i="1"/>
  <c r="H309" i="1"/>
  <c r="M150" i="1"/>
  <c r="M185" i="1"/>
  <c r="H311" i="1"/>
  <c r="H271" i="1"/>
  <c r="M252" i="1"/>
  <c r="M313" i="1"/>
  <c r="H266" i="1"/>
  <c r="H43" i="1"/>
  <c r="M103" i="1"/>
  <c r="H42" i="1"/>
  <c r="M123" i="1"/>
  <c r="M175" i="1"/>
  <c r="H337" i="1"/>
  <c r="H168" i="1"/>
  <c r="H32" i="1"/>
  <c r="M240" i="1"/>
  <c r="M327" i="1"/>
  <c r="H112" i="1"/>
  <c r="M217" i="1"/>
  <c r="H19" i="1"/>
  <c r="H36" i="1"/>
  <c r="H224" i="1"/>
  <c r="H113" i="1"/>
  <c r="M138" i="1"/>
  <c r="H220" i="1"/>
  <c r="H245" i="1"/>
  <c r="M178" i="1"/>
  <c r="M20" i="1"/>
  <c r="M285" i="1"/>
  <c r="M208" i="1"/>
  <c r="M110" i="1"/>
  <c r="M29" i="1"/>
  <c r="M260" i="1"/>
  <c r="H137" i="1"/>
  <c r="M162" i="1"/>
  <c r="H13" i="1"/>
  <c r="M215" i="1"/>
  <c r="M218" i="1"/>
  <c r="M30" i="1"/>
  <c r="H121" i="1"/>
  <c r="M170" i="1"/>
  <c r="H349" i="1"/>
  <c r="H231" i="1"/>
  <c r="H143" i="1"/>
  <c r="M212" i="1"/>
  <c r="M57" i="1"/>
  <c r="H28" i="1"/>
  <c r="M45" i="1"/>
  <c r="M277" i="1"/>
  <c r="M75" i="1"/>
  <c r="M96" i="1"/>
  <c r="L348" i="1"/>
  <c r="M302" i="1"/>
  <c r="M125" i="1"/>
  <c r="M76" i="1"/>
  <c r="H33" i="1"/>
  <c r="M67" i="1"/>
  <c r="H227" i="1"/>
  <c r="H35" i="1"/>
  <c r="H105" i="1"/>
  <c r="H291" i="1"/>
  <c r="H355" i="1"/>
  <c r="H278" i="1"/>
  <c r="H338" i="1"/>
  <c r="H193" i="1"/>
  <c r="H191" i="1"/>
  <c r="M37" i="1"/>
  <c r="H71" i="1"/>
  <c r="M47" i="1"/>
  <c r="M69" i="1"/>
  <c r="L342" i="1"/>
  <c r="H342" i="1" s="1"/>
  <c r="H296" i="1"/>
  <c r="H350" i="1"/>
  <c r="M15" i="1"/>
  <c r="M154" i="1"/>
  <c r="M301" i="1"/>
  <c r="M202" i="1"/>
  <c r="H351" i="1"/>
  <c r="H269" i="1"/>
  <c r="H82" i="1"/>
  <c r="M172" i="1"/>
  <c r="M357" i="1"/>
  <c r="H41" i="1"/>
  <c r="M180" i="1"/>
  <c r="M72" i="1"/>
  <c r="H230" i="1"/>
  <c r="H199" i="1"/>
  <c r="H329" i="1"/>
  <c r="H31" i="1"/>
  <c r="H106" i="1"/>
  <c r="M70" i="1"/>
  <c r="H38" i="1"/>
  <c r="M130" i="1"/>
  <c r="M350" i="1"/>
  <c r="M303" i="1"/>
  <c r="M317" i="1"/>
  <c r="M196" i="1"/>
  <c r="H151" i="1"/>
  <c r="H119" i="1"/>
  <c r="H14" i="1"/>
  <c r="M164" i="1"/>
  <c r="M73" i="1"/>
  <c r="M49" i="1"/>
  <c r="H325" i="1"/>
  <c r="M99" i="1"/>
  <c r="H63" i="1"/>
  <c r="M17" i="1"/>
  <c r="M62" i="1"/>
  <c r="M219" i="1"/>
  <c r="H219" i="1"/>
  <c r="H77" i="1"/>
  <c r="M171" i="1"/>
  <c r="H261" i="1"/>
  <c r="M261" i="1"/>
  <c r="M346" i="1"/>
  <c r="H328" i="1"/>
  <c r="M228" i="1"/>
  <c r="M249" i="1"/>
  <c r="M167" i="1"/>
  <c r="M39" i="1"/>
  <c r="M142" i="1"/>
  <c r="H142" i="1"/>
  <c r="M201" i="1"/>
  <c r="H201" i="1"/>
  <c r="H308" i="1"/>
  <c r="M308" i="1"/>
  <c r="M222" i="1"/>
  <c r="H222" i="1"/>
  <c r="H241" i="1"/>
  <c r="H108" i="1"/>
  <c r="M102" i="1"/>
  <c r="H102" i="1"/>
  <c r="H114" i="1"/>
  <c r="M114" i="1"/>
  <c r="M318" i="1"/>
  <c r="H318" i="1"/>
  <c r="M90" i="1"/>
  <c r="H90" i="1"/>
  <c r="M332" i="1"/>
  <c r="H332" i="1"/>
  <c r="H205" i="1"/>
  <c r="M205" i="1"/>
  <c r="H279" i="1"/>
  <c r="M279" i="1"/>
  <c r="M84" i="1"/>
  <c r="H84" i="1"/>
  <c r="H316" i="1"/>
  <c r="M316" i="1"/>
  <c r="M207" i="1"/>
  <c r="H207" i="1"/>
  <c r="H186" i="1"/>
  <c r="M186" i="1"/>
  <c r="M214" i="1"/>
  <c r="H214" i="1"/>
  <c r="H310" i="1"/>
  <c r="M310" i="1"/>
  <c r="H195" i="1"/>
  <c r="M195" i="1"/>
  <c r="M287" i="1"/>
  <c r="H287" i="1"/>
  <c r="H163" i="1"/>
  <c r="M211" i="1"/>
  <c r="H211" i="1"/>
  <c r="M297" i="1"/>
  <c r="H297" i="1"/>
  <c r="H270" i="1"/>
  <c r="M270" i="1"/>
  <c r="H132" i="1"/>
  <c r="M132" i="1"/>
  <c r="H118" i="1"/>
  <c r="M118" i="1"/>
  <c r="H239" i="1"/>
  <c r="M243" i="1"/>
  <c r="H243" i="1"/>
  <c r="M122" i="1"/>
  <c r="H122" i="1"/>
  <c r="M320" i="1"/>
  <c r="H320" i="1"/>
  <c r="M166" i="1"/>
  <c r="H166" i="1"/>
  <c r="M66" i="1"/>
  <c r="H66" i="1"/>
  <c r="H324" i="1"/>
  <c r="M324" i="1"/>
  <c r="M299" i="1"/>
  <c r="H299" i="1"/>
  <c r="M289" i="1"/>
  <c r="H289" i="1"/>
  <c r="M126" i="1"/>
  <c r="H126" i="1"/>
  <c r="M91" i="1"/>
  <c r="H91" i="1"/>
  <c r="M4" i="1"/>
  <c r="H4" i="1"/>
  <c r="L3" i="1"/>
  <c r="M64" i="1"/>
  <c r="H64" i="1"/>
  <c r="L80" i="1"/>
  <c r="M152" i="1"/>
  <c r="H152" i="1"/>
  <c r="H165" i="1"/>
  <c r="M165" i="1"/>
  <c r="H169" i="1"/>
  <c r="M169" i="1"/>
  <c r="H237" i="1"/>
  <c r="M237" i="1"/>
  <c r="M272" i="1"/>
  <c r="H272" i="1"/>
  <c r="M179" i="1"/>
  <c r="H179" i="1"/>
  <c r="L292" i="1"/>
  <c r="M120" i="1"/>
  <c r="H120" i="1"/>
  <c r="L161" i="1"/>
  <c r="H161" i="1" s="1"/>
  <c r="H148" i="1"/>
  <c r="M148" i="1"/>
  <c r="H101" i="1"/>
  <c r="M101" i="1"/>
  <c r="L100" i="1"/>
  <c r="M281" i="1"/>
  <c r="H281" i="1"/>
  <c r="M124" i="1"/>
  <c r="H124" i="1"/>
  <c r="H177" i="1"/>
  <c r="M177" i="1"/>
  <c r="H213" i="1"/>
  <c r="M213" i="1"/>
  <c r="H144" i="1"/>
  <c r="M144" i="1"/>
  <c r="H340" i="1"/>
  <c r="L339" i="1"/>
  <c r="M340" i="1"/>
  <c r="M339" i="1" s="1"/>
  <c r="M198" i="1"/>
  <c r="H198" i="1"/>
  <c r="M189" i="1"/>
  <c r="H189" i="1"/>
  <c r="H221" i="1"/>
  <c r="M221" i="1"/>
  <c r="M312" i="1"/>
  <c r="H312" i="1"/>
  <c r="H197" i="1"/>
  <c r="M197" i="1"/>
  <c r="H173" i="1"/>
  <c r="M173" i="1"/>
  <c r="H336" i="1"/>
  <c r="M336" i="1"/>
  <c r="L330" i="1"/>
  <c r="L326" i="1" s="1"/>
  <c r="M255" i="1"/>
  <c r="H255" i="1"/>
  <c r="M233" i="1"/>
  <c r="H233" i="1"/>
  <c r="M158" i="1"/>
  <c r="H158" i="1"/>
  <c r="H74" i="1"/>
  <c r="M74" i="1"/>
  <c r="H188" i="1"/>
  <c r="M188" i="1"/>
  <c r="M55" i="1"/>
  <c r="H55" i="1"/>
  <c r="M156" i="1"/>
  <c r="H156" i="1"/>
  <c r="H109" i="1"/>
  <c r="M109" i="1"/>
  <c r="M330" i="1" l="1"/>
  <c r="M326" i="1" s="1"/>
  <c r="M348" i="1"/>
  <c r="M342" i="1"/>
  <c r="M161" i="1"/>
  <c r="M80" i="1"/>
  <c r="M292" i="1"/>
  <c r="M100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Hannaford</author>
  </authors>
  <commentList>
    <comment ref="J2" authorId="0" shapeId="0" xr:uid="{B8618C7B-107F-48E7-A1FA-392254EFB8EC}">
      <text>
        <r>
          <rPr>
            <b/>
            <sz val="9"/>
            <color indexed="81"/>
            <rFont val="Tahoma"/>
            <family val="2"/>
          </rPr>
          <t>Thomas Hannaford:</t>
        </r>
        <r>
          <rPr>
            <sz val="9"/>
            <color indexed="81"/>
            <rFont val="Tahoma"/>
            <family val="2"/>
          </rPr>
          <t xml:space="preserve">
Cold‑temperature factor (×1.15): Accounts for Voc increasing in cold conditions per IEC 61215, ensuring string Voc stays below the inverter’s DC max.
MPPT derate factor (×0.9): Provides a 10 % buffer on the inverter’s Vmp_max to avoid pushing the MPPT limit under real‑world temperature variations.
</t>
        </r>
      </text>
    </comment>
    <comment ref="A13" authorId="0" shapeId="0" xr:uid="{7E07A9A3-03B1-45FF-8DEB-9BB8B3C1BE62}">
      <text>
        <r>
          <rPr>
            <b/>
            <sz val="9"/>
            <color indexed="81"/>
            <rFont val="Tahoma"/>
            <family val="2"/>
          </rPr>
          <t>Thomas Hannaford:</t>
        </r>
        <r>
          <rPr>
            <sz val="9"/>
            <color indexed="81"/>
            <rFont val="Tahoma"/>
            <family val="2"/>
          </rPr>
          <t xml:space="preserve">
Currently Set for 32A</t>
        </r>
      </text>
    </comment>
    <comment ref="C13" authorId="0" shapeId="0" xr:uid="{89E85E2A-E222-4B0C-B823-6FCED21BB790}">
      <text>
        <r>
          <rPr>
            <b/>
            <sz val="9"/>
            <color indexed="81"/>
            <rFont val="Tahoma"/>
            <family val="2"/>
          </rPr>
          <t>Thomas Hannaford:</t>
        </r>
        <r>
          <rPr>
            <sz val="9"/>
            <color indexed="81"/>
            <rFont val="Tahoma"/>
            <family val="2"/>
          </rPr>
          <t xml:space="preserve">
Twice value of Inverters DC Inputs - Panels (+ and -)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Lambrecht Botha</author>
  </authors>
  <commentList>
    <comment ref="G343" authorId="0" shapeId="0" xr:uid="{9FF2E533-DCB6-49B8-8E8D-0FEC7B3124F8}">
      <text>
        <r>
          <rPr>
            <b/>
            <sz val="9"/>
            <color indexed="81"/>
            <rFont val="Tahoma"/>
            <family val="2"/>
          </rPr>
          <t>Lambrecht Botha:</t>
        </r>
        <r>
          <rPr>
            <sz val="9"/>
            <color indexed="81"/>
            <rFont val="Tahoma"/>
            <family val="2"/>
          </rPr>
          <t xml:space="preserve">
People x rate per day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Hannaford</author>
  </authors>
  <commentList>
    <comment ref="B3" authorId="0" shapeId="0" xr:uid="{0BBA0D66-A140-47FD-A46E-35A7D5425C94}">
      <text>
        <r>
          <rPr>
            <b/>
            <sz val="9"/>
            <color indexed="81"/>
            <rFont val="Tahoma"/>
            <family val="2"/>
          </rPr>
          <t>Thomas Hannaford:</t>
        </r>
        <r>
          <rPr>
            <sz val="9"/>
            <color indexed="81"/>
            <rFont val="Tahoma"/>
            <family val="2"/>
          </rPr>
          <t xml:space="preserve">
Will be used to calculate the number of total panels
</t>
        </r>
      </text>
    </comment>
    <comment ref="D3" authorId="0" shapeId="0" xr:uid="{39F69119-EFE7-4782-98FC-8936ABD701CD}">
      <text>
        <r>
          <rPr>
            <b/>
            <sz val="9"/>
            <color indexed="81"/>
            <rFont val="Tahoma"/>
            <family val="2"/>
          </rPr>
          <t>Thomas Hannaford:</t>
        </r>
        <r>
          <rPr>
            <sz val="9"/>
            <color indexed="81"/>
            <rFont val="Tahoma"/>
            <family val="2"/>
          </rPr>
          <t xml:space="preserve">
Will be used to calcualte string configuration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Lambrecht Botha</author>
  </authors>
  <commentList>
    <comment ref="B10" authorId="0" shapeId="0" xr:uid="{35C9394A-65DD-4BC8-A79E-777621E74143}">
      <text>
        <r>
          <rPr>
            <b/>
            <sz val="9"/>
            <color indexed="81"/>
            <rFont val="Tahoma"/>
            <family val="2"/>
          </rPr>
          <t>Lambrecht Botha:</t>
        </r>
        <r>
          <rPr>
            <sz val="9"/>
            <color indexed="81"/>
            <rFont val="Tahoma"/>
            <family val="2"/>
          </rPr>
          <t xml:space="preserve">
Confirm for this specific cable we buy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<sst xmlns="http://schemas.openxmlformats.org/spreadsheetml/2006/main" count="2118" uniqueCount="861">
  <si>
    <t>PV Size</t>
  </si>
  <si>
    <t>Number of Panels</t>
  </si>
  <si>
    <t xml:space="preserve">Selected Panel </t>
  </si>
  <si>
    <t>Output (kW)</t>
  </si>
  <si>
    <t>Desired Output (kW)</t>
  </si>
  <si>
    <t>Number of Required Panels</t>
  </si>
  <si>
    <t>Max Series Selected Panels for Selected Inverter</t>
  </si>
  <si>
    <t>All</t>
  </si>
  <si>
    <t>JA Solar - 565W - PV Module (Tier 1, 25y warranty)</t>
  </si>
  <si>
    <t>Max Voltage</t>
  </si>
  <si>
    <t>Max Current</t>
  </si>
  <si>
    <t>System Type</t>
  </si>
  <si>
    <t>Number of Phases</t>
  </si>
  <si>
    <t>Inverter Size (kVA)</t>
  </si>
  <si>
    <t>Selected Inverter</t>
  </si>
  <si>
    <t>Number of Selected Inverters</t>
  </si>
  <si>
    <t>Desired Capacity (kVA)</t>
  </si>
  <si>
    <t>Number of Required Inverters</t>
  </si>
  <si>
    <t>Huawei SUN2000-50KTL-M3 Inverter</t>
  </si>
  <si>
    <t>DC Fuses Size (A)</t>
  </si>
  <si>
    <t>Selected Fuse</t>
  </si>
  <si>
    <t>Number of Fuses</t>
  </si>
  <si>
    <t>Selected Fuse Holder</t>
  </si>
  <si>
    <t>Number of Fuse Holders</t>
  </si>
  <si>
    <t xml:space="preserve">20A Fuse </t>
  </si>
  <si>
    <t>Mounting Type</t>
  </si>
  <si>
    <t>Selected DC Isolator</t>
  </si>
  <si>
    <t>Number of DC Isolators</t>
  </si>
  <si>
    <t>32A 1000V 4P DC Isolator switch - Panel Mount</t>
  </si>
  <si>
    <t>=UNIQUE(B:B)</t>
  </si>
  <si>
    <t>Component Type</t>
  </si>
  <si>
    <t>Description</t>
  </si>
  <si>
    <t>Supplier</t>
  </si>
  <si>
    <t>Updated</t>
  </si>
  <si>
    <t>Unit Cost</t>
  </si>
  <si>
    <t>Unit Price</t>
  </si>
  <si>
    <t>Qty</t>
  </si>
  <si>
    <t>Total Cost</t>
  </si>
  <si>
    <t>Markup</t>
  </si>
  <si>
    <t>Selling Price</t>
  </si>
  <si>
    <t>Mark-up</t>
  </si>
  <si>
    <t>PV Modules &amp; Inverter Equipment</t>
  </si>
  <si>
    <t>.</t>
  </si>
  <si>
    <t>Power Conversion System</t>
  </si>
  <si>
    <t>Energy Storage - Solar MD</t>
  </si>
  <si>
    <t>SMA Inverters and accessories</t>
  </si>
  <si>
    <t>Data Manager</t>
  </si>
  <si>
    <t>SMA Data Manager M Plant Monitoring up to max 50 Devices without WLAN</t>
  </si>
  <si>
    <t>IBC Solar - Discontinued</t>
  </si>
  <si>
    <t>SMA Data Manager M EDMM-20 - Plant Monitoring up to Max 50 Devices</t>
  </si>
  <si>
    <t>IBC Solar</t>
  </si>
  <si>
    <t>Power Supply</t>
  </si>
  <si>
    <t>SMA Top-hat rail power supply unit 2,5 A / 24 V DC</t>
  </si>
  <si>
    <t>Energy Meter</t>
  </si>
  <si>
    <t>SMA Energy Meter 20 bidirectional reading SMA Speedwire</t>
  </si>
  <si>
    <t>Megarivo &amp; Lithium Valley</t>
  </si>
  <si>
    <t>PER QUOTE</t>
  </si>
  <si>
    <t>Megarivo PCS 100kW (incl. isolation TX)</t>
  </si>
  <si>
    <t>PCS, 100kw (with Isolation Transformer) - indoor</t>
  </si>
  <si>
    <t>Kathea</t>
  </si>
  <si>
    <t>Lithium Valley LFP 10kWh</t>
  </si>
  <si>
    <t>Lithium Valley LFP, 10kwh; Contains aerosol, secondary BMS</t>
  </si>
  <si>
    <t>Lithium Valley HV Box (&lt;1000V)</t>
  </si>
  <si>
    <t>HV BOX - 800V (1000V）less than 1000V</t>
  </si>
  <si>
    <t>Lithium Valley Battery connection cables</t>
  </si>
  <si>
    <t>Battery connect cable - 0.5M,include connectors,power cable and
control cable</t>
  </si>
  <si>
    <t>Lithium Valley Cabinet connect cable</t>
  </si>
  <si>
    <t>Cabinet connect cable</t>
  </si>
  <si>
    <t>UPS</t>
  </si>
  <si>
    <t>Lithium Valley Accessories</t>
  </si>
  <si>
    <t>Lithium Valley Indoor Battery Cabinet</t>
  </si>
  <si>
    <t>(Max 7 layers, 60kWh)</t>
  </si>
  <si>
    <t>Magerivo Commissioning (&lt;100kW)</t>
  </si>
  <si>
    <t>WEG VSD</t>
  </si>
  <si>
    <t>VSD</t>
  </si>
  <si>
    <t>CSWCFW500.400.22-HS 22kW 49A Enclosure 1000x600x300</t>
  </si>
  <si>
    <t>WEG</t>
  </si>
  <si>
    <t>CSWCFW500.400.4-HS 4kW 10A Enclosure 600x500x250</t>
  </si>
  <si>
    <t>CSWCFW500.400.15-HS 15kW 31A Enclosure 800x600x300</t>
  </si>
  <si>
    <t>Huawei Inverters</t>
  </si>
  <si>
    <t>Fronius Inverters</t>
  </si>
  <si>
    <t>Innomatic Special - July 2025</t>
  </si>
  <si>
    <t>SPD</t>
  </si>
  <si>
    <t>DC OVP Type 1+2 - MultiString for Primo</t>
  </si>
  <si>
    <t>Innomatic Solar</t>
  </si>
  <si>
    <t xml:space="preserve">DC OVP Type 2 - Multistring for SYMO 10-20kW </t>
  </si>
  <si>
    <t>MC4</t>
  </si>
  <si>
    <t xml:space="preserve"> DC plug +- pair MC4 (6ea) </t>
  </si>
  <si>
    <t>Fuses</t>
  </si>
  <si>
    <t xml:space="preserve"> Fuses 6 x 15A DC+ / Fuse Bolts</t>
  </si>
  <si>
    <t xml:space="preserve">DC OVP Type 2 - Single String for ECO 27KW </t>
  </si>
  <si>
    <t>SPD Type 2 ECO Retrofit</t>
  </si>
  <si>
    <t>Victron Equipment</t>
  </si>
  <si>
    <t>MPPT</t>
  </si>
  <si>
    <t>MPPT VE Smart Solar 150/35</t>
  </si>
  <si>
    <t>MPPT VE Smart Solar 150/45</t>
  </si>
  <si>
    <t>MPPT VE Smart Solar 150/60-Tr</t>
  </si>
  <si>
    <t>MPPT VE Smart Solar 150/70-Tr</t>
  </si>
  <si>
    <t>MPPT VE Smart Solar 150/85-Tr VE.Can</t>
  </si>
  <si>
    <t>MPPT VE Smart Solar 150/100-Tr VE.Can</t>
  </si>
  <si>
    <t>MPPT VE Smart Solar 250/60-Tr</t>
  </si>
  <si>
    <t>MPPT VE Smart Solar 250/70-Tr VE.Can</t>
  </si>
  <si>
    <t>MPPT VE Smart Solar 250/85-Tr VE.Can</t>
  </si>
  <si>
    <t>MPPT VE Smart Solar 250/100-Tr VE.Can</t>
  </si>
  <si>
    <t>MPPT VE Smart Solar 450/100-TR VE.Can</t>
  </si>
  <si>
    <t>MPPT VE Smart Solar 450/200-TR VE.Can</t>
  </si>
  <si>
    <t>MPPT Wirebox</t>
  </si>
  <si>
    <t>MPPT Wirebox Small</t>
  </si>
  <si>
    <t>MPPT Wirebox Medium (100-30/50 to 150/35)</t>
  </si>
  <si>
    <t>MPPT Wirebox Large (150/45</t>
  </si>
  <si>
    <t>MPPT Wirebox XLarge</t>
  </si>
  <si>
    <t>Sunsynk/Deye Equipment</t>
  </si>
  <si>
    <t>Deye - BOS-G Rack-13 - 3U-Hrack-2G</t>
  </si>
  <si>
    <t>Solar Energy</t>
  </si>
  <si>
    <t>Deye- HVB750V/100A-EU - High Voltage
Battery Cluster Control Box</t>
  </si>
  <si>
    <t xml:space="preserve">Sunsynk Sunsynk Battery LFP IP20 5.12KWH </t>
  </si>
  <si>
    <t>ARB</t>
  </si>
  <si>
    <t>Sunsynk Battery LFP Wall Mount 5,32kWh</t>
  </si>
  <si>
    <t>No price</t>
  </si>
  <si>
    <t>Sunsynk Battery LFP IP65 10.24KWH</t>
  </si>
  <si>
    <t>Sunsynk Battery LFP Wall Mount 10,65kWh</t>
  </si>
  <si>
    <t>Sunsynk Battery LFP Wall Mount 15,97kWh</t>
  </si>
  <si>
    <t>Sunsynk Battery LFP Wall Mount 61,44kWh</t>
  </si>
  <si>
    <t>Storage Freedom Won</t>
  </si>
  <si>
    <t>Sigenergy</t>
  </si>
  <si>
    <t>Battery Controller</t>
  </si>
  <si>
    <t>Sigen Hybrid Battery Controller</t>
  </si>
  <si>
    <t>Heroldts</t>
  </si>
  <si>
    <t>Communication</t>
  </si>
  <si>
    <t>Sigen Communication Module Global</t>
  </si>
  <si>
    <t xml:space="preserve">Mount </t>
  </si>
  <si>
    <t>SigenStor Installation Kit for Ground-mounted</t>
  </si>
  <si>
    <t>SigenStor Installation Kit for Wall-mounted</t>
  </si>
  <si>
    <t>SigenStor Installation Kit for Ground-mounted with Adjustable Levelers Feet</t>
  </si>
  <si>
    <t>Power Meter</t>
  </si>
  <si>
    <t>Sigen Power Meter 100A Single Phase DH</t>
  </si>
  <si>
    <t>Gateways</t>
  </si>
  <si>
    <t>Sigen Commercial Gateway For SigenStack (600kw Max Output)</t>
  </si>
  <si>
    <t>Sigen Commercial Gateway For SigenStack (1200kw Max Output)</t>
  </si>
  <si>
    <t>Sigen Commercial Gateway For SigenStack (1600kw Max Output) Includes Grid and Load ACB's</t>
  </si>
  <si>
    <t>Sigen Commercial Gateway For SigenStack (2000kw Max Output)</t>
  </si>
  <si>
    <t>Sigen Commercial Gateway For SigenStack (2400kw Max Output) Includes Grid and Load ACB's</t>
  </si>
  <si>
    <t>Sigen Power Meter Single Phase External CT 120A DH</t>
  </si>
  <si>
    <t>Sigen Power Meter 100A Three Phase DH</t>
  </si>
  <si>
    <t>Sigen Power Meter Three Phase External CT 120A DH</t>
  </si>
  <si>
    <t>Sigen Power Meter Three Phase External CT 300A DH</t>
  </si>
  <si>
    <t>Sigen Power Meter Three Phase External CT 600A DH</t>
  </si>
  <si>
    <t>Power Sensor</t>
  </si>
  <si>
    <t>Sigen Power Sensor 3Phase Without CT 173-480VAC</t>
  </si>
  <si>
    <t>Storage WEST</t>
  </si>
  <si>
    <t>Mounting Systems</t>
  </si>
  <si>
    <t>**Price increase - Awaiting new prices (March '25)</t>
  </si>
  <si>
    <t>Mounting System</t>
  </si>
  <si>
    <t>Kliplok -Portrait - Full rail</t>
  </si>
  <si>
    <t>Lumax</t>
  </si>
  <si>
    <t>Kliplok - Landscape - Short rail</t>
  </si>
  <si>
    <t>IBR - Landscape - short rail</t>
  </si>
  <si>
    <t>IBR - Portrait - Short rail</t>
  </si>
  <si>
    <t>IBR686 - Portrait - Full rail</t>
  </si>
  <si>
    <t>Corrugated - landacpe - short rail</t>
  </si>
  <si>
    <t>Corrugated - Portrait -Full rail</t>
  </si>
  <si>
    <t>Tilted panels 25deg - Landscape - (No base rails)</t>
  </si>
  <si>
    <t>Tilted panels 25deg - Landscape - (Incl. base rails)</t>
  </si>
  <si>
    <t>Tilted panels -25deg -Laqndscape -Ballasted</t>
  </si>
  <si>
    <t>Concrete flat roof, angled frame and ballast</t>
  </si>
  <si>
    <t>Concrete ballast and rail, tilted</t>
  </si>
  <si>
    <t>Flat roof - flush mount (other)</t>
  </si>
  <si>
    <t>Ground mounting structure Lumax (concrete + delivery) pile in concrete</t>
  </si>
  <si>
    <r>
      <t xml:space="preserve">Cut &amp; Bend for Concrete </t>
    </r>
    <r>
      <rPr>
        <b/>
        <sz val="11"/>
        <rFont val="Calibri"/>
        <family val="2"/>
      </rPr>
      <t>per cube</t>
    </r>
  </si>
  <si>
    <t>NJR</t>
  </si>
  <si>
    <t>Ground mounting structure Lumax (concrete + delivery) chemical ancor</t>
  </si>
  <si>
    <t>Steel terrace</t>
  </si>
  <si>
    <t>Slate (L bracket with hangerbolts)</t>
  </si>
  <si>
    <t>Tile Roof Portrait</t>
  </si>
  <si>
    <t xml:space="preserve">Tile Roof Landscape </t>
  </si>
  <si>
    <t>Cables and Connector Sets - Red &amp; Black = same price pm</t>
  </si>
  <si>
    <t>Cable DC</t>
  </si>
  <si>
    <t xml:space="preserve">Battery cable 25mm </t>
  </si>
  <si>
    <t>Cable trading</t>
  </si>
  <si>
    <t>Battery cable 35mm</t>
  </si>
  <si>
    <t>Double Insulated Welding Cable (5kW Hybrid Inverter,all Victron MPPT excluding 450/200)</t>
  </si>
  <si>
    <t>Battery cable 50mm</t>
  </si>
  <si>
    <t>Double Insulated Welding Cable (8kW Hybrid Inverter,Victron MPPT 450/200)</t>
  </si>
  <si>
    <t xml:space="preserve">Battery cable 70mm </t>
  </si>
  <si>
    <t>Double Insulated Welding Cable (10kW &amp; 15 kW Hybrid Inverter)</t>
  </si>
  <si>
    <t>Battery cable 95mm</t>
  </si>
  <si>
    <t>Double Insulated Welding Cable (To extend FW's battery cable , 30kWh to 60 kWh)</t>
  </si>
  <si>
    <t>Battery cable 120mm</t>
  </si>
  <si>
    <t>Double Insulated Welding Cable( To extend FW's battery cable to combiner box ,80kWh &amp; 100kWh</t>
  </si>
  <si>
    <t>Battery cable 150mm</t>
  </si>
  <si>
    <t>Double Insulated Welding Cable (not currently in use)</t>
  </si>
  <si>
    <t>Battery cable 185mm</t>
  </si>
  <si>
    <t>Cable AC</t>
  </si>
  <si>
    <t>25mm 2 Core SWA</t>
  </si>
  <si>
    <t>6mm 3 Core HO7</t>
  </si>
  <si>
    <t>Trailing Cable Code - H07 RN-F  (Up to  5kW Single Phase Fronius)</t>
  </si>
  <si>
    <t>10mm 3 Core HO7</t>
  </si>
  <si>
    <t>Trailing Cable Code - H07 RN-F (8kW Single Phase Fronius)</t>
  </si>
  <si>
    <t>10mm 3 Core SWA</t>
  </si>
  <si>
    <t>16MM 3 Core HO7</t>
  </si>
  <si>
    <t>16MM 3 Core SWA</t>
  </si>
  <si>
    <t>25mm 3 Core SWA</t>
  </si>
  <si>
    <t>Vescotech</t>
  </si>
  <si>
    <t>70mm 3 Core SWA</t>
  </si>
  <si>
    <t>6mm 4 Core + Earth Surfix</t>
  </si>
  <si>
    <t>10mm 4 Core HO7</t>
  </si>
  <si>
    <t>10mm 4 Core SWA</t>
  </si>
  <si>
    <t>16mm 4 Core SWA</t>
  </si>
  <si>
    <t>25mm 4 Core SWA</t>
  </si>
  <si>
    <t>35mm 4 Core HO7</t>
  </si>
  <si>
    <t>35mm 4 Core SWA</t>
  </si>
  <si>
    <t>50mm 4 Core HO7</t>
  </si>
  <si>
    <t>SWA (Armoured Cable)</t>
  </si>
  <si>
    <t>50mm 4 Core SWA</t>
  </si>
  <si>
    <t>70mm 4 Core SWA</t>
  </si>
  <si>
    <t>95mm 4 Core HO7</t>
  </si>
  <si>
    <t>95mm 4 Core SWA</t>
  </si>
  <si>
    <t>120mm 4 Core SWA</t>
  </si>
  <si>
    <t>150mm 4 Core SWA</t>
  </si>
  <si>
    <t>185mm 4 Core HO7</t>
  </si>
  <si>
    <t>185mm 4 Core SWA</t>
  </si>
  <si>
    <t>6mm 5 Core HO7</t>
  </si>
  <si>
    <t>Trailing Cable Code - H07 RN-F (AC side- for hybrid inverters, 5kW Inverters)</t>
  </si>
  <si>
    <t>6mm 5 Core HO8</t>
  </si>
  <si>
    <t>10mm 5 CoreHO7</t>
  </si>
  <si>
    <t>Trailing Cable Code - H07 RN-F (AC side- for hybrid inverters, 8kW &amp; 10kW Inverters)</t>
  </si>
  <si>
    <t>16mm 5 Core HO7</t>
  </si>
  <si>
    <t>Trailing Cable Code - H07 RN-F (AC side- for hybrid inverters, 15kW Inverters)</t>
  </si>
  <si>
    <t>25mm 5 Core HO7</t>
  </si>
  <si>
    <t>Trailing Cable Code - H07 RN-F (AC side- for hybrid inverters, 15kW Inverters on high bypass current)</t>
  </si>
  <si>
    <t>25mm 5 Core SWA</t>
  </si>
  <si>
    <t>4mm Solar Cable Red and Black</t>
  </si>
  <si>
    <t>Double Insulated Solar Cable (For solar connections that only have series strings)</t>
  </si>
  <si>
    <t>6mm Solar Cable Red and Black</t>
  </si>
  <si>
    <t>Double Insulated Solar Cable (For solar connections that have parralel strings)</t>
  </si>
  <si>
    <t>10mm Solar Cable Red and Black</t>
  </si>
  <si>
    <t>Cable Connector</t>
  </si>
  <si>
    <t>MC4 Solar Connector Set</t>
  </si>
  <si>
    <t>Innomatic Cable</t>
  </si>
  <si>
    <t>MC4 Branch Solar Connector Set</t>
  </si>
  <si>
    <t>Cable BCEW</t>
  </si>
  <si>
    <t>6mm BCEW</t>
  </si>
  <si>
    <t>10mm BCEW</t>
  </si>
  <si>
    <t>16mm BCEW</t>
  </si>
  <si>
    <t>25mm BCEW</t>
  </si>
  <si>
    <t>35mm BCEW</t>
  </si>
  <si>
    <t xml:space="preserve"> inverter earthing (From Main Power Supply to Inverter DB)</t>
  </si>
  <si>
    <t>50mm BCEW</t>
  </si>
  <si>
    <t>70mm BCEW</t>
  </si>
  <si>
    <t>95mm BCEW</t>
  </si>
  <si>
    <t xml:space="preserve"> inverter earthing (from Main Power Supply to Inverter DB)</t>
  </si>
  <si>
    <t>120mm BCEW</t>
  </si>
  <si>
    <t>150mm BCEW</t>
  </si>
  <si>
    <t>185mm BCEW</t>
  </si>
  <si>
    <t>Cable Comms</t>
  </si>
  <si>
    <t>Communication cable (CAT5/CAT6)</t>
  </si>
  <si>
    <t>RJ45 Ethernet</t>
  </si>
  <si>
    <t>Cable Earth</t>
  </si>
  <si>
    <t>6mm G/Y Earth Cable</t>
  </si>
  <si>
    <t>16mm G/Y Earth Cable</t>
  </si>
  <si>
    <t>10mm G/Y Earth Cable</t>
  </si>
  <si>
    <t>10mm Airdac</t>
  </si>
  <si>
    <t>16mm Airdac</t>
  </si>
  <si>
    <t>Cable management</t>
  </si>
  <si>
    <t>Sleaves/ racking</t>
  </si>
  <si>
    <t>Cable Sleeve</t>
  </si>
  <si>
    <t>Sleeve - 110mm x 6m Duct pipe</t>
  </si>
  <si>
    <t>3m - 150 mm Ducting Pipe (Utilized for Solar Cable)</t>
  </si>
  <si>
    <t>Flotek</t>
  </si>
  <si>
    <t>20mm White Sprague pm</t>
  </si>
  <si>
    <t>25mm Sprague White pm</t>
  </si>
  <si>
    <t>25mm PVC Split Sprague Black 50m</t>
  </si>
  <si>
    <t>25mm Galv Flexible Sprague pm</t>
  </si>
  <si>
    <t>25 mm Black Sprague With draw wire [50m]</t>
  </si>
  <si>
    <t>50mm Black Sprague 50m</t>
  </si>
  <si>
    <t>Cable Tray</t>
  </si>
  <si>
    <t>100mm Light Duty  Cable Tray</t>
  </si>
  <si>
    <t>150mm Light Duty  Cable Tray</t>
  </si>
  <si>
    <t>100 mm Medium Duty  Cable Tray 3m</t>
  </si>
  <si>
    <t>3m Cable Racking (100 mm Channel)</t>
  </si>
  <si>
    <t>200 mm Medium Duty  Cable Tray 3m</t>
  </si>
  <si>
    <t>3m Cable Racking (200 mm Channel)</t>
  </si>
  <si>
    <t>100 mm Heavy Duty  Cable Tray 3m</t>
  </si>
  <si>
    <t>200 mm Heavy Duty  Cable Tray 3m</t>
  </si>
  <si>
    <t>Cable Tray Lid</t>
  </si>
  <si>
    <t>100 mm Medium Duty Cable Tray Lid 3m</t>
  </si>
  <si>
    <t>200 mm Medium Duty Cable Tray Lid 3m</t>
  </si>
  <si>
    <t>100 mm Heavy Duty Cable Tray Lid 3m</t>
  </si>
  <si>
    <t>200 mm Heavy Duty Cable Tray Lid 3m</t>
  </si>
  <si>
    <t>Cable Channel</t>
  </si>
  <si>
    <t>P9000 Channels [3m]</t>
  </si>
  <si>
    <t>P9000 Covers [3m]</t>
  </si>
  <si>
    <t>P8000 Channels [3m]</t>
  </si>
  <si>
    <t>P8000 Covers [3m]</t>
  </si>
  <si>
    <t>P2000 Channels [5m]</t>
  </si>
  <si>
    <t>P2000 Covers [2,5m]</t>
  </si>
  <si>
    <t>Trunking Grey 3m 50x50mm</t>
  </si>
  <si>
    <t>Trunking Grey 2m 80x80mm</t>
  </si>
  <si>
    <t>Trunking Grey 3m 75x75mm</t>
  </si>
  <si>
    <t>5m P2000 + 2 x 2.5m Metal Cover</t>
  </si>
  <si>
    <t>Trunking White 3m  75x75mm</t>
  </si>
  <si>
    <t>Trunking White 3m 100x50mm</t>
  </si>
  <si>
    <t>Trunking Grey 3m 100x75mm</t>
  </si>
  <si>
    <t>Trunking 100x40mm 2,9m</t>
  </si>
  <si>
    <t>Electrical equipment protection</t>
  </si>
  <si>
    <t>Earthing &amp; SPD, AC cabinet, breakers, DC cabinet and fuses</t>
  </si>
  <si>
    <t>Change over switch</t>
  </si>
  <si>
    <t>40A single phase</t>
  </si>
  <si>
    <t>Hager</t>
  </si>
  <si>
    <t>50A single phase</t>
  </si>
  <si>
    <t>63A single phase</t>
  </si>
  <si>
    <t xml:space="preserve">Hager </t>
  </si>
  <si>
    <t>80A single phase</t>
  </si>
  <si>
    <t>100A single phase</t>
  </si>
  <si>
    <t>160A single phase</t>
  </si>
  <si>
    <t>200A single phase</t>
  </si>
  <si>
    <t>40A 3ph + neutral</t>
  </si>
  <si>
    <t>50A 3ph + neutral</t>
  </si>
  <si>
    <t>63A 3ph + neutral</t>
  </si>
  <si>
    <t>63A 2P 415V</t>
  </si>
  <si>
    <t>63A 4P Hagar</t>
  </si>
  <si>
    <t>80A 3ph + neutral</t>
  </si>
  <si>
    <t xml:space="preserve">80A 4P </t>
  </si>
  <si>
    <t>100A 2P</t>
  </si>
  <si>
    <t xml:space="preserve">100A 3P </t>
  </si>
  <si>
    <t xml:space="preserve">100A 4P </t>
  </si>
  <si>
    <t>160A 3ph + neutral</t>
  </si>
  <si>
    <t xml:space="preserve">350A 3ph + neutral </t>
  </si>
  <si>
    <t>Estimate Price</t>
  </si>
  <si>
    <t>160A 4P ABB</t>
  </si>
  <si>
    <t xml:space="preserve">180A 4P Hager </t>
  </si>
  <si>
    <t>200A 3ph + neutral</t>
  </si>
  <si>
    <t>Change over - accessories</t>
  </si>
  <si>
    <t>Shaft 6mm - 210mm (160A-250A)</t>
  </si>
  <si>
    <t>ABB</t>
  </si>
  <si>
    <t>Shaft 6mm - 290mm (160A-250A)</t>
  </si>
  <si>
    <t>Shaft 6mm - 360mm (160A-250A)</t>
  </si>
  <si>
    <t>Earth Leakage</t>
  </si>
  <si>
    <t>63A 4,5kA Lear</t>
  </si>
  <si>
    <t>63A 2P 3kA Schneider</t>
  </si>
  <si>
    <t>Schneider</t>
  </si>
  <si>
    <t>63A 2P Earth Leakage</t>
  </si>
  <si>
    <t>CBI</t>
  </si>
  <si>
    <t>60 1P</t>
  </si>
  <si>
    <t>63 3P 10kA</t>
  </si>
  <si>
    <t>Mega Fuse</t>
  </si>
  <si>
    <t>300A 80V ANL Fuse</t>
  </si>
  <si>
    <t>HERHOLDTS</t>
  </si>
  <si>
    <t>500A 80V ANL Fuse</t>
  </si>
  <si>
    <t>ANL Fuse Holder</t>
  </si>
  <si>
    <t>200A 58V Mega Fuse</t>
  </si>
  <si>
    <t>300A 58V Mega Fuse</t>
  </si>
  <si>
    <t>400A 80V ANL Fuse</t>
  </si>
  <si>
    <t>Mega Fuse Holder</t>
  </si>
  <si>
    <t>Fuse</t>
  </si>
  <si>
    <t>16A  Fuse</t>
  </si>
  <si>
    <t xml:space="preserve">Fuse </t>
  </si>
  <si>
    <t xml:space="preserve">32A Fuse </t>
  </si>
  <si>
    <t>20-32A Fuse Holder</t>
  </si>
  <si>
    <t xml:space="preserve">160A DC Fuse </t>
  </si>
  <si>
    <t>160A 3P DC FUSE DISCONNECTOR</t>
  </si>
  <si>
    <t>SPD 1ph</t>
  </si>
  <si>
    <t>T2 1P + Neutral</t>
  </si>
  <si>
    <t>230V 1P T2</t>
  </si>
  <si>
    <t>275V 1P+NPE  20kA</t>
  </si>
  <si>
    <t xml:space="preserve">CBI </t>
  </si>
  <si>
    <t xml:space="preserve">275V 2P Class2 </t>
  </si>
  <si>
    <t>250V 3P Class2 DC Surge Protection</t>
  </si>
  <si>
    <t>275V 3P Class2 AC Surge Protection</t>
  </si>
  <si>
    <t>CBI - ARB</t>
  </si>
  <si>
    <t>T2 3P-N 20kA 230V</t>
  </si>
  <si>
    <t>SPD 3ph</t>
  </si>
  <si>
    <t>T2 3P + Neutral 400V</t>
  </si>
  <si>
    <t>400V 4P Tier 2 AC Surge Protection</t>
  </si>
  <si>
    <t>DC SURGE PROTECTION 40KA 3P 1000V</t>
  </si>
  <si>
    <t>Suntree</t>
  </si>
  <si>
    <t>Contactor</t>
  </si>
  <si>
    <t>32A 3NO Main + 1NO Aux 400V</t>
  </si>
  <si>
    <t>40A 3NO Main + 1NO Aux 400V</t>
  </si>
  <si>
    <t>50A 3NO Main + 1NO Aux 400V</t>
  </si>
  <si>
    <t>DB Cabinet (AC)</t>
  </si>
  <si>
    <t>Single door cabinet, 800 X 560 X 220, IP65 rated, up to 250A</t>
  </si>
  <si>
    <t>Enclosure</t>
  </si>
  <si>
    <t>Enclosure 250x200x150 IP65</t>
  </si>
  <si>
    <t>Enclosure 300x250x150 IP65</t>
  </si>
  <si>
    <t>Enclosure 300x250x200 IP65</t>
  </si>
  <si>
    <t>Enclosure 300x300x200 IP65</t>
  </si>
  <si>
    <t>Enclosure 400x300x200 IP65</t>
  </si>
  <si>
    <t>Tradelander</t>
  </si>
  <si>
    <t>Enclosure 500x400x250 IP66</t>
  </si>
  <si>
    <t>Enclosure 600x400x250 IP65</t>
  </si>
  <si>
    <t>Enclosure 600x500x250 IP65</t>
  </si>
  <si>
    <t>Enclosure 600x600x250 IP65</t>
  </si>
  <si>
    <t xml:space="preserve">Enclosure 600x800x250 </t>
  </si>
  <si>
    <t>Enclosure 600x1000x300 Double door</t>
  </si>
  <si>
    <t>Enclosure 600x1200x300 Double door</t>
  </si>
  <si>
    <t>Enclosure 700x500x250 IP65</t>
  </si>
  <si>
    <t>Enclosure 800x600x260 IP65</t>
  </si>
  <si>
    <t>Enclosure 800x800x260 IP65</t>
  </si>
  <si>
    <t>Enclosure 800x1200x300 Double door</t>
  </si>
  <si>
    <t>Enclosure 1400x1000x300 Double door</t>
  </si>
  <si>
    <t>Custom Enclosure 1600x1300x300 Double Door</t>
  </si>
  <si>
    <t>Custom Enclosure 1600x1400x300 Double Door</t>
  </si>
  <si>
    <t>Custom Enclosure 3400x1800x2100</t>
  </si>
  <si>
    <t>DB</t>
  </si>
  <si>
    <t>Orange DB + EL and NB</t>
  </si>
  <si>
    <t>ACDC</t>
  </si>
  <si>
    <t>6 Way Din Rail Surface DB NB</t>
  </si>
  <si>
    <t>8 Way Din Rail Surface DB NB</t>
  </si>
  <si>
    <t>12Way Din Rail Surface DB NB</t>
  </si>
  <si>
    <t>18 Way Surface DIN</t>
  </si>
  <si>
    <t>Eave box 9 mod Padlockable</t>
  </si>
  <si>
    <t>Eave box 12 Mod Din rail</t>
  </si>
  <si>
    <t>SU1 1x18 mod Din Rail</t>
  </si>
  <si>
    <t>SU2 2x15 Mod Din Weatherproof</t>
  </si>
  <si>
    <t xml:space="preserve">SU2 2x20 mod Surface  </t>
  </si>
  <si>
    <t>SU2 2x20 mod Flush</t>
  </si>
  <si>
    <t>SU3 3X15 DIN Weatherproof</t>
  </si>
  <si>
    <t>SU3 3x15 Mod DB DIN SURFACE</t>
  </si>
  <si>
    <t>SU3 3x15 Mod DB DIN FLUSH</t>
  </si>
  <si>
    <t>SU3 3X20 Mod DB SAMITE FLUSH</t>
  </si>
  <si>
    <t>DC Combiner Box</t>
  </si>
  <si>
    <t>DC Combiner Box Complete 600V (2in - 2out)</t>
  </si>
  <si>
    <t xml:space="preserve">DC Combiner Box for Sunsynk 5kW 1 Phase </t>
  </si>
  <si>
    <t xml:space="preserve">DC Combiner Box for Sunsynk 8kW 1 Phase </t>
  </si>
  <si>
    <t xml:space="preserve">DC Combiner Box for Sunsynk 12kW 1 Phase </t>
  </si>
  <si>
    <t>Earth Spike + Lug</t>
  </si>
  <si>
    <t>100W Floodlight - ACDC</t>
  </si>
  <si>
    <t>ACDC - Boerevereeniging</t>
  </si>
  <si>
    <t>Consumables</t>
  </si>
  <si>
    <t>3% of total project value</t>
  </si>
  <si>
    <t>Monitoring and Control Equipment</t>
  </si>
  <si>
    <t>Control Equitment</t>
  </si>
  <si>
    <t>Fronius Smart CT meter - Three Phase - 5kA (requires CT's)</t>
  </si>
  <si>
    <t>Smart CT Meter 50kA-3 3-phase</t>
  </si>
  <si>
    <t>Fronius Smart Meter IP - Three Phase -(requires CT's) - Verto Inverters</t>
  </si>
  <si>
    <t>Datamanager Card Retrofit for Symo/Eco</t>
  </si>
  <si>
    <t>VE Colour Control GX</t>
  </si>
  <si>
    <t xml:space="preserve">VE Cerbo GX </t>
  </si>
  <si>
    <t>GX Touch 50 screen</t>
  </si>
  <si>
    <t>Touchscreen for Cerbo</t>
  </si>
  <si>
    <t>VE Cerbo-S GX</t>
  </si>
  <si>
    <t>CCGX Wifi Module</t>
  </si>
  <si>
    <t>ET Meter ET112</t>
  </si>
  <si>
    <t>ET Meter ET340 3P</t>
  </si>
  <si>
    <t>SONOFF Mini 2 10/16A</t>
  </si>
  <si>
    <t>SONOFF POWR320D 20A Elite Geyser Timer</t>
  </si>
  <si>
    <t>ARB - CBI</t>
  </si>
  <si>
    <t>Astute Smart Controller ASC</t>
  </si>
  <si>
    <t>Vescotech - CBI</t>
  </si>
  <si>
    <t>Smart Logger</t>
  </si>
  <si>
    <t>SmartLogger3000A03EU with 4G- Huawei</t>
  </si>
  <si>
    <t>ABC Solar</t>
  </si>
  <si>
    <t>Acrel PZ96L</t>
  </si>
  <si>
    <t>Power Meter Janitza- UMG 104 Solar Power Meter)</t>
  </si>
  <si>
    <t>Acrel - PZ96L Grid Limiting Meter- Huawei</t>
  </si>
  <si>
    <t>Huawei smart dongle - 4G</t>
  </si>
  <si>
    <t xml:space="preserve">Huawei Smart energy sensor (three phase) 250A </t>
  </si>
  <si>
    <t>Battery Monitor</t>
  </si>
  <si>
    <t>VE BMV700</t>
  </si>
  <si>
    <t>Enclosure for GX device</t>
  </si>
  <si>
    <t>Cable</t>
  </si>
  <si>
    <t>VE Direct to VE Direct 3m</t>
  </si>
  <si>
    <t>VE Direct to VE Direct 1,8m</t>
  </si>
  <si>
    <t>RS485 to usb interface 1,8m</t>
  </si>
  <si>
    <t>RS485 to usb interface 5m</t>
  </si>
  <si>
    <t>Monitoring</t>
  </si>
  <si>
    <t>VE.Direct Bluetooth Smart dongle</t>
  </si>
  <si>
    <t>For iPhone and Android. For monitoring as well as product set-up)//(BMV-70X series, VE.Direct inverters, BlueSolar MPPT chargers except CAN-bus models) , Peak Power Pack)</t>
  </si>
  <si>
    <t>Wifi Dongle</t>
  </si>
  <si>
    <t>SmartDongle-4G</t>
  </si>
  <si>
    <t>Huawei Cloud Monitoring</t>
  </si>
  <si>
    <t>Cloud Monitoring Service ECcube/ECpvX M (5years subs.)</t>
  </si>
  <si>
    <t>Monitoring and control device</t>
  </si>
  <si>
    <t>Meteocontrol and MX Module</t>
  </si>
  <si>
    <t>Irradiance sensor</t>
  </si>
  <si>
    <t>Industrial Router</t>
  </si>
  <si>
    <t>Power meter and CTs</t>
  </si>
  <si>
    <t>Schneider PM3250 and CT's</t>
  </si>
  <si>
    <t>Geysers</t>
  </si>
  <si>
    <t>Solar Geyser</t>
  </si>
  <si>
    <t>SRHPE-100L High Pressure Electrical Assist 10 Tubes</t>
  </si>
  <si>
    <t>Solar Ray</t>
  </si>
  <si>
    <t>SRHPE-150L High Pressure Electrical Assist 15 Tubes</t>
  </si>
  <si>
    <t>SRHPE-200L High Pressure Electrical Assist 21 Tubes</t>
  </si>
  <si>
    <t>Auxiliary</t>
  </si>
  <si>
    <t>Aux Generator</t>
  </si>
  <si>
    <t>Generator integration</t>
  </si>
  <si>
    <t>Generator integration (Huawei)</t>
  </si>
  <si>
    <t>Kathea Assembled EC Cube Box
(Contains: DB Boards, AC Breaker; Power Supply; 5-way Ethrnet
Switch; 2 channel protected SPD)</t>
  </si>
  <si>
    <t>ECpvX-S - up to 100KW inverter power</t>
  </si>
  <si>
    <t>Pilot SPM33, Power Meter</t>
  </si>
  <si>
    <t>EC Panel 7 (Optional)</t>
  </si>
  <si>
    <t>Auxiliaries</t>
  </si>
  <si>
    <t>Forklift hire</t>
  </si>
  <si>
    <t>Security hire</t>
  </si>
  <si>
    <t>Inverter enclosure (Thermo Panel Room)</t>
  </si>
  <si>
    <t>Installation and Configuration</t>
  </si>
  <si>
    <t>Human Resources</t>
  </si>
  <si>
    <t>Installation labour</t>
  </si>
  <si>
    <t>Trenching and earthworks</t>
  </si>
  <si>
    <t>Subsistence &amp; Travel</t>
  </si>
  <si>
    <t>Transport</t>
  </si>
  <si>
    <t>Delivery of equipment</t>
  </si>
  <si>
    <t>S&amp;T</t>
  </si>
  <si>
    <t>Food allowance</t>
  </si>
  <si>
    <t>Accommodation</t>
  </si>
  <si>
    <t>Travel</t>
  </si>
  <si>
    <t>Generator delivery</t>
  </si>
  <si>
    <t>Design, Management and Professional services</t>
  </si>
  <si>
    <t>Professional Services</t>
  </si>
  <si>
    <t>Design and review</t>
  </si>
  <si>
    <t>HSEQ &amp; Compliance</t>
  </si>
  <si>
    <t>OHS Work Place File development</t>
  </si>
  <si>
    <t xml:space="preserve">OHS Management </t>
  </si>
  <si>
    <t>Electrical Installation COC</t>
  </si>
  <si>
    <t>SSEG application</t>
  </si>
  <si>
    <t>Project management and reporting</t>
  </si>
  <si>
    <t>Pr. Eng Inspection report and approval</t>
  </si>
  <si>
    <t>Structural integrity assessment</t>
  </si>
  <si>
    <t>Lighting risk assessment</t>
  </si>
  <si>
    <t>PV system only, excludes existing building</t>
  </si>
  <si>
    <t>Signage and Labelling</t>
  </si>
  <si>
    <t>Fire Extinguisher</t>
  </si>
  <si>
    <t>FlameBlock Lithium Black Extinguisher 6l</t>
  </si>
  <si>
    <t>Inverter</t>
  </si>
  <si>
    <t>Grid - Tie</t>
  </si>
  <si>
    <t>Solar MD</t>
  </si>
  <si>
    <t>Solar MD smart logger incl. CAN/Ethernet/Wifi</t>
  </si>
  <si>
    <t>IBC</t>
  </si>
  <si>
    <t>Remote Commissioning Support</t>
  </si>
  <si>
    <t>PV Panels</t>
  </si>
  <si>
    <t>Inverter Aux Equipment</t>
  </si>
  <si>
    <t>Battery</t>
  </si>
  <si>
    <t>Circuit Breaker</t>
  </si>
  <si>
    <t>Isolator</t>
  </si>
  <si>
    <t>Power Rating (W)</t>
  </si>
  <si>
    <t>Isc (A)</t>
  </si>
  <si>
    <t>Max Voc (V)</t>
  </si>
  <si>
    <t>Imp (A)</t>
  </si>
  <si>
    <t>Vmp</t>
  </si>
  <si>
    <t>Brand Name</t>
  </si>
  <si>
    <t>Notes</t>
  </si>
  <si>
    <t>Number Of Phases</t>
  </si>
  <si>
    <t>Power Rating (kVA)</t>
  </si>
  <si>
    <t>Number of Inputs</t>
  </si>
  <si>
    <t>Max Input Current per Input (A)</t>
  </si>
  <si>
    <t>Number of MPPT</t>
  </si>
  <si>
    <t>Max Input Current per MPPT (A)</t>
  </si>
  <si>
    <t>Max Isc per MPPT (A)</t>
  </si>
  <si>
    <t>Max DC Input Voltage per MPPT (V)</t>
  </si>
  <si>
    <t>Min Operating Voltage Range (V)</t>
  </si>
  <si>
    <t>Max Operating Voltage Range (V)</t>
  </si>
  <si>
    <t>Rated Input Voltage (V)</t>
  </si>
  <si>
    <t>Nominal Rating (kWh)</t>
  </si>
  <si>
    <t>Usable Rating (kWh)</t>
  </si>
  <si>
    <t>Nominal Voltage (V)</t>
  </si>
  <si>
    <t>Nominal Amperage (A)</t>
  </si>
  <si>
    <t>Poles</t>
  </si>
  <si>
    <t>Interrupting Capacity (kA)</t>
  </si>
  <si>
    <t>Brandname</t>
  </si>
  <si>
    <t>Min Current Rating (A)</t>
  </si>
  <si>
    <t>Max Current Rating (A)</t>
  </si>
  <si>
    <t>Voltage Rating (V)</t>
  </si>
  <si>
    <t>Nominal Current (A)</t>
  </si>
  <si>
    <t>Number of Poles</t>
  </si>
  <si>
    <t>PV</t>
  </si>
  <si>
    <t>Trina</t>
  </si>
  <si>
    <t xml:space="preserve">Trina -  550W - PV Module (Tier 1, 25y warranty) </t>
  </si>
  <si>
    <t>Trina 550W Mono</t>
  </si>
  <si>
    <t>Hybrid</t>
  </si>
  <si>
    <t>Deye</t>
  </si>
  <si>
    <t>Deye 50KW Hybrid - 50kw 3P Hybrid Inverter</t>
  </si>
  <si>
    <t>Tauro AC Connection : Multicore</t>
  </si>
  <si>
    <t>Deye - BOS-GM5.1 - 5.12Kwh Battery
module ( H/V BATTERY)</t>
  </si>
  <si>
    <t>10A 1P</t>
  </si>
  <si>
    <t>Lear</t>
  </si>
  <si>
    <t>Unspecified</t>
  </si>
  <si>
    <t>60A 2P ISOLATOR</t>
  </si>
  <si>
    <t>Jinko</t>
  </si>
  <si>
    <t>Jinko - 555W - PV Module (Tier 1, 25y warranty)</t>
  </si>
  <si>
    <t>Grid‑Tie</t>
  </si>
  <si>
    <t>Fronius ECO</t>
  </si>
  <si>
    <t>ECO 27.0-3-S, 1 MPPT, Web server &amp; WLAN</t>
  </si>
  <si>
    <t>Sigen Energy Data Logger (Custom)</t>
  </si>
  <si>
    <t>FreedomWon</t>
  </si>
  <si>
    <t>FreedomWon LiFePO4 12V 7,5Ah</t>
  </si>
  <si>
    <t>12V Battery</t>
  </si>
  <si>
    <t>63A 2P Isolator</t>
  </si>
  <si>
    <t>JA Solar</t>
  </si>
  <si>
    <t>Fronius PRIMO</t>
  </si>
  <si>
    <t>PRIMO 5.0-1, 2 MPPT, Web server &amp; WLAN</t>
  </si>
  <si>
    <t>SigenStack Base Main (Mounting Kit)</t>
  </si>
  <si>
    <t>FreedomWon LiFePO4 12V 100Ah</t>
  </si>
  <si>
    <t>10A 3P</t>
  </si>
  <si>
    <t>Panel Mount</t>
  </si>
  <si>
    <t>Onesto</t>
  </si>
  <si>
    <t>PRIMO 8.2-1, 2 MPPT, Web server &amp; WLAN</t>
  </si>
  <si>
    <t>Freedom Won</t>
  </si>
  <si>
    <t>Freedom Won ETower e5000 Inc Acc 5kw 52v</t>
  </si>
  <si>
    <t>15A 1P 3kA CB</t>
  </si>
  <si>
    <t>Fuses 6 x 15A DC+ / Fuse Bolts</t>
  </si>
  <si>
    <t>Rail Mount</t>
  </si>
  <si>
    <t>32A 1000V 4P DC Isolator switch - Rail mount</t>
  </si>
  <si>
    <t>Fronius SYMO</t>
  </si>
  <si>
    <t>SYMO 10.0-3-M, 2 MPPT, Web server &amp; WLAN</t>
  </si>
  <si>
    <t>SigenStack Base Sub (Mounting Kit)</t>
  </si>
  <si>
    <t>Freedom Won Lite Home 10/8 LifePO4</t>
  </si>
  <si>
    <t>16A 1P</t>
  </si>
  <si>
    <t>Surface Mount</t>
  </si>
  <si>
    <t>32A 1000V 4P DC Isolator switch - Surface Mount</t>
  </si>
  <si>
    <t>SYMO 15.0-3-M, 2 MPPT, Web server &amp; WLAN</t>
  </si>
  <si>
    <t>Freedom Won Lite Home 15/12 LifePO4</t>
  </si>
  <si>
    <t>20A 1P</t>
  </si>
  <si>
    <t>63A 3P ABB</t>
  </si>
  <si>
    <t>SYMO 17.5-3-M, 2 MPPT, Web server &amp; WLAN</t>
  </si>
  <si>
    <t>SigenStack BC Cables 4Meter</t>
  </si>
  <si>
    <t>Freedom Won Lite Home 20/16 LifePO4</t>
  </si>
  <si>
    <t>Fuse Holder</t>
  </si>
  <si>
    <t>80A 3P</t>
  </si>
  <si>
    <t>SYMO 20.0-3-M, 2 MPPT, Lite</t>
  </si>
  <si>
    <t>SigenStack Battery Controller 0.5C (Required If There Is PV)</t>
  </si>
  <si>
    <t>Freedom Won Lite Home 30/24 LifePO4</t>
  </si>
  <si>
    <t>25A 1P</t>
  </si>
  <si>
    <t>100A 2P 6kA</t>
  </si>
  <si>
    <t>SYMO 20.0-3-M, 2 MPPT, Web server &amp; WLAN</t>
  </si>
  <si>
    <t>SigenStack Battery Controller 1C (Required If There Is PV)</t>
  </si>
  <si>
    <t>Freedom Won Lite Home 30/24 HV LiFePo4</t>
  </si>
  <si>
    <t>30A 1P</t>
  </si>
  <si>
    <t>160A 3P</t>
  </si>
  <si>
    <t>Fronius Tauro</t>
  </si>
  <si>
    <t>Tauro ECO 50-3-P</t>
  </si>
  <si>
    <t>SigenStack Base 4 Stack Base (Mounting Kit)</t>
  </si>
  <si>
    <t>FreedomWon Lite Business 40/32 LifePO4</t>
  </si>
  <si>
    <t>30A 1P+N 3kA CB</t>
  </si>
  <si>
    <t>160A 4P</t>
  </si>
  <si>
    <t>Tauro ECO 100-3-P</t>
  </si>
  <si>
    <t>SigenStack Cover</t>
  </si>
  <si>
    <t>FreedomWon Lite Business 40/32 (HV)</t>
  </si>
  <si>
    <t>30A 3P</t>
  </si>
  <si>
    <t>250A 3P Isolator</t>
  </si>
  <si>
    <t>Huawei</t>
  </si>
  <si>
    <t>Huawei SUN2000-150K-MG0 Inverter</t>
  </si>
  <si>
    <t>Menlo</t>
  </si>
  <si>
    <t>SigenStack Lifting Handles</t>
  </si>
  <si>
    <t>Freedom Won Lite Business 60/48 Battery</t>
  </si>
  <si>
    <t xml:space="preserve">32A 1P </t>
  </si>
  <si>
    <t>Huawei SUN2000-115KTL-M2 Inverter</t>
  </si>
  <si>
    <t>Sigen SP Home Gateway 1x Inverter (12kw Max Output)</t>
  </si>
  <si>
    <t>Freedom Lite Business 60/48 (HV)</t>
  </si>
  <si>
    <t xml:space="preserve">35A 1P </t>
  </si>
  <si>
    <t>Huawei SUN2000-100KTL-M2 Inverter, with AFCI</t>
  </si>
  <si>
    <t>Sigen SP Home Max Gateway 3x Inverter (24kw Max output)</t>
  </si>
  <si>
    <t>Freedom Won Lite Business 80/64 Battery</t>
  </si>
  <si>
    <t xml:space="preserve">40A 1P 3kA </t>
  </si>
  <si>
    <t>Sigen Commercial Gateway 50x Inverter (1200kw Max Output)</t>
  </si>
  <si>
    <t xml:space="preserve">Freedom Won Lite Business 100/80 Battery </t>
  </si>
  <si>
    <t>ARB - Discontinued</t>
  </si>
  <si>
    <t>40A 1P 6kA</t>
  </si>
  <si>
    <t>Huawei SUN2000-40KTL-M3 Inverter</t>
  </si>
  <si>
    <t>Sigen Commercial Gateway 6x Inverter (120kw Max Output)</t>
  </si>
  <si>
    <t>Freedom Lite Commercial 100/80 (HV)</t>
  </si>
  <si>
    <t>40A 2P 3kA</t>
  </si>
  <si>
    <t>Huawei SUN2000-36KTL-M3 Inverter</t>
  </si>
  <si>
    <t>Sigen Commercial Gateway 9x Inverter (180kw Max Output)</t>
  </si>
  <si>
    <t>Freedom Lite Commercial 200/160 (HV)</t>
  </si>
  <si>
    <t>40A 2P 6kA</t>
  </si>
  <si>
    <t>Huawei SUN2000-30KTL-M3 Inverter</t>
  </si>
  <si>
    <t>Sigen Commercial Gateway 12x Inverter (300kw Max Output)</t>
  </si>
  <si>
    <t>Freedom Lite Commercial 230/184 (HV)</t>
  </si>
  <si>
    <t>40A 2P 15kA</t>
  </si>
  <si>
    <t>Huawei SUN2000-25KTL-M5 Inverter</t>
  </si>
  <si>
    <t>Sigen Commercial Gateway 30x Inverter (600kw Max Output)</t>
  </si>
  <si>
    <t>Freedom Lite Commercial 300/240 (HV)</t>
  </si>
  <si>
    <t>40A 3P</t>
  </si>
  <si>
    <t>Huawei SUN2000-20KTL-M5 Inverter</t>
  </si>
  <si>
    <t>Sigen TP Home Gateway 1x Inverter (30kw Max Output)</t>
  </si>
  <si>
    <t>Freedom Lite Commercial 400/320 (HV)</t>
  </si>
  <si>
    <t>40A 3P 3kA</t>
  </si>
  <si>
    <t>Huawei SUN2000-15KTL-M5 Inverter</t>
  </si>
  <si>
    <t>Sigen TP Home Max Gateway 2x Inverter (50kw Max Output)</t>
  </si>
  <si>
    <t>Freedom Lite Commercial 500/400 (HV)</t>
  </si>
  <si>
    <t>40A 4P 6kA</t>
  </si>
  <si>
    <t>Kehua</t>
  </si>
  <si>
    <t>Kehua Energy Storage Converter 500kW BCS500K-A-10Y</t>
  </si>
  <si>
    <t>Freedom Lite Commercial 700/560 (HV)</t>
  </si>
  <si>
    <t>Innomatic Solar/Menlo</t>
  </si>
  <si>
    <t>50A 1P</t>
  </si>
  <si>
    <t>Kehua Tech</t>
  </si>
  <si>
    <t>Kehua Tech BCS250K-A-10Y</t>
  </si>
  <si>
    <t>Freedom Lite Commercial 800/640 (HV)</t>
  </si>
  <si>
    <t>50a 1P 6kA</t>
  </si>
  <si>
    <t>Hager - ARB</t>
  </si>
  <si>
    <t>Sigen PV Inverter Grid-Tie 125kW 400V</t>
  </si>
  <si>
    <t>SigenStor</t>
  </si>
  <si>
    <t>SigenStor Battery 6,02kWh (5,84kWh Usable)</t>
  </si>
  <si>
    <t xml:space="preserve">50A 2P </t>
  </si>
  <si>
    <t>CBI - Vescotech</t>
  </si>
  <si>
    <t>Sigen Hybrid W/M Inverter 5,0kW Single Phase</t>
  </si>
  <si>
    <t>SigenStor Battery 8,06kWh (7,80kWh Usable)</t>
  </si>
  <si>
    <t xml:space="preserve">50A 2P 10kA </t>
  </si>
  <si>
    <t>Sigen Hybrid W/M Inverter 6,0kW Single Phase</t>
  </si>
  <si>
    <t>SigenStor Battery 9,04kWh (8,76kWh Usable)</t>
  </si>
  <si>
    <t>50A 3P 3kA</t>
  </si>
  <si>
    <t>Sigen Hybrid W/M Inverter 12,0kW Three Phase</t>
  </si>
  <si>
    <t>SigenStack</t>
  </si>
  <si>
    <t>SigenStack Battery 12kWh</t>
  </si>
  <si>
    <t>50A 3P 6kA</t>
  </si>
  <si>
    <t>SigenStor Inverter 5,0kW Single Phase</t>
  </si>
  <si>
    <t>SigenStor Battery 8kWh</t>
  </si>
  <si>
    <t>60A 1P</t>
  </si>
  <si>
    <t>SigenStor Inverter 6,0kW Single Phase</t>
  </si>
  <si>
    <t>WEST</t>
  </si>
  <si>
    <t>WEST Supercap 3.3 kWh</t>
  </si>
  <si>
    <t>PSC Power Super Conductors</t>
  </si>
  <si>
    <t>60A 1P+N 3KA 13MM  CB</t>
  </si>
  <si>
    <t>SigenStor Inverter 8,0kW Single Phase</t>
  </si>
  <si>
    <t>WEST Supercap 6.5 kWh</t>
  </si>
  <si>
    <t>60A 2P 3kA</t>
  </si>
  <si>
    <t>SigenStor Inverter 10,0kW Single Phase</t>
  </si>
  <si>
    <t>63A 1P</t>
  </si>
  <si>
    <t>SigenStor Inverter 12,0kW Single Phase</t>
  </si>
  <si>
    <t>63A 1P 6kA CBI</t>
  </si>
  <si>
    <t>SigenStor Inverter 12,0kW Three Phase</t>
  </si>
  <si>
    <t xml:space="preserve">63A 2P </t>
  </si>
  <si>
    <t>SigenStor Inverter 15,0kW Three Phase</t>
  </si>
  <si>
    <t>63A 2P 3ka CBI</t>
  </si>
  <si>
    <t>SigenStor Inverter 20,0kW Three Phase</t>
  </si>
  <si>
    <t>63A 2P 6kA</t>
  </si>
  <si>
    <t>SigenStor Inverter 25,0kW Three Phase</t>
  </si>
  <si>
    <t>63A 3P 3kA</t>
  </si>
  <si>
    <t>SigenStor Inverter 30,0kW Three Phase</t>
  </si>
  <si>
    <t xml:space="preserve">63A 3P 4.5kA </t>
  </si>
  <si>
    <t>Sigen Hybrid Inverter Off Grid 50kW Three Phase</t>
  </si>
  <si>
    <t>63A 3P 6kA CBI</t>
  </si>
  <si>
    <t>Sigen Hybrid Inverter Off Grid 110kW Three Phase</t>
  </si>
  <si>
    <t>SMA</t>
  </si>
  <si>
    <t>SMA CORE-2 STP 110-60 AFCI 3Ph Inverter</t>
  </si>
  <si>
    <t>80A 1P</t>
  </si>
  <si>
    <t>Solar MD SS7020 - HV 200.2 kWh (14x14.3kWh)</t>
  </si>
  <si>
    <t>80A 2P</t>
  </si>
  <si>
    <t>Solar MD SS7021 - HV 214.5kWh (15 x 14.3kWh)</t>
  </si>
  <si>
    <t>Solar MD SS7023 - HV 228.8kWh (16 x 14.3kWh)</t>
  </si>
  <si>
    <t xml:space="preserve">80A 3P 6kA </t>
  </si>
  <si>
    <t>Sunsynk</t>
  </si>
  <si>
    <t>Sunsynk 3.6 kW 1P Hybrid 48V</t>
  </si>
  <si>
    <t>80A 4P 6kA</t>
  </si>
  <si>
    <t>Sunsynk 3.6 kW 1P Hybrid 48V + 3.84 kWh Battery Pack</t>
  </si>
  <si>
    <t>ARB - WHILE STOCK LASTS</t>
  </si>
  <si>
    <t xml:space="preserve">80A 4P 10kA </t>
  </si>
  <si>
    <t>Sunsynk 5kW 1P Hybrid 48V</t>
  </si>
  <si>
    <t>ARB - New</t>
  </si>
  <si>
    <t>80A 4P 16kA</t>
  </si>
  <si>
    <t>Sunsynk 5kW 1P Hybrid 48V Compact</t>
  </si>
  <si>
    <t>100A 1P</t>
  </si>
  <si>
    <t>Sunsynk 6kw Lynks Inverter</t>
  </si>
  <si>
    <t>Sunsynk 8kW 1P Hyb Inv 48v Incl Wifi</t>
  </si>
  <si>
    <t>100A 3P 6kA</t>
  </si>
  <si>
    <t>Sunsynk 8kw Lynks Inverter</t>
  </si>
  <si>
    <t>ARB R</t>
  </si>
  <si>
    <t>100A 3P 10kA Hagar</t>
  </si>
  <si>
    <t>Sunsynk 10kW 1P Hybrid PV Inverter 48v C/W Wifi Dongle IP65</t>
  </si>
  <si>
    <t xml:space="preserve">100A 3P 16kA </t>
  </si>
  <si>
    <t>Sunsynk 12kW 1P Hybrid 48V</t>
  </si>
  <si>
    <t>100A 3P 50kA</t>
  </si>
  <si>
    <t>Sunsynk 16 kW 1P Hybrid 48V</t>
  </si>
  <si>
    <t>125-160A 1P</t>
  </si>
  <si>
    <t>Sunsynk 12kW 3P Hyb Inv 48v Incl Wifi</t>
  </si>
  <si>
    <t>125-160A 2P</t>
  </si>
  <si>
    <t>Sunsynk 50kW 3P Hybrid PV Inverter HV</t>
  </si>
  <si>
    <t>125-160A 3P</t>
  </si>
  <si>
    <t>Verto</t>
  </si>
  <si>
    <t>Verto 27.0kW incl SPD 1+2</t>
  </si>
  <si>
    <t>160A 1P</t>
  </si>
  <si>
    <t>ARB - ABB Moulded Adjustable</t>
  </si>
  <si>
    <t>Verto 33.3kW incl SPD 1+2</t>
  </si>
  <si>
    <t xml:space="preserve">160A 3P </t>
  </si>
  <si>
    <t>Victron</t>
  </si>
  <si>
    <t>MultiPlus-II 48/3000/35-32 230V</t>
  </si>
  <si>
    <t>160A 3P 25kA</t>
  </si>
  <si>
    <t>MultiPlus-II 48/3000/35-32 230V GX</t>
  </si>
  <si>
    <t>160A 3P 36kA</t>
  </si>
  <si>
    <t>MultiPlus-II 48/5000/70-50 230V GX</t>
  </si>
  <si>
    <t>160-250A 4P 40kA Hagar</t>
  </si>
  <si>
    <t>MultiPlus-II 48/5000/70-50 230V</t>
  </si>
  <si>
    <t>160A 3P Moulded Case Hagar</t>
  </si>
  <si>
    <t>MultiPlus-II 48/8000/110-100/100 230V</t>
  </si>
  <si>
    <t xml:space="preserve">200A 3P </t>
  </si>
  <si>
    <t xml:space="preserve">CBI  </t>
  </si>
  <si>
    <t>MultiPlus-II 48/10000/140-100/100 230V</t>
  </si>
  <si>
    <t>250A 3P 25kA fixed Hagar</t>
  </si>
  <si>
    <t xml:space="preserve">ARB - Hager </t>
  </si>
  <si>
    <t>MultiPlus-II 48/15000/140-100/100 230V</t>
  </si>
  <si>
    <t>250A 3P 36kA MCCB</t>
  </si>
  <si>
    <t>Chint</t>
  </si>
  <si>
    <t>Quattro 48/5000/70-100/100 230V VE.Bus</t>
  </si>
  <si>
    <t xml:space="preserve">202-320A 3P 50kA Hagar </t>
  </si>
  <si>
    <t>Quattro 48/8000/110-100/100 230V VE.Bus</t>
  </si>
  <si>
    <t>350A 3P MCCB 50kA</t>
  </si>
  <si>
    <t>35kA - R 3465</t>
  </si>
  <si>
    <t>Quattro 48/10000/140-100/100 230V VE.Bus</t>
  </si>
  <si>
    <t>Quattro 48/15000/200-100/100 230V VE.Bus</t>
  </si>
  <si>
    <t>AC Cable</t>
  </si>
  <si>
    <t>Standard compliance: SANS 1507-3</t>
  </si>
  <si>
    <t>Copper (SWA)</t>
  </si>
  <si>
    <t>Supplier:</t>
  </si>
  <si>
    <t>Aberdare Cables</t>
  </si>
  <si>
    <t>Electrical and Physical Properties of 3 and 4 core PVC Insulated PVC bedded SWA PVC sheathed 600/1000V cables manufactured to SANS 1507-3</t>
  </si>
  <si>
    <t>Cable Size (mm2)</t>
  </si>
  <si>
    <t>Ampacity @ 30C</t>
  </si>
  <si>
    <t>Cable current rating (A)</t>
  </si>
  <si>
    <t>Cores</t>
  </si>
  <si>
    <t>Impedence</t>
  </si>
  <si>
    <t>3Ph</t>
  </si>
  <si>
    <t>1Ph</t>
  </si>
  <si>
    <t>D1</t>
  </si>
  <si>
    <t>d</t>
  </si>
  <si>
    <t>D2</t>
  </si>
  <si>
    <t>Approx Mass</t>
  </si>
  <si>
    <t>Ground</t>
  </si>
  <si>
    <t>Duct</t>
  </si>
  <si>
    <t>Air</t>
  </si>
  <si>
    <t>Ohm/km</t>
  </si>
  <si>
    <t>mV/A/m</t>
  </si>
  <si>
    <t>3c</t>
  </si>
  <si>
    <t>4c</t>
  </si>
  <si>
    <t>1.(197</t>
  </si>
  <si>
    <t>27J17</t>
  </si>
  <si>
    <t>Aluminium (SWA)</t>
  </si>
  <si>
    <t>Copper (Unarmoured)</t>
  </si>
  <si>
    <t>mm</t>
  </si>
  <si>
    <t>kg/km</t>
  </si>
  <si>
    <t>Solar Cable (1.8kV)</t>
  </si>
  <si>
    <t>Standard compliance: SANS 60332-1-1</t>
  </si>
  <si>
    <t>OD (conduct.)</t>
  </si>
  <si>
    <t>Current Carrying Capacity</t>
  </si>
  <si>
    <t>Cond. OD</t>
  </si>
  <si>
    <t xml:space="preserve">CR </t>
  </si>
  <si>
    <t>Insulated  OD</t>
  </si>
  <si>
    <t>Sheathed OD</t>
  </si>
  <si>
    <t>Mass</t>
  </si>
  <si>
    <r>
      <t>mm</t>
    </r>
    <r>
      <rPr>
        <b/>
        <vertAlign val="superscript"/>
        <sz val="11"/>
        <rFont val="Calibri"/>
        <family val="2"/>
        <scheme val="minor"/>
      </rPr>
      <t>2</t>
    </r>
  </si>
  <si>
    <t>[A] @ 60degC</t>
  </si>
  <si>
    <t>Ω/km</t>
  </si>
  <si>
    <t>Kg/1000m</t>
  </si>
  <si>
    <t>Cross-Section (mm²)</t>
  </si>
  <si>
    <t>Current Carrying Capacity [A] @ 60°C</t>
  </si>
  <si>
    <t>Cond. OD (mm)</t>
  </si>
  <si>
    <t>CR (Ω/km)</t>
  </si>
  <si>
    <t>Insulated OD (mm)</t>
  </si>
  <si>
    <t>Sheathed OD (mm)</t>
  </si>
  <si>
    <t>Mass (Kg/1000m)</t>
  </si>
  <si>
    <t>1,228</t>
  </si>
  <si>
    <t>Inverters</t>
  </si>
  <si>
    <t>DC Fuses</t>
  </si>
  <si>
    <t>DC Isolators</t>
  </si>
  <si>
    <t>Available Inverters with Filtering</t>
  </si>
  <si>
    <t>Available Panels with Filtering</t>
  </si>
  <si>
    <t>Avalaible Fuses after Filtering</t>
  </si>
  <si>
    <t>Available DC Isolators after Filtering</t>
  </si>
  <si>
    <t>DC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</si>
</sst>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[$-1C09]dd\ mmmm\ yyyy;@"/>
    <numFmt numFmtId="166" formatCode="_-* #,##0_-;\-* #,##0_-;_-* &quot;-&quot;??_-;_-@_-"/>
    <numFmt numFmtId="167" formatCode="&quot;R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99CC"/>
      </patternFill>
    </fill>
    <fill>
      <patternFill patternType="solid">
        <fgColor rgb="FFFCD5B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45"/>
        <bgColor indexed="45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15"/>
      </patternFill>
    </fill>
    <fill>
      <patternFill patternType="solid">
        <fgColor rgb="FFD9D9D9"/>
        <bgColor rgb="FF00FFFF"/>
      </patternFill>
    </fill>
    <fill>
      <patternFill patternType="solid">
        <fgColor rgb="FFFCD5B4"/>
        <bgColor rgb="FFFFFFFF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13" fillId="2" borderId="0" applyNumberFormat="0" applyBorder="0" applyAlignment="0" applyProtection="0"/>
  </cellStyleXfs>
  <cellXfs count="211">
    <xf numFmtId="0" fontId="0" fillId="0" borderId="0" xfId="0"/>
    <xf numFmtId="0" fontId="3" fillId="3" borderId="1" xfId="3" applyFont="1" applyFill="1" applyBorder="1" applyAlignment="1">
      <alignment horizontal="left" wrapText="1"/>
    </xf>
    <xf numFmtId="0" fontId="3" fillId="3" borderId="2" xfId="3" applyFont="1" applyFill="1" applyBorder="1" applyAlignment="1">
      <alignment horizontal="left" wrapText="1"/>
    </xf>
    <xf numFmtId="165" fontId="3" fillId="3" borderId="2" xfId="3" applyNumberFormat="1" applyFont="1" applyFill="1" applyBorder="1" applyAlignment="1">
      <alignment horizontal="left" wrapText="1"/>
    </xf>
    <xf numFmtId="164" fontId="3" fillId="3" borderId="2" xfId="4" applyFont="1" applyFill="1" applyBorder="1" applyAlignment="1">
      <alignment horizontal="center" wrapText="1"/>
    </xf>
    <xf numFmtId="0" fontId="3" fillId="3" borderId="2" xfId="3" applyFont="1" applyFill="1" applyBorder="1" applyAlignment="1">
      <alignment horizontal="center" wrapText="1"/>
    </xf>
    <xf numFmtId="0" fontId="3" fillId="3" borderId="3" xfId="3" applyFont="1" applyFill="1" applyBorder="1" applyAlignment="1">
      <alignment horizontal="center" wrapText="1"/>
    </xf>
    <xf numFmtId="166" fontId="4" fillId="3" borderId="4" xfId="1" applyNumberFormat="1" applyFont="1" applyFill="1" applyBorder="1"/>
    <xf numFmtId="0" fontId="5" fillId="4" borderId="5" xfId="1" applyNumberFormat="1" applyFont="1" applyFill="1" applyBorder="1" applyAlignment="1">
      <alignment horizontal="left"/>
    </xf>
    <xf numFmtId="166" fontId="4" fillId="3" borderId="5" xfId="1" applyNumberFormat="1" applyFont="1" applyFill="1" applyBorder="1" applyAlignment="1">
      <alignment horizontal="left"/>
    </xf>
    <xf numFmtId="166" fontId="4" fillId="5" borderId="5" xfId="1" applyNumberFormat="1" applyFont="1" applyFill="1" applyBorder="1" applyAlignment="1">
      <alignment horizontal="right"/>
    </xf>
    <xf numFmtId="166" fontId="4" fillId="6" borderId="5" xfId="1" applyNumberFormat="1" applyFont="1" applyFill="1" applyBorder="1"/>
    <xf numFmtId="166" fontId="4" fillId="5" borderId="5" xfId="1" applyNumberFormat="1" applyFont="1" applyFill="1" applyBorder="1" applyAlignment="1">
      <alignment horizontal="center"/>
    </xf>
    <xf numFmtId="166" fontId="4" fillId="6" borderId="6" xfId="1" applyNumberFormat="1" applyFont="1" applyFill="1" applyBorder="1"/>
    <xf numFmtId="165" fontId="8" fillId="3" borderId="9" xfId="3" applyNumberFormat="1" applyFont="1" applyFill="1" applyBorder="1" applyAlignment="1">
      <alignment horizontal="left"/>
    </xf>
    <xf numFmtId="3" fontId="8" fillId="6" borderId="8" xfId="3" applyNumberFormat="1" applyFont="1" applyFill="1" applyBorder="1"/>
    <xf numFmtId="3" fontId="8" fillId="5" borderId="8" xfId="3" applyNumberFormat="1" applyFont="1" applyFill="1" applyBorder="1" applyAlignment="1">
      <alignment horizontal="center"/>
    </xf>
    <xf numFmtId="9" fontId="8" fillId="5" borderId="8" xfId="2" applyFont="1" applyFill="1" applyBorder="1" applyAlignment="1">
      <alignment horizontal="center"/>
    </xf>
    <xf numFmtId="3" fontId="8" fillId="6" borderId="10" xfId="3" applyNumberFormat="1" applyFont="1" applyFill="1" applyBorder="1"/>
    <xf numFmtId="0" fontId="6" fillId="3" borderId="4" xfId="0" applyFont="1" applyFill="1" applyBorder="1"/>
    <xf numFmtId="0" fontId="5" fillId="4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right"/>
    </xf>
    <xf numFmtId="0" fontId="6" fillId="6" borderId="5" xfId="0" applyFont="1" applyFill="1" applyBorder="1"/>
    <xf numFmtId="0" fontId="6" fillId="5" borderId="5" xfId="0" applyFont="1" applyFill="1" applyBorder="1" applyAlignment="1">
      <alignment horizontal="center"/>
    </xf>
    <xf numFmtId="0" fontId="6" fillId="6" borderId="6" xfId="0" applyFont="1" applyFill="1" applyBorder="1"/>
    <xf numFmtId="3" fontId="8" fillId="6" borderId="9" xfId="3" applyNumberFormat="1" applyFont="1" applyFill="1" applyBorder="1"/>
    <xf numFmtId="3" fontId="8" fillId="5" borderId="9" xfId="3" applyNumberFormat="1" applyFont="1" applyFill="1" applyBorder="1" applyAlignment="1">
      <alignment horizontal="center"/>
    </xf>
    <xf numFmtId="9" fontId="8" fillId="5" borderId="9" xfId="2" applyFont="1" applyFill="1" applyBorder="1" applyAlignment="1">
      <alignment horizontal="center"/>
    </xf>
    <xf numFmtId="3" fontId="8" fillId="6" borderId="12" xfId="3" applyNumberFormat="1" applyFont="1" applyFill="1" applyBorder="1"/>
    <xf numFmtId="0" fontId="7" fillId="4" borderId="13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165" fontId="8" fillId="3" borderId="14" xfId="3" applyNumberFormat="1" applyFont="1" applyFill="1" applyBorder="1" applyAlignment="1">
      <alignment horizontal="left"/>
    </xf>
    <xf numFmtId="4" fontId="6" fillId="5" borderId="13" xfId="0" applyNumberFormat="1" applyFont="1" applyFill="1" applyBorder="1" applyAlignment="1">
      <alignment horizontal="right"/>
    </xf>
    <xf numFmtId="3" fontId="8" fillId="6" borderId="13" xfId="3" applyNumberFormat="1" applyFont="1" applyFill="1" applyBorder="1"/>
    <xf numFmtId="3" fontId="8" fillId="5" borderId="13" xfId="3" applyNumberFormat="1" applyFont="1" applyFill="1" applyBorder="1" applyAlignment="1">
      <alignment horizontal="center"/>
    </xf>
    <xf numFmtId="9" fontId="8" fillId="5" borderId="13" xfId="2" applyFont="1" applyFill="1" applyBorder="1" applyAlignment="1">
      <alignment horizontal="center"/>
    </xf>
    <xf numFmtId="3" fontId="8" fillId="6" borderId="15" xfId="3" applyNumberFormat="1" applyFont="1" applyFill="1" applyBorder="1"/>
    <xf numFmtId="0" fontId="7" fillId="4" borderId="14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4" fontId="6" fillId="5" borderId="14" xfId="0" applyNumberFormat="1" applyFont="1" applyFill="1" applyBorder="1" applyAlignment="1">
      <alignment horizontal="right"/>
    </xf>
    <xf numFmtId="3" fontId="8" fillId="6" borderId="14" xfId="3" applyNumberFormat="1" applyFont="1" applyFill="1" applyBorder="1"/>
    <xf numFmtId="3" fontId="8" fillId="5" borderId="14" xfId="3" applyNumberFormat="1" applyFont="1" applyFill="1" applyBorder="1" applyAlignment="1">
      <alignment horizontal="center"/>
    </xf>
    <xf numFmtId="9" fontId="8" fillId="5" borderId="14" xfId="2" applyFont="1" applyFill="1" applyBorder="1" applyAlignment="1">
      <alignment horizontal="center"/>
    </xf>
    <xf numFmtId="3" fontId="8" fillId="6" borderId="16" xfId="3" applyNumberFormat="1" applyFont="1" applyFill="1" applyBorder="1"/>
    <xf numFmtId="0" fontId="6" fillId="3" borderId="17" xfId="0" applyFont="1" applyFill="1" applyBorder="1"/>
    <xf numFmtId="0" fontId="6" fillId="5" borderId="13" xfId="0" applyFont="1" applyFill="1" applyBorder="1" applyAlignment="1">
      <alignment horizontal="right"/>
    </xf>
    <xf numFmtId="0" fontId="6" fillId="3" borderId="18" xfId="0" applyFont="1" applyFill="1" applyBorder="1"/>
    <xf numFmtId="0" fontId="8" fillId="3" borderId="4" xfId="3" applyFont="1" applyFill="1" applyBorder="1"/>
    <xf numFmtId="0" fontId="10" fillId="4" borderId="5" xfId="5" applyFont="1" applyFill="1" applyBorder="1" applyAlignment="1">
      <alignment horizontal="left"/>
    </xf>
    <xf numFmtId="0" fontId="8" fillId="3" borderId="5" xfId="3" applyFont="1" applyFill="1" applyBorder="1" applyAlignment="1">
      <alignment horizontal="left"/>
    </xf>
    <xf numFmtId="165" fontId="3" fillId="8" borderId="5" xfId="3" applyNumberFormat="1" applyFont="1" applyFill="1" applyBorder="1" applyAlignment="1">
      <alignment horizontal="left"/>
    </xf>
    <xf numFmtId="164" fontId="8" fillId="5" borderId="5" xfId="4" applyFont="1" applyFill="1" applyBorder="1" applyAlignment="1">
      <alignment horizontal="right"/>
    </xf>
    <xf numFmtId="3" fontId="8" fillId="6" borderId="5" xfId="3" applyNumberFormat="1" applyFont="1" applyFill="1" applyBorder="1"/>
    <xf numFmtId="3" fontId="8" fillId="5" borderId="5" xfId="3" applyNumberFormat="1" applyFont="1" applyFill="1" applyBorder="1" applyAlignment="1">
      <alignment horizontal="center"/>
    </xf>
    <xf numFmtId="9" fontId="8" fillId="5" borderId="5" xfId="2" applyFont="1" applyFill="1" applyBorder="1" applyAlignment="1">
      <alignment horizontal="center"/>
    </xf>
    <xf numFmtId="3" fontId="8" fillId="6" borderId="6" xfId="3" applyNumberFormat="1" applyFont="1" applyFill="1" applyBorder="1"/>
    <xf numFmtId="0" fontId="8" fillId="3" borderId="7" xfId="3" applyFont="1" applyFill="1" applyBorder="1"/>
    <xf numFmtId="0" fontId="11" fillId="4" borderId="8" xfId="5" applyFont="1" applyFill="1" applyBorder="1" applyAlignment="1">
      <alignment horizontal="left"/>
    </xf>
    <xf numFmtId="0" fontId="8" fillId="3" borderId="8" xfId="3" applyFont="1" applyFill="1" applyBorder="1" applyAlignment="1">
      <alignment horizontal="left"/>
    </xf>
    <xf numFmtId="165" fontId="12" fillId="3" borderId="8" xfId="3" applyNumberFormat="1" applyFont="1" applyFill="1" applyBorder="1" applyAlignment="1">
      <alignment horizontal="left"/>
    </xf>
    <xf numFmtId="164" fontId="8" fillId="5" borderId="8" xfId="4" applyFont="1" applyFill="1" applyBorder="1" applyAlignment="1">
      <alignment horizontal="right"/>
    </xf>
    <xf numFmtId="0" fontId="8" fillId="3" borderId="17" xfId="3" applyFont="1" applyFill="1" applyBorder="1"/>
    <xf numFmtId="0" fontId="11" fillId="4" borderId="13" xfId="5" applyFont="1" applyFill="1" applyBorder="1" applyAlignment="1">
      <alignment horizontal="left"/>
    </xf>
    <xf numFmtId="0" fontId="8" fillId="3" borderId="13" xfId="3" applyFont="1" applyFill="1" applyBorder="1" applyAlignment="1">
      <alignment horizontal="left"/>
    </xf>
    <xf numFmtId="165" fontId="12" fillId="3" borderId="13" xfId="3" applyNumberFormat="1" applyFont="1" applyFill="1" applyBorder="1" applyAlignment="1">
      <alignment horizontal="left"/>
    </xf>
    <xf numFmtId="164" fontId="8" fillId="5" borderId="13" xfId="4" applyFont="1" applyFill="1" applyBorder="1" applyAlignment="1">
      <alignment horizontal="right"/>
    </xf>
    <xf numFmtId="0" fontId="8" fillId="3" borderId="14" xfId="3" applyFont="1" applyFill="1" applyBorder="1" applyAlignment="1">
      <alignment horizontal="left"/>
    </xf>
    <xf numFmtId="0" fontId="8" fillId="3" borderId="18" xfId="3" applyFont="1" applyFill="1" applyBorder="1"/>
    <xf numFmtId="0" fontId="8" fillId="3" borderId="16" xfId="3" applyFont="1" applyFill="1" applyBorder="1" applyAlignment="1">
      <alignment horizontal="left"/>
    </xf>
    <xf numFmtId="165" fontId="12" fillId="3" borderId="19" xfId="3" applyNumberFormat="1" applyFont="1" applyFill="1" applyBorder="1" applyAlignment="1">
      <alignment horizontal="left"/>
    </xf>
    <xf numFmtId="164" fontId="8" fillId="5" borderId="14" xfId="4" applyFont="1" applyFill="1" applyBorder="1" applyAlignment="1">
      <alignment horizontal="right"/>
    </xf>
    <xf numFmtId="0" fontId="3" fillId="3" borderId="5" xfId="3" applyFont="1" applyFill="1" applyBorder="1" applyAlignment="1">
      <alignment horizontal="left"/>
    </xf>
    <xf numFmtId="165" fontId="8" fillId="3" borderId="5" xfId="3" applyNumberFormat="1" applyFont="1" applyFill="1" applyBorder="1" applyAlignment="1">
      <alignment horizontal="left"/>
    </xf>
    <xf numFmtId="0" fontId="6" fillId="3" borderId="7" xfId="3" applyFont="1" applyFill="1" applyBorder="1"/>
    <xf numFmtId="0" fontId="6" fillId="3" borderId="8" xfId="3" applyFont="1" applyFill="1" applyBorder="1" applyAlignment="1">
      <alignment horizontal="left"/>
    </xf>
    <xf numFmtId="165" fontId="6" fillId="3" borderId="8" xfId="3" applyNumberFormat="1" applyFont="1" applyFill="1" applyBorder="1" applyAlignment="1">
      <alignment horizontal="left"/>
    </xf>
    <xf numFmtId="164" fontId="6" fillId="5" borderId="8" xfId="4" applyFont="1" applyFill="1" applyBorder="1" applyAlignment="1">
      <alignment horizontal="right"/>
    </xf>
    <xf numFmtId="3" fontId="6" fillId="6" borderId="8" xfId="3" applyNumberFormat="1" applyFont="1" applyFill="1" applyBorder="1"/>
    <xf numFmtId="3" fontId="6" fillId="5" borderId="8" xfId="3" applyNumberFormat="1" applyFont="1" applyFill="1" applyBorder="1" applyAlignment="1">
      <alignment horizontal="center"/>
    </xf>
    <xf numFmtId="3" fontId="6" fillId="6" borderId="10" xfId="3" applyNumberFormat="1" applyFont="1" applyFill="1" applyBorder="1"/>
    <xf numFmtId="0" fontId="6" fillId="3" borderId="11" xfId="3" applyFont="1" applyFill="1" applyBorder="1"/>
    <xf numFmtId="0" fontId="11" fillId="4" borderId="9" xfId="5" applyFont="1" applyFill="1" applyBorder="1" applyAlignment="1">
      <alignment horizontal="left"/>
    </xf>
    <xf numFmtId="0" fontId="6" fillId="3" borderId="9" xfId="3" applyFont="1" applyFill="1" applyBorder="1" applyAlignment="1">
      <alignment horizontal="left"/>
    </xf>
    <xf numFmtId="165" fontId="6" fillId="3" borderId="9" xfId="3" applyNumberFormat="1" applyFont="1" applyFill="1" applyBorder="1" applyAlignment="1">
      <alignment horizontal="left"/>
    </xf>
    <xf numFmtId="164" fontId="6" fillId="5" borderId="9" xfId="4" applyFont="1" applyFill="1" applyBorder="1" applyAlignment="1">
      <alignment horizontal="right"/>
    </xf>
    <xf numFmtId="3" fontId="6" fillId="6" borderId="9" xfId="3" applyNumberFormat="1" applyFont="1" applyFill="1" applyBorder="1"/>
    <xf numFmtId="3" fontId="6" fillId="5" borderId="9" xfId="3" applyNumberFormat="1" applyFont="1" applyFill="1" applyBorder="1" applyAlignment="1">
      <alignment horizontal="center"/>
    </xf>
    <xf numFmtId="3" fontId="6" fillId="6" borderId="12" xfId="3" applyNumberFormat="1" applyFont="1" applyFill="1" applyBorder="1"/>
    <xf numFmtId="0" fontId="8" fillId="3" borderId="11" xfId="3" applyFont="1" applyFill="1" applyBorder="1"/>
    <xf numFmtId="0" fontId="8" fillId="3" borderId="9" xfId="3" applyFont="1" applyFill="1" applyBorder="1" applyAlignment="1">
      <alignment horizontal="left"/>
    </xf>
    <xf numFmtId="164" fontId="8" fillId="5" borderId="9" xfId="4" applyFont="1" applyFill="1" applyBorder="1" applyAlignment="1">
      <alignment horizontal="right"/>
    </xf>
    <xf numFmtId="0" fontId="3" fillId="3" borderId="4" xfId="3" applyFont="1" applyFill="1" applyBorder="1"/>
    <xf numFmtId="165" fontId="3" fillId="3" borderId="5" xfId="3" applyNumberFormat="1" applyFont="1" applyFill="1" applyBorder="1" applyAlignment="1">
      <alignment horizontal="left"/>
    </xf>
    <xf numFmtId="3" fontId="3" fillId="6" borderId="5" xfId="3" applyNumberFormat="1" applyFont="1" applyFill="1" applyBorder="1"/>
    <xf numFmtId="3" fontId="3" fillId="5" borderId="5" xfId="3" applyNumberFormat="1" applyFont="1" applyFill="1" applyBorder="1" applyAlignment="1">
      <alignment horizontal="center"/>
    </xf>
    <xf numFmtId="9" fontId="3" fillId="5" borderId="5" xfId="2" applyFont="1" applyFill="1" applyBorder="1" applyAlignment="1">
      <alignment horizontal="center"/>
    </xf>
    <xf numFmtId="3" fontId="3" fillId="6" borderId="6" xfId="3" applyNumberFormat="1" applyFont="1" applyFill="1" applyBorder="1"/>
    <xf numFmtId="165" fontId="8" fillId="3" borderId="8" xfId="3" applyNumberFormat="1" applyFont="1" applyFill="1" applyBorder="1" applyAlignment="1">
      <alignment horizontal="left"/>
    </xf>
    <xf numFmtId="0" fontId="8" fillId="3" borderId="13" xfId="3" applyFont="1" applyFill="1" applyBorder="1"/>
    <xf numFmtId="165" fontId="8" fillId="3" borderId="13" xfId="3" applyNumberFormat="1" applyFont="1" applyFill="1" applyBorder="1" applyAlignment="1">
      <alignment horizontal="left"/>
    </xf>
    <xf numFmtId="0" fontId="11" fillId="4" borderId="14" xfId="5" applyFont="1" applyFill="1" applyBorder="1" applyAlignment="1">
      <alignment horizontal="left"/>
    </xf>
    <xf numFmtId="0" fontId="3" fillId="3" borderId="14" xfId="3" applyFont="1" applyFill="1" applyBorder="1" applyAlignment="1">
      <alignment horizontal="left"/>
    </xf>
    <xf numFmtId="167" fontId="3" fillId="8" borderId="8" xfId="3" applyNumberFormat="1" applyFont="1" applyFill="1" applyBorder="1" applyAlignment="1">
      <alignment horizontal="left"/>
    </xf>
    <xf numFmtId="0" fontId="8" fillId="3" borderId="19" xfId="3" applyFont="1" applyFill="1" applyBorder="1" applyAlignment="1">
      <alignment horizontal="left"/>
    </xf>
    <xf numFmtId="0" fontId="8" fillId="3" borderId="21" xfId="3" applyFont="1" applyFill="1" applyBorder="1" applyAlignment="1">
      <alignment horizontal="left"/>
    </xf>
    <xf numFmtId="0" fontId="8" fillId="3" borderId="22" xfId="3" applyFont="1" applyFill="1" applyBorder="1" applyAlignment="1">
      <alignment horizontal="left"/>
    </xf>
    <xf numFmtId="0" fontId="8" fillId="3" borderId="1" xfId="3" applyFont="1" applyFill="1" applyBorder="1"/>
    <xf numFmtId="0" fontId="10" fillId="4" borderId="2" xfId="5" applyFont="1" applyFill="1" applyBorder="1" applyAlignment="1">
      <alignment horizontal="left"/>
    </xf>
    <xf numFmtId="164" fontId="8" fillId="5" borderId="2" xfId="4" applyFont="1" applyFill="1" applyBorder="1" applyAlignment="1">
      <alignment horizontal="right"/>
    </xf>
    <xf numFmtId="0" fontId="8" fillId="10" borderId="13" xfId="3" applyFont="1" applyFill="1" applyBorder="1" applyAlignment="1">
      <alignment horizontal="left"/>
    </xf>
    <xf numFmtId="0" fontId="8" fillId="11" borderId="13" xfId="3" applyFont="1" applyFill="1" applyBorder="1" applyAlignment="1">
      <alignment horizontal="left"/>
    </xf>
    <xf numFmtId="3" fontId="6" fillId="6" borderId="13" xfId="3" applyNumberFormat="1" applyFont="1" applyFill="1" applyBorder="1"/>
    <xf numFmtId="3" fontId="6" fillId="6" borderId="15" xfId="3" applyNumberFormat="1" applyFont="1" applyFill="1" applyBorder="1"/>
    <xf numFmtId="0" fontId="10" fillId="13" borderId="5" xfId="6" applyFont="1" applyFill="1" applyBorder="1" applyAlignment="1">
      <alignment horizontal="left"/>
    </xf>
    <xf numFmtId="3" fontId="8" fillId="6" borderId="23" xfId="3" applyNumberFormat="1" applyFont="1" applyFill="1" applyBorder="1"/>
    <xf numFmtId="0" fontId="11" fillId="13" borderId="13" xfId="6" applyFont="1" applyFill="1" applyBorder="1" applyAlignment="1">
      <alignment horizontal="left"/>
    </xf>
    <xf numFmtId="0" fontId="11" fillId="13" borderId="14" xfId="6" applyFont="1" applyFill="1" applyBorder="1" applyAlignment="1">
      <alignment horizontal="left"/>
    </xf>
    <xf numFmtId="0" fontId="8" fillId="3" borderId="0" xfId="3" applyFont="1" applyFill="1" applyAlignment="1">
      <alignment horizontal="left"/>
    </xf>
    <xf numFmtId="164" fontId="8" fillId="14" borderId="13" xfId="7" applyNumberFormat="1" applyFont="1" applyFill="1" applyBorder="1" applyAlignment="1">
      <alignment horizontal="right"/>
    </xf>
    <xf numFmtId="164" fontId="11" fillId="14" borderId="13" xfId="7" applyNumberFormat="1" applyFont="1" applyFill="1" applyBorder="1" applyAlignment="1">
      <alignment horizontal="right"/>
    </xf>
    <xf numFmtId="164" fontId="11" fillId="14" borderId="14" xfId="7" applyNumberFormat="1" applyFont="1" applyFill="1" applyBorder="1" applyAlignment="1">
      <alignment horizontal="right"/>
    </xf>
    <xf numFmtId="0" fontId="8" fillId="3" borderId="14" xfId="3" applyFont="1" applyFill="1" applyBorder="1"/>
    <xf numFmtId="0" fontId="8" fillId="3" borderId="24" xfId="3" applyFont="1" applyFill="1" applyBorder="1" applyAlignment="1">
      <alignment horizontal="left"/>
    </xf>
    <xf numFmtId="0" fontId="8" fillId="3" borderId="12" xfId="3" applyFont="1" applyFill="1" applyBorder="1" applyAlignment="1">
      <alignment horizontal="left"/>
    </xf>
    <xf numFmtId="0" fontId="2" fillId="3" borderId="13" xfId="0" applyFont="1" applyFill="1" applyBorder="1"/>
    <xf numFmtId="164" fontId="8" fillId="15" borderId="13" xfId="4" applyFont="1" applyFill="1" applyBorder="1" applyAlignment="1">
      <alignment horizontal="right"/>
    </xf>
    <xf numFmtId="165" fontId="6" fillId="3" borderId="13" xfId="3" applyNumberFormat="1" applyFont="1" applyFill="1" applyBorder="1" applyAlignment="1">
      <alignment horizontal="left"/>
    </xf>
    <xf numFmtId="0" fontId="0" fillId="0" borderId="13" xfId="0" applyBorder="1"/>
    <xf numFmtId="0" fontId="11" fillId="13" borderId="17" xfId="6" applyFont="1" applyFill="1" applyBorder="1" applyAlignment="1">
      <alignment horizontal="left"/>
    </xf>
    <xf numFmtId="0" fontId="11" fillId="13" borderId="18" xfId="6" applyFont="1" applyFill="1" applyBorder="1" applyAlignment="1">
      <alignment horizontal="left"/>
    </xf>
    <xf numFmtId="164" fontId="8" fillId="8" borderId="14" xfId="4" applyFont="1" applyFill="1" applyBorder="1" applyAlignment="1">
      <alignment horizontal="right"/>
    </xf>
    <xf numFmtId="0" fontId="8" fillId="3" borderId="13" xfId="3" applyFont="1" applyFill="1" applyBorder="1" applyAlignment="1">
      <alignment horizontal="left" wrapText="1"/>
    </xf>
    <xf numFmtId="0" fontId="8" fillId="3" borderId="25" xfId="3" applyFont="1" applyFill="1" applyBorder="1"/>
    <xf numFmtId="0" fontId="8" fillId="3" borderId="26" xfId="3" applyFont="1" applyFill="1" applyBorder="1"/>
    <xf numFmtId="0" fontId="13" fillId="0" borderId="27" xfId="0" applyFont="1" applyBorder="1" applyAlignment="1">
      <alignment wrapText="1"/>
    </xf>
    <xf numFmtId="0" fontId="0" fillId="0" borderId="0" xfId="0" quotePrefix="1"/>
    <xf numFmtId="0" fontId="0" fillId="0" borderId="28" xfId="0" applyBorder="1"/>
    <xf numFmtId="0" fontId="0" fillId="0" borderId="29" xfId="0" applyBorder="1"/>
    <xf numFmtId="0" fontId="0" fillId="0" borderId="29" xfId="3" applyFont="1" applyBorder="1"/>
    <xf numFmtId="165" fontId="8" fillId="0" borderId="29" xfId="3" applyNumberFormat="1" applyFont="1" applyBorder="1" applyAlignment="1">
      <alignment horizontal="left"/>
    </xf>
    <xf numFmtId="167" fontId="0" fillId="0" borderId="30" xfId="3" applyNumberFormat="1" applyFont="1" applyBorder="1"/>
    <xf numFmtId="167" fontId="0" fillId="0" borderId="30" xfId="0" applyNumberFormat="1" applyBorder="1"/>
    <xf numFmtId="0" fontId="13" fillId="0" borderId="29" xfId="0" applyFont="1" applyBorder="1" applyAlignment="1">
      <alignment wrapText="1"/>
    </xf>
    <xf numFmtId="165" fontId="8" fillId="0" borderId="29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16" borderId="31" xfId="0" applyFill="1" applyBorder="1" applyAlignment="1">
      <alignment horizontal="center"/>
    </xf>
    <xf numFmtId="0" fontId="0" fillId="16" borderId="31" xfId="0" quotePrefix="1" applyFill="1" applyBorder="1" applyAlignment="1">
      <alignment horizontal="center"/>
    </xf>
    <xf numFmtId="0" fontId="18" fillId="17" borderId="13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2" fontId="6" fillId="18" borderId="31" xfId="0" quotePrefix="1" applyNumberFormat="1" applyFont="1" applyFill="1" applyBorder="1" applyAlignment="1">
      <alignment horizontal="center"/>
    </xf>
    <xf numFmtId="1" fontId="6" fillId="18" borderId="31" xfId="0" quotePrefix="1" applyNumberFormat="1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19" borderId="31" xfId="0" quotePrefix="1" applyFill="1" applyBorder="1" applyAlignment="1">
      <alignment horizontal="center"/>
    </xf>
    <xf numFmtId="1" fontId="6" fillId="19" borderId="31" xfId="0" quotePrefix="1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8" fillId="0" borderId="0" xfId="3" applyNumberFormat="1" applyFont="1" applyAlignment="1">
      <alignment horizontal="left"/>
    </xf>
    <xf numFmtId="167" fontId="6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167" fontId="0" fillId="0" borderId="0" xfId="0" applyNumberFormat="1"/>
    <xf numFmtId="0" fontId="13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1" fontId="6" fillId="0" borderId="0" xfId="0" quotePrefix="1" applyNumberFormat="1" applyFont="1" applyAlignment="1">
      <alignment horizontal="center"/>
    </xf>
    <xf numFmtId="0" fontId="4" fillId="20" borderId="28" xfId="0" applyFont="1" applyFill="1" applyBorder="1"/>
    <xf numFmtId="0" fontId="4" fillId="20" borderId="29" xfId="0" applyFont="1" applyFill="1" applyBorder="1"/>
    <xf numFmtId="0" fontId="4" fillId="20" borderId="30" xfId="0" applyFont="1" applyFill="1" applyBorder="1"/>
    <xf numFmtId="0" fontId="8" fillId="3" borderId="34" xfId="3" applyFont="1" applyFill="1" applyBorder="1"/>
    <xf numFmtId="0" fontId="8" fillId="3" borderId="21" xfId="3" applyFont="1" applyFill="1" applyBorder="1"/>
    <xf numFmtId="0" fontId="4" fillId="21" borderId="0" xfId="0" applyFont="1" applyFill="1"/>
    <xf numFmtId="0" fontId="21" fillId="0" borderId="0" xfId="0" applyFont="1"/>
    <xf numFmtId="0" fontId="17" fillId="23" borderId="13" xfId="0" applyFont="1" applyFill="1" applyBorder="1" applyAlignment="1">
      <alignment horizontal="center" vertical="top" wrapText="1"/>
    </xf>
    <xf numFmtId="0" fontId="17" fillId="23" borderId="13" xfId="0" applyFont="1" applyFill="1" applyBorder="1" applyAlignment="1">
      <alignment vertical="top" wrapText="1"/>
    </xf>
    <xf numFmtId="0" fontId="17" fillId="23" borderId="13" xfId="0" applyFont="1" applyFill="1" applyBorder="1" applyAlignment="1">
      <alignment horizontal="center" vertical="top"/>
    </xf>
    <xf numFmtId="0" fontId="17" fillId="23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4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right" wrapText="1"/>
    </xf>
    <xf numFmtId="0" fontId="4" fillId="23" borderId="13" xfId="0" applyFont="1" applyFill="1" applyBorder="1" applyAlignment="1">
      <alignment horizontal="center" vertical="top" wrapText="1"/>
    </xf>
    <xf numFmtId="0" fontId="4" fillId="25" borderId="13" xfId="0" applyFont="1" applyFill="1" applyBorder="1" applyAlignment="1">
      <alignment horizontal="center" vertical="top" wrapText="1"/>
    </xf>
    <xf numFmtId="0" fontId="23" fillId="23" borderId="13" xfId="0" applyFont="1" applyFill="1" applyBorder="1" applyAlignment="1">
      <alignment horizontal="center" vertical="top" wrapText="1"/>
    </xf>
    <xf numFmtId="0" fontId="4" fillId="23" borderId="14" xfId="0" applyFont="1" applyFill="1" applyBorder="1" applyAlignment="1">
      <alignment horizontal="center" vertical="top" wrapText="1"/>
    </xf>
    <xf numFmtId="0" fontId="4" fillId="25" borderId="14" xfId="0" applyFont="1" applyFill="1" applyBorder="1" applyAlignment="1">
      <alignment horizontal="center" vertical="top" wrapText="1"/>
    </xf>
    <xf numFmtId="0" fontId="0" fillId="25" borderId="13" xfId="0" applyFill="1" applyBorder="1"/>
    <xf numFmtId="1" fontId="0" fillId="0" borderId="0" xfId="0" applyNumberFormat="1" applyAlignment="1">
      <alignment horizontal="center"/>
    </xf>
    <xf numFmtId="1" fontId="6" fillId="18" borderId="32" xfId="0" quotePrefix="1" applyNumberFormat="1" applyFont="1" applyFill="1" applyBorder="1" applyAlignment="1">
      <alignment horizontal="center"/>
    </xf>
    <xf numFmtId="1" fontId="6" fillId="18" borderId="33" xfId="0" quotePrefix="1" applyNumberFormat="1" applyFont="1" applyFill="1" applyBorder="1" applyAlignment="1">
      <alignment horizontal="center"/>
    </xf>
    <xf numFmtId="0" fontId="18" fillId="17" borderId="15" xfId="0" applyFont="1" applyFill="1" applyBorder="1" applyAlignment="1">
      <alignment horizontal="center"/>
    </xf>
    <xf numFmtId="0" fontId="18" fillId="17" borderId="21" xfId="0" applyFont="1" applyFill="1" applyBorder="1" applyAlignment="1">
      <alignment horizontal="center"/>
    </xf>
    <xf numFmtId="165" fontId="3" fillId="8" borderId="6" xfId="3" applyNumberFormat="1" applyFont="1" applyFill="1" applyBorder="1" applyAlignment="1">
      <alignment horizontal="center"/>
    </xf>
    <xf numFmtId="165" fontId="3" fillId="8" borderId="20" xfId="3" applyNumberFormat="1" applyFont="1" applyFill="1" applyBorder="1" applyAlignment="1">
      <alignment horizontal="center"/>
    </xf>
    <xf numFmtId="165" fontId="3" fillId="9" borderId="6" xfId="3" applyNumberFormat="1" applyFont="1" applyFill="1" applyBorder="1" applyAlignment="1">
      <alignment horizontal="center"/>
    </xf>
    <xf numFmtId="165" fontId="3" fillId="9" borderId="20" xfId="3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22" borderId="0" xfId="0" applyFill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2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center"/>
    </xf>
    <xf numFmtId="0" fontId="22" fillId="0" borderId="35" xfId="0" applyFont="1" applyBorder="1" applyAlignment="1">
      <alignment horizontal="left"/>
    </xf>
    <xf numFmtId="0" fontId="22" fillId="0" borderId="35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8">
    <cellStyle name="40% - Accent6 2" xfId="7" xr:uid="{039C11AC-DE1D-46B5-922C-39D456A488FA}"/>
    <cellStyle name="Accent2 - 20%" xfId="6" xr:uid="{9B48469D-8E7A-4BDA-9695-B9031524EF3D}"/>
    <cellStyle name="Accent2 - 40%" xfId="5" xr:uid="{3ABBC952-4DB0-4D5C-B16F-AF50FAB24445}"/>
    <cellStyle name="Comma" xfId="1" builtinId="3"/>
    <cellStyle name="Comma 4" xfId="4" xr:uid="{18A1EDB8-3EFF-443D-959E-7BB33BA83EC7}"/>
    <cellStyle name="Normal" xfId="0" builtinId="0"/>
    <cellStyle name="Normal 198" xfId="3" xr:uid="{ADFAE183-9BB2-4B05-AB00-CE38ABB829F4}"/>
    <cellStyle name="Per cent" xfId="2" builtinId="5"/>
  </cellStyles>
  <dxfs count="12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numFmt numFmtId="167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7" formatCode="&quot;R&quot;#,##0.00"/>
      <fill>
        <patternFill patternType="none">
          <fgColor indexed="64"/>
          <bgColor auto="1"/>
        </patternFill>
      </fill>
    </dxf>
    <dxf>
      <font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&quot;R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7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7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7" formatCode="&quot;R&quot;#,##0.00"/>
      <fill>
        <patternFill patternType="none">
          <fgColor indexed="64"/>
          <bgColor auto="1"/>
        </patternFill>
      </fill>
    </dxf>
    <dxf>
      <font>
        <sz val="11"/>
        <color auto="1"/>
        <name val="Calibri"/>
        <family val="2"/>
        <scheme val="none"/>
      </font>
      <numFmt numFmtId="165" formatCode="[$-1C09]dd\ mmmm\ 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582042</xdr:colOff>
      <xdr:row>14</xdr:row>
      <xdr:rowOff>88000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BE0869-B8D0-2760-44C3-50C26D6AC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87642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13</xdr:col>
      <xdr:colOff>20159</xdr:colOff>
      <xdr:row>33</xdr:row>
      <xdr:rowOff>109060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9243F9-6EBE-5E21-A2F9-A59449EF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7944959" cy="340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10</xdr:col>
      <xdr:colOff>515273</xdr:colOff>
      <xdr:row>44</xdr:row>
      <xdr:rowOff>135504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62A562-449A-96C6-6CCC-14625177E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6611273" cy="17814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400957</xdr:colOff>
      <xdr:row>5</xdr:row>
      <xdr:rowOff>171602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6E8B4-C4F6-BF0C-09EB-B5CB368F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0"/>
          <a:ext cx="6496957" cy="108600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30</xdr:col>
      <xdr:colOff>1361</xdr:colOff>
      <xdr:row>41</xdr:row>
      <xdr:rowOff>99916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B1C12C-4F0B-62D4-5798-C3967B014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0" y="1463040"/>
          <a:ext cx="9754961" cy="61349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rkasolarcoza.sharepoint.com/sites/OrkaSolar1/PRODUCT%20PRICE%20LIST/1_Price%20List/Fin%20Budget%20Tool%20Master_2025.xlsx" TargetMode="External"/><Relationship Id="rId1" Type="http://schemas.openxmlformats.org/officeDocument/2006/relationships/externalLinkPath" Target="https://orkasolarcoza.sharepoint.com/sites/OrkaSolar1/PRODUCT%20PRICE%20LIST/1_Price%20List/Fin%20Budget%20Tool%20Master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xIfsPzYun0iBvG-Tv43bNFZLDBRN2xlMsuagGLTCtTWJ5v9ZHoTiRJK8xMP9VM0G" itemId="01PGFQHFAKI6APF3XYTJALCNSTCQ767FY5">
      <xxl21:absoluteUrl r:id="rId2"/>
    </xxl21:alternateUrls>
    <sheetNames>
      <sheetName val="COS"/>
      <sheetName val="LAB"/>
      <sheetName val="Export"/>
      <sheetName val="Supplier info"/>
      <sheetName val="Verblyf"/>
      <sheetName val="Sheet1"/>
    </sheetNames>
    <sheetDataSet>
      <sheetData sheetId="0"/>
      <sheetData sheetId="1">
        <row r="5">
          <cell r="F5">
            <v>236</v>
          </cell>
        </row>
        <row r="12">
          <cell r="G12">
            <v>150120</v>
          </cell>
        </row>
        <row r="21">
          <cell r="G21">
            <v>22000</v>
          </cell>
        </row>
        <row r="29">
          <cell r="G29">
            <v>95700</v>
          </cell>
        </row>
        <row r="38">
          <cell r="G38">
            <v>39870</v>
          </cell>
        </row>
      </sheetData>
      <sheetData sheetId="2"/>
      <sheetData sheetId="3"/>
      <sheetData sheetId="4"/>
      <sheetData sheetId="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11F5A-D51D-4065-8DE8-EA1197FB273E}" name="InvTable" displayName="InvTable" ref="N3:AF71" totalsRowShown="0" headerRowDxfId="120" dataDxfId="119">
  <autoFilter ref="N3:AF71" xr:uid="{A2711F5A-D51D-4065-8DE8-EA1197FB273E}"/>
  <sortState xmlns:xlrd2="http://schemas.microsoft.com/office/spreadsheetml/2017/richdata2" ref="N4:AF71">
    <sortCondition ref="P3:P71"/>
  </sortState>
  <tableColumns count="19">
    <tableColumn id="1" xr3:uid="{7F3EDD6F-97E8-4989-A3B0-79BA1FAD2C3F}" name="Component Type" dataDxfId="118"/>
    <tableColumn id="2" xr3:uid="{896A4C58-8292-4D21-91FE-370666536A11}" name="System Type" dataDxfId="117"/>
    <tableColumn id="3" xr3:uid="{29B240F6-AE11-419C-8373-0D8A69FEC331}" name="Brand Name" dataDxfId="116"/>
    <tableColumn id="4" xr3:uid="{51FC9F7A-72D5-4AD9-A82C-0CA769552F4D}" name="Number Of Phases" dataDxfId="115"/>
    <tableColumn id="5" xr3:uid="{5BC17D30-3EEE-4201-BAE2-8750875FF8E5}" name="Power Rating (kVA)" dataDxfId="114"/>
    <tableColumn id="16" xr3:uid="{A6D653FB-06BD-4CE3-B4F0-EE8B43347B04}" name="Number of Inputs" dataDxfId="113"/>
    <tableColumn id="17" xr3:uid="{9EB77260-C888-4413-AE4C-4DAE9F84A536}" name="Max Input Current per Input (A)" dataDxfId="112"/>
    <tableColumn id="13" xr3:uid="{68504508-72F2-4244-9A94-537236BC40E2}" name="Number of MPPT" dataDxfId="111"/>
    <tableColumn id="11" xr3:uid="{BBDD7E26-DFE4-40ED-9C93-3EC00B3DA200}" name="Max Input Current per MPPT (A)" dataDxfId="110"/>
    <tableColumn id="18" xr3:uid="{F665AAC9-C94D-4961-BA73-49FB95257FDC}" name="Max Isc per MPPT (A)" dataDxfId="109"/>
    <tableColumn id="12" xr3:uid="{910D3AFC-0938-4DB8-B5E3-ACA8D4BC5414}" name="Max DC Input Voltage per MPPT (V)" dataDxfId="108"/>
    <tableColumn id="14" xr3:uid="{6AE6D96C-7C9B-468E-B78E-38060B4D0098}" name="Min Operating Voltage Range (V)" dataDxfId="107"/>
    <tableColumn id="15" xr3:uid="{2C1BFD0D-AFB0-47BD-BAC0-7D8AF11DD88F}" name="Max Operating Voltage Range (V)" dataDxfId="106"/>
    <tableColumn id="19" xr3:uid="{F5AF2ABF-3B4F-4837-A981-EBEE96060F54}" name="Rated Input Voltage (V)" dataDxfId="105"/>
    <tableColumn id="6" xr3:uid="{0C7D3811-A002-4D5E-AAFF-0BBEA1B21BD3}" name="Description" dataDxfId="104"/>
    <tableColumn id="8" xr3:uid="{031743D2-576A-4FBA-B1E6-DF0BED630CA2}" name="Notes" dataDxfId="103"/>
    <tableColumn id="7" xr3:uid="{3D957503-3657-4C30-B271-B2B230BD3423}" name="Supplier" dataDxfId="102"/>
    <tableColumn id="9" xr3:uid="{344CF6B1-2195-4291-B435-70441AFE817B}" name="Updated" dataDxfId="101" dataCellStyle="Normal 198"/>
    <tableColumn id="10" xr3:uid="{C95B9108-0E3F-41AA-BCE2-C498F0E016E0}" name="Unit Cost" dataDxfId="10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4CB2F4-74F6-4BFD-8CAE-E217DDCEC2BF}" name="Table3" displayName="Table3" ref="AH3:AN27" totalsRowShown="0" headerRowDxfId="99" dataDxfId="98">
  <autoFilter ref="AH3:AN27" xr:uid="{3A4CB2F4-74F6-4BFD-8CAE-E217DDCEC2BF}"/>
  <tableColumns count="7">
    <tableColumn id="1" xr3:uid="{A51EA709-675D-4822-9497-F4B6056AAD37}" name="Component Type" dataDxfId="97"/>
    <tableColumn id="2" xr3:uid="{47E9375C-CDD1-43A0-9EB9-82D33F6D66FD}" name="Brand Name" dataDxfId="96"/>
    <tableColumn id="3" xr3:uid="{022F33CD-0B67-49A6-B6B0-8C003884AFC5}" name="Description" dataDxfId="95"/>
    <tableColumn id="4" xr3:uid="{5EFF2B39-6F85-41E3-9E0C-DE06300BD133}" name="Notes" dataDxfId="94"/>
    <tableColumn id="5" xr3:uid="{D34D5453-35F1-4900-85A7-ED31D56902D8}" name="Supplier" dataDxfId="93"/>
    <tableColumn id="6" xr3:uid="{60917A35-44CF-41B6-831E-0C16F71AD969}" name="Updated" dataDxfId="92" dataCellStyle="Normal 198"/>
    <tableColumn id="7" xr3:uid="{7D675941-2B01-4695-90C9-8353ECBD231C}" name="Unit Cost" dataDxfId="9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49B903-A9FB-4847-9A0C-85F145C10D54}" name="Table5" displayName="Table5" ref="AP3:AY33" totalsRowShown="0" headerRowDxfId="90" dataDxfId="89">
  <autoFilter ref="AP3:AY33" xr:uid="{8349B903-A9FB-4847-9A0C-85F145C10D54}"/>
  <tableColumns count="10">
    <tableColumn id="1" xr3:uid="{DAFC3495-57F7-4D9E-BA46-CC49E143DFB9}" name="Component Type" dataDxfId="88"/>
    <tableColumn id="2" xr3:uid="{515DD44E-B5D0-426B-A56D-C872AB42B990}" name="Nominal Rating (kWh)" dataDxfId="87"/>
    <tableColumn id="9" xr3:uid="{E797811B-7AA9-4CF2-9F94-84DF7C1151E3}" name="Usable Rating (kWh)" dataDxfId="86"/>
    <tableColumn id="10" xr3:uid="{B4F5C21D-342E-4A41-8881-CEB2DB574EA5}" name="Nominal Voltage (V)" dataDxfId="85"/>
    <tableColumn id="3" xr3:uid="{E695F330-3B7F-4C7C-8F28-B6342F91656F}" name="Brand Name" dataDxfId="84"/>
    <tableColumn id="4" xr3:uid="{0B380126-57CA-43BA-9687-2A279E6301E1}" name="Description" dataDxfId="83"/>
    <tableColumn id="5" xr3:uid="{8368E865-4172-47B8-9B86-11251E3A048B}" name="Notes" dataDxfId="82"/>
    <tableColumn id="6" xr3:uid="{985EBB31-4DD3-411B-9A1E-EA93DE49618F}" name="Supplier" dataDxfId="81"/>
    <tableColumn id="7" xr3:uid="{B59958BD-0299-4196-84FD-D39D7CC49944}" name="Updated" dataDxfId="80" dataCellStyle="Normal 198"/>
    <tableColumn id="8" xr3:uid="{25AB3E01-724D-4217-8DD2-BE86EE6CC4CE}" name="Unit Cost" dataDxfId="7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31B15-6C89-498D-A4E8-1E1915EC5F16}" name="PVTable" displayName="PVTable" ref="A3:L6" totalsRowShown="0" headerRowDxfId="78" dataDxfId="77">
  <autoFilter ref="A3:L6" xr:uid="{F0331B15-6C89-498D-A4E8-1E1915EC5F16}"/>
  <tableColumns count="12">
    <tableColumn id="1" xr3:uid="{DD2F20F6-0498-48CF-81B3-9298E5D548D7}" name="Component Type" dataDxfId="76"/>
    <tableColumn id="2" xr3:uid="{3B6B2877-1D13-4FC8-AF18-1F671DFB034D}" name="Power Rating (W)" dataDxfId="75"/>
    <tableColumn id="9" xr3:uid="{3BA2834D-4CF1-442C-89FC-D887B0E73CB9}" name="Isc (A)" dataDxfId="74"/>
    <tableColumn id="10" xr3:uid="{62E9F1F5-04ED-4DD6-BD8D-0FC62C3C62E2}" name="Max Voc (V)" dataDxfId="73"/>
    <tableColumn id="11" xr3:uid="{A806D7B2-A7DF-45CD-9B96-2AA5A606E9BB}" name="Imp (A)" dataDxfId="72"/>
    <tableColumn id="12" xr3:uid="{AFA9296C-8B0F-4B81-B363-BF48F57C6FD3}" name="Vmp" dataDxfId="71"/>
    <tableColumn id="3" xr3:uid="{1BDB7F4D-A9A3-4AB3-9803-607F59D4ECB6}" name="Brand Name" dataDxfId="70"/>
    <tableColumn id="4" xr3:uid="{D2B8DA72-E7E8-46C3-84BE-0512B8792BB7}" name="Description" dataDxfId="69"/>
    <tableColumn id="5" xr3:uid="{2774728D-72FB-4C05-B4DC-E63986B21A1A}" name="Notes" dataDxfId="68"/>
    <tableColumn id="6" xr3:uid="{F5C99FFA-2FD6-47ED-BE5E-F5756AC4E151}" name="Supplier" dataDxfId="67"/>
    <tableColumn id="7" xr3:uid="{B8F3494E-CC80-4DFF-BB37-415A7EAD5784}" name="Updated" dataDxfId="66" dataCellStyle="Normal 198"/>
    <tableColumn id="8" xr3:uid="{2B20AF20-EB9D-4C21-B566-3E0FC84A283B}" name="Unit Cost" dataDxfId="6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ADED2-DBD5-4E48-85F6-45636B97A198}" name="Table4" displayName="Table4" ref="BA3:BJ69" totalsRowShown="0" headerRowDxfId="64" dataDxfId="63" tableBorderDxfId="62">
  <autoFilter ref="BA3:BJ69" xr:uid="{AC5ADED2-DBD5-4E48-85F6-45636B97A198}"/>
  <tableColumns count="10">
    <tableColumn id="1" xr3:uid="{D954C80B-F47A-4940-ADA6-357F6DD29A73}" name="Component Type" dataDxfId="61"/>
    <tableColumn id="2" xr3:uid="{D12F1EE1-1B95-43FA-88E1-69AD443445A7}" name="Nominal Amperage (A)" dataDxfId="60"/>
    <tableColumn id="3" xr3:uid="{78855F3D-63AD-413B-A58F-603B004B07A6}" name="Poles" dataDxfId="59"/>
    <tableColumn id="5" xr3:uid="{953FA3A8-DA9F-4AB5-B83B-995F0425F9D4}" name="Interrupting Capacity (kA)" dataDxfId="58"/>
    <tableColumn id="11" xr3:uid="{25BE1C39-9A65-4C6F-892B-C7B54ADC669F}" name="Brandname" dataDxfId="57"/>
    <tableColumn id="6" xr3:uid="{E37FED6D-56B2-41FC-A941-51A86B4440F6}" name="Description" dataDxfId="56"/>
    <tableColumn id="7" xr3:uid="{C8A04902-17DC-4E20-972F-FEFB31032F16}" name="Notes" dataDxfId="55"/>
    <tableColumn id="8" xr3:uid="{F42556E8-2EA1-4C83-8A93-8A483F81CFF6}" name="Supplier" dataDxfId="54"/>
    <tableColumn id="9" xr3:uid="{7A588E70-DE4A-410F-8638-5C25F426BBDD}" name="Updated" dataDxfId="53" dataCellStyle="Normal 198"/>
    <tableColumn id="10" xr3:uid="{EB933FF6-FF73-49B1-A7A4-FB0E5163BB09}" name="Unit Cost" dataDxfId="5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1E39E0-ABCE-42BC-828B-F15CAAFBFABA}" name="Table6" displayName="Table6" ref="BL3:BT17" totalsRowShown="0" headerRowDxfId="51" dataDxfId="50">
  <autoFilter ref="BL3:BT17" xr:uid="{121E39E0-ABCE-42BC-828B-F15CAAFBFABA}"/>
  <sortState xmlns:xlrd2="http://schemas.microsoft.com/office/spreadsheetml/2017/richdata2" ref="BL4:BT17">
    <sortCondition ref="BL3:BL17"/>
  </sortState>
  <tableColumns count="9">
    <tableColumn id="1" xr3:uid="{9581E9A9-79EA-49C6-B3D7-A94857AC0F43}" name="Component Type" dataDxfId="49"/>
    <tableColumn id="10" xr3:uid="{816A0610-AC1A-4786-9ADE-ABE145DB3942}" name="Min Current Rating (A)"/>
    <tableColumn id="8" xr3:uid="{2AD1BD94-DCC5-4716-BFA1-11C63D39EAD9}" name="Max Current Rating (A)" dataDxfId="48"/>
    <tableColumn id="7" xr3:uid="{4D3B220C-0209-4AA1-AD0E-D3C97FC5C5EF}" name="Voltage Rating (V)" dataDxfId="47"/>
    <tableColumn id="2" xr3:uid="{0BE0A7B0-375F-4F2A-A7E2-7514DA867290}" name="Description" dataDxfId="46"/>
    <tableColumn id="3" xr3:uid="{EAC6F486-3223-429D-A258-EA366BADCF9C}" name="Notes" dataDxfId="45"/>
    <tableColumn id="4" xr3:uid="{42FF9A5F-64D8-4590-B8A2-0AEC0299AB29}" name="Supplier" dataDxfId="44"/>
    <tableColumn id="5" xr3:uid="{15E1F839-8E6C-4381-9DAF-CDC313A17D31}" name="Updated" dataDxfId="43" dataCellStyle="Normal 198"/>
    <tableColumn id="6" xr3:uid="{E9DAC659-DEEC-4142-87A0-936367DBBB48}" name="Unit Cost" dataDxfId="4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2EE71C-2512-47D1-ACF5-812EEA9AC80F}" name="Table7" displayName="Table7" ref="BV3:CE14" totalsRowShown="0" headerRowDxfId="41" dataDxfId="40">
  <autoFilter ref="BV3:CE14" xr:uid="{D12EE71C-2512-47D1-ACF5-812EEA9AC80F}"/>
  <tableColumns count="10">
    <tableColumn id="1" xr3:uid="{D183B448-C8A2-4A2C-B394-8BD5936508C9}" name="Component Type" dataDxfId="39"/>
    <tableColumn id="8" xr3:uid="{BE5D5A73-2082-4255-B60A-E0AA18EB1B7D}" name="Nominal Voltage (V)" dataDxfId="38"/>
    <tableColumn id="7" xr3:uid="{A6ADEAF4-938B-49A9-A5A0-2C87A93CED84}" name="Nominal Current (A)" dataDxfId="37"/>
    <tableColumn id="9" xr3:uid="{E98EBB77-8BD9-40BD-83E7-25609A2FDB8D}" name="Number of Poles" dataDxfId="36"/>
    <tableColumn id="10" xr3:uid="{0033E547-FD50-4403-B57D-ECF12C63AF0D}" name="Mounting Type" dataDxfId="35"/>
    <tableColumn id="2" xr3:uid="{D5A841C9-6E16-403A-A3B2-CC46F223149A}" name="Description" dataDxfId="34"/>
    <tableColumn id="3" xr3:uid="{6FEC143E-C88B-43E8-BBCD-EC1A6F870213}" name="Notes" dataDxfId="33"/>
    <tableColumn id="4" xr3:uid="{BC23E075-3E73-47E8-8632-ABA0B7B3CD51}" name="Supplier" dataDxfId="32"/>
    <tableColumn id="5" xr3:uid="{6A5928FA-26EB-4272-B323-8E43AE3424D2}" name="Updated" dataDxfId="31" dataCellStyle="Normal 198"/>
    <tableColumn id="6" xr3:uid="{787D6A31-E87D-499D-A9A0-408D91D56FB6}" name="Unit Cost" dataDxfId="3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A58E-8368-4A0A-A5B0-AC7B6CC8F58E}">
  <dimension ref="A1"/>
  <sheetViews>
    <sheetView zoomScale="70" zoomScaleNormal="70" workbookViewId="0">
      <selection activeCell="M7" sqref="M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E940-E141-4CFE-9E08-2E7349D3EFCC}">
  <dimension ref="A1:K19"/>
  <sheetViews>
    <sheetView zoomScale="85" zoomScaleNormal="85" workbookViewId="0">
      <selection activeCell="K16" sqref="K16"/>
    </sheetView>
  </sheetViews>
  <sheetFormatPr defaultColWidth="8.85546875" defaultRowHeight="15" x14ac:dyDescent="0.25"/>
  <cols>
    <col min="1" max="1" width="17" style="145" bestFit="1" customWidth="1"/>
    <col min="2" max="2" width="41.85546875" style="145" bestFit="1" customWidth="1"/>
    <col min="3" max="3" width="44.7109375" style="145" bestFit="1" customWidth="1"/>
    <col min="4" max="4" width="34.28515625" style="145" bestFit="1" customWidth="1"/>
    <col min="5" max="5" width="29.140625" style="145" bestFit="1" customWidth="1"/>
    <col min="6" max="6" width="28.5703125" style="145" customWidth="1"/>
    <col min="7" max="7" width="22.5703125" style="145" bestFit="1" customWidth="1"/>
    <col min="8" max="8" width="29.7109375" style="145" bestFit="1" customWidth="1"/>
    <col min="9" max="9" width="30" style="145" customWidth="1"/>
    <col min="10" max="11" width="23.7109375" style="145" customWidth="1"/>
    <col min="12" max="12" width="29.7109375" style="145" customWidth="1"/>
    <col min="13" max="16384" width="8.85546875" style="145"/>
  </cols>
  <sheetData>
    <row r="1" spans="1:11" ht="15.75" x14ac:dyDescent="0.25">
      <c r="A1" s="149" t="s">
        <v>0</v>
      </c>
      <c r="B1" s="149" t="s">
        <v>1</v>
      </c>
      <c r="C1" s="149" t="s">
        <v>2</v>
      </c>
      <c r="D1" s="149" t="s">
        <v>3</v>
      </c>
      <c r="G1" s="149" t="s">
        <v>4</v>
      </c>
      <c r="H1" s="149" t="s">
        <v>5</v>
      </c>
      <c r="J1" s="197" t="s">
        <v>6</v>
      </c>
      <c r="K1" s="198"/>
    </row>
    <row r="2" spans="1:11" ht="15.75" thickBot="1" x14ac:dyDescent="0.3">
      <c r="A2" s="147" t="s">
        <v>7</v>
      </c>
      <c r="B2" s="148">
        <v>57</v>
      </c>
      <c r="C2" s="154" t="s">
        <v>8</v>
      </c>
      <c r="D2" s="151">
        <f>_xlfn.XLOOKUP(C2,PVTable[Description],PVTable[Power Rating (W)])*ROUNDUP(B2,0)/1000</f>
        <v>32.204999999999998</v>
      </c>
      <c r="G2" s="148">
        <v>50</v>
      </c>
      <c r="H2" s="152">
        <f>ROUNDUP(G2*1000/_xlfn.XLOOKUP(C2,PVTable[Description],PVTable[Power Rating (W)]),0)</f>
        <v>89</v>
      </c>
      <c r="J2" s="195">
        <f>_xlfn.LET(
  _xlpm.coldFactor,   1.15,
  _xlpm.derateFactor, 0.9,
  _xlpm.invDesc,      D8,
  _xlpm.pvDesc,       C2,
  _xlpm.invMaxDC,     IFERROR(_xlfn.XLOOKUP(_xlpm.invDesc, InvTable[Description], InvTable[Max DC Input Voltage per MPPT (V)]), 0),
  _xlpm.invMaxOp,     IFERROR(_xlfn.XLOOKUP(_xlpm.invDesc, InvTable[Description], InvTable[Max Operating Voltage Range (V)]), 0),
  _xlpm.pvVoc,        IFERROR(_xlfn.XLOOKUP(_xlpm.pvDesc, PVTable[Description], PVTable[Max Voc (V)]), 0),
  _xlpm.pvVmp,        IFERROR(_xlfn.XLOOKUP(_xlpm.pvDesc, PVTable[Description], PVTable[Vmp]), 0),
  _xlpm.seriesByVoc,  IF(_xlpm.pvVoc &gt; 0, INT(_xlpm.invMaxDC / (_xlpm.pvVoc * _xlpm.coldFactor)), 0),
  _xlpm.seriesByVmp,  IF(_xlpm.pvVmp &gt; 0, INT((_xlpm.invMaxOp * _xlpm.derateFactor) / _xlpm.pvVmp), 0),
  MIN(_xlpm.seriesByVoc, _xlpm.seriesByVmp)
)</f>
        <v>18</v>
      </c>
      <c r="K2" s="196"/>
    </row>
    <row r="3" spans="1:11" ht="15.75" x14ac:dyDescent="0.25">
      <c r="J3" s="149" t="s">
        <v>9</v>
      </c>
      <c r="K3" s="149" t="s">
        <v>10</v>
      </c>
    </row>
    <row r="4" spans="1:11" ht="15.75" thickBot="1" x14ac:dyDescent="0.3">
      <c r="J4" s="152" cm="1">
        <f t="array" ref="J4">_xlfn.LET(
  _xlpm.pvDesc,     C2,
  _xlpm.seriesCnt,  J2,
  _xlpm.coldFactor, 1.15,
  _xlpm.pvVoc,      _xlfn.XLOOKUP(_xlpm.pvDesc, PVTable[Description], PVTable[Max Voc (V)], "No Voc Found"),
  _xlpm.reqVolt,    _xlpm.seriesCnt * _xlpm.pvVoc * _xlpm.coldFactor,
  ROUNDUP(_xlpm.reqVolt, 0)
)</f>
        <v>1046</v>
      </c>
      <c r="K4" s="152" cm="1">
        <f t="array" ref="K4">_xlfn.LET(
_xlpm.safetyFactor, 1.25,
_xlpm.pvDesc,C2,
_xlpm.MaxCurr, _xlfn.XLOOKUP(_xlpm.pvDesc, PVTable[Description], PVTable[Isc (A)]) * _xlpm.safetyFactor,
ROUNDUP(_xlpm.MaxCurr,0)
)</f>
        <v>18</v>
      </c>
    </row>
    <row r="7" spans="1:11" ht="15.75" x14ac:dyDescent="0.25">
      <c r="A7" s="149" t="s">
        <v>11</v>
      </c>
      <c r="B7" s="149" t="s">
        <v>12</v>
      </c>
      <c r="C7" s="149" t="s">
        <v>13</v>
      </c>
      <c r="D7" s="149" t="s">
        <v>14</v>
      </c>
      <c r="E7" s="149" t="s">
        <v>15</v>
      </c>
      <c r="F7" s="169"/>
      <c r="G7" s="149" t="s">
        <v>16</v>
      </c>
      <c r="H7" s="149" t="s">
        <v>17</v>
      </c>
    </row>
    <row r="8" spans="1:11" ht="15.75" thickBot="1" x14ac:dyDescent="0.3">
      <c r="A8" s="147" t="s">
        <v>7</v>
      </c>
      <c r="B8" s="148" t="s">
        <v>7</v>
      </c>
      <c r="C8" s="148" t="s">
        <v>7</v>
      </c>
      <c r="D8" s="154" t="s">
        <v>18</v>
      </c>
      <c r="E8" s="148">
        <v>1</v>
      </c>
      <c r="F8" s="156"/>
      <c r="G8" s="148">
        <v>50</v>
      </c>
      <c r="H8" s="152">
        <f>ROUNDUP(G8/_xlfn.XLOOKUP(D8,InvTable[Description],InvTable[Power Rating (kVA)]),0)</f>
        <v>1</v>
      </c>
    </row>
    <row r="10" spans="1:11" x14ac:dyDescent="0.25">
      <c r="C10" s="146"/>
    </row>
    <row r="11" spans="1:11" x14ac:dyDescent="0.25">
      <c r="C11" s="146"/>
      <c r="H11" s="156"/>
    </row>
    <row r="12" spans="1:11" x14ac:dyDescent="0.25">
      <c r="H12" s="156"/>
    </row>
    <row r="13" spans="1:11" ht="15.75" x14ac:dyDescent="0.25">
      <c r="A13" s="149" t="s">
        <v>19</v>
      </c>
      <c r="B13" s="149" t="s">
        <v>20</v>
      </c>
      <c r="C13" s="149" t="s">
        <v>21</v>
      </c>
      <c r="D13" s="149" t="s">
        <v>22</v>
      </c>
      <c r="E13" s="149" t="s">
        <v>23</v>
      </c>
      <c r="F13" s="169"/>
      <c r="G13" s="169"/>
    </row>
    <row r="14" spans="1:11" ht="15.75" thickBot="1" x14ac:dyDescent="0.3">
      <c r="A14" s="152">
        <v>20</v>
      </c>
      <c r="B14" s="155" t="s">
        <v>24</v>
      </c>
      <c r="C14" s="152">
        <f>B2/Max_Series_Panels*2</f>
        <v>6.333333333333333</v>
      </c>
      <c r="D14" s="155" t="str" cm="1">
        <f t="array" ref="D14">IFERROR(_xlfn.LET(
    _xlpm.filterCol1, Table6[Max Current Rating (A)],
    _xlpm.filterCol2, Table6[Component Type],
    _xlpm.resultCol, Table6[Description],
    _xlpm.condition1, _xlfn.XLOOKUP(B14,Table6[Description],Table6[Min Current Rating (A)]),
    _xlpm.condition2, _xlpm.filterCol2 = "Fuse Holder",
    _xlfn._xlws.FILTER(_xlpm.resultCol, _xlpm.condition1 * _xlpm.condition2)
), "Fuse Holder Not in Product List")</f>
        <v>Fuse Holder Not in Product List</v>
      </c>
      <c r="E14" s="152">
        <f>C14</f>
        <v>6.333333333333333</v>
      </c>
      <c r="F14" s="170"/>
      <c r="G14" s="170"/>
    </row>
    <row r="15" spans="1:11" x14ac:dyDescent="0.25">
      <c r="C15"/>
    </row>
    <row r="16" spans="1:11" x14ac:dyDescent="0.25">
      <c r="C16"/>
    </row>
    <row r="17" spans="1:3" x14ac:dyDescent="0.25">
      <c r="C17"/>
    </row>
    <row r="18" spans="1:3" ht="15.75" x14ac:dyDescent="0.25">
      <c r="A18" s="149" t="s">
        <v>25</v>
      </c>
      <c r="B18" s="149" t="s">
        <v>26</v>
      </c>
      <c r="C18" s="149" t="s">
        <v>27</v>
      </c>
    </row>
    <row r="19" spans="1:3" ht="15.75" thickBot="1" x14ac:dyDescent="0.3">
      <c r="A19" s="147" t="s">
        <v>7</v>
      </c>
      <c r="B19" s="155" t="s">
        <v>28</v>
      </c>
      <c r="C19" s="152">
        <f>ROUNDUP(C14/_xlfn.XLOOKUP(B19,Table7[Description],Table7[Number of Poles]),0)</f>
        <v>2</v>
      </c>
    </row>
  </sheetData>
  <mergeCells count="2">
    <mergeCell ref="J2:K2"/>
    <mergeCell ref="J1:K1"/>
  </mergeCells>
  <dataValidations count="3">
    <dataValidation type="list" allowBlank="1" showInputMessage="1" showErrorMessage="1" sqref="A8" xr:uid="{EDD3FBBA-6AFF-4305-9508-5C5FFA498431}">
      <formula1>"All, Grid - Tie, Hybrid, Off - Grid"</formula1>
    </dataValidation>
    <dataValidation type="list" allowBlank="1" showInputMessage="1" showErrorMessage="1" sqref="C8" xr:uid="{42DED5E7-BB21-4706-AC0C-56CE597EFBC6}">
      <formula1>Inverter_Sizes_Drop</formula1>
    </dataValidation>
    <dataValidation type="list" allowBlank="1" showInputMessage="1" showErrorMessage="1" sqref="B8" xr:uid="{C0777DE2-8125-45C2-B6FA-940539F3CC38}">
      <formula1>"All, Single, Three"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18213D2-585E-44AD-990D-4EBF5687F9ED}">
          <x14:formula1>
            <xm:f>_xlfn.ANCHORARRAY(DropDown!$B$4)</xm:f>
          </x14:formula1>
          <xm:sqref>D8</xm:sqref>
        </x14:dataValidation>
        <x14:dataValidation type="list" allowBlank="1" showInputMessage="1" showErrorMessage="1" xr:uid="{DEBA7376-C724-4304-B06E-2B3879A27EC8}">
          <x14:formula1>
            <xm:f>_xlfn.ANCHORARRAY(DropDown!$D$4)</xm:f>
          </x14:formula1>
          <xm:sqref>A2</xm:sqref>
        </x14:dataValidation>
        <x14:dataValidation type="list" allowBlank="1" showInputMessage="1" showErrorMessage="1" xr:uid="{3EDDE243-3D4E-49EB-8EFC-1CB995BFBCC4}">
          <x14:formula1>
            <xm:f>_xlfn.ANCHORARRAY(DropDown!$E$4)</xm:f>
          </x14:formula1>
          <xm:sqref>C2</xm:sqref>
        </x14:dataValidation>
        <x14:dataValidation type="list" allowBlank="1" showInputMessage="1" showErrorMessage="1" xr:uid="{CEA01E13-A947-45DE-952D-B593C53470AB}">
          <x14:formula1>
            <xm:f>_xlfn.ANCHORARRAY(DropDown!$H$4)</xm:f>
          </x14:formula1>
          <xm:sqref>B14</xm:sqref>
        </x14:dataValidation>
        <x14:dataValidation type="list" allowBlank="1" showInputMessage="1" showErrorMessage="1" xr:uid="{8D8E45B4-811A-473C-B409-D26E18847A95}">
          <x14:formula1>
            <xm:f>_xlfn.ANCHORARRAY(DropDown!$G$4)</xm:f>
          </x14:formula1>
          <xm:sqref>A14</xm:sqref>
        </x14:dataValidation>
        <x14:dataValidation type="list" allowBlank="1" showInputMessage="1" showErrorMessage="1" xr:uid="{F5159BCA-0C6C-4DD6-BE29-FD59D3DD94BF}">
          <x14:formula1>
            <xm:f>_xlfn.ANCHORARRAY(DropDown!$J$4)</xm:f>
          </x14:formula1>
          <xm:sqref>A19</xm:sqref>
        </x14:dataValidation>
        <x14:dataValidation type="list" allowBlank="1" showInputMessage="1" showErrorMessage="1" xr:uid="{5CFB154F-DBD4-460C-9DAD-04891EC6EE18}">
          <x14:formula1>
            <xm:f>_xlfn.ANCHORARRAY(DropDown!$K$4)</xm:f>
          </x14:formula1>
          <xm:sqref>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076D-873F-4FCA-9888-5CAA560B8A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O360"/>
  <sheetViews>
    <sheetView zoomScale="76" zoomScaleNormal="55" workbookViewId="0">
      <selection activeCell="B100" sqref="B100"/>
    </sheetView>
  </sheetViews>
  <sheetFormatPr defaultRowHeight="15" x14ac:dyDescent="0.25"/>
  <cols>
    <col min="2" max="2" width="22.28515625" bestFit="1" customWidth="1"/>
    <col min="3" max="3" width="78.85546875" bestFit="1" customWidth="1"/>
    <col min="4" max="4" width="145.28515625" bestFit="1" customWidth="1"/>
    <col min="5" max="5" width="26.28515625" bestFit="1" customWidth="1"/>
    <col min="6" max="6" width="16.7109375" customWidth="1"/>
    <col min="7" max="7" width="12.5703125" bestFit="1" customWidth="1"/>
    <col min="8" max="8" width="6.42578125" hidden="1" customWidth="1"/>
    <col min="9" max="9" width="4" hidden="1" customWidth="1"/>
    <col min="10" max="10" width="8.7109375" hidden="1" customWidth="1"/>
    <col min="11" max="11" width="7.7109375" hidden="1" customWidth="1"/>
    <col min="12" max="12" width="8.7109375" hidden="1" customWidth="1"/>
    <col min="13" max="13" width="8.28515625" hidden="1" customWidth="1"/>
    <col min="15" max="15" width="22.28515625" bestFit="1" customWidth="1"/>
  </cols>
  <sheetData>
    <row r="1" spans="2:15" ht="15.75" thickBot="1" x14ac:dyDescent="0.3">
      <c r="O1" s="136" t="s">
        <v>29</v>
      </c>
    </row>
    <row r="2" spans="2:15" ht="30.75" thickBot="1" x14ac:dyDescent="0.3">
      <c r="B2" s="1" t="s">
        <v>30</v>
      </c>
      <c r="C2" s="2" t="s">
        <v>31</v>
      </c>
      <c r="D2" s="2"/>
      <c r="E2" s="2" t="s">
        <v>32</v>
      </c>
      <c r="F2" s="3" t="s">
        <v>33</v>
      </c>
      <c r="G2" s="4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6" t="s">
        <v>40</v>
      </c>
    </row>
    <row r="3" spans="2:15" ht="15.75" hidden="1" thickBot="1" x14ac:dyDescent="0.3">
      <c r="B3" s="7"/>
      <c r="C3" s="8" t="s">
        <v>41</v>
      </c>
      <c r="D3" s="9"/>
      <c r="E3" s="9"/>
      <c r="F3" s="9"/>
      <c r="G3" s="10"/>
      <c r="H3" s="11"/>
      <c r="I3" s="12" t="s">
        <v>42</v>
      </c>
      <c r="J3" s="11" t="e">
        <f>SUM(J4:J79)</f>
        <v>#REF!</v>
      </c>
      <c r="K3" s="12"/>
      <c r="L3" s="11" t="e">
        <f>SUM(L4:L79)</f>
        <v>#REF!</v>
      </c>
      <c r="M3" s="13" t="e">
        <f>SUM(M4:M79)</f>
        <v>#REF!</v>
      </c>
    </row>
    <row r="4" spans="2:15" ht="15.75" hidden="1" thickBot="1" x14ac:dyDescent="0.3">
      <c r="B4" s="19"/>
      <c r="C4" s="20" t="s">
        <v>43</v>
      </c>
      <c r="D4" s="21"/>
      <c r="E4" s="21"/>
      <c r="F4" s="21"/>
      <c r="G4" s="22"/>
      <c r="H4" s="15" t="str">
        <f t="shared" ref="H4:H21" si="0">IFERROR(L4/I4,"-")</f>
        <v>-</v>
      </c>
      <c r="I4" s="16"/>
      <c r="J4" s="15" t="e">
        <f>#REF!*I4</f>
        <v>#REF!</v>
      </c>
      <c r="K4" s="17">
        <v>0.25</v>
      </c>
      <c r="L4" s="15" t="e">
        <f t="shared" ref="L4:L21" si="1">J4*(1+K4)</f>
        <v>#REF!</v>
      </c>
      <c r="M4" s="18" t="e">
        <f t="shared" ref="M4:M21" si="2">L4-J4</f>
        <v>#REF!</v>
      </c>
    </row>
    <row r="5" spans="2:15" ht="15.75" hidden="1" thickBot="1" x14ac:dyDescent="0.3">
      <c r="B5" s="19"/>
      <c r="C5" s="20" t="s">
        <v>44</v>
      </c>
      <c r="D5" s="21"/>
      <c r="E5" s="21"/>
      <c r="F5" s="21"/>
      <c r="G5" s="22"/>
      <c r="H5" s="23"/>
      <c r="I5" s="24" t="s">
        <v>42</v>
      </c>
      <c r="J5" s="23"/>
      <c r="K5" s="24"/>
      <c r="L5" s="23"/>
      <c r="M5" s="25"/>
    </row>
    <row r="6" spans="2:15" ht="15.75" hidden="1" thickBot="1" x14ac:dyDescent="0.3">
      <c r="B6" s="19"/>
      <c r="C6" s="20" t="s">
        <v>45</v>
      </c>
      <c r="D6" s="21"/>
      <c r="E6" s="21"/>
      <c r="F6" s="21"/>
      <c r="G6" s="22"/>
      <c r="H6" s="23"/>
      <c r="I6" s="24" t="s">
        <v>42</v>
      </c>
      <c r="J6" s="23"/>
      <c r="K6" s="24"/>
      <c r="L6" s="23"/>
      <c r="M6" s="25"/>
    </row>
    <row r="7" spans="2:15" ht="15.75" hidden="1" thickBot="1" x14ac:dyDescent="0.3">
      <c r="B7" s="45" t="s">
        <v>46</v>
      </c>
      <c r="C7" s="30" t="s">
        <v>47</v>
      </c>
      <c r="D7" s="31"/>
      <c r="E7" s="31" t="s">
        <v>48</v>
      </c>
      <c r="F7" s="32">
        <v>45692</v>
      </c>
      <c r="G7" s="33">
        <v>33973.74</v>
      </c>
      <c r="H7" s="23"/>
      <c r="I7" s="24" t="s">
        <v>42</v>
      </c>
      <c r="J7" s="23"/>
      <c r="K7" s="24"/>
      <c r="L7" s="23"/>
      <c r="M7" s="25"/>
    </row>
    <row r="8" spans="2:15" ht="15.75" hidden="1" thickBot="1" x14ac:dyDescent="0.3">
      <c r="B8" s="45" t="s">
        <v>46</v>
      </c>
      <c r="C8" s="30" t="s">
        <v>49</v>
      </c>
      <c r="D8" s="31"/>
      <c r="E8" s="31" t="s">
        <v>50</v>
      </c>
      <c r="F8" s="32">
        <v>45799</v>
      </c>
      <c r="G8" s="33">
        <v>33936.83</v>
      </c>
      <c r="H8" s="34" t="str">
        <f t="shared" ref="H8:H11" si="3">IFERROR(L8/I8,"-")</f>
        <v>-</v>
      </c>
      <c r="I8" s="35"/>
      <c r="J8" s="34">
        <f>G7*I8</f>
        <v>0</v>
      </c>
      <c r="K8" s="36">
        <f t="shared" ref="K8:K11" si="4">$K$5</f>
        <v>0</v>
      </c>
      <c r="L8" s="34">
        <f t="shared" ref="L8:L11" si="5">J8*(1+K8)</f>
        <v>0</v>
      </c>
      <c r="M8" s="37">
        <f t="shared" ref="M8:M11" si="6">L8-J8</f>
        <v>0</v>
      </c>
    </row>
    <row r="9" spans="2:15" ht="15.75" hidden="1" thickBot="1" x14ac:dyDescent="0.3">
      <c r="B9" s="45" t="s">
        <v>51</v>
      </c>
      <c r="C9" s="30" t="s">
        <v>52</v>
      </c>
      <c r="D9" s="31"/>
      <c r="E9" s="31" t="s">
        <v>50</v>
      </c>
      <c r="F9" s="32">
        <v>45799</v>
      </c>
      <c r="G9" s="46">
        <v>905.01</v>
      </c>
      <c r="H9" s="34"/>
      <c r="I9" s="35"/>
      <c r="J9" s="34">
        <f>G8*I9</f>
        <v>0</v>
      </c>
      <c r="K9" s="36">
        <f>$K$5</f>
        <v>0</v>
      </c>
      <c r="L9" s="34">
        <f>J9*(1+K9)</f>
        <v>0</v>
      </c>
      <c r="M9" s="37">
        <f>L9-J9</f>
        <v>0</v>
      </c>
    </row>
    <row r="10" spans="2:15" ht="15.75" hidden="1" thickBot="1" x14ac:dyDescent="0.3">
      <c r="B10" s="47" t="s">
        <v>53</v>
      </c>
      <c r="C10" s="38" t="s">
        <v>54</v>
      </c>
      <c r="D10" s="39"/>
      <c r="E10" s="39" t="s">
        <v>50</v>
      </c>
      <c r="F10" s="32">
        <v>45799</v>
      </c>
      <c r="G10" s="40">
        <v>6365.32</v>
      </c>
      <c r="H10" s="34" t="str">
        <f t="shared" si="3"/>
        <v>-</v>
      </c>
      <c r="I10" s="35"/>
      <c r="J10" s="34">
        <f>G9*I10</f>
        <v>0</v>
      </c>
      <c r="K10" s="36">
        <f t="shared" si="4"/>
        <v>0</v>
      </c>
      <c r="L10" s="34">
        <f t="shared" si="5"/>
        <v>0</v>
      </c>
      <c r="M10" s="37">
        <f t="shared" si="6"/>
        <v>0</v>
      </c>
    </row>
    <row r="11" spans="2:15" ht="15.75" hidden="1" thickBot="1" x14ac:dyDescent="0.3">
      <c r="B11" s="48"/>
      <c r="C11" s="49" t="s">
        <v>55</v>
      </c>
      <c r="D11" s="50"/>
      <c r="E11" s="50"/>
      <c r="F11" s="51" t="s">
        <v>56</v>
      </c>
      <c r="G11" s="52"/>
      <c r="H11" s="41" t="str">
        <f t="shared" si="3"/>
        <v>-</v>
      </c>
      <c r="I11" s="42"/>
      <c r="J11" s="41">
        <f>G10*I11</f>
        <v>0</v>
      </c>
      <c r="K11" s="43">
        <f t="shared" si="4"/>
        <v>0</v>
      </c>
      <c r="L11" s="41">
        <f t="shared" si="5"/>
        <v>0</v>
      </c>
      <c r="M11" s="44">
        <f t="shared" si="6"/>
        <v>0</v>
      </c>
    </row>
    <row r="12" spans="2:15" ht="15.75" hidden="1" thickBot="1" x14ac:dyDescent="0.3">
      <c r="B12" s="57"/>
      <c r="C12" s="58" t="s">
        <v>57</v>
      </c>
      <c r="D12" s="59" t="s">
        <v>58</v>
      </c>
      <c r="E12" s="59" t="s">
        <v>59</v>
      </c>
      <c r="F12" s="60">
        <v>45291</v>
      </c>
      <c r="G12" s="61">
        <v>244664.7</v>
      </c>
      <c r="H12" s="53" t="str">
        <f t="shared" si="0"/>
        <v>-</v>
      </c>
      <c r="I12" s="54" t="s">
        <v>42</v>
      </c>
      <c r="J12" s="53"/>
      <c r="K12" s="55"/>
      <c r="L12" s="53"/>
      <c r="M12" s="56"/>
    </row>
    <row r="13" spans="2:15" ht="15.75" hidden="1" thickBot="1" x14ac:dyDescent="0.3">
      <c r="B13" s="62"/>
      <c r="C13" s="63" t="s">
        <v>60</v>
      </c>
      <c r="D13" s="64" t="s">
        <v>61</v>
      </c>
      <c r="E13" s="64" t="s">
        <v>59</v>
      </c>
      <c r="F13" s="65">
        <v>45291</v>
      </c>
      <c r="G13" s="66">
        <v>47542.69</v>
      </c>
      <c r="H13" s="15" t="str">
        <f t="shared" si="0"/>
        <v>-</v>
      </c>
      <c r="I13" s="16"/>
      <c r="J13" s="15">
        <f t="shared" ref="J13:J21" si="7">G12*I13</f>
        <v>0</v>
      </c>
      <c r="K13" s="17">
        <f t="shared" ref="K13:K21" si="8">$K$5</f>
        <v>0</v>
      </c>
      <c r="L13" s="15">
        <f t="shared" si="1"/>
        <v>0</v>
      </c>
      <c r="M13" s="18">
        <f t="shared" si="2"/>
        <v>0</v>
      </c>
    </row>
    <row r="14" spans="2:15" ht="15.75" hidden="1" thickBot="1" x14ac:dyDescent="0.3">
      <c r="B14" s="62"/>
      <c r="C14" s="63" t="s">
        <v>62</v>
      </c>
      <c r="D14" s="64" t="s">
        <v>63</v>
      </c>
      <c r="E14" s="64" t="s">
        <v>59</v>
      </c>
      <c r="F14" s="65">
        <v>45291</v>
      </c>
      <c r="G14" s="66">
        <v>16074</v>
      </c>
      <c r="H14" s="34" t="str">
        <f t="shared" si="0"/>
        <v>-</v>
      </c>
      <c r="I14" s="35"/>
      <c r="J14" s="34">
        <f t="shared" si="7"/>
        <v>0</v>
      </c>
      <c r="K14" s="36">
        <f t="shared" si="8"/>
        <v>0</v>
      </c>
      <c r="L14" s="34">
        <f t="shared" si="1"/>
        <v>0</v>
      </c>
      <c r="M14" s="37">
        <f t="shared" si="2"/>
        <v>0</v>
      </c>
    </row>
    <row r="15" spans="2:15" ht="15.75" hidden="1" thickBot="1" x14ac:dyDescent="0.3">
      <c r="B15" s="62"/>
      <c r="C15" s="63" t="s">
        <v>64</v>
      </c>
      <c r="D15" s="64" t="s">
        <v>65</v>
      </c>
      <c r="E15" s="64" t="s">
        <v>59</v>
      </c>
      <c r="F15" s="65">
        <v>45291</v>
      </c>
      <c r="G15" s="66">
        <v>1110</v>
      </c>
      <c r="H15" s="34" t="str">
        <f t="shared" si="0"/>
        <v>-</v>
      </c>
      <c r="I15" s="35"/>
      <c r="J15" s="34">
        <f t="shared" si="7"/>
        <v>0</v>
      </c>
      <c r="K15" s="36">
        <f t="shared" si="8"/>
        <v>0</v>
      </c>
      <c r="L15" s="34">
        <f t="shared" si="1"/>
        <v>0</v>
      </c>
      <c r="M15" s="37">
        <f t="shared" si="2"/>
        <v>0</v>
      </c>
    </row>
    <row r="16" spans="2:15" ht="15.75" hidden="1" thickBot="1" x14ac:dyDescent="0.3">
      <c r="B16" s="62"/>
      <c r="C16" s="63" t="s">
        <v>66</v>
      </c>
      <c r="D16" s="64" t="s">
        <v>67</v>
      </c>
      <c r="E16" s="64" t="s">
        <v>59</v>
      </c>
      <c r="F16" s="65">
        <v>45291</v>
      </c>
      <c r="G16" s="66">
        <v>2775</v>
      </c>
      <c r="H16" s="34" t="str">
        <f t="shared" si="0"/>
        <v>-</v>
      </c>
      <c r="I16" s="35"/>
      <c r="J16" s="34">
        <f t="shared" si="7"/>
        <v>0</v>
      </c>
      <c r="K16" s="36">
        <f t="shared" si="8"/>
        <v>0</v>
      </c>
      <c r="L16" s="34">
        <f t="shared" si="1"/>
        <v>0</v>
      </c>
      <c r="M16" s="37">
        <f t="shared" si="2"/>
        <v>0</v>
      </c>
    </row>
    <row r="17" spans="2:13" ht="15.75" hidden="1" thickBot="1" x14ac:dyDescent="0.3">
      <c r="B17" s="62"/>
      <c r="C17" s="64" t="s">
        <v>68</v>
      </c>
      <c r="D17" s="64"/>
      <c r="E17" s="64" t="s">
        <v>59</v>
      </c>
      <c r="F17" s="65"/>
      <c r="G17" s="66">
        <v>5511.19</v>
      </c>
      <c r="H17" s="34" t="str">
        <f t="shared" si="0"/>
        <v>-</v>
      </c>
      <c r="I17" s="35"/>
      <c r="J17" s="34">
        <f t="shared" si="7"/>
        <v>0</v>
      </c>
      <c r="K17" s="36">
        <f t="shared" si="8"/>
        <v>0</v>
      </c>
      <c r="L17" s="34">
        <f t="shared" si="1"/>
        <v>0</v>
      </c>
      <c r="M17" s="37">
        <f t="shared" si="2"/>
        <v>0</v>
      </c>
    </row>
    <row r="18" spans="2:13" ht="15.75" hidden="1" thickBot="1" x14ac:dyDescent="0.3">
      <c r="B18" s="62"/>
      <c r="C18" s="64" t="s">
        <v>69</v>
      </c>
      <c r="D18" s="64"/>
      <c r="E18" s="64" t="s">
        <v>59</v>
      </c>
      <c r="F18" s="65"/>
      <c r="G18" s="66">
        <v>9775.5</v>
      </c>
      <c r="H18" s="34" t="str">
        <f t="shared" si="0"/>
        <v>-</v>
      </c>
      <c r="I18" s="35"/>
      <c r="J18" s="34">
        <f t="shared" si="7"/>
        <v>0</v>
      </c>
      <c r="K18" s="36">
        <f t="shared" si="8"/>
        <v>0</v>
      </c>
      <c r="L18" s="34">
        <f t="shared" si="1"/>
        <v>0</v>
      </c>
      <c r="M18" s="37">
        <f t="shared" si="2"/>
        <v>0</v>
      </c>
    </row>
    <row r="19" spans="2:13" ht="15.75" hidden="1" thickBot="1" x14ac:dyDescent="0.3">
      <c r="B19" s="62"/>
      <c r="C19" s="63" t="s">
        <v>70</v>
      </c>
      <c r="D19" s="64" t="s">
        <v>71</v>
      </c>
      <c r="E19" s="67" t="s">
        <v>59</v>
      </c>
      <c r="F19" s="65">
        <v>45291</v>
      </c>
      <c r="G19" s="66">
        <v>18919</v>
      </c>
      <c r="H19" s="34" t="str">
        <f t="shared" si="0"/>
        <v>-</v>
      </c>
      <c r="I19" s="35"/>
      <c r="J19" s="34">
        <f t="shared" si="7"/>
        <v>0</v>
      </c>
      <c r="K19" s="36">
        <f t="shared" si="8"/>
        <v>0</v>
      </c>
      <c r="L19" s="34">
        <f t="shared" si="1"/>
        <v>0</v>
      </c>
      <c r="M19" s="37">
        <f t="shared" si="2"/>
        <v>0</v>
      </c>
    </row>
    <row r="20" spans="2:13" ht="15.75" hidden="1" thickBot="1" x14ac:dyDescent="0.3">
      <c r="B20" s="68"/>
      <c r="C20" s="67" t="s">
        <v>72</v>
      </c>
      <c r="D20" s="69"/>
      <c r="E20" s="67" t="s">
        <v>59</v>
      </c>
      <c r="F20" s="70"/>
      <c r="G20" s="71">
        <v>25000</v>
      </c>
      <c r="H20" s="34" t="str">
        <f t="shared" si="0"/>
        <v>-</v>
      </c>
      <c r="I20" s="35"/>
      <c r="J20" s="34">
        <f t="shared" si="7"/>
        <v>0</v>
      </c>
      <c r="K20" s="36">
        <f t="shared" si="8"/>
        <v>0</v>
      </c>
      <c r="L20" s="34">
        <f t="shared" si="1"/>
        <v>0</v>
      </c>
      <c r="M20" s="37">
        <f t="shared" si="2"/>
        <v>0</v>
      </c>
    </row>
    <row r="21" spans="2:13" ht="15.75" hidden="1" thickBot="1" x14ac:dyDescent="0.3">
      <c r="B21" s="48"/>
      <c r="C21" s="72" t="s">
        <v>73</v>
      </c>
      <c r="D21" s="50"/>
      <c r="E21" s="50"/>
      <c r="F21" s="73"/>
      <c r="G21" s="52"/>
      <c r="H21" s="41" t="str">
        <f t="shared" si="0"/>
        <v>-</v>
      </c>
      <c r="I21" s="42"/>
      <c r="J21" s="41">
        <f t="shared" si="7"/>
        <v>0</v>
      </c>
      <c r="K21" s="43">
        <f t="shared" si="8"/>
        <v>0</v>
      </c>
      <c r="L21" s="41">
        <f t="shared" si="1"/>
        <v>0</v>
      </c>
      <c r="M21" s="44">
        <f t="shared" si="2"/>
        <v>0</v>
      </c>
    </row>
    <row r="22" spans="2:13" ht="15.75" hidden="1" thickBot="1" x14ac:dyDescent="0.3">
      <c r="B22" s="74" t="s">
        <v>74</v>
      </c>
      <c r="C22" s="58" t="s">
        <v>75</v>
      </c>
      <c r="D22" s="75"/>
      <c r="E22" s="75" t="s">
        <v>76</v>
      </c>
      <c r="F22" s="76">
        <v>45750</v>
      </c>
      <c r="G22" s="77">
        <v>51613</v>
      </c>
      <c r="H22" s="53"/>
      <c r="I22" s="54"/>
      <c r="J22" s="53"/>
      <c r="K22" s="55"/>
      <c r="L22" s="53"/>
      <c r="M22" s="56"/>
    </row>
    <row r="23" spans="2:13" ht="15.75" hidden="1" thickBot="1" x14ac:dyDescent="0.3">
      <c r="B23" s="81" t="s">
        <v>74</v>
      </c>
      <c r="C23" s="82" t="s">
        <v>77</v>
      </c>
      <c r="D23" s="83"/>
      <c r="E23" s="75" t="s">
        <v>76</v>
      </c>
      <c r="F23" s="84">
        <v>45750</v>
      </c>
      <c r="G23" s="85">
        <v>20280</v>
      </c>
      <c r="H23" s="78"/>
      <c r="I23" s="79"/>
      <c r="J23" s="78"/>
      <c r="K23" s="17"/>
      <c r="L23" s="78"/>
      <c r="M23" s="80"/>
    </row>
    <row r="24" spans="2:13" ht="15.75" hidden="1" thickBot="1" x14ac:dyDescent="0.3">
      <c r="B24" s="89" t="s">
        <v>74</v>
      </c>
      <c r="C24" s="90" t="s">
        <v>78</v>
      </c>
      <c r="D24" s="90"/>
      <c r="E24" s="90" t="s">
        <v>76</v>
      </c>
      <c r="F24" s="14">
        <v>45750</v>
      </c>
      <c r="G24" s="91">
        <v>38123</v>
      </c>
      <c r="H24" s="86"/>
      <c r="I24" s="87"/>
      <c r="J24" s="86"/>
      <c r="K24" s="28"/>
      <c r="L24" s="86"/>
      <c r="M24" s="88"/>
    </row>
    <row r="25" spans="2:13" ht="15.75" hidden="1" thickBot="1" x14ac:dyDescent="0.3">
      <c r="B25" s="92"/>
      <c r="C25" s="49" t="s">
        <v>79</v>
      </c>
      <c r="D25" s="72"/>
      <c r="E25" s="72"/>
      <c r="F25" s="93"/>
      <c r="G25" s="52"/>
      <c r="H25" s="26"/>
      <c r="I25" s="27"/>
      <c r="J25" s="26"/>
      <c r="K25" s="28"/>
      <c r="L25" s="26"/>
      <c r="M25" s="29"/>
    </row>
    <row r="26" spans="2:13" ht="15.75" hidden="1" thickBot="1" x14ac:dyDescent="0.3">
      <c r="B26" s="48"/>
      <c r="C26" s="49" t="s">
        <v>80</v>
      </c>
      <c r="D26" s="50"/>
      <c r="E26" s="199" t="s">
        <v>81</v>
      </c>
      <c r="F26" s="200"/>
      <c r="G26" s="52"/>
      <c r="H26" s="94"/>
      <c r="I26" s="95" t="s">
        <v>42</v>
      </c>
      <c r="J26" s="94"/>
      <c r="K26" s="96"/>
      <c r="L26" s="94"/>
      <c r="M26" s="97"/>
    </row>
    <row r="27" spans="2:13" ht="15.75" hidden="1" thickBot="1" x14ac:dyDescent="0.3">
      <c r="B27" s="62" t="s">
        <v>82</v>
      </c>
      <c r="C27" s="63" t="s">
        <v>83</v>
      </c>
      <c r="D27" s="64"/>
      <c r="E27" s="64" t="s">
        <v>84</v>
      </c>
      <c r="F27" s="100">
        <v>45825</v>
      </c>
      <c r="G27" s="66">
        <v>3274.6</v>
      </c>
      <c r="H27" s="53"/>
      <c r="I27" s="54" t="s">
        <v>42</v>
      </c>
      <c r="J27" s="53"/>
      <c r="K27" s="55"/>
      <c r="L27" s="53"/>
      <c r="M27" s="56"/>
    </row>
    <row r="28" spans="2:13" ht="15.75" hidden="1" thickBot="1" x14ac:dyDescent="0.3">
      <c r="B28" s="62" t="s">
        <v>82</v>
      </c>
      <c r="C28" s="63" t="s">
        <v>85</v>
      </c>
      <c r="D28" s="64"/>
      <c r="E28" s="64" t="s">
        <v>84</v>
      </c>
      <c r="F28" s="100">
        <v>45825</v>
      </c>
      <c r="G28" s="66">
        <v>3485.3</v>
      </c>
      <c r="H28" s="34" t="str">
        <f t="shared" ref="H28:H50" si="9">IFERROR(L28/I28,"-")</f>
        <v>-</v>
      </c>
      <c r="I28" s="35"/>
      <c r="J28" s="34">
        <f t="shared" ref="J28:J33" si="10">G27*I28</f>
        <v>0</v>
      </c>
      <c r="K28" s="36">
        <f t="shared" ref="K28:K33" si="11">$K$5</f>
        <v>0</v>
      </c>
      <c r="L28" s="34">
        <f t="shared" ref="L28:L33" si="12">J28*(1+K28)</f>
        <v>0</v>
      </c>
      <c r="M28" s="37">
        <f t="shared" ref="M28:M33" si="13">L28-J28</f>
        <v>0</v>
      </c>
    </row>
    <row r="29" spans="2:13" ht="15.75" hidden="1" thickBot="1" x14ac:dyDescent="0.3">
      <c r="B29" s="62" t="s">
        <v>86</v>
      </c>
      <c r="C29" s="63" t="s">
        <v>87</v>
      </c>
      <c r="D29" s="64"/>
      <c r="E29" s="64" t="s">
        <v>84</v>
      </c>
      <c r="F29" s="100">
        <v>45825</v>
      </c>
      <c r="G29" s="66">
        <v>1012.2</v>
      </c>
      <c r="H29" s="34" t="str">
        <f t="shared" si="9"/>
        <v>-</v>
      </c>
      <c r="I29" s="35"/>
      <c r="J29" s="34">
        <f t="shared" si="10"/>
        <v>0</v>
      </c>
      <c r="K29" s="36">
        <f t="shared" si="11"/>
        <v>0</v>
      </c>
      <c r="L29" s="34">
        <f t="shared" si="12"/>
        <v>0</v>
      </c>
      <c r="M29" s="37">
        <f t="shared" si="13"/>
        <v>0</v>
      </c>
    </row>
    <row r="30" spans="2:13" ht="15.75" hidden="1" thickBot="1" x14ac:dyDescent="0.3">
      <c r="B30" s="62" t="s">
        <v>88</v>
      </c>
      <c r="C30" s="63" t="s">
        <v>89</v>
      </c>
      <c r="D30" s="64"/>
      <c r="E30" s="64" t="s">
        <v>84</v>
      </c>
      <c r="F30" s="100">
        <v>45825</v>
      </c>
      <c r="G30" s="66">
        <v>363.3</v>
      </c>
      <c r="H30" s="34" t="str">
        <f t="shared" si="9"/>
        <v>-</v>
      </c>
      <c r="I30" s="35"/>
      <c r="J30" s="34">
        <f t="shared" si="10"/>
        <v>0</v>
      </c>
      <c r="K30" s="36">
        <f t="shared" si="11"/>
        <v>0</v>
      </c>
      <c r="L30" s="34">
        <f t="shared" si="12"/>
        <v>0</v>
      </c>
      <c r="M30" s="37">
        <f t="shared" si="13"/>
        <v>0</v>
      </c>
    </row>
    <row r="31" spans="2:13" ht="15.75" hidden="1" thickBot="1" x14ac:dyDescent="0.3">
      <c r="B31" s="62" t="s">
        <v>82</v>
      </c>
      <c r="C31" s="63" t="s">
        <v>90</v>
      </c>
      <c r="D31" s="64"/>
      <c r="E31" s="64" t="s">
        <v>84</v>
      </c>
      <c r="F31" s="100">
        <v>45825</v>
      </c>
      <c r="G31" s="66">
        <v>1847.3</v>
      </c>
      <c r="H31" s="34" t="str">
        <f t="shared" si="9"/>
        <v>-</v>
      </c>
      <c r="I31" s="35"/>
      <c r="J31" s="34">
        <f t="shared" si="10"/>
        <v>0</v>
      </c>
      <c r="K31" s="36">
        <f t="shared" si="11"/>
        <v>0</v>
      </c>
      <c r="L31" s="34">
        <f t="shared" si="12"/>
        <v>0</v>
      </c>
      <c r="M31" s="37">
        <f t="shared" si="13"/>
        <v>0</v>
      </c>
    </row>
    <row r="32" spans="2:13" ht="15.75" hidden="1" thickBot="1" x14ac:dyDescent="0.3">
      <c r="B32" s="68" t="s">
        <v>82</v>
      </c>
      <c r="C32" s="101" t="s">
        <v>91</v>
      </c>
      <c r="D32" s="102"/>
      <c r="E32" s="67" t="s">
        <v>84</v>
      </c>
      <c r="F32" s="32">
        <v>45825</v>
      </c>
      <c r="G32" s="71">
        <v>2172.8000000000002</v>
      </c>
      <c r="H32" s="34" t="str">
        <f t="shared" si="9"/>
        <v>-</v>
      </c>
      <c r="I32" s="35"/>
      <c r="J32" s="34">
        <f t="shared" si="10"/>
        <v>0</v>
      </c>
      <c r="K32" s="36">
        <f t="shared" si="11"/>
        <v>0</v>
      </c>
      <c r="L32" s="34">
        <f t="shared" si="12"/>
        <v>0</v>
      </c>
      <c r="M32" s="37">
        <f t="shared" si="13"/>
        <v>0</v>
      </c>
    </row>
    <row r="33" spans="2:13" ht="15.75" hidden="1" thickBot="1" x14ac:dyDescent="0.3">
      <c r="B33" s="48"/>
      <c r="C33" s="49" t="s">
        <v>92</v>
      </c>
      <c r="D33" s="50"/>
      <c r="E33" s="199" t="s">
        <v>81</v>
      </c>
      <c r="F33" s="200"/>
      <c r="G33" s="52"/>
      <c r="H33" s="41" t="str">
        <f t="shared" si="9"/>
        <v>-</v>
      </c>
      <c r="I33" s="42"/>
      <c r="J33" s="41">
        <f t="shared" si="10"/>
        <v>0</v>
      </c>
      <c r="K33" s="43">
        <f t="shared" si="11"/>
        <v>0</v>
      </c>
      <c r="L33" s="41">
        <f t="shared" si="12"/>
        <v>0</v>
      </c>
      <c r="M33" s="44">
        <f t="shared" si="13"/>
        <v>0</v>
      </c>
    </row>
    <row r="34" spans="2:13" ht="15.75" hidden="1" thickBot="1" x14ac:dyDescent="0.3">
      <c r="B34" s="68" t="s">
        <v>93</v>
      </c>
      <c r="C34" s="101" t="s">
        <v>94</v>
      </c>
      <c r="D34" s="67"/>
      <c r="E34" s="103"/>
      <c r="F34" s="100">
        <v>45825</v>
      </c>
      <c r="G34" s="71">
        <v>1934.8</v>
      </c>
      <c r="H34" s="53" t="str">
        <f t="shared" si="9"/>
        <v>-</v>
      </c>
      <c r="I34" s="54" t="s">
        <v>42</v>
      </c>
      <c r="J34" s="53"/>
      <c r="K34" s="55"/>
      <c r="L34" s="53"/>
      <c r="M34" s="56"/>
    </row>
    <row r="35" spans="2:13" ht="15.75" hidden="1" thickBot="1" x14ac:dyDescent="0.3">
      <c r="B35" s="68" t="s">
        <v>93</v>
      </c>
      <c r="C35" s="101" t="s">
        <v>95</v>
      </c>
      <c r="D35" s="67"/>
      <c r="E35" s="103"/>
      <c r="F35" s="100">
        <v>45825</v>
      </c>
      <c r="G35" s="71">
        <v>2284.8000000000002</v>
      </c>
      <c r="H35" s="34" t="str">
        <f t="shared" si="9"/>
        <v>-</v>
      </c>
      <c r="I35" s="42"/>
      <c r="J35" s="34">
        <f t="shared" ref="J35:J50" si="14">G34*I35</f>
        <v>0</v>
      </c>
      <c r="K35" s="36">
        <f t="shared" ref="K35:K50" si="15">$K$5</f>
        <v>0</v>
      </c>
      <c r="L35" s="34">
        <f t="shared" ref="L35:L50" si="16">J35*(1+K35)</f>
        <v>0</v>
      </c>
      <c r="M35" s="37">
        <f t="shared" ref="M35:M50" si="17">L35-J35</f>
        <v>0</v>
      </c>
    </row>
    <row r="36" spans="2:13" ht="15.75" hidden="1" thickBot="1" x14ac:dyDescent="0.3">
      <c r="B36" s="68" t="s">
        <v>93</v>
      </c>
      <c r="C36" s="101" t="s">
        <v>96</v>
      </c>
      <c r="D36" s="67"/>
      <c r="E36" s="103"/>
      <c r="F36" s="100">
        <v>45825</v>
      </c>
      <c r="G36" s="71">
        <v>3675</v>
      </c>
      <c r="H36" s="34" t="str">
        <f t="shared" si="9"/>
        <v>-</v>
      </c>
      <c r="I36" s="42"/>
      <c r="J36" s="34">
        <f t="shared" si="14"/>
        <v>0</v>
      </c>
      <c r="K36" s="36">
        <f t="shared" si="15"/>
        <v>0</v>
      </c>
      <c r="L36" s="34">
        <f t="shared" si="16"/>
        <v>0</v>
      </c>
      <c r="M36" s="37">
        <f t="shared" si="17"/>
        <v>0</v>
      </c>
    </row>
    <row r="37" spans="2:13" ht="15.75" hidden="1" thickBot="1" x14ac:dyDescent="0.3">
      <c r="B37" s="68" t="s">
        <v>93</v>
      </c>
      <c r="C37" s="101" t="s">
        <v>97</v>
      </c>
      <c r="D37" s="67"/>
      <c r="E37" s="103"/>
      <c r="F37" s="100">
        <v>45825</v>
      </c>
      <c r="G37" s="71">
        <v>4011</v>
      </c>
      <c r="H37" s="34" t="str">
        <f t="shared" si="9"/>
        <v>-</v>
      </c>
      <c r="I37" s="42"/>
      <c r="J37" s="34">
        <f t="shared" si="14"/>
        <v>0</v>
      </c>
      <c r="K37" s="36">
        <f t="shared" si="15"/>
        <v>0</v>
      </c>
      <c r="L37" s="34">
        <f t="shared" si="16"/>
        <v>0</v>
      </c>
      <c r="M37" s="37">
        <f t="shared" si="17"/>
        <v>0</v>
      </c>
    </row>
    <row r="38" spans="2:13" ht="15.75" hidden="1" thickBot="1" x14ac:dyDescent="0.3">
      <c r="B38" s="68" t="s">
        <v>93</v>
      </c>
      <c r="C38" s="101" t="s">
        <v>98</v>
      </c>
      <c r="D38" s="67"/>
      <c r="E38" s="103"/>
      <c r="F38" s="100">
        <v>45825</v>
      </c>
      <c r="G38" s="71">
        <v>4744.6000000000004</v>
      </c>
      <c r="H38" s="34" t="str">
        <f t="shared" si="9"/>
        <v>-</v>
      </c>
      <c r="I38" s="42"/>
      <c r="J38" s="34">
        <f t="shared" si="14"/>
        <v>0</v>
      </c>
      <c r="K38" s="36">
        <f t="shared" si="15"/>
        <v>0</v>
      </c>
      <c r="L38" s="34">
        <f t="shared" si="16"/>
        <v>0</v>
      </c>
      <c r="M38" s="37">
        <f t="shared" si="17"/>
        <v>0</v>
      </c>
    </row>
    <row r="39" spans="2:13" ht="15.75" hidden="1" thickBot="1" x14ac:dyDescent="0.3">
      <c r="B39" s="68" t="s">
        <v>93</v>
      </c>
      <c r="C39" s="101" t="s">
        <v>99</v>
      </c>
      <c r="D39" s="67"/>
      <c r="E39" s="103"/>
      <c r="F39" s="100">
        <v>45825</v>
      </c>
      <c r="G39" s="71">
        <v>5412.4</v>
      </c>
      <c r="H39" s="34" t="str">
        <f t="shared" si="9"/>
        <v>-</v>
      </c>
      <c r="I39" s="42"/>
      <c r="J39" s="34">
        <f t="shared" si="14"/>
        <v>0</v>
      </c>
      <c r="K39" s="36">
        <f t="shared" si="15"/>
        <v>0</v>
      </c>
      <c r="L39" s="34">
        <f t="shared" si="16"/>
        <v>0</v>
      </c>
      <c r="M39" s="37">
        <f t="shared" si="17"/>
        <v>0</v>
      </c>
    </row>
    <row r="40" spans="2:13" ht="15.75" hidden="1" thickBot="1" x14ac:dyDescent="0.3">
      <c r="B40" s="68" t="s">
        <v>93</v>
      </c>
      <c r="C40" s="101" t="s">
        <v>100</v>
      </c>
      <c r="D40" s="67"/>
      <c r="E40" s="103"/>
      <c r="F40" s="100">
        <v>45825</v>
      </c>
      <c r="G40" s="71">
        <v>4344.2</v>
      </c>
      <c r="H40" s="34" t="str">
        <f t="shared" si="9"/>
        <v>-</v>
      </c>
      <c r="I40" s="42"/>
      <c r="J40" s="34">
        <f t="shared" si="14"/>
        <v>0</v>
      </c>
      <c r="K40" s="36">
        <f t="shared" si="15"/>
        <v>0</v>
      </c>
      <c r="L40" s="34">
        <f t="shared" si="16"/>
        <v>0</v>
      </c>
      <c r="M40" s="37">
        <f t="shared" si="17"/>
        <v>0</v>
      </c>
    </row>
    <row r="41" spans="2:13" ht="15.75" hidden="1" thickBot="1" x14ac:dyDescent="0.3">
      <c r="B41" s="68" t="s">
        <v>93</v>
      </c>
      <c r="C41" s="101" t="s">
        <v>101</v>
      </c>
      <c r="D41" s="67"/>
      <c r="E41" s="103"/>
      <c r="F41" s="100">
        <v>45825</v>
      </c>
      <c r="G41" s="71">
        <v>5345.9</v>
      </c>
      <c r="H41" s="34" t="str">
        <f t="shared" si="9"/>
        <v>-</v>
      </c>
      <c r="I41" s="42"/>
      <c r="J41" s="34">
        <f t="shared" si="14"/>
        <v>0</v>
      </c>
      <c r="K41" s="36">
        <f t="shared" si="15"/>
        <v>0</v>
      </c>
      <c r="L41" s="34">
        <f t="shared" si="16"/>
        <v>0</v>
      </c>
      <c r="M41" s="37">
        <f t="shared" si="17"/>
        <v>0</v>
      </c>
    </row>
    <row r="42" spans="2:13" ht="15.75" hidden="1" thickBot="1" x14ac:dyDescent="0.3">
      <c r="B42" s="68" t="s">
        <v>93</v>
      </c>
      <c r="C42" s="101" t="s">
        <v>102</v>
      </c>
      <c r="D42" s="67"/>
      <c r="E42" s="103">
        <v>5541.08</v>
      </c>
      <c r="F42" s="100">
        <v>45825</v>
      </c>
      <c r="G42" s="71">
        <v>5746.3</v>
      </c>
      <c r="H42" s="34" t="str">
        <f t="shared" si="9"/>
        <v>-</v>
      </c>
      <c r="I42" s="42"/>
      <c r="J42" s="34">
        <f t="shared" si="14"/>
        <v>0</v>
      </c>
      <c r="K42" s="36">
        <f t="shared" si="15"/>
        <v>0</v>
      </c>
      <c r="L42" s="34">
        <f t="shared" si="16"/>
        <v>0</v>
      </c>
      <c r="M42" s="37">
        <f t="shared" si="17"/>
        <v>0</v>
      </c>
    </row>
    <row r="43" spans="2:13" ht="15.75" hidden="1" thickBot="1" x14ac:dyDescent="0.3">
      <c r="B43" s="68" t="s">
        <v>93</v>
      </c>
      <c r="C43" s="101" t="s">
        <v>103</v>
      </c>
      <c r="D43" s="67"/>
      <c r="E43" s="103"/>
      <c r="F43" s="100">
        <v>45825</v>
      </c>
      <c r="G43" s="71">
        <v>6415.5</v>
      </c>
      <c r="H43" s="34" t="str">
        <f t="shared" si="9"/>
        <v>-</v>
      </c>
      <c r="I43" s="42"/>
      <c r="J43" s="34">
        <f t="shared" si="14"/>
        <v>0</v>
      </c>
      <c r="K43" s="36">
        <f t="shared" si="15"/>
        <v>0</v>
      </c>
      <c r="L43" s="34">
        <f t="shared" si="16"/>
        <v>0</v>
      </c>
      <c r="M43" s="37">
        <f t="shared" si="17"/>
        <v>0</v>
      </c>
    </row>
    <row r="44" spans="2:13" ht="15.75" hidden="1" thickBot="1" x14ac:dyDescent="0.3">
      <c r="B44" s="68" t="s">
        <v>93</v>
      </c>
      <c r="C44" s="101" t="s">
        <v>104</v>
      </c>
      <c r="D44" s="67"/>
      <c r="E44" s="103"/>
      <c r="F44" s="100">
        <v>45825</v>
      </c>
      <c r="G44" s="71">
        <v>12891.9</v>
      </c>
      <c r="H44" s="34" t="str">
        <f t="shared" si="9"/>
        <v>-</v>
      </c>
      <c r="I44" s="42"/>
      <c r="J44" s="34">
        <f t="shared" si="14"/>
        <v>0</v>
      </c>
      <c r="K44" s="36">
        <f t="shared" si="15"/>
        <v>0</v>
      </c>
      <c r="L44" s="34">
        <f t="shared" si="16"/>
        <v>0</v>
      </c>
      <c r="M44" s="37">
        <f t="shared" si="17"/>
        <v>0</v>
      </c>
    </row>
    <row r="45" spans="2:13" ht="15.75" hidden="1" thickBot="1" x14ac:dyDescent="0.3">
      <c r="B45" s="68" t="s">
        <v>93</v>
      </c>
      <c r="C45" s="101" t="s">
        <v>105</v>
      </c>
      <c r="D45" s="67"/>
      <c r="E45" s="103"/>
      <c r="F45" s="100">
        <v>45825</v>
      </c>
      <c r="G45" s="71">
        <v>22560.3</v>
      </c>
      <c r="H45" s="34" t="str">
        <f t="shared" si="9"/>
        <v>-</v>
      </c>
      <c r="I45" s="42"/>
      <c r="J45" s="34">
        <f t="shared" si="14"/>
        <v>0</v>
      </c>
      <c r="K45" s="36">
        <f t="shared" si="15"/>
        <v>0</v>
      </c>
      <c r="L45" s="34">
        <f t="shared" si="16"/>
        <v>0</v>
      </c>
      <c r="M45" s="37">
        <f t="shared" si="17"/>
        <v>0</v>
      </c>
    </row>
    <row r="46" spans="2:13" ht="15.75" hidden="1" thickBot="1" x14ac:dyDescent="0.3">
      <c r="B46" s="68" t="s">
        <v>106</v>
      </c>
      <c r="C46" s="101" t="s">
        <v>107</v>
      </c>
      <c r="D46" s="104"/>
      <c r="E46" s="103"/>
      <c r="F46" s="100">
        <v>45825</v>
      </c>
      <c r="G46" s="71">
        <v>275.10000000000002</v>
      </c>
      <c r="H46" s="34" t="str">
        <f>IFERROR(L46/I46,"-")</f>
        <v>-</v>
      </c>
      <c r="I46" s="42"/>
      <c r="J46" s="34">
        <f t="shared" si="14"/>
        <v>0</v>
      </c>
      <c r="K46" s="36">
        <f t="shared" si="15"/>
        <v>0</v>
      </c>
      <c r="L46" s="34">
        <f>J46*(1+K46)</f>
        <v>0</v>
      </c>
      <c r="M46" s="37">
        <f>L46-J46</f>
        <v>0</v>
      </c>
    </row>
    <row r="47" spans="2:13" ht="15.75" hidden="1" thickBot="1" x14ac:dyDescent="0.3">
      <c r="B47" s="68" t="s">
        <v>106</v>
      </c>
      <c r="C47" s="101" t="s">
        <v>108</v>
      </c>
      <c r="D47" s="104"/>
      <c r="E47" s="103"/>
      <c r="F47" s="100">
        <v>45825</v>
      </c>
      <c r="G47" s="71">
        <v>343</v>
      </c>
      <c r="H47" s="34" t="str">
        <f>IFERROR(L47/I47,"-")</f>
        <v>-</v>
      </c>
      <c r="I47" s="42"/>
      <c r="J47" s="34">
        <f t="shared" si="14"/>
        <v>0</v>
      </c>
      <c r="K47" s="36">
        <f t="shared" si="15"/>
        <v>0</v>
      </c>
      <c r="L47" s="34">
        <f>J47*(1+K47)</f>
        <v>0</v>
      </c>
      <c r="M47" s="37">
        <f>L47-J47</f>
        <v>0</v>
      </c>
    </row>
    <row r="48" spans="2:13" ht="15.75" hidden="1" thickBot="1" x14ac:dyDescent="0.3">
      <c r="B48" s="62" t="s">
        <v>106</v>
      </c>
      <c r="C48" s="63" t="s">
        <v>109</v>
      </c>
      <c r="D48" s="105"/>
      <c r="E48" s="103"/>
      <c r="F48" s="100">
        <v>45825</v>
      </c>
      <c r="G48" s="66">
        <v>412.3</v>
      </c>
      <c r="H48" s="34" t="str">
        <f>IFERROR(L48/I48,"-")</f>
        <v>-</v>
      </c>
      <c r="I48" s="42"/>
      <c r="J48" s="34">
        <f t="shared" si="14"/>
        <v>0</v>
      </c>
      <c r="K48" s="36">
        <f t="shared" si="15"/>
        <v>0</v>
      </c>
      <c r="L48" s="34">
        <f>J48*(1+K48)</f>
        <v>0</v>
      </c>
      <c r="M48" s="37">
        <f>L48-J48</f>
        <v>0</v>
      </c>
    </row>
    <row r="49" spans="2:13" ht="15.75" hidden="1" thickBot="1" x14ac:dyDescent="0.3">
      <c r="B49" s="89" t="s">
        <v>106</v>
      </c>
      <c r="C49" s="82" t="s">
        <v>110</v>
      </c>
      <c r="D49" s="106"/>
      <c r="E49" s="103"/>
      <c r="F49" s="32">
        <v>45825</v>
      </c>
      <c r="G49" s="91">
        <v>412.3</v>
      </c>
      <c r="H49" s="34" t="str">
        <f t="shared" ref="H49" si="18">IFERROR(L49/I49,"-")</f>
        <v>-</v>
      </c>
      <c r="I49" s="35"/>
      <c r="J49" s="34">
        <f t="shared" si="14"/>
        <v>0</v>
      </c>
      <c r="K49" s="36">
        <f t="shared" si="15"/>
        <v>0</v>
      </c>
      <c r="L49" s="34">
        <f t="shared" ref="L49" si="19">J49*(1+K49)</f>
        <v>0</v>
      </c>
      <c r="M49" s="37">
        <f t="shared" ref="M49" si="20">L49-J49</f>
        <v>0</v>
      </c>
    </row>
    <row r="50" spans="2:13" ht="15.75" hidden="1" thickBot="1" x14ac:dyDescent="0.3">
      <c r="B50" s="107"/>
      <c r="C50" s="108" t="s">
        <v>111</v>
      </c>
      <c r="D50" s="50"/>
      <c r="E50" s="201"/>
      <c r="F50" s="202"/>
      <c r="G50" s="109"/>
      <c r="H50" s="26" t="str">
        <f t="shared" si="9"/>
        <v>-</v>
      </c>
      <c r="I50" s="27"/>
      <c r="J50" s="26">
        <f t="shared" si="14"/>
        <v>0</v>
      </c>
      <c r="K50" s="28">
        <f t="shared" si="15"/>
        <v>0</v>
      </c>
      <c r="L50" s="26">
        <f t="shared" si="16"/>
        <v>0</v>
      </c>
      <c r="M50" s="29">
        <f t="shared" si="17"/>
        <v>0</v>
      </c>
    </row>
    <row r="51" spans="2:13" ht="15.75" hidden="1" thickBot="1" x14ac:dyDescent="0.3">
      <c r="B51" s="99"/>
      <c r="C51" s="63" t="s">
        <v>112</v>
      </c>
      <c r="D51" s="90"/>
      <c r="E51" s="59" t="s">
        <v>113</v>
      </c>
      <c r="F51" s="98">
        <v>45805</v>
      </c>
      <c r="G51" s="66">
        <v>4990</v>
      </c>
      <c r="H51" s="53"/>
      <c r="I51" s="54" t="s">
        <v>42</v>
      </c>
      <c r="J51" s="53"/>
      <c r="K51" s="55"/>
      <c r="L51" s="53"/>
      <c r="M51" s="56"/>
    </row>
    <row r="52" spans="2:13" ht="15.75" hidden="1" thickBot="1" x14ac:dyDescent="0.3">
      <c r="B52" s="99"/>
      <c r="C52" s="63" t="s">
        <v>114</v>
      </c>
      <c r="D52" s="90"/>
      <c r="E52" s="59" t="s">
        <v>113</v>
      </c>
      <c r="F52" s="98">
        <v>45805</v>
      </c>
      <c r="G52" s="66">
        <v>10500</v>
      </c>
      <c r="H52" s="15">
        <f t="shared" ref="H52:H59" si="21">IFERROR(L52/I52,"-")</f>
        <v>5988</v>
      </c>
      <c r="I52" s="16">
        <v>1</v>
      </c>
      <c r="J52" s="15">
        <f>G51*I52</f>
        <v>4990</v>
      </c>
      <c r="K52" s="17">
        <v>0.2</v>
      </c>
      <c r="L52" s="15">
        <f t="shared" ref="L52:L53" si="22">J52*(1+K52)</f>
        <v>5988</v>
      </c>
      <c r="M52" s="18">
        <f t="shared" ref="M52:M53" si="23">L52-J52</f>
        <v>998</v>
      </c>
    </row>
    <row r="53" spans="2:13" ht="15.75" hidden="1" thickBot="1" x14ac:dyDescent="0.3">
      <c r="B53" s="57"/>
      <c r="C53" s="58" t="s">
        <v>115</v>
      </c>
      <c r="D53" s="90"/>
      <c r="E53" s="64" t="s">
        <v>116</v>
      </c>
      <c r="F53" s="98">
        <v>45840</v>
      </c>
      <c r="G53" s="66">
        <v>14580.73</v>
      </c>
      <c r="H53" s="15">
        <f t="shared" si="21"/>
        <v>12600</v>
      </c>
      <c r="I53" s="16">
        <v>1</v>
      </c>
      <c r="J53" s="15">
        <f>G52*I53</f>
        <v>10500</v>
      </c>
      <c r="K53" s="17">
        <v>0.2</v>
      </c>
      <c r="L53" s="15">
        <f t="shared" si="22"/>
        <v>12600</v>
      </c>
      <c r="M53" s="18">
        <f t="shared" si="23"/>
        <v>2100</v>
      </c>
    </row>
    <row r="54" spans="2:13" ht="15.75" hidden="1" thickBot="1" x14ac:dyDescent="0.3">
      <c r="B54" s="57"/>
      <c r="C54" s="58" t="s">
        <v>117</v>
      </c>
      <c r="D54" s="90"/>
      <c r="E54" s="110" t="s">
        <v>118</v>
      </c>
      <c r="F54" s="98">
        <v>45818</v>
      </c>
      <c r="G54" s="66"/>
      <c r="H54" s="34"/>
      <c r="I54" s="35"/>
      <c r="J54" s="34">
        <f>G53*I54</f>
        <v>0</v>
      </c>
      <c r="K54" s="36"/>
      <c r="L54" s="34"/>
      <c r="M54" s="37"/>
    </row>
    <row r="55" spans="2:13" ht="15.75" hidden="1" thickBot="1" x14ac:dyDescent="0.3">
      <c r="B55" s="57"/>
      <c r="C55" s="58" t="s">
        <v>119</v>
      </c>
      <c r="D55" s="90"/>
      <c r="E55" s="64" t="s">
        <v>116</v>
      </c>
      <c r="F55" s="98">
        <v>45840</v>
      </c>
      <c r="G55" s="66">
        <v>38206.42</v>
      </c>
      <c r="H55" s="34" t="str">
        <f t="shared" si="21"/>
        <v>-</v>
      </c>
      <c r="I55" s="35"/>
      <c r="J55" s="34">
        <f>G54*I55</f>
        <v>0</v>
      </c>
      <c r="K55" s="36">
        <f t="shared" ref="K55:K59" si="24">$K$5</f>
        <v>0</v>
      </c>
      <c r="L55" s="34">
        <f t="shared" ref="L55:L59" si="25">J55*(1+K55)</f>
        <v>0</v>
      </c>
      <c r="M55" s="37">
        <f t="shared" ref="M55:M59" si="26">L55-J55</f>
        <v>0</v>
      </c>
    </row>
    <row r="56" spans="2:13" ht="15.75" hidden="1" thickBot="1" x14ac:dyDescent="0.3">
      <c r="B56" s="57"/>
      <c r="C56" s="58" t="s">
        <v>120</v>
      </c>
      <c r="D56" s="90"/>
      <c r="E56" s="111" t="s">
        <v>116</v>
      </c>
      <c r="F56" s="98">
        <v>45818</v>
      </c>
      <c r="G56" s="66">
        <v>41325.31</v>
      </c>
      <c r="H56" s="34"/>
      <c r="I56" s="35"/>
      <c r="J56" s="34"/>
      <c r="K56" s="36"/>
      <c r="L56" s="34"/>
      <c r="M56" s="37"/>
    </row>
    <row r="57" spans="2:13" ht="15.75" hidden="1" thickBot="1" x14ac:dyDescent="0.3">
      <c r="B57" s="89"/>
      <c r="C57" s="58" t="s">
        <v>121</v>
      </c>
      <c r="D57" s="90"/>
      <c r="E57" s="110" t="s">
        <v>118</v>
      </c>
      <c r="F57" s="98">
        <v>45818</v>
      </c>
      <c r="G57" s="91">
        <v>0</v>
      </c>
      <c r="H57" s="34" t="str">
        <f t="shared" si="21"/>
        <v>-</v>
      </c>
      <c r="I57" s="35"/>
      <c r="J57" s="34">
        <f>G56*I57</f>
        <v>0</v>
      </c>
      <c r="K57" s="36">
        <f t="shared" si="24"/>
        <v>0</v>
      </c>
      <c r="L57" s="34">
        <f t="shared" si="25"/>
        <v>0</v>
      </c>
      <c r="M57" s="37">
        <f t="shared" si="26"/>
        <v>0</v>
      </c>
    </row>
    <row r="58" spans="2:13" ht="15.75" hidden="1" thickBot="1" x14ac:dyDescent="0.3">
      <c r="B58" s="68"/>
      <c r="C58" s="101" t="s">
        <v>122</v>
      </c>
      <c r="D58" s="90"/>
      <c r="E58" s="67" t="s">
        <v>116</v>
      </c>
      <c r="F58" s="14">
        <v>45840</v>
      </c>
      <c r="G58" s="91">
        <v>216390.87</v>
      </c>
      <c r="H58" s="41"/>
      <c r="I58" s="27"/>
      <c r="J58" s="112">
        <f>G57*I58</f>
        <v>0</v>
      </c>
      <c r="K58" s="36">
        <f t="shared" si="24"/>
        <v>0</v>
      </c>
      <c r="L58" s="112">
        <f t="shared" si="25"/>
        <v>0</v>
      </c>
      <c r="M58" s="113">
        <f t="shared" si="26"/>
        <v>0</v>
      </c>
    </row>
    <row r="59" spans="2:13" ht="15.75" hidden="1" thickBot="1" x14ac:dyDescent="0.3">
      <c r="B59" s="19"/>
      <c r="C59" s="20" t="s">
        <v>123</v>
      </c>
      <c r="D59" s="21"/>
      <c r="E59" s="199" t="s">
        <v>81</v>
      </c>
      <c r="F59" s="200"/>
      <c r="G59" s="22"/>
      <c r="H59" s="41" t="str">
        <f t="shared" si="21"/>
        <v>-</v>
      </c>
      <c r="I59" s="27"/>
      <c r="J59" s="112">
        <f>G58*I59</f>
        <v>0</v>
      </c>
      <c r="K59" s="36">
        <f t="shared" si="24"/>
        <v>0</v>
      </c>
      <c r="L59" s="112">
        <f t="shared" si="25"/>
        <v>0</v>
      </c>
      <c r="M59" s="113">
        <f t="shared" si="26"/>
        <v>0</v>
      </c>
    </row>
    <row r="60" spans="2:13" ht="15.75" hidden="1" thickBot="1" x14ac:dyDescent="0.3">
      <c r="B60" s="48"/>
      <c r="C60" s="114" t="s">
        <v>124</v>
      </c>
      <c r="D60" s="50"/>
      <c r="E60" s="50"/>
      <c r="F60" s="73"/>
      <c r="G60" s="52"/>
      <c r="H60" s="23"/>
      <c r="I60" s="24" t="s">
        <v>42</v>
      </c>
      <c r="J60" s="23"/>
      <c r="K60" s="24"/>
      <c r="L60" s="23"/>
      <c r="M60" s="25"/>
    </row>
    <row r="61" spans="2:13" ht="15.75" hidden="1" thickBot="1" x14ac:dyDescent="0.3">
      <c r="B61" s="62" t="s">
        <v>125</v>
      </c>
      <c r="C61" s="116" t="s">
        <v>126</v>
      </c>
      <c r="D61" s="64"/>
      <c r="E61" s="59" t="s">
        <v>127</v>
      </c>
      <c r="F61" s="98">
        <v>45820</v>
      </c>
      <c r="G61" s="66">
        <v>2470</v>
      </c>
      <c r="H61" s="53"/>
      <c r="I61" s="54" t="s">
        <v>42</v>
      </c>
      <c r="J61" s="53"/>
      <c r="K61" s="55"/>
      <c r="L61" s="53"/>
      <c r="M61" s="115"/>
    </row>
    <row r="62" spans="2:13" ht="15.75" hidden="1" thickBot="1" x14ac:dyDescent="0.3">
      <c r="B62" s="62" t="s">
        <v>128</v>
      </c>
      <c r="C62" s="116" t="s">
        <v>129</v>
      </c>
      <c r="D62" s="64"/>
      <c r="E62" s="59" t="s">
        <v>127</v>
      </c>
      <c r="F62" s="98">
        <v>45820</v>
      </c>
      <c r="G62" s="66">
        <v>1910</v>
      </c>
      <c r="H62" s="41" t="str">
        <f t="shared" ref="H62:H74" si="27">IFERROR(L62/I62,"-")</f>
        <v>-</v>
      </c>
      <c r="I62" s="35"/>
      <c r="J62" s="34">
        <f t="shared" ref="J62:J78" si="28">G61*I62</f>
        <v>0</v>
      </c>
      <c r="K62" s="36">
        <f t="shared" ref="K62:K78" si="29">$K$5</f>
        <v>0</v>
      </c>
      <c r="L62" s="41">
        <f t="shared" ref="L62:L78" si="30">J62*(1+K62)</f>
        <v>0</v>
      </c>
      <c r="M62" s="44">
        <f t="shared" ref="M62:M78" si="31">L62-J62</f>
        <v>0</v>
      </c>
    </row>
    <row r="63" spans="2:13" ht="15.75" hidden="1" thickBot="1" x14ac:dyDescent="0.3">
      <c r="B63" s="62" t="s">
        <v>130</v>
      </c>
      <c r="C63" s="116" t="s">
        <v>131</v>
      </c>
      <c r="D63" s="64"/>
      <c r="E63" s="59" t="s">
        <v>127</v>
      </c>
      <c r="F63" s="98">
        <v>45820</v>
      </c>
      <c r="G63" s="66">
        <v>1940</v>
      </c>
      <c r="H63" s="41" t="str">
        <f t="shared" si="27"/>
        <v>-</v>
      </c>
      <c r="I63" s="35"/>
      <c r="J63" s="34">
        <f t="shared" si="28"/>
        <v>0</v>
      </c>
      <c r="K63" s="36">
        <f t="shared" si="29"/>
        <v>0</v>
      </c>
      <c r="L63" s="41">
        <f t="shared" si="30"/>
        <v>0</v>
      </c>
      <c r="M63" s="44">
        <f t="shared" si="31"/>
        <v>0</v>
      </c>
    </row>
    <row r="64" spans="2:13" ht="15.75" hidden="1" thickBot="1" x14ac:dyDescent="0.3">
      <c r="B64" s="62" t="s">
        <v>130</v>
      </c>
      <c r="C64" s="116" t="s">
        <v>132</v>
      </c>
      <c r="D64" s="64"/>
      <c r="E64" s="59" t="s">
        <v>127</v>
      </c>
      <c r="F64" s="98">
        <v>45820</v>
      </c>
      <c r="G64" s="66">
        <v>2400</v>
      </c>
      <c r="H64" s="41" t="str">
        <f t="shared" si="27"/>
        <v>-</v>
      </c>
      <c r="I64" s="35"/>
      <c r="J64" s="34">
        <f t="shared" si="28"/>
        <v>0</v>
      </c>
      <c r="K64" s="36">
        <f t="shared" si="29"/>
        <v>0</v>
      </c>
      <c r="L64" s="41">
        <f t="shared" si="30"/>
        <v>0</v>
      </c>
      <c r="M64" s="44">
        <f t="shared" si="31"/>
        <v>0</v>
      </c>
    </row>
    <row r="65" spans="2:13" ht="15.75" hidden="1" thickBot="1" x14ac:dyDescent="0.3">
      <c r="B65" s="62" t="s">
        <v>130</v>
      </c>
      <c r="C65" s="116" t="s">
        <v>133</v>
      </c>
      <c r="D65" s="64"/>
      <c r="E65" s="59" t="s">
        <v>127</v>
      </c>
      <c r="F65" s="98">
        <v>45820</v>
      </c>
      <c r="G65" s="66">
        <v>2400</v>
      </c>
      <c r="H65" s="41" t="str">
        <f t="shared" si="27"/>
        <v>-</v>
      </c>
      <c r="I65" s="35"/>
      <c r="J65" s="34">
        <f t="shared" si="28"/>
        <v>0</v>
      </c>
      <c r="K65" s="36">
        <f t="shared" si="29"/>
        <v>0</v>
      </c>
      <c r="L65" s="41">
        <f t="shared" si="30"/>
        <v>0</v>
      </c>
      <c r="M65" s="44">
        <f t="shared" si="31"/>
        <v>0</v>
      </c>
    </row>
    <row r="66" spans="2:13" ht="15.75" hidden="1" thickBot="1" x14ac:dyDescent="0.3">
      <c r="B66" s="62" t="s">
        <v>134</v>
      </c>
      <c r="C66" s="116" t="s">
        <v>135</v>
      </c>
      <c r="D66" s="64"/>
      <c r="E66" s="59" t="s">
        <v>127</v>
      </c>
      <c r="F66" s="98">
        <v>45820</v>
      </c>
      <c r="G66" s="66">
        <v>1120</v>
      </c>
      <c r="H66" s="41" t="str">
        <f t="shared" si="27"/>
        <v>-</v>
      </c>
      <c r="I66" s="35"/>
      <c r="J66" s="34">
        <f t="shared" si="28"/>
        <v>0</v>
      </c>
      <c r="K66" s="36">
        <f t="shared" si="29"/>
        <v>0</v>
      </c>
      <c r="L66" s="41">
        <f t="shared" si="30"/>
        <v>0</v>
      </c>
      <c r="M66" s="44">
        <f t="shared" si="31"/>
        <v>0</v>
      </c>
    </row>
    <row r="67" spans="2:13" ht="15.75" hidden="1" thickBot="1" x14ac:dyDescent="0.3">
      <c r="B67" s="62" t="s">
        <v>136</v>
      </c>
      <c r="C67" s="116" t="s">
        <v>137</v>
      </c>
      <c r="D67" s="64"/>
      <c r="E67" s="59" t="s">
        <v>127</v>
      </c>
      <c r="F67" s="98">
        <v>45845</v>
      </c>
      <c r="G67" s="66">
        <v>566150</v>
      </c>
      <c r="H67" s="41" t="str">
        <f t="shared" si="27"/>
        <v>-</v>
      </c>
      <c r="I67" s="35"/>
      <c r="J67" s="34">
        <f t="shared" si="28"/>
        <v>0</v>
      </c>
      <c r="K67" s="36">
        <f t="shared" si="29"/>
        <v>0</v>
      </c>
      <c r="L67" s="41">
        <f t="shared" si="30"/>
        <v>0</v>
      </c>
      <c r="M67" s="44">
        <f t="shared" si="31"/>
        <v>0</v>
      </c>
    </row>
    <row r="68" spans="2:13" ht="15.75" hidden="1" thickBot="1" x14ac:dyDescent="0.3">
      <c r="B68" s="62" t="s">
        <v>136</v>
      </c>
      <c r="C68" s="116" t="s">
        <v>138</v>
      </c>
      <c r="D68" s="64"/>
      <c r="E68" s="59" t="s">
        <v>127</v>
      </c>
      <c r="F68" s="98">
        <v>45845</v>
      </c>
      <c r="G68" s="66">
        <v>823490</v>
      </c>
      <c r="H68" s="41" t="str">
        <f t="shared" si="27"/>
        <v>-</v>
      </c>
      <c r="I68" s="35"/>
      <c r="J68" s="34">
        <f t="shared" si="28"/>
        <v>0</v>
      </c>
      <c r="K68" s="36">
        <f t="shared" si="29"/>
        <v>0</v>
      </c>
      <c r="L68" s="41">
        <f t="shared" si="30"/>
        <v>0</v>
      </c>
      <c r="M68" s="44">
        <f t="shared" si="31"/>
        <v>0</v>
      </c>
    </row>
    <row r="69" spans="2:13" ht="15.75" hidden="1" thickBot="1" x14ac:dyDescent="0.3">
      <c r="B69" s="62" t="s">
        <v>136</v>
      </c>
      <c r="C69" s="116" t="s">
        <v>139</v>
      </c>
      <c r="D69" s="64"/>
      <c r="E69" s="59" t="s">
        <v>127</v>
      </c>
      <c r="F69" s="98">
        <v>45845</v>
      </c>
      <c r="G69" s="66">
        <v>1363910</v>
      </c>
      <c r="H69" s="41" t="str">
        <f t="shared" si="27"/>
        <v>-</v>
      </c>
      <c r="I69" s="35"/>
      <c r="J69" s="34">
        <f t="shared" si="28"/>
        <v>0</v>
      </c>
      <c r="K69" s="36">
        <f t="shared" si="29"/>
        <v>0</v>
      </c>
      <c r="L69" s="41">
        <f t="shared" si="30"/>
        <v>0</v>
      </c>
      <c r="M69" s="44">
        <f t="shared" si="31"/>
        <v>0</v>
      </c>
    </row>
    <row r="70" spans="2:13" ht="15.75" hidden="1" thickBot="1" x14ac:dyDescent="0.3">
      <c r="B70" s="62" t="s">
        <v>136</v>
      </c>
      <c r="C70" s="116" t="s">
        <v>140</v>
      </c>
      <c r="D70" s="64"/>
      <c r="E70" s="59" t="s">
        <v>127</v>
      </c>
      <c r="F70" s="98">
        <v>45845</v>
      </c>
      <c r="G70" s="66">
        <v>1492580</v>
      </c>
      <c r="H70" s="41" t="str">
        <f t="shared" si="27"/>
        <v>-</v>
      </c>
      <c r="I70" s="35"/>
      <c r="J70" s="34">
        <f t="shared" si="28"/>
        <v>0</v>
      </c>
      <c r="K70" s="36">
        <f t="shared" si="29"/>
        <v>0</v>
      </c>
      <c r="L70" s="41">
        <f t="shared" si="30"/>
        <v>0</v>
      </c>
      <c r="M70" s="44">
        <f t="shared" si="31"/>
        <v>0</v>
      </c>
    </row>
    <row r="71" spans="2:13" ht="15.75" hidden="1" thickBot="1" x14ac:dyDescent="0.3">
      <c r="B71" s="62" t="s">
        <v>136</v>
      </c>
      <c r="C71" s="116" t="s">
        <v>141</v>
      </c>
      <c r="D71" s="64"/>
      <c r="E71" s="59" t="s">
        <v>127</v>
      </c>
      <c r="F71" s="98">
        <v>45845</v>
      </c>
      <c r="G71" s="66">
        <v>1930050</v>
      </c>
      <c r="H71" s="41" t="str">
        <f t="shared" si="27"/>
        <v>-</v>
      </c>
      <c r="I71" s="35"/>
      <c r="J71" s="34">
        <f t="shared" si="28"/>
        <v>0</v>
      </c>
      <c r="K71" s="36">
        <f t="shared" si="29"/>
        <v>0</v>
      </c>
      <c r="L71" s="41">
        <f t="shared" si="30"/>
        <v>0</v>
      </c>
      <c r="M71" s="44">
        <f t="shared" si="31"/>
        <v>0</v>
      </c>
    </row>
    <row r="72" spans="2:13" ht="15.75" hidden="1" thickBot="1" x14ac:dyDescent="0.3">
      <c r="B72" s="62" t="s">
        <v>134</v>
      </c>
      <c r="C72" s="116" t="s">
        <v>142</v>
      </c>
      <c r="D72" s="64"/>
      <c r="E72" s="59" t="s">
        <v>127</v>
      </c>
      <c r="F72" s="98">
        <v>45820</v>
      </c>
      <c r="G72" s="66">
        <v>1340</v>
      </c>
      <c r="H72" s="41" t="str">
        <f t="shared" si="27"/>
        <v>-</v>
      </c>
      <c r="I72" s="35"/>
      <c r="J72" s="34">
        <f t="shared" si="28"/>
        <v>0</v>
      </c>
      <c r="K72" s="36">
        <f t="shared" si="29"/>
        <v>0</v>
      </c>
      <c r="L72" s="41">
        <f t="shared" si="30"/>
        <v>0</v>
      </c>
      <c r="M72" s="44">
        <f t="shared" si="31"/>
        <v>0</v>
      </c>
    </row>
    <row r="73" spans="2:13" ht="15.75" hidden="1" thickBot="1" x14ac:dyDescent="0.3">
      <c r="B73" s="62" t="s">
        <v>134</v>
      </c>
      <c r="C73" s="116" t="s">
        <v>143</v>
      </c>
      <c r="D73" s="64"/>
      <c r="E73" s="59" t="s">
        <v>127</v>
      </c>
      <c r="F73" s="98">
        <v>45820</v>
      </c>
      <c r="G73" s="66">
        <v>2430</v>
      </c>
      <c r="H73" s="41" t="str">
        <f t="shared" si="27"/>
        <v>-</v>
      </c>
      <c r="I73" s="35"/>
      <c r="J73" s="34">
        <f t="shared" si="28"/>
        <v>0</v>
      </c>
      <c r="K73" s="36">
        <f t="shared" si="29"/>
        <v>0</v>
      </c>
      <c r="L73" s="41">
        <f t="shared" si="30"/>
        <v>0</v>
      </c>
      <c r="M73" s="44">
        <f t="shared" si="31"/>
        <v>0</v>
      </c>
    </row>
    <row r="74" spans="2:13" ht="15.75" hidden="1" thickBot="1" x14ac:dyDescent="0.3">
      <c r="B74" s="62" t="s">
        <v>134</v>
      </c>
      <c r="C74" s="116" t="s">
        <v>144</v>
      </c>
      <c r="D74" s="64"/>
      <c r="E74" s="59" t="s">
        <v>127</v>
      </c>
      <c r="F74" s="98">
        <v>45820</v>
      </c>
      <c r="G74" s="66">
        <v>2670</v>
      </c>
      <c r="H74" s="41" t="str">
        <f t="shared" si="27"/>
        <v>-</v>
      </c>
      <c r="I74" s="35"/>
      <c r="J74" s="34">
        <f t="shared" si="28"/>
        <v>0</v>
      </c>
      <c r="K74" s="36">
        <f t="shared" si="29"/>
        <v>0</v>
      </c>
      <c r="L74" s="41">
        <f t="shared" si="30"/>
        <v>0</v>
      </c>
      <c r="M74" s="44">
        <f t="shared" si="31"/>
        <v>0</v>
      </c>
    </row>
    <row r="75" spans="2:13" ht="15.75" hidden="1" thickBot="1" x14ac:dyDescent="0.3">
      <c r="B75" s="62" t="s">
        <v>134</v>
      </c>
      <c r="C75" s="116" t="s">
        <v>145</v>
      </c>
      <c r="D75" s="64"/>
      <c r="E75" s="59" t="s">
        <v>127</v>
      </c>
      <c r="F75" s="98">
        <v>45820</v>
      </c>
      <c r="G75" s="66">
        <v>3520</v>
      </c>
      <c r="H75" s="41" t="str">
        <f t="shared" ref="H75:H78" si="32">IFERROR(L75/I75,"-")</f>
        <v>-</v>
      </c>
      <c r="I75" s="35"/>
      <c r="J75" s="34">
        <f t="shared" si="28"/>
        <v>0</v>
      </c>
      <c r="K75" s="36">
        <f t="shared" si="29"/>
        <v>0</v>
      </c>
      <c r="L75" s="41">
        <f t="shared" si="30"/>
        <v>0</v>
      </c>
      <c r="M75" s="44">
        <f t="shared" si="31"/>
        <v>0</v>
      </c>
    </row>
    <row r="76" spans="2:13" ht="15.75" hidden="1" thickBot="1" x14ac:dyDescent="0.3">
      <c r="B76" s="62" t="s">
        <v>134</v>
      </c>
      <c r="C76" s="116" t="s">
        <v>146</v>
      </c>
      <c r="D76" s="64"/>
      <c r="E76" s="59" t="s">
        <v>127</v>
      </c>
      <c r="F76" s="98">
        <v>45820</v>
      </c>
      <c r="G76" s="66">
        <v>4130</v>
      </c>
      <c r="H76" s="41" t="str">
        <f t="shared" si="32"/>
        <v>-</v>
      </c>
      <c r="I76" s="35"/>
      <c r="J76" s="34">
        <f t="shared" si="28"/>
        <v>0</v>
      </c>
      <c r="K76" s="36">
        <f t="shared" si="29"/>
        <v>0</v>
      </c>
      <c r="L76" s="41">
        <f t="shared" si="30"/>
        <v>0</v>
      </c>
      <c r="M76" s="44">
        <f t="shared" si="31"/>
        <v>0</v>
      </c>
    </row>
    <row r="77" spans="2:13" ht="15.75" hidden="1" thickBot="1" x14ac:dyDescent="0.3">
      <c r="B77" s="62" t="s">
        <v>147</v>
      </c>
      <c r="C77" s="116" t="s">
        <v>148</v>
      </c>
      <c r="D77" s="64"/>
      <c r="E77" s="59" t="s">
        <v>127</v>
      </c>
      <c r="F77" s="98">
        <v>45820</v>
      </c>
      <c r="G77" s="66">
        <v>3640</v>
      </c>
      <c r="H77" s="41" t="str">
        <f t="shared" si="32"/>
        <v>-</v>
      </c>
      <c r="I77" s="35"/>
      <c r="J77" s="34">
        <f t="shared" si="28"/>
        <v>0</v>
      </c>
      <c r="K77" s="36">
        <f t="shared" si="29"/>
        <v>0</v>
      </c>
      <c r="L77" s="41">
        <f t="shared" si="30"/>
        <v>0</v>
      </c>
      <c r="M77" s="44">
        <f t="shared" si="31"/>
        <v>0</v>
      </c>
    </row>
    <row r="78" spans="2:13" ht="15.75" hidden="1" thickBot="1" x14ac:dyDescent="0.3">
      <c r="B78" s="48"/>
      <c r="C78" s="114" t="s">
        <v>149</v>
      </c>
      <c r="D78" s="50"/>
      <c r="E78" s="50"/>
      <c r="F78" s="73"/>
      <c r="G78" s="52"/>
      <c r="H78" s="41" t="str">
        <f t="shared" si="32"/>
        <v>-</v>
      </c>
      <c r="I78" s="35"/>
      <c r="J78" s="34">
        <f t="shared" si="28"/>
        <v>0</v>
      </c>
      <c r="K78" s="36">
        <f t="shared" si="29"/>
        <v>0</v>
      </c>
      <c r="L78" s="41">
        <f t="shared" si="30"/>
        <v>0</v>
      </c>
      <c r="M78" s="44">
        <f t="shared" si="31"/>
        <v>0</v>
      </c>
    </row>
    <row r="79" spans="2:13" ht="15.75" hidden="1" thickBot="1" x14ac:dyDescent="0.3">
      <c r="B79" s="48"/>
      <c r="C79" s="72" t="s">
        <v>150</v>
      </c>
      <c r="D79" s="50"/>
      <c r="E79" s="199" t="s">
        <v>151</v>
      </c>
      <c r="F79" s="200"/>
      <c r="G79" s="52"/>
      <c r="H79" s="53"/>
      <c r="I79" s="54"/>
      <c r="J79" s="53"/>
      <c r="K79" s="55"/>
      <c r="L79" s="53"/>
      <c r="M79" s="56"/>
    </row>
    <row r="80" spans="2:13" ht="15.75" hidden="1" thickBot="1" x14ac:dyDescent="0.3">
      <c r="B80" s="57" t="s">
        <v>152</v>
      </c>
      <c r="C80" s="59" t="s">
        <v>153</v>
      </c>
      <c r="D80" s="59"/>
      <c r="E80" s="59" t="s">
        <v>154</v>
      </c>
      <c r="F80" s="98">
        <v>45630</v>
      </c>
      <c r="G80" s="61">
        <v>249.16</v>
      </c>
      <c r="H80" s="53"/>
      <c r="I80" s="54" t="s">
        <v>42</v>
      </c>
      <c r="J80" s="94">
        <f>SUM(J81:J99)</f>
        <v>0</v>
      </c>
      <c r="K80" s="96"/>
      <c r="L80" s="94">
        <f>SUM(L81:L99)</f>
        <v>0</v>
      </c>
      <c r="M80" s="97">
        <f>SUM(M81:M99)</f>
        <v>0</v>
      </c>
    </row>
    <row r="81" spans="2:13" ht="15.75" hidden="1" thickBot="1" x14ac:dyDescent="0.3">
      <c r="B81" s="62" t="s">
        <v>152</v>
      </c>
      <c r="C81" s="59" t="s">
        <v>155</v>
      </c>
      <c r="D81" s="59"/>
      <c r="E81" s="59" t="s">
        <v>154</v>
      </c>
      <c r="F81" s="98">
        <v>45630</v>
      </c>
      <c r="G81" s="61">
        <v>107.5</v>
      </c>
      <c r="H81" s="15" t="str">
        <f t="shared" ref="H81:H99" si="33">IFERROR(L81/I81,"-")</f>
        <v>-</v>
      </c>
      <c r="I81" s="16"/>
      <c r="J81" s="15">
        <f t="shared" ref="J81:J99" si="34">G80*I81</f>
        <v>0</v>
      </c>
      <c r="K81" s="17">
        <f t="shared" ref="K81:K99" si="35">$K$5</f>
        <v>0</v>
      </c>
      <c r="L81" s="15">
        <f t="shared" ref="L81:L99" si="36">J81*(1+K81)</f>
        <v>0</v>
      </c>
      <c r="M81" s="18">
        <f t="shared" ref="M81:M99" si="37">L81-J81</f>
        <v>0</v>
      </c>
    </row>
    <row r="82" spans="2:13" ht="15.75" hidden="1" thickBot="1" x14ac:dyDescent="0.3">
      <c r="B82" s="62" t="s">
        <v>152</v>
      </c>
      <c r="C82" s="64" t="s">
        <v>156</v>
      </c>
      <c r="D82" s="64"/>
      <c r="E82" s="64" t="s">
        <v>154</v>
      </c>
      <c r="F82" s="98">
        <v>45630</v>
      </c>
      <c r="G82" s="66">
        <v>114.04</v>
      </c>
      <c r="H82" s="34" t="str">
        <f t="shared" si="33"/>
        <v>-</v>
      </c>
      <c r="I82" s="35"/>
      <c r="J82" s="34">
        <f t="shared" si="34"/>
        <v>0</v>
      </c>
      <c r="K82" s="36">
        <f t="shared" si="35"/>
        <v>0</v>
      </c>
      <c r="L82" s="34">
        <f t="shared" si="36"/>
        <v>0</v>
      </c>
      <c r="M82" s="37">
        <f t="shared" si="37"/>
        <v>0</v>
      </c>
    </row>
    <row r="83" spans="2:13" ht="15.75" hidden="1" thickBot="1" x14ac:dyDescent="0.3">
      <c r="B83" s="62" t="s">
        <v>152</v>
      </c>
      <c r="C83" s="64" t="s">
        <v>157</v>
      </c>
      <c r="D83" s="64"/>
      <c r="E83" s="64" t="s">
        <v>154</v>
      </c>
      <c r="F83" s="98">
        <v>45630</v>
      </c>
      <c r="G83" s="66">
        <f>146.46</f>
        <v>146.46</v>
      </c>
      <c r="H83" s="34" t="str">
        <f t="shared" si="33"/>
        <v>-</v>
      </c>
      <c r="I83" s="35"/>
      <c r="J83" s="34">
        <f t="shared" si="34"/>
        <v>0</v>
      </c>
      <c r="K83" s="36">
        <f t="shared" si="35"/>
        <v>0</v>
      </c>
      <c r="L83" s="34">
        <f t="shared" si="36"/>
        <v>0</v>
      </c>
      <c r="M83" s="37">
        <f t="shared" si="37"/>
        <v>0</v>
      </c>
    </row>
    <row r="84" spans="2:13" ht="15.75" hidden="1" thickBot="1" x14ac:dyDescent="0.3">
      <c r="B84" s="62" t="s">
        <v>152</v>
      </c>
      <c r="C84" s="64" t="s">
        <v>158</v>
      </c>
      <c r="D84" s="64"/>
      <c r="E84" s="64" t="s">
        <v>154</v>
      </c>
      <c r="F84" s="98">
        <v>45630</v>
      </c>
      <c r="G84" s="66">
        <v>242.84</v>
      </c>
      <c r="H84" s="34" t="str">
        <f t="shared" si="33"/>
        <v>-</v>
      </c>
      <c r="I84" s="35"/>
      <c r="J84" s="34">
        <f t="shared" si="34"/>
        <v>0</v>
      </c>
      <c r="K84" s="36">
        <f t="shared" si="35"/>
        <v>0</v>
      </c>
      <c r="L84" s="34">
        <f t="shared" si="36"/>
        <v>0</v>
      </c>
      <c r="M84" s="37">
        <f t="shared" si="37"/>
        <v>0</v>
      </c>
    </row>
    <row r="85" spans="2:13" ht="15.75" hidden="1" thickBot="1" x14ac:dyDescent="0.3">
      <c r="B85" s="62" t="s">
        <v>152</v>
      </c>
      <c r="C85" s="64" t="s">
        <v>159</v>
      </c>
      <c r="D85" s="64"/>
      <c r="E85" s="64" t="s">
        <v>154</v>
      </c>
      <c r="F85" s="98">
        <v>45825</v>
      </c>
      <c r="G85" s="66">
        <v>167.52</v>
      </c>
      <c r="H85" s="34" t="str">
        <f t="shared" si="33"/>
        <v>-</v>
      </c>
      <c r="I85" s="35"/>
      <c r="J85" s="34">
        <f t="shared" si="34"/>
        <v>0</v>
      </c>
      <c r="K85" s="36">
        <f t="shared" si="35"/>
        <v>0</v>
      </c>
      <c r="L85" s="34">
        <f t="shared" si="36"/>
        <v>0</v>
      </c>
      <c r="M85" s="37">
        <f t="shared" si="37"/>
        <v>0</v>
      </c>
    </row>
    <row r="86" spans="2:13" ht="15.75" hidden="1" thickBot="1" x14ac:dyDescent="0.3">
      <c r="B86" s="62" t="s">
        <v>152</v>
      </c>
      <c r="C86" s="64" t="s">
        <v>160</v>
      </c>
      <c r="D86" s="64"/>
      <c r="E86" s="64" t="s">
        <v>154</v>
      </c>
      <c r="F86" s="98">
        <v>45630</v>
      </c>
      <c r="G86" s="66">
        <v>233.88</v>
      </c>
      <c r="H86" s="34" t="str">
        <f t="shared" si="33"/>
        <v>-</v>
      </c>
      <c r="I86" s="35"/>
      <c r="J86" s="34">
        <f t="shared" si="34"/>
        <v>0</v>
      </c>
      <c r="K86" s="36">
        <f t="shared" si="35"/>
        <v>0</v>
      </c>
      <c r="L86" s="34">
        <f t="shared" si="36"/>
        <v>0</v>
      </c>
      <c r="M86" s="37">
        <f t="shared" si="37"/>
        <v>0</v>
      </c>
    </row>
    <row r="87" spans="2:13" ht="15.75" hidden="1" thickBot="1" x14ac:dyDescent="0.3">
      <c r="B87" s="62" t="s">
        <v>152</v>
      </c>
      <c r="C87" s="64" t="s">
        <v>161</v>
      </c>
      <c r="D87" s="64"/>
      <c r="E87" s="64" t="s">
        <v>154</v>
      </c>
      <c r="F87" s="98">
        <v>45630</v>
      </c>
      <c r="G87" s="66">
        <v>339.78</v>
      </c>
      <c r="H87" s="34" t="str">
        <f t="shared" si="33"/>
        <v>-</v>
      </c>
      <c r="I87" s="35"/>
      <c r="J87" s="34">
        <f t="shared" si="34"/>
        <v>0</v>
      </c>
      <c r="K87" s="36">
        <f t="shared" si="35"/>
        <v>0</v>
      </c>
      <c r="L87" s="34">
        <f t="shared" si="36"/>
        <v>0</v>
      </c>
      <c r="M87" s="37">
        <f t="shared" si="37"/>
        <v>0</v>
      </c>
    </row>
    <row r="88" spans="2:13" ht="15.75" hidden="1" thickBot="1" x14ac:dyDescent="0.3">
      <c r="B88" s="62" t="s">
        <v>152</v>
      </c>
      <c r="C88" s="64" t="s">
        <v>162</v>
      </c>
      <c r="D88" s="64"/>
      <c r="E88" s="64" t="s">
        <v>154</v>
      </c>
      <c r="F88" s="98">
        <v>45761</v>
      </c>
      <c r="G88" s="66">
        <v>637.16</v>
      </c>
      <c r="H88" s="34" t="str">
        <f t="shared" si="33"/>
        <v>-</v>
      </c>
      <c r="I88" s="35"/>
      <c r="J88" s="34">
        <f t="shared" si="34"/>
        <v>0</v>
      </c>
      <c r="K88" s="36">
        <f t="shared" si="35"/>
        <v>0</v>
      </c>
      <c r="L88" s="34">
        <f t="shared" si="36"/>
        <v>0</v>
      </c>
      <c r="M88" s="37">
        <f t="shared" si="37"/>
        <v>0</v>
      </c>
    </row>
    <row r="89" spans="2:13" ht="15.75" hidden="1" thickBot="1" x14ac:dyDescent="0.3">
      <c r="B89" s="62" t="s">
        <v>152</v>
      </c>
      <c r="C89" s="64" t="s">
        <v>163</v>
      </c>
      <c r="D89" s="64"/>
      <c r="E89" s="64" t="s">
        <v>154</v>
      </c>
      <c r="F89" s="98">
        <v>45630</v>
      </c>
      <c r="G89" s="66">
        <v>439.18</v>
      </c>
      <c r="H89" s="34" t="str">
        <f t="shared" si="33"/>
        <v>-</v>
      </c>
      <c r="I89" s="35"/>
      <c r="J89" s="34">
        <f t="shared" si="34"/>
        <v>0</v>
      </c>
      <c r="K89" s="36">
        <f t="shared" si="35"/>
        <v>0</v>
      </c>
      <c r="L89" s="34">
        <f t="shared" si="36"/>
        <v>0</v>
      </c>
      <c r="M89" s="37">
        <f t="shared" si="37"/>
        <v>0</v>
      </c>
    </row>
    <row r="90" spans="2:13" ht="15.75" hidden="1" thickBot="1" x14ac:dyDescent="0.3">
      <c r="B90" s="62" t="s">
        <v>152</v>
      </c>
      <c r="C90" s="64" t="s">
        <v>164</v>
      </c>
      <c r="D90" s="64" t="s">
        <v>165</v>
      </c>
      <c r="E90" s="64" t="s">
        <v>154</v>
      </c>
      <c r="F90" s="98">
        <v>45505</v>
      </c>
      <c r="G90" s="66">
        <f>340+(18600/50)</f>
        <v>712</v>
      </c>
      <c r="H90" s="34" t="str">
        <f t="shared" si="33"/>
        <v>-</v>
      </c>
      <c r="I90" s="35"/>
      <c r="J90" s="34">
        <f t="shared" si="34"/>
        <v>0</v>
      </c>
      <c r="K90" s="36">
        <f t="shared" si="35"/>
        <v>0</v>
      </c>
      <c r="L90" s="34">
        <f t="shared" si="36"/>
        <v>0</v>
      </c>
      <c r="M90" s="37">
        <f t="shared" si="37"/>
        <v>0</v>
      </c>
    </row>
    <row r="91" spans="2:13" ht="15.75" hidden="1" thickBot="1" x14ac:dyDescent="0.3">
      <c r="B91" s="62" t="s">
        <v>152</v>
      </c>
      <c r="C91" s="64" t="s">
        <v>166</v>
      </c>
      <c r="D91" s="118"/>
      <c r="E91" s="64" t="s">
        <v>154</v>
      </c>
      <c r="F91" s="100"/>
      <c r="G91" s="66">
        <f>340</f>
        <v>340</v>
      </c>
      <c r="H91" s="34" t="str">
        <f t="shared" si="33"/>
        <v>-</v>
      </c>
      <c r="I91" s="35"/>
      <c r="J91" s="34">
        <f t="shared" si="34"/>
        <v>0</v>
      </c>
      <c r="K91" s="36">
        <f t="shared" si="35"/>
        <v>0</v>
      </c>
      <c r="L91" s="34">
        <f t="shared" si="36"/>
        <v>0</v>
      </c>
      <c r="M91" s="37">
        <f t="shared" si="37"/>
        <v>0</v>
      </c>
    </row>
    <row r="92" spans="2:13" ht="15.75" hidden="1" thickBot="1" x14ac:dyDescent="0.3">
      <c r="B92" s="62" t="s">
        <v>152</v>
      </c>
      <c r="C92" s="67" t="s">
        <v>167</v>
      </c>
      <c r="D92" s="118"/>
      <c r="E92" s="64" t="s">
        <v>154</v>
      </c>
      <c r="F92" s="100">
        <v>45825</v>
      </c>
      <c r="G92" s="71">
        <v>1167</v>
      </c>
      <c r="H92" s="34" t="str">
        <f t="shared" si="33"/>
        <v>-</v>
      </c>
      <c r="I92" s="35"/>
      <c r="J92" s="34">
        <f t="shared" si="34"/>
        <v>0</v>
      </c>
      <c r="K92" s="36">
        <f t="shared" si="35"/>
        <v>0</v>
      </c>
      <c r="L92" s="34">
        <f t="shared" si="36"/>
        <v>0</v>
      </c>
      <c r="M92" s="37">
        <f t="shared" si="37"/>
        <v>0</v>
      </c>
    </row>
    <row r="93" spans="2:13" ht="15.75" hidden="1" thickBot="1" x14ac:dyDescent="0.3">
      <c r="B93" s="62" t="s">
        <v>152</v>
      </c>
      <c r="C93" s="67" t="s">
        <v>168</v>
      </c>
      <c r="D93" s="118"/>
      <c r="E93" s="64" t="s">
        <v>169</v>
      </c>
      <c r="F93" s="100">
        <v>45825</v>
      </c>
      <c r="G93" s="71">
        <v>211</v>
      </c>
      <c r="H93" s="34" t="str">
        <f t="shared" si="33"/>
        <v>-</v>
      </c>
      <c r="I93" s="35"/>
      <c r="J93" s="34">
        <f t="shared" si="34"/>
        <v>0</v>
      </c>
      <c r="K93" s="36">
        <f t="shared" si="35"/>
        <v>0</v>
      </c>
      <c r="L93" s="34">
        <f t="shared" si="36"/>
        <v>0</v>
      </c>
      <c r="M93" s="37">
        <f t="shared" si="37"/>
        <v>0</v>
      </c>
    </row>
    <row r="94" spans="2:13" ht="15.75" hidden="1" thickBot="1" x14ac:dyDescent="0.3">
      <c r="B94" s="62" t="s">
        <v>152</v>
      </c>
      <c r="C94" s="67" t="s">
        <v>170</v>
      </c>
      <c r="D94" s="118"/>
      <c r="E94" s="64"/>
      <c r="F94" s="100">
        <v>45336</v>
      </c>
      <c r="G94" s="71">
        <v>1291.67</v>
      </c>
      <c r="H94" s="34" t="str">
        <f t="shared" si="33"/>
        <v>-</v>
      </c>
      <c r="I94" s="35"/>
      <c r="J94" s="34">
        <f t="shared" si="34"/>
        <v>0</v>
      </c>
      <c r="K94" s="36">
        <f t="shared" si="35"/>
        <v>0</v>
      </c>
      <c r="L94" s="34"/>
      <c r="M94" s="37"/>
    </row>
    <row r="95" spans="2:13" ht="15.75" hidden="1" thickBot="1" x14ac:dyDescent="0.3">
      <c r="B95" s="62" t="s">
        <v>152</v>
      </c>
      <c r="C95" s="64" t="s">
        <v>166</v>
      </c>
      <c r="D95" s="64" t="s">
        <v>171</v>
      </c>
      <c r="E95" s="64" t="s">
        <v>154</v>
      </c>
      <c r="F95" s="100"/>
      <c r="G95" s="66">
        <v>852</v>
      </c>
      <c r="H95" s="34" t="str">
        <f t="shared" si="33"/>
        <v>-</v>
      </c>
      <c r="I95" s="35"/>
      <c r="J95" s="34">
        <f t="shared" si="34"/>
        <v>0</v>
      </c>
      <c r="K95" s="36">
        <f t="shared" si="35"/>
        <v>0</v>
      </c>
      <c r="L95" s="34"/>
      <c r="M95" s="37"/>
    </row>
    <row r="96" spans="2:13" ht="15.75" hidden="1" thickBot="1" x14ac:dyDescent="0.3">
      <c r="B96" s="62" t="s">
        <v>152</v>
      </c>
      <c r="C96" s="64" t="s">
        <v>172</v>
      </c>
      <c r="D96" s="64"/>
      <c r="E96" s="64" t="s">
        <v>154</v>
      </c>
      <c r="F96" s="98">
        <v>45505</v>
      </c>
      <c r="G96" s="66">
        <v>300</v>
      </c>
      <c r="H96" s="34" t="str">
        <f t="shared" si="33"/>
        <v>-</v>
      </c>
      <c r="I96" s="35"/>
      <c r="J96" s="34">
        <f t="shared" si="34"/>
        <v>0</v>
      </c>
      <c r="K96" s="36">
        <f t="shared" si="35"/>
        <v>0</v>
      </c>
      <c r="L96" s="34">
        <f t="shared" si="36"/>
        <v>0</v>
      </c>
      <c r="M96" s="37">
        <f t="shared" si="37"/>
        <v>0</v>
      </c>
    </row>
    <row r="97" spans="2:13" ht="15.75" hidden="1" thickBot="1" x14ac:dyDescent="0.3">
      <c r="B97" s="62" t="s">
        <v>152</v>
      </c>
      <c r="C97" s="64" t="s">
        <v>173</v>
      </c>
      <c r="D97" s="64"/>
      <c r="E97" s="64" t="s">
        <v>154</v>
      </c>
      <c r="F97" s="98">
        <v>45825</v>
      </c>
      <c r="G97" s="66">
        <v>432.68</v>
      </c>
      <c r="H97" s="34" t="str">
        <f t="shared" si="33"/>
        <v>-</v>
      </c>
      <c r="I97" s="35"/>
      <c r="J97" s="34">
        <f t="shared" si="34"/>
        <v>0</v>
      </c>
      <c r="K97" s="36">
        <f t="shared" si="35"/>
        <v>0</v>
      </c>
      <c r="L97" s="34">
        <f t="shared" si="36"/>
        <v>0</v>
      </c>
      <c r="M97" s="37">
        <f t="shared" si="37"/>
        <v>0</v>
      </c>
    </row>
    <row r="98" spans="2:13" ht="15.75" hidden="1" thickBot="1" x14ac:dyDescent="0.3">
      <c r="B98" s="68" t="s">
        <v>152</v>
      </c>
      <c r="C98" s="90" t="s">
        <v>174</v>
      </c>
      <c r="D98" s="90"/>
      <c r="E98" s="67" t="s">
        <v>154</v>
      </c>
      <c r="F98" s="14">
        <v>45630</v>
      </c>
      <c r="G98" s="91">
        <v>457.4</v>
      </c>
      <c r="H98" s="34" t="str">
        <f t="shared" si="33"/>
        <v>-</v>
      </c>
      <c r="I98" s="35"/>
      <c r="J98" s="34">
        <f t="shared" si="34"/>
        <v>0</v>
      </c>
      <c r="K98" s="36">
        <f t="shared" si="35"/>
        <v>0</v>
      </c>
      <c r="L98" s="34">
        <f t="shared" si="36"/>
        <v>0</v>
      </c>
      <c r="M98" s="37">
        <f t="shared" si="37"/>
        <v>0</v>
      </c>
    </row>
    <row r="99" spans="2:13" ht="15.75" hidden="1" thickBot="1" x14ac:dyDescent="0.3">
      <c r="B99" s="48"/>
      <c r="C99" s="49" t="s">
        <v>175</v>
      </c>
      <c r="D99" s="50"/>
      <c r="E99" s="50"/>
      <c r="F99" s="73"/>
      <c r="G99" s="52"/>
      <c r="H99" s="41" t="str">
        <f t="shared" si="33"/>
        <v>-</v>
      </c>
      <c r="I99" s="42"/>
      <c r="J99" s="41">
        <f t="shared" si="34"/>
        <v>0</v>
      </c>
      <c r="K99" s="43">
        <f t="shared" si="35"/>
        <v>0</v>
      </c>
      <c r="L99" s="41">
        <f t="shared" si="36"/>
        <v>0</v>
      </c>
      <c r="M99" s="44">
        <f t="shared" si="37"/>
        <v>0</v>
      </c>
    </row>
    <row r="100" spans="2:13" ht="15.75" thickBot="1" x14ac:dyDescent="0.3">
      <c r="B100" s="57" t="s">
        <v>176</v>
      </c>
      <c r="C100" s="58" t="s">
        <v>177</v>
      </c>
      <c r="D100" s="59"/>
      <c r="E100" s="59" t="s">
        <v>178</v>
      </c>
      <c r="F100" s="98">
        <v>45827</v>
      </c>
      <c r="G100" s="61">
        <v>67</v>
      </c>
      <c r="H100" s="53"/>
      <c r="I100" s="54" t="s">
        <v>42</v>
      </c>
      <c r="J100" s="94">
        <f>SUM(J101:J160)</f>
        <v>0</v>
      </c>
      <c r="K100" s="55"/>
      <c r="L100" s="94">
        <f t="shared" ref="L100:M100" si="38">SUM(L101:L160)</f>
        <v>0</v>
      </c>
      <c r="M100" s="97">
        <f t="shared" si="38"/>
        <v>0</v>
      </c>
    </row>
    <row r="101" spans="2:13" x14ac:dyDescent="0.25">
      <c r="B101" s="62" t="s">
        <v>176</v>
      </c>
      <c r="C101" s="63" t="s">
        <v>179</v>
      </c>
      <c r="D101" s="64" t="s">
        <v>180</v>
      </c>
      <c r="E101" s="64" t="s">
        <v>178</v>
      </c>
      <c r="F101" s="98">
        <v>45796</v>
      </c>
      <c r="G101" s="66">
        <v>85</v>
      </c>
      <c r="H101" s="15" t="str">
        <f t="shared" ref="H101:H161" si="39">IFERROR(L101/I101,"-")</f>
        <v>-</v>
      </c>
      <c r="I101" s="16"/>
      <c r="J101" s="15">
        <f t="shared" ref="J101:J132" si="40">G100*I101</f>
        <v>0</v>
      </c>
      <c r="K101" s="17">
        <f t="shared" ref="K101:K180" si="41">$K$5</f>
        <v>0</v>
      </c>
      <c r="L101" s="15">
        <f t="shared" ref="L101:L160" si="42">J101*(1+K101)</f>
        <v>0</v>
      </c>
      <c r="M101" s="18">
        <f t="shared" ref="M101:M160" si="43">L101-J101</f>
        <v>0</v>
      </c>
    </row>
    <row r="102" spans="2:13" x14ac:dyDescent="0.25">
      <c r="B102" s="62" t="s">
        <v>176</v>
      </c>
      <c r="C102" s="63" t="s">
        <v>181</v>
      </c>
      <c r="D102" s="64" t="s">
        <v>182</v>
      </c>
      <c r="E102" s="64" t="s">
        <v>178</v>
      </c>
      <c r="F102" s="98">
        <v>45796</v>
      </c>
      <c r="G102" s="66">
        <v>120</v>
      </c>
      <c r="H102" s="34" t="str">
        <f t="shared" si="39"/>
        <v>-</v>
      </c>
      <c r="I102" s="35"/>
      <c r="J102" s="34">
        <f t="shared" si="40"/>
        <v>0</v>
      </c>
      <c r="K102" s="36">
        <f t="shared" si="41"/>
        <v>0</v>
      </c>
      <c r="L102" s="34">
        <f t="shared" si="42"/>
        <v>0</v>
      </c>
      <c r="M102" s="37">
        <f t="shared" si="43"/>
        <v>0</v>
      </c>
    </row>
    <row r="103" spans="2:13" x14ac:dyDescent="0.25">
      <c r="B103" s="62" t="s">
        <v>176</v>
      </c>
      <c r="C103" s="63" t="s">
        <v>183</v>
      </c>
      <c r="D103" s="64" t="s">
        <v>184</v>
      </c>
      <c r="E103" s="64" t="s">
        <v>178</v>
      </c>
      <c r="F103" s="98">
        <v>45796</v>
      </c>
      <c r="G103" s="66">
        <v>165</v>
      </c>
      <c r="H103" s="34" t="str">
        <f t="shared" si="39"/>
        <v>-</v>
      </c>
      <c r="I103" s="35"/>
      <c r="J103" s="34">
        <f t="shared" si="40"/>
        <v>0</v>
      </c>
      <c r="K103" s="36">
        <f t="shared" si="41"/>
        <v>0</v>
      </c>
      <c r="L103" s="34">
        <f t="shared" si="42"/>
        <v>0</v>
      </c>
      <c r="M103" s="37">
        <f t="shared" si="43"/>
        <v>0</v>
      </c>
    </row>
    <row r="104" spans="2:13" x14ac:dyDescent="0.25">
      <c r="B104" s="62" t="s">
        <v>176</v>
      </c>
      <c r="C104" s="63" t="s">
        <v>185</v>
      </c>
      <c r="D104" s="64" t="s">
        <v>186</v>
      </c>
      <c r="E104" s="64" t="s">
        <v>178</v>
      </c>
      <c r="F104" s="98">
        <v>45796</v>
      </c>
      <c r="G104" s="66">
        <v>220</v>
      </c>
      <c r="H104" s="34" t="str">
        <f t="shared" si="39"/>
        <v>-</v>
      </c>
      <c r="I104" s="35"/>
      <c r="J104" s="34">
        <f t="shared" si="40"/>
        <v>0</v>
      </c>
      <c r="K104" s="36">
        <f t="shared" si="41"/>
        <v>0</v>
      </c>
      <c r="L104" s="34">
        <f t="shared" si="42"/>
        <v>0</v>
      </c>
      <c r="M104" s="37">
        <f t="shared" si="43"/>
        <v>0</v>
      </c>
    </row>
    <row r="105" spans="2:13" x14ac:dyDescent="0.25">
      <c r="B105" s="62" t="s">
        <v>176</v>
      </c>
      <c r="C105" s="63" t="s">
        <v>187</v>
      </c>
      <c r="D105" s="64" t="s">
        <v>188</v>
      </c>
      <c r="E105" s="64" t="s">
        <v>178</v>
      </c>
      <c r="F105" s="98">
        <v>45796</v>
      </c>
      <c r="G105" s="66">
        <v>280</v>
      </c>
      <c r="H105" s="34" t="str">
        <f t="shared" si="39"/>
        <v>-</v>
      </c>
      <c r="I105" s="35"/>
      <c r="J105" s="34">
        <f t="shared" si="40"/>
        <v>0</v>
      </c>
      <c r="K105" s="36">
        <f t="shared" si="41"/>
        <v>0</v>
      </c>
      <c r="L105" s="34">
        <f t="shared" si="42"/>
        <v>0</v>
      </c>
      <c r="M105" s="37">
        <f t="shared" si="43"/>
        <v>0</v>
      </c>
    </row>
    <row r="106" spans="2:13" x14ac:dyDescent="0.25">
      <c r="B106" s="62" t="s">
        <v>176</v>
      </c>
      <c r="C106" s="63" t="s">
        <v>189</v>
      </c>
      <c r="D106" s="64" t="s">
        <v>190</v>
      </c>
      <c r="E106" s="64" t="s">
        <v>178</v>
      </c>
      <c r="F106" s="98">
        <v>45796</v>
      </c>
      <c r="G106" s="66">
        <v>340</v>
      </c>
      <c r="H106" s="34" t="str">
        <f t="shared" si="39"/>
        <v>-</v>
      </c>
      <c r="I106" s="35"/>
      <c r="J106" s="34">
        <f t="shared" si="40"/>
        <v>0</v>
      </c>
      <c r="K106" s="36">
        <f t="shared" si="41"/>
        <v>0</v>
      </c>
      <c r="L106" s="34">
        <f t="shared" si="42"/>
        <v>0</v>
      </c>
      <c r="M106" s="37">
        <f t="shared" si="43"/>
        <v>0</v>
      </c>
    </row>
    <row r="107" spans="2:13" x14ac:dyDescent="0.25">
      <c r="B107" s="62" t="s">
        <v>176</v>
      </c>
      <c r="C107" s="63" t="s">
        <v>191</v>
      </c>
      <c r="D107" s="64"/>
      <c r="E107" s="64" t="s">
        <v>178</v>
      </c>
      <c r="F107" s="98">
        <v>45796</v>
      </c>
      <c r="G107" s="66">
        <v>430</v>
      </c>
      <c r="H107" s="34" t="str">
        <f t="shared" si="39"/>
        <v>-</v>
      </c>
      <c r="I107" s="35"/>
      <c r="J107" s="34">
        <f t="shared" si="40"/>
        <v>0</v>
      </c>
      <c r="K107" s="36">
        <f t="shared" si="41"/>
        <v>0</v>
      </c>
      <c r="L107" s="34">
        <f t="shared" si="42"/>
        <v>0</v>
      </c>
      <c r="M107" s="37">
        <f t="shared" si="43"/>
        <v>0</v>
      </c>
    </row>
    <row r="108" spans="2:13" hidden="1" x14ac:dyDescent="0.25">
      <c r="B108" s="62" t="s">
        <v>192</v>
      </c>
      <c r="C108" s="63" t="s">
        <v>193</v>
      </c>
      <c r="D108" s="64"/>
      <c r="E108" s="64" t="s">
        <v>178</v>
      </c>
      <c r="F108" s="98">
        <v>45796</v>
      </c>
      <c r="G108" s="66">
        <v>170</v>
      </c>
      <c r="H108" s="34" t="str">
        <f t="shared" si="39"/>
        <v>-</v>
      </c>
      <c r="I108" s="35"/>
      <c r="J108" s="34">
        <f t="shared" si="40"/>
        <v>0</v>
      </c>
      <c r="K108" s="36">
        <f t="shared" si="41"/>
        <v>0</v>
      </c>
      <c r="L108" s="34">
        <f t="shared" si="42"/>
        <v>0</v>
      </c>
      <c r="M108" s="37">
        <f t="shared" si="43"/>
        <v>0</v>
      </c>
    </row>
    <row r="109" spans="2:13" x14ac:dyDescent="0.25">
      <c r="B109" s="62" t="s">
        <v>176</v>
      </c>
      <c r="C109" s="63" t="s">
        <v>194</v>
      </c>
      <c r="D109" s="64" t="s">
        <v>195</v>
      </c>
      <c r="E109" s="64" t="s">
        <v>178</v>
      </c>
      <c r="F109" s="98">
        <v>45796</v>
      </c>
      <c r="G109" s="66">
        <v>75</v>
      </c>
      <c r="H109" s="34" t="str">
        <f t="shared" si="39"/>
        <v>-</v>
      </c>
      <c r="I109" s="35"/>
      <c r="J109" s="34">
        <f t="shared" si="40"/>
        <v>0</v>
      </c>
      <c r="K109" s="36">
        <f t="shared" si="41"/>
        <v>0</v>
      </c>
      <c r="L109" s="34">
        <f t="shared" si="42"/>
        <v>0</v>
      </c>
      <c r="M109" s="37">
        <f t="shared" si="43"/>
        <v>0</v>
      </c>
    </row>
    <row r="110" spans="2:13" hidden="1" x14ac:dyDescent="0.25">
      <c r="B110" s="62" t="s">
        <v>192</v>
      </c>
      <c r="C110" s="116" t="s">
        <v>196</v>
      </c>
      <c r="D110" s="64" t="s">
        <v>197</v>
      </c>
      <c r="E110" s="64" t="s">
        <v>178</v>
      </c>
      <c r="F110" s="98">
        <v>45796</v>
      </c>
      <c r="G110" s="119">
        <v>110</v>
      </c>
      <c r="H110" s="34" t="str">
        <f t="shared" si="39"/>
        <v>-</v>
      </c>
      <c r="I110" s="35"/>
      <c r="J110" s="34">
        <f t="shared" si="40"/>
        <v>0</v>
      </c>
      <c r="K110" s="36">
        <f t="shared" si="41"/>
        <v>0</v>
      </c>
      <c r="L110" s="34">
        <f t="shared" si="42"/>
        <v>0</v>
      </c>
      <c r="M110" s="37">
        <f t="shared" si="43"/>
        <v>0</v>
      </c>
    </row>
    <row r="111" spans="2:13" hidden="1" x14ac:dyDescent="0.25">
      <c r="B111" s="62" t="s">
        <v>192</v>
      </c>
      <c r="C111" s="116" t="s">
        <v>198</v>
      </c>
      <c r="D111" s="64" t="s">
        <v>197</v>
      </c>
      <c r="E111" s="64" t="s">
        <v>178</v>
      </c>
      <c r="F111" s="98">
        <v>45796</v>
      </c>
      <c r="G111" s="119">
        <v>95</v>
      </c>
      <c r="H111" s="34" t="str">
        <f t="shared" si="39"/>
        <v>-</v>
      </c>
      <c r="I111" s="35"/>
      <c r="J111" s="34">
        <f t="shared" si="40"/>
        <v>0</v>
      </c>
      <c r="K111" s="36">
        <f t="shared" si="41"/>
        <v>0</v>
      </c>
      <c r="L111" s="34">
        <f t="shared" si="42"/>
        <v>0</v>
      </c>
      <c r="M111" s="37">
        <f t="shared" si="43"/>
        <v>0</v>
      </c>
    </row>
    <row r="112" spans="2:13" hidden="1" x14ac:dyDescent="0.25">
      <c r="B112" s="62" t="s">
        <v>192</v>
      </c>
      <c r="C112" s="63" t="s">
        <v>199</v>
      </c>
      <c r="D112" s="64"/>
      <c r="E112" s="64" t="s">
        <v>178</v>
      </c>
      <c r="F112" s="98">
        <v>45796</v>
      </c>
      <c r="G112" s="66">
        <v>180</v>
      </c>
      <c r="H112" s="34" t="str">
        <f t="shared" si="39"/>
        <v>-</v>
      </c>
      <c r="I112" s="35"/>
      <c r="J112" s="34">
        <f t="shared" si="40"/>
        <v>0</v>
      </c>
      <c r="K112" s="36">
        <f t="shared" si="41"/>
        <v>0</v>
      </c>
      <c r="L112" s="34">
        <f t="shared" si="42"/>
        <v>0</v>
      </c>
      <c r="M112" s="37">
        <f t="shared" si="43"/>
        <v>0</v>
      </c>
    </row>
    <row r="113" spans="2:13" hidden="1" x14ac:dyDescent="0.25">
      <c r="B113" s="62" t="s">
        <v>192</v>
      </c>
      <c r="C113" s="63" t="s">
        <v>200</v>
      </c>
      <c r="D113" s="64"/>
      <c r="E113" s="64" t="s">
        <v>178</v>
      </c>
      <c r="F113" s="98">
        <v>45796</v>
      </c>
      <c r="G113" s="66">
        <v>130</v>
      </c>
      <c r="H113" s="34" t="str">
        <f t="shared" si="39"/>
        <v>-</v>
      </c>
      <c r="I113" s="35"/>
      <c r="J113" s="34">
        <f t="shared" si="40"/>
        <v>0</v>
      </c>
      <c r="K113" s="36">
        <f t="shared" si="41"/>
        <v>0</v>
      </c>
      <c r="L113" s="34">
        <f t="shared" si="42"/>
        <v>0</v>
      </c>
      <c r="M113" s="37">
        <f t="shared" si="43"/>
        <v>0</v>
      </c>
    </row>
    <row r="114" spans="2:13" hidden="1" x14ac:dyDescent="0.25">
      <c r="B114" s="62" t="s">
        <v>192</v>
      </c>
      <c r="C114" s="63" t="s">
        <v>201</v>
      </c>
      <c r="D114" s="64"/>
      <c r="E114" s="64" t="s">
        <v>202</v>
      </c>
      <c r="F114" s="98">
        <v>45796</v>
      </c>
      <c r="G114" s="66">
        <v>220</v>
      </c>
      <c r="H114" s="34" t="str">
        <f t="shared" si="39"/>
        <v>-</v>
      </c>
      <c r="I114" s="35"/>
      <c r="J114" s="34">
        <f t="shared" si="40"/>
        <v>0</v>
      </c>
      <c r="K114" s="36">
        <f t="shared" si="41"/>
        <v>0</v>
      </c>
      <c r="L114" s="34">
        <f t="shared" si="42"/>
        <v>0</v>
      </c>
      <c r="M114" s="37">
        <f t="shared" si="43"/>
        <v>0</v>
      </c>
    </row>
    <row r="115" spans="2:13" hidden="1" x14ac:dyDescent="0.25">
      <c r="B115" s="62" t="s">
        <v>192</v>
      </c>
      <c r="C115" s="63" t="s">
        <v>203</v>
      </c>
      <c r="D115" s="64"/>
      <c r="E115" s="64" t="s">
        <v>178</v>
      </c>
      <c r="F115" s="98">
        <v>45796</v>
      </c>
      <c r="G115" s="66">
        <v>600</v>
      </c>
      <c r="H115" s="34"/>
      <c r="I115" s="35"/>
      <c r="J115" s="34">
        <f t="shared" si="40"/>
        <v>0</v>
      </c>
      <c r="K115" s="36">
        <f t="shared" si="41"/>
        <v>0</v>
      </c>
      <c r="L115" s="34">
        <f t="shared" si="42"/>
        <v>0</v>
      </c>
      <c r="M115" s="37">
        <f t="shared" si="43"/>
        <v>0</v>
      </c>
    </row>
    <row r="116" spans="2:13" hidden="1" x14ac:dyDescent="0.25">
      <c r="B116" s="62" t="s">
        <v>192</v>
      </c>
      <c r="C116" s="63" t="s">
        <v>204</v>
      </c>
      <c r="D116" s="64"/>
      <c r="E116" s="64" t="s">
        <v>178</v>
      </c>
      <c r="F116" s="98">
        <v>45796</v>
      </c>
      <c r="G116" s="66">
        <v>69</v>
      </c>
      <c r="H116" s="34"/>
      <c r="I116" s="35"/>
      <c r="J116" s="34">
        <f t="shared" si="40"/>
        <v>0</v>
      </c>
      <c r="K116" s="36">
        <f t="shared" si="41"/>
        <v>0</v>
      </c>
      <c r="L116" s="34">
        <f t="shared" si="42"/>
        <v>0</v>
      </c>
      <c r="M116" s="37">
        <f t="shared" si="43"/>
        <v>0</v>
      </c>
    </row>
    <row r="117" spans="2:13" hidden="1" x14ac:dyDescent="0.25">
      <c r="B117" s="62" t="s">
        <v>192</v>
      </c>
      <c r="C117" s="63" t="s">
        <v>205</v>
      </c>
      <c r="D117" s="64"/>
      <c r="E117" s="64" t="s">
        <v>178</v>
      </c>
      <c r="F117" s="98">
        <v>45796</v>
      </c>
      <c r="G117" s="66">
        <v>150</v>
      </c>
      <c r="H117" s="34" t="str">
        <f t="shared" si="39"/>
        <v>-</v>
      </c>
      <c r="I117" s="35"/>
      <c r="J117" s="34">
        <f t="shared" si="40"/>
        <v>0</v>
      </c>
      <c r="K117" s="36">
        <f t="shared" si="41"/>
        <v>0</v>
      </c>
      <c r="L117" s="34">
        <f t="shared" si="42"/>
        <v>0</v>
      </c>
      <c r="M117" s="37">
        <f t="shared" si="43"/>
        <v>0</v>
      </c>
    </row>
    <row r="118" spans="2:13" hidden="1" x14ac:dyDescent="0.25">
      <c r="B118" s="62" t="s">
        <v>192</v>
      </c>
      <c r="C118" s="63" t="s">
        <v>206</v>
      </c>
      <c r="D118" s="64"/>
      <c r="E118" s="64" t="s">
        <v>178</v>
      </c>
      <c r="F118" s="98">
        <v>45796</v>
      </c>
      <c r="G118" s="66">
        <v>120</v>
      </c>
      <c r="H118" s="34" t="str">
        <f t="shared" si="39"/>
        <v>-</v>
      </c>
      <c r="I118" s="35"/>
      <c r="J118" s="34">
        <f t="shared" si="40"/>
        <v>0</v>
      </c>
      <c r="K118" s="36">
        <f t="shared" si="41"/>
        <v>0</v>
      </c>
      <c r="L118" s="34">
        <f t="shared" si="42"/>
        <v>0</v>
      </c>
      <c r="M118" s="37">
        <f t="shared" si="43"/>
        <v>0</v>
      </c>
    </row>
    <row r="119" spans="2:13" hidden="1" x14ac:dyDescent="0.25">
      <c r="B119" s="62" t="s">
        <v>192</v>
      </c>
      <c r="C119" s="63" t="s">
        <v>207</v>
      </c>
      <c r="D119" s="64"/>
      <c r="E119" s="64" t="s">
        <v>178</v>
      </c>
      <c r="F119" s="98">
        <v>45796</v>
      </c>
      <c r="G119" s="66">
        <v>170</v>
      </c>
      <c r="H119" s="34" t="str">
        <f t="shared" si="39"/>
        <v>-</v>
      </c>
      <c r="I119" s="35"/>
      <c r="J119" s="34">
        <f t="shared" si="40"/>
        <v>0</v>
      </c>
      <c r="K119" s="36">
        <f t="shared" si="41"/>
        <v>0</v>
      </c>
      <c r="L119" s="34">
        <f t="shared" si="42"/>
        <v>0</v>
      </c>
      <c r="M119" s="37">
        <f t="shared" si="43"/>
        <v>0</v>
      </c>
    </row>
    <row r="120" spans="2:13" hidden="1" x14ac:dyDescent="0.25">
      <c r="B120" s="62" t="s">
        <v>192</v>
      </c>
      <c r="C120" s="63" t="s">
        <v>208</v>
      </c>
      <c r="D120" s="64"/>
      <c r="E120" s="64" t="s">
        <v>178</v>
      </c>
      <c r="F120" s="98">
        <v>45796</v>
      </c>
      <c r="G120" s="66">
        <v>270</v>
      </c>
      <c r="H120" s="34" t="str">
        <f t="shared" si="39"/>
        <v>-</v>
      </c>
      <c r="I120" s="35"/>
      <c r="J120" s="34">
        <f t="shared" si="40"/>
        <v>0</v>
      </c>
      <c r="K120" s="36">
        <f t="shared" si="41"/>
        <v>0</v>
      </c>
      <c r="L120" s="34">
        <f t="shared" si="42"/>
        <v>0</v>
      </c>
      <c r="M120" s="37">
        <f t="shared" si="43"/>
        <v>0</v>
      </c>
    </row>
    <row r="121" spans="2:13" hidden="1" x14ac:dyDescent="0.25">
      <c r="B121" s="62" t="s">
        <v>192</v>
      </c>
      <c r="C121" s="116" t="s">
        <v>209</v>
      </c>
      <c r="D121" s="64"/>
      <c r="E121" s="64" t="s">
        <v>178</v>
      </c>
      <c r="F121" s="98">
        <v>45796</v>
      </c>
      <c r="G121" s="119">
        <v>430</v>
      </c>
      <c r="H121" s="34" t="str">
        <f t="shared" si="39"/>
        <v>-</v>
      </c>
      <c r="I121" s="35"/>
      <c r="J121" s="34">
        <f t="shared" si="40"/>
        <v>0</v>
      </c>
      <c r="K121" s="36">
        <f t="shared" si="41"/>
        <v>0</v>
      </c>
      <c r="L121" s="34">
        <f t="shared" si="42"/>
        <v>0</v>
      </c>
      <c r="M121" s="37">
        <f t="shared" si="43"/>
        <v>0</v>
      </c>
    </row>
    <row r="122" spans="2:13" hidden="1" x14ac:dyDescent="0.25">
      <c r="B122" s="62" t="s">
        <v>192</v>
      </c>
      <c r="C122" s="116" t="s">
        <v>210</v>
      </c>
      <c r="D122" s="64"/>
      <c r="E122" s="64" t="s">
        <v>178</v>
      </c>
      <c r="F122" s="98">
        <v>45796</v>
      </c>
      <c r="G122" s="119">
        <v>370</v>
      </c>
      <c r="H122" s="34" t="str">
        <f t="shared" si="39"/>
        <v>-</v>
      </c>
      <c r="I122" s="35"/>
      <c r="J122" s="34">
        <f t="shared" si="40"/>
        <v>0</v>
      </c>
      <c r="K122" s="36">
        <f t="shared" si="41"/>
        <v>0</v>
      </c>
      <c r="L122" s="34">
        <f t="shared" si="42"/>
        <v>0</v>
      </c>
      <c r="M122" s="37">
        <f t="shared" si="43"/>
        <v>0</v>
      </c>
    </row>
    <row r="123" spans="2:13" hidden="1" x14ac:dyDescent="0.25">
      <c r="B123" s="62" t="s">
        <v>192</v>
      </c>
      <c r="C123" s="116" t="s">
        <v>211</v>
      </c>
      <c r="D123" s="64" t="s">
        <v>212</v>
      </c>
      <c r="E123" s="64" t="s">
        <v>178</v>
      </c>
      <c r="F123" s="98">
        <v>45796</v>
      </c>
      <c r="G123" s="119">
        <v>535</v>
      </c>
      <c r="H123" s="34" t="str">
        <f t="shared" si="39"/>
        <v>-</v>
      </c>
      <c r="I123" s="35"/>
      <c r="J123" s="34">
        <f t="shared" si="40"/>
        <v>0</v>
      </c>
      <c r="K123" s="36">
        <f t="shared" si="41"/>
        <v>0</v>
      </c>
      <c r="L123" s="34">
        <f t="shared" si="42"/>
        <v>0</v>
      </c>
      <c r="M123" s="37">
        <f t="shared" si="43"/>
        <v>0</v>
      </c>
    </row>
    <row r="124" spans="2:13" hidden="1" x14ac:dyDescent="0.25">
      <c r="B124" s="62" t="s">
        <v>192</v>
      </c>
      <c r="C124" s="116" t="s">
        <v>213</v>
      </c>
      <c r="D124" s="64"/>
      <c r="E124" s="64" t="s">
        <v>178</v>
      </c>
      <c r="F124" s="98">
        <v>45796</v>
      </c>
      <c r="G124" s="119">
        <v>500</v>
      </c>
      <c r="H124" s="34" t="str">
        <f t="shared" si="39"/>
        <v>-</v>
      </c>
      <c r="I124" s="35"/>
      <c r="J124" s="34">
        <f t="shared" si="40"/>
        <v>0</v>
      </c>
      <c r="K124" s="36">
        <f t="shared" si="41"/>
        <v>0</v>
      </c>
      <c r="L124" s="34">
        <f t="shared" si="42"/>
        <v>0</v>
      </c>
      <c r="M124" s="37">
        <f t="shared" si="43"/>
        <v>0</v>
      </c>
    </row>
    <row r="125" spans="2:13" hidden="1" x14ac:dyDescent="0.25">
      <c r="B125" s="62" t="s">
        <v>192</v>
      </c>
      <c r="C125" s="116" t="s">
        <v>214</v>
      </c>
      <c r="D125" s="64"/>
      <c r="E125" s="64" t="s">
        <v>178</v>
      </c>
      <c r="F125" s="98">
        <v>45796</v>
      </c>
      <c r="G125" s="120">
        <v>690</v>
      </c>
      <c r="H125" s="34" t="str">
        <f t="shared" si="39"/>
        <v>-</v>
      </c>
      <c r="I125" s="35"/>
      <c r="J125" s="34">
        <f t="shared" si="40"/>
        <v>0</v>
      </c>
      <c r="K125" s="36">
        <f t="shared" si="41"/>
        <v>0</v>
      </c>
      <c r="L125" s="34">
        <f t="shared" si="42"/>
        <v>0</v>
      </c>
      <c r="M125" s="37">
        <f t="shared" si="43"/>
        <v>0</v>
      </c>
    </row>
    <row r="126" spans="2:13" hidden="1" x14ac:dyDescent="0.25">
      <c r="B126" s="62" t="s">
        <v>192</v>
      </c>
      <c r="C126" s="63" t="s">
        <v>215</v>
      </c>
      <c r="D126" s="64" t="s">
        <v>212</v>
      </c>
      <c r="E126" s="64" t="s">
        <v>178</v>
      </c>
      <c r="F126" s="98">
        <v>45796</v>
      </c>
      <c r="G126" s="66">
        <v>1155</v>
      </c>
      <c r="H126" s="34" t="str">
        <f t="shared" si="39"/>
        <v>-</v>
      </c>
      <c r="I126" s="35"/>
      <c r="J126" s="34">
        <f t="shared" si="40"/>
        <v>0</v>
      </c>
      <c r="K126" s="36">
        <f t="shared" si="41"/>
        <v>0</v>
      </c>
      <c r="L126" s="34">
        <f t="shared" si="42"/>
        <v>0</v>
      </c>
      <c r="M126" s="37">
        <f t="shared" si="43"/>
        <v>0</v>
      </c>
    </row>
    <row r="127" spans="2:13" hidden="1" x14ac:dyDescent="0.25">
      <c r="B127" s="62" t="s">
        <v>192</v>
      </c>
      <c r="C127" s="63" t="s">
        <v>216</v>
      </c>
      <c r="D127" s="64"/>
      <c r="E127" s="64" t="s">
        <v>178</v>
      </c>
      <c r="F127" s="98">
        <v>45796</v>
      </c>
      <c r="G127" s="66">
        <v>895</v>
      </c>
      <c r="H127" s="34" t="str">
        <f t="shared" si="39"/>
        <v>-</v>
      </c>
      <c r="I127" s="35"/>
      <c r="J127" s="34">
        <f t="shared" si="40"/>
        <v>0</v>
      </c>
      <c r="K127" s="36">
        <f t="shared" si="41"/>
        <v>0</v>
      </c>
      <c r="L127" s="34">
        <f t="shared" si="42"/>
        <v>0</v>
      </c>
      <c r="M127" s="37">
        <f t="shared" si="43"/>
        <v>0</v>
      </c>
    </row>
    <row r="128" spans="2:13" hidden="1" x14ac:dyDescent="0.25">
      <c r="B128" s="62" t="s">
        <v>192</v>
      </c>
      <c r="C128" s="63" t="s">
        <v>217</v>
      </c>
      <c r="D128" s="64"/>
      <c r="E128" s="64" t="s">
        <v>178</v>
      </c>
      <c r="F128" s="98">
        <v>45796</v>
      </c>
      <c r="G128" s="66">
        <v>1165</v>
      </c>
      <c r="H128" s="34" t="str">
        <f t="shared" si="39"/>
        <v>-</v>
      </c>
      <c r="I128" s="35"/>
      <c r="J128" s="34">
        <f t="shared" si="40"/>
        <v>0</v>
      </c>
      <c r="K128" s="36">
        <f t="shared" si="41"/>
        <v>0</v>
      </c>
      <c r="L128" s="34">
        <f t="shared" si="42"/>
        <v>0</v>
      </c>
      <c r="M128" s="37">
        <f t="shared" si="43"/>
        <v>0</v>
      </c>
    </row>
    <row r="129" spans="2:13" hidden="1" x14ac:dyDescent="0.25">
      <c r="B129" s="62" t="s">
        <v>192</v>
      </c>
      <c r="C129" s="63" t="s">
        <v>218</v>
      </c>
      <c r="D129" s="64"/>
      <c r="E129" s="64" t="s">
        <v>178</v>
      </c>
      <c r="F129" s="98">
        <v>45796</v>
      </c>
      <c r="G129" s="66">
        <v>1490</v>
      </c>
      <c r="H129" s="34" t="str">
        <f t="shared" si="39"/>
        <v>-</v>
      </c>
      <c r="I129" s="35"/>
      <c r="J129" s="34">
        <f t="shared" si="40"/>
        <v>0</v>
      </c>
      <c r="K129" s="36">
        <f t="shared" si="41"/>
        <v>0</v>
      </c>
      <c r="L129" s="34">
        <f t="shared" si="42"/>
        <v>0</v>
      </c>
      <c r="M129" s="37">
        <f t="shared" si="43"/>
        <v>0</v>
      </c>
    </row>
    <row r="130" spans="2:13" hidden="1" x14ac:dyDescent="0.25">
      <c r="B130" s="62" t="s">
        <v>192</v>
      </c>
      <c r="C130" s="63" t="s">
        <v>219</v>
      </c>
      <c r="D130" s="64"/>
      <c r="E130" s="64" t="s">
        <v>178</v>
      </c>
      <c r="F130" s="98">
        <v>45796</v>
      </c>
      <c r="G130" s="66">
        <v>2085</v>
      </c>
      <c r="H130" s="34" t="str">
        <f t="shared" si="39"/>
        <v>-</v>
      </c>
      <c r="I130" s="35"/>
      <c r="J130" s="34">
        <f t="shared" si="40"/>
        <v>0</v>
      </c>
      <c r="K130" s="36">
        <f t="shared" si="41"/>
        <v>0</v>
      </c>
      <c r="L130" s="34">
        <f t="shared" si="42"/>
        <v>0</v>
      </c>
      <c r="M130" s="37">
        <f t="shared" si="43"/>
        <v>0</v>
      </c>
    </row>
    <row r="131" spans="2:13" hidden="1" x14ac:dyDescent="0.25">
      <c r="B131" s="62" t="s">
        <v>192</v>
      </c>
      <c r="C131" s="63" t="s">
        <v>220</v>
      </c>
      <c r="D131" s="64"/>
      <c r="E131" s="64" t="s">
        <v>178</v>
      </c>
      <c r="F131" s="98">
        <v>45796</v>
      </c>
      <c r="G131" s="66">
        <v>1790</v>
      </c>
      <c r="H131" s="34" t="str">
        <f t="shared" si="39"/>
        <v>-</v>
      </c>
      <c r="I131" s="35"/>
      <c r="J131" s="34">
        <f t="shared" si="40"/>
        <v>0</v>
      </c>
      <c r="K131" s="36">
        <f t="shared" si="41"/>
        <v>0</v>
      </c>
      <c r="L131" s="34">
        <f t="shared" si="42"/>
        <v>0</v>
      </c>
      <c r="M131" s="37">
        <f t="shared" si="43"/>
        <v>0</v>
      </c>
    </row>
    <row r="132" spans="2:13" hidden="1" x14ac:dyDescent="0.25">
      <c r="B132" s="62" t="s">
        <v>192</v>
      </c>
      <c r="C132" s="63" t="s">
        <v>221</v>
      </c>
      <c r="D132" s="64" t="s">
        <v>222</v>
      </c>
      <c r="E132" s="64" t="s">
        <v>178</v>
      </c>
      <c r="F132" s="98">
        <v>45796</v>
      </c>
      <c r="G132" s="66">
        <v>125</v>
      </c>
      <c r="H132" s="34" t="str">
        <f t="shared" si="39"/>
        <v>-</v>
      </c>
      <c r="I132" s="35"/>
      <c r="J132" s="34">
        <f t="shared" si="40"/>
        <v>0</v>
      </c>
      <c r="K132" s="36">
        <f t="shared" si="41"/>
        <v>0</v>
      </c>
      <c r="L132" s="34">
        <f t="shared" si="42"/>
        <v>0</v>
      </c>
      <c r="M132" s="37">
        <f t="shared" si="43"/>
        <v>0</v>
      </c>
    </row>
    <row r="133" spans="2:13" hidden="1" x14ac:dyDescent="0.25">
      <c r="B133" s="62" t="s">
        <v>192</v>
      </c>
      <c r="C133" s="63" t="s">
        <v>223</v>
      </c>
      <c r="D133" s="64" t="s">
        <v>222</v>
      </c>
      <c r="E133" s="64"/>
      <c r="F133" s="98"/>
      <c r="G133" s="66">
        <v>70.3</v>
      </c>
      <c r="H133" s="34" t="str">
        <f t="shared" si="39"/>
        <v>-</v>
      </c>
      <c r="I133" s="35"/>
      <c r="J133" s="34">
        <f t="shared" ref="J133:J160" si="44">G132*I133</f>
        <v>0</v>
      </c>
      <c r="K133" s="36">
        <f t="shared" si="41"/>
        <v>0</v>
      </c>
      <c r="L133" s="34">
        <f t="shared" si="42"/>
        <v>0</v>
      </c>
      <c r="M133" s="37">
        <f t="shared" si="43"/>
        <v>0</v>
      </c>
    </row>
    <row r="134" spans="2:13" hidden="1" x14ac:dyDescent="0.25">
      <c r="B134" s="62" t="s">
        <v>192</v>
      </c>
      <c r="C134" s="63" t="s">
        <v>224</v>
      </c>
      <c r="D134" s="64" t="s">
        <v>225</v>
      </c>
      <c r="E134" s="64" t="s">
        <v>178</v>
      </c>
      <c r="F134" s="98">
        <v>45796</v>
      </c>
      <c r="G134" s="66">
        <v>215</v>
      </c>
      <c r="H134" s="34" t="str">
        <f t="shared" si="39"/>
        <v>-</v>
      </c>
      <c r="I134" s="35"/>
      <c r="J134" s="34">
        <f t="shared" si="44"/>
        <v>0</v>
      </c>
      <c r="K134" s="36">
        <f t="shared" si="41"/>
        <v>0</v>
      </c>
      <c r="L134" s="34">
        <f t="shared" si="42"/>
        <v>0</v>
      </c>
      <c r="M134" s="37">
        <f t="shared" si="43"/>
        <v>0</v>
      </c>
    </row>
    <row r="135" spans="2:13" hidden="1" x14ac:dyDescent="0.25">
      <c r="B135" s="62" t="s">
        <v>192</v>
      </c>
      <c r="C135" s="63" t="s">
        <v>226</v>
      </c>
      <c r="D135" s="64" t="s">
        <v>227</v>
      </c>
      <c r="E135" s="64" t="s">
        <v>178</v>
      </c>
      <c r="F135" s="98">
        <v>45827</v>
      </c>
      <c r="G135" s="66">
        <v>294</v>
      </c>
      <c r="H135" s="34" t="str">
        <f>IFERROR(L135/I135,"-")</f>
        <v>-</v>
      </c>
      <c r="I135" s="35"/>
      <c r="J135" s="34">
        <f t="shared" si="44"/>
        <v>0</v>
      </c>
      <c r="K135" s="36">
        <f t="shared" si="41"/>
        <v>0</v>
      </c>
      <c r="L135" s="34">
        <f t="shared" si="42"/>
        <v>0</v>
      </c>
      <c r="M135" s="37">
        <f t="shared" si="43"/>
        <v>0</v>
      </c>
    </row>
    <row r="136" spans="2:13" hidden="1" x14ac:dyDescent="0.25">
      <c r="B136" s="62" t="s">
        <v>192</v>
      </c>
      <c r="C136" s="63" t="s">
        <v>228</v>
      </c>
      <c r="D136" s="64" t="s">
        <v>229</v>
      </c>
      <c r="E136" s="64" t="s">
        <v>178</v>
      </c>
      <c r="F136" s="98">
        <v>45796</v>
      </c>
      <c r="G136" s="66">
        <v>460</v>
      </c>
      <c r="H136" s="34" t="str">
        <f>IFERROR(L136/I136,"-")</f>
        <v>-</v>
      </c>
      <c r="I136" s="35"/>
      <c r="J136" s="34">
        <f t="shared" si="44"/>
        <v>0</v>
      </c>
      <c r="K136" s="36">
        <f t="shared" si="41"/>
        <v>0</v>
      </c>
      <c r="L136" s="34">
        <f t="shared" si="42"/>
        <v>0</v>
      </c>
      <c r="M136" s="37">
        <f t="shared" si="43"/>
        <v>0</v>
      </c>
    </row>
    <row r="137" spans="2:13" hidden="1" x14ac:dyDescent="0.25">
      <c r="B137" s="62" t="s">
        <v>192</v>
      </c>
      <c r="C137" s="63" t="s">
        <v>230</v>
      </c>
      <c r="D137" s="64"/>
      <c r="E137" s="64"/>
      <c r="F137" s="98"/>
      <c r="G137" s="66">
        <v>333.9</v>
      </c>
      <c r="H137" s="34" t="str">
        <f>IFERROR(L137/I137,"-")</f>
        <v>-</v>
      </c>
      <c r="I137" s="35"/>
      <c r="J137" s="34">
        <f t="shared" si="44"/>
        <v>0</v>
      </c>
      <c r="K137" s="36">
        <f t="shared" si="41"/>
        <v>0</v>
      </c>
      <c r="L137" s="34">
        <f t="shared" si="42"/>
        <v>0</v>
      </c>
      <c r="M137" s="37">
        <f t="shared" si="43"/>
        <v>0</v>
      </c>
    </row>
    <row r="138" spans="2:13" x14ac:dyDescent="0.25">
      <c r="B138" s="62" t="s">
        <v>176</v>
      </c>
      <c r="C138" s="116" t="s">
        <v>231</v>
      </c>
      <c r="D138" s="64" t="s">
        <v>232</v>
      </c>
      <c r="E138" s="64" t="s">
        <v>178</v>
      </c>
      <c r="F138" s="98">
        <v>45796</v>
      </c>
      <c r="G138" s="66">
        <v>12</v>
      </c>
      <c r="H138" s="34" t="str">
        <f t="shared" ref="H138:H139" si="45">IFERROR(L138/I138,"-")</f>
        <v>-</v>
      </c>
      <c r="I138" s="35"/>
      <c r="J138" s="34">
        <f t="shared" si="44"/>
        <v>0</v>
      </c>
      <c r="K138" s="36">
        <f t="shared" si="41"/>
        <v>0</v>
      </c>
      <c r="L138" s="34">
        <f t="shared" si="42"/>
        <v>0</v>
      </c>
      <c r="M138" s="37">
        <f t="shared" si="43"/>
        <v>0</v>
      </c>
    </row>
    <row r="139" spans="2:13" x14ac:dyDescent="0.25">
      <c r="B139" s="62" t="s">
        <v>176</v>
      </c>
      <c r="C139" s="116" t="s">
        <v>233</v>
      </c>
      <c r="D139" s="64" t="s">
        <v>234</v>
      </c>
      <c r="E139" s="64" t="s">
        <v>178</v>
      </c>
      <c r="F139" s="98">
        <v>45796</v>
      </c>
      <c r="G139" s="66">
        <v>15</v>
      </c>
      <c r="H139" s="34" t="str">
        <f t="shared" si="45"/>
        <v>-</v>
      </c>
      <c r="I139" s="35"/>
      <c r="J139" s="34">
        <f t="shared" si="44"/>
        <v>0</v>
      </c>
      <c r="K139" s="36">
        <f t="shared" si="41"/>
        <v>0</v>
      </c>
      <c r="L139" s="34">
        <f t="shared" si="42"/>
        <v>0</v>
      </c>
      <c r="M139" s="37">
        <f t="shared" si="43"/>
        <v>0</v>
      </c>
    </row>
    <row r="140" spans="2:13" x14ac:dyDescent="0.25">
      <c r="B140" s="62" t="s">
        <v>176</v>
      </c>
      <c r="C140" s="116" t="s">
        <v>235</v>
      </c>
      <c r="D140" s="64"/>
      <c r="E140" s="64" t="s">
        <v>178</v>
      </c>
      <c r="F140" s="98">
        <v>45796</v>
      </c>
      <c r="G140" s="66">
        <v>31</v>
      </c>
      <c r="H140" s="34" t="str">
        <f t="shared" si="39"/>
        <v>-</v>
      </c>
      <c r="I140" s="35"/>
      <c r="J140" s="34">
        <f t="shared" si="44"/>
        <v>0</v>
      </c>
      <c r="K140" s="36">
        <f t="shared" si="41"/>
        <v>0</v>
      </c>
      <c r="L140" s="34">
        <f t="shared" si="42"/>
        <v>0</v>
      </c>
      <c r="M140" s="37">
        <f t="shared" si="43"/>
        <v>0</v>
      </c>
    </row>
    <row r="141" spans="2:13" hidden="1" x14ac:dyDescent="0.25">
      <c r="B141" s="62" t="s">
        <v>236</v>
      </c>
      <c r="C141" s="63" t="s">
        <v>237</v>
      </c>
      <c r="D141" s="64"/>
      <c r="E141" s="64" t="s">
        <v>238</v>
      </c>
      <c r="F141" s="98">
        <v>45736</v>
      </c>
      <c r="G141" s="120">
        <v>42.4</v>
      </c>
      <c r="H141" s="34" t="str">
        <f t="shared" si="39"/>
        <v>-</v>
      </c>
      <c r="I141" s="35"/>
      <c r="J141" s="34">
        <f t="shared" si="44"/>
        <v>0</v>
      </c>
      <c r="K141" s="36">
        <f t="shared" si="41"/>
        <v>0</v>
      </c>
      <c r="L141" s="34">
        <f t="shared" si="42"/>
        <v>0</v>
      </c>
      <c r="M141" s="37">
        <f t="shared" si="43"/>
        <v>0</v>
      </c>
    </row>
    <row r="142" spans="2:13" hidden="1" x14ac:dyDescent="0.25">
      <c r="B142" s="62" t="s">
        <v>236</v>
      </c>
      <c r="C142" s="63" t="s">
        <v>239</v>
      </c>
      <c r="D142" s="64"/>
      <c r="E142" s="64" t="s">
        <v>238</v>
      </c>
      <c r="F142" s="98">
        <v>45736</v>
      </c>
      <c r="G142" s="120">
        <v>179</v>
      </c>
      <c r="H142" s="34" t="str">
        <f t="shared" si="39"/>
        <v>-</v>
      </c>
      <c r="I142" s="35"/>
      <c r="J142" s="34">
        <f t="shared" si="44"/>
        <v>0</v>
      </c>
      <c r="K142" s="36">
        <f t="shared" si="41"/>
        <v>0</v>
      </c>
      <c r="L142" s="34">
        <f t="shared" si="42"/>
        <v>0</v>
      </c>
      <c r="M142" s="37">
        <f t="shared" si="43"/>
        <v>0</v>
      </c>
    </row>
    <row r="143" spans="2:13" hidden="1" x14ac:dyDescent="0.25">
      <c r="B143" s="62" t="s">
        <v>240</v>
      </c>
      <c r="C143" s="63" t="s">
        <v>241</v>
      </c>
      <c r="D143" s="64"/>
      <c r="E143" s="64" t="s">
        <v>178</v>
      </c>
      <c r="F143" s="98">
        <v>45796</v>
      </c>
      <c r="G143" s="120">
        <v>13</v>
      </c>
      <c r="H143" s="34" t="str">
        <f t="shared" si="39"/>
        <v>-</v>
      </c>
      <c r="I143" s="35"/>
      <c r="J143" s="34">
        <f t="shared" si="44"/>
        <v>0</v>
      </c>
      <c r="K143" s="36">
        <f t="shared" si="41"/>
        <v>0</v>
      </c>
      <c r="L143" s="34">
        <f t="shared" si="42"/>
        <v>0</v>
      </c>
      <c r="M143" s="37">
        <f t="shared" si="43"/>
        <v>0</v>
      </c>
    </row>
    <row r="144" spans="2:13" hidden="1" x14ac:dyDescent="0.25">
      <c r="B144" s="62" t="s">
        <v>240</v>
      </c>
      <c r="C144" s="63" t="s">
        <v>242</v>
      </c>
      <c r="D144" s="64"/>
      <c r="E144" s="64" t="s">
        <v>178</v>
      </c>
      <c r="F144" s="98">
        <v>45796</v>
      </c>
      <c r="G144" s="120">
        <v>23.5</v>
      </c>
      <c r="H144" s="34" t="str">
        <f t="shared" si="39"/>
        <v>-</v>
      </c>
      <c r="I144" s="35"/>
      <c r="J144" s="34">
        <f t="shared" si="44"/>
        <v>0</v>
      </c>
      <c r="K144" s="36">
        <f t="shared" si="41"/>
        <v>0</v>
      </c>
      <c r="L144" s="34">
        <f t="shared" si="42"/>
        <v>0</v>
      </c>
      <c r="M144" s="37">
        <f t="shared" si="43"/>
        <v>0</v>
      </c>
    </row>
    <row r="145" spans="2:13" hidden="1" x14ac:dyDescent="0.25">
      <c r="B145" s="62" t="s">
        <v>240</v>
      </c>
      <c r="C145" s="63" t="s">
        <v>243</v>
      </c>
      <c r="D145" s="64"/>
      <c r="E145" s="64" t="s">
        <v>178</v>
      </c>
      <c r="F145" s="98">
        <v>45796</v>
      </c>
      <c r="G145" s="120">
        <v>34</v>
      </c>
      <c r="H145" s="34" t="str">
        <f t="shared" si="39"/>
        <v>-</v>
      </c>
      <c r="I145" s="35"/>
      <c r="J145" s="34">
        <f t="shared" si="44"/>
        <v>0</v>
      </c>
      <c r="K145" s="36">
        <f t="shared" si="41"/>
        <v>0</v>
      </c>
      <c r="L145" s="34">
        <f t="shared" si="42"/>
        <v>0</v>
      </c>
      <c r="M145" s="37">
        <f t="shared" si="43"/>
        <v>0</v>
      </c>
    </row>
    <row r="146" spans="2:13" hidden="1" x14ac:dyDescent="0.25">
      <c r="B146" s="62" t="s">
        <v>240</v>
      </c>
      <c r="C146" s="63" t="s">
        <v>244</v>
      </c>
      <c r="D146" s="64"/>
      <c r="E146" s="64" t="s">
        <v>178</v>
      </c>
      <c r="F146" s="98">
        <v>45796</v>
      </c>
      <c r="G146" s="120">
        <v>55</v>
      </c>
      <c r="H146" s="34" t="str">
        <f t="shared" si="39"/>
        <v>-</v>
      </c>
      <c r="I146" s="35"/>
      <c r="J146" s="34">
        <f t="shared" si="44"/>
        <v>0</v>
      </c>
      <c r="K146" s="36">
        <f t="shared" si="41"/>
        <v>0</v>
      </c>
      <c r="L146" s="34">
        <f t="shared" si="42"/>
        <v>0</v>
      </c>
      <c r="M146" s="37">
        <f t="shared" si="43"/>
        <v>0</v>
      </c>
    </row>
    <row r="147" spans="2:13" hidden="1" x14ac:dyDescent="0.25">
      <c r="B147" s="62" t="s">
        <v>240</v>
      </c>
      <c r="C147" s="63" t="s">
        <v>245</v>
      </c>
      <c r="D147" s="64" t="s">
        <v>246</v>
      </c>
      <c r="E147" s="64" t="s">
        <v>178</v>
      </c>
      <c r="F147" s="98">
        <v>45796</v>
      </c>
      <c r="G147" s="120">
        <v>80</v>
      </c>
      <c r="H147" s="34" t="str">
        <f t="shared" si="39"/>
        <v>-</v>
      </c>
      <c r="I147" s="35"/>
      <c r="J147" s="34">
        <f t="shared" si="44"/>
        <v>0</v>
      </c>
      <c r="K147" s="36">
        <f t="shared" si="41"/>
        <v>0</v>
      </c>
      <c r="L147" s="34">
        <f t="shared" si="42"/>
        <v>0</v>
      </c>
      <c r="M147" s="37">
        <f t="shared" si="43"/>
        <v>0</v>
      </c>
    </row>
    <row r="148" spans="2:13" hidden="1" x14ac:dyDescent="0.25">
      <c r="B148" s="62" t="s">
        <v>240</v>
      </c>
      <c r="C148" s="63" t="s">
        <v>247</v>
      </c>
      <c r="D148" s="64"/>
      <c r="E148" s="64" t="s">
        <v>178</v>
      </c>
      <c r="F148" s="98">
        <v>45796</v>
      </c>
      <c r="G148" s="119">
        <v>105</v>
      </c>
      <c r="H148" s="34" t="str">
        <f t="shared" si="39"/>
        <v>-</v>
      </c>
      <c r="I148" s="35"/>
      <c r="J148" s="34">
        <f t="shared" si="44"/>
        <v>0</v>
      </c>
      <c r="K148" s="36">
        <f t="shared" si="41"/>
        <v>0</v>
      </c>
      <c r="L148" s="34">
        <f t="shared" si="42"/>
        <v>0</v>
      </c>
      <c r="M148" s="37">
        <f t="shared" si="43"/>
        <v>0</v>
      </c>
    </row>
    <row r="149" spans="2:13" hidden="1" x14ac:dyDescent="0.25">
      <c r="B149" s="62" t="s">
        <v>240</v>
      </c>
      <c r="C149" s="63" t="s">
        <v>248</v>
      </c>
      <c r="D149" s="64" t="s">
        <v>246</v>
      </c>
      <c r="E149" s="64" t="s">
        <v>178</v>
      </c>
      <c r="F149" s="98">
        <v>45796</v>
      </c>
      <c r="G149" s="120">
        <v>150</v>
      </c>
      <c r="H149" s="34" t="str">
        <f t="shared" si="39"/>
        <v>-</v>
      </c>
      <c r="I149" s="35"/>
      <c r="J149" s="34">
        <f t="shared" si="44"/>
        <v>0</v>
      </c>
      <c r="K149" s="36">
        <f t="shared" si="41"/>
        <v>0</v>
      </c>
      <c r="L149" s="34">
        <f t="shared" si="42"/>
        <v>0</v>
      </c>
      <c r="M149" s="37">
        <f t="shared" si="43"/>
        <v>0</v>
      </c>
    </row>
    <row r="150" spans="2:13" hidden="1" x14ac:dyDescent="0.25">
      <c r="B150" s="62" t="s">
        <v>240</v>
      </c>
      <c r="C150" s="63" t="s">
        <v>249</v>
      </c>
      <c r="D150" s="64" t="s">
        <v>250</v>
      </c>
      <c r="E150" s="64" t="s">
        <v>178</v>
      </c>
      <c r="F150" s="98">
        <v>45796</v>
      </c>
      <c r="G150" s="120">
        <v>210</v>
      </c>
      <c r="H150" s="34" t="str">
        <f t="shared" si="39"/>
        <v>-</v>
      </c>
      <c r="I150" s="35"/>
      <c r="J150" s="34">
        <f t="shared" si="44"/>
        <v>0</v>
      </c>
      <c r="K150" s="36">
        <f t="shared" si="41"/>
        <v>0</v>
      </c>
      <c r="L150" s="34">
        <f t="shared" si="42"/>
        <v>0</v>
      </c>
      <c r="M150" s="37">
        <f t="shared" si="43"/>
        <v>0</v>
      </c>
    </row>
    <row r="151" spans="2:13" hidden="1" x14ac:dyDescent="0.25">
      <c r="B151" s="62" t="s">
        <v>240</v>
      </c>
      <c r="C151" s="63" t="s">
        <v>251</v>
      </c>
      <c r="D151" s="64"/>
      <c r="E151" s="64" t="s">
        <v>178</v>
      </c>
      <c r="F151" s="98">
        <v>45796</v>
      </c>
      <c r="G151" s="120">
        <v>265</v>
      </c>
      <c r="H151" s="34" t="str">
        <f t="shared" si="39"/>
        <v>-</v>
      </c>
      <c r="I151" s="35"/>
      <c r="J151" s="34">
        <f t="shared" si="44"/>
        <v>0</v>
      </c>
      <c r="K151" s="36">
        <f t="shared" si="41"/>
        <v>0</v>
      </c>
      <c r="L151" s="34">
        <f t="shared" si="42"/>
        <v>0</v>
      </c>
      <c r="M151" s="37">
        <f t="shared" si="43"/>
        <v>0</v>
      </c>
    </row>
    <row r="152" spans="2:13" hidden="1" x14ac:dyDescent="0.25">
      <c r="B152" s="62" t="s">
        <v>240</v>
      </c>
      <c r="C152" s="63" t="s">
        <v>252</v>
      </c>
      <c r="D152" s="64"/>
      <c r="E152" s="64" t="s">
        <v>178</v>
      </c>
      <c r="F152" s="98">
        <v>45796</v>
      </c>
      <c r="G152" s="120">
        <v>340</v>
      </c>
      <c r="H152" s="34" t="str">
        <f t="shared" si="39"/>
        <v>-</v>
      </c>
      <c r="I152" s="35"/>
      <c r="J152" s="34">
        <f t="shared" si="44"/>
        <v>0</v>
      </c>
      <c r="K152" s="36">
        <f t="shared" si="41"/>
        <v>0</v>
      </c>
      <c r="L152" s="34">
        <f t="shared" si="42"/>
        <v>0</v>
      </c>
      <c r="M152" s="37">
        <f t="shared" si="43"/>
        <v>0</v>
      </c>
    </row>
    <row r="153" spans="2:13" hidden="1" x14ac:dyDescent="0.25">
      <c r="B153" s="62" t="s">
        <v>240</v>
      </c>
      <c r="C153" s="63" t="s">
        <v>253</v>
      </c>
      <c r="D153" s="64"/>
      <c r="E153" s="64" t="s">
        <v>178</v>
      </c>
      <c r="F153" s="98">
        <v>45796</v>
      </c>
      <c r="G153" s="120">
        <v>410</v>
      </c>
      <c r="H153" s="34" t="str">
        <f t="shared" si="39"/>
        <v>-</v>
      </c>
      <c r="I153" s="35"/>
      <c r="J153" s="34">
        <f t="shared" si="44"/>
        <v>0</v>
      </c>
      <c r="K153" s="36">
        <f t="shared" si="41"/>
        <v>0</v>
      </c>
      <c r="L153" s="34">
        <f t="shared" si="42"/>
        <v>0</v>
      </c>
      <c r="M153" s="37">
        <f t="shared" si="43"/>
        <v>0</v>
      </c>
    </row>
    <row r="154" spans="2:13" hidden="1" x14ac:dyDescent="0.25">
      <c r="B154" s="62" t="s">
        <v>254</v>
      </c>
      <c r="C154" s="63" t="s">
        <v>255</v>
      </c>
      <c r="D154" s="64" t="s">
        <v>256</v>
      </c>
      <c r="E154" s="64" t="s">
        <v>178</v>
      </c>
      <c r="F154" s="98">
        <v>45796</v>
      </c>
      <c r="G154" s="120">
        <v>3.5</v>
      </c>
      <c r="H154" s="34" t="str">
        <f t="shared" si="39"/>
        <v>-</v>
      </c>
      <c r="I154" s="35"/>
      <c r="J154" s="34">
        <f t="shared" si="44"/>
        <v>0</v>
      </c>
      <c r="K154" s="36">
        <f t="shared" si="41"/>
        <v>0</v>
      </c>
      <c r="L154" s="34">
        <f t="shared" si="42"/>
        <v>0</v>
      </c>
      <c r="M154" s="37">
        <f t="shared" si="43"/>
        <v>0</v>
      </c>
    </row>
    <row r="155" spans="2:13" hidden="1" x14ac:dyDescent="0.25">
      <c r="B155" s="62" t="s">
        <v>257</v>
      </c>
      <c r="C155" s="63" t="s">
        <v>258</v>
      </c>
      <c r="D155" s="64"/>
      <c r="E155" s="64" t="s">
        <v>178</v>
      </c>
      <c r="F155" s="98">
        <v>45796</v>
      </c>
      <c r="G155" s="120">
        <v>14</v>
      </c>
      <c r="H155" s="34" t="str">
        <f t="shared" si="39"/>
        <v>-</v>
      </c>
      <c r="I155" s="35"/>
      <c r="J155" s="34">
        <f t="shared" si="44"/>
        <v>0</v>
      </c>
      <c r="K155" s="36">
        <f t="shared" si="41"/>
        <v>0</v>
      </c>
      <c r="L155" s="34">
        <f t="shared" si="42"/>
        <v>0</v>
      </c>
      <c r="M155" s="37">
        <f t="shared" si="43"/>
        <v>0</v>
      </c>
    </row>
    <row r="156" spans="2:13" hidden="1" x14ac:dyDescent="0.25">
      <c r="B156" s="62" t="s">
        <v>257</v>
      </c>
      <c r="C156" s="101" t="s">
        <v>259</v>
      </c>
      <c r="D156" s="67"/>
      <c r="E156" s="64" t="s">
        <v>178</v>
      </c>
      <c r="F156" s="98">
        <v>45796</v>
      </c>
      <c r="G156" s="121">
        <v>35</v>
      </c>
      <c r="H156" s="34" t="str">
        <f t="shared" si="39"/>
        <v>-</v>
      </c>
      <c r="I156" s="35"/>
      <c r="J156" s="34">
        <f t="shared" si="44"/>
        <v>0</v>
      </c>
      <c r="K156" s="36">
        <f t="shared" si="41"/>
        <v>0</v>
      </c>
      <c r="L156" s="34">
        <f t="shared" si="42"/>
        <v>0</v>
      </c>
      <c r="M156" s="37">
        <f t="shared" si="43"/>
        <v>0</v>
      </c>
    </row>
    <row r="157" spans="2:13" hidden="1" x14ac:dyDescent="0.25">
      <c r="B157" s="68" t="s">
        <v>257</v>
      </c>
      <c r="C157" s="101" t="s">
        <v>260</v>
      </c>
      <c r="D157" s="67"/>
      <c r="E157" s="64" t="s">
        <v>178</v>
      </c>
      <c r="F157" s="98">
        <v>45796</v>
      </c>
      <c r="G157" s="71">
        <v>23</v>
      </c>
      <c r="H157" s="41" t="str">
        <f t="shared" si="39"/>
        <v>-</v>
      </c>
      <c r="I157" s="42"/>
      <c r="J157" s="41">
        <f t="shared" si="44"/>
        <v>0</v>
      </c>
      <c r="K157" s="36">
        <f t="shared" si="41"/>
        <v>0</v>
      </c>
      <c r="L157" s="41">
        <f t="shared" si="42"/>
        <v>0</v>
      </c>
      <c r="M157" s="44">
        <f t="shared" si="43"/>
        <v>0</v>
      </c>
    </row>
    <row r="158" spans="2:13" hidden="1" x14ac:dyDescent="0.25">
      <c r="B158" s="99"/>
      <c r="C158" s="63" t="s">
        <v>261</v>
      </c>
      <c r="D158" s="64"/>
      <c r="E158" s="64" t="s">
        <v>178</v>
      </c>
      <c r="F158" s="98">
        <v>45796</v>
      </c>
      <c r="G158" s="66">
        <v>68</v>
      </c>
      <c r="H158" s="41" t="str">
        <f t="shared" si="39"/>
        <v>-</v>
      </c>
      <c r="I158" s="42"/>
      <c r="J158" s="41">
        <f t="shared" si="44"/>
        <v>0</v>
      </c>
      <c r="K158" s="36">
        <f t="shared" si="41"/>
        <v>0</v>
      </c>
      <c r="L158" s="41">
        <f t="shared" si="42"/>
        <v>0</v>
      </c>
      <c r="M158" s="44">
        <f t="shared" si="43"/>
        <v>0</v>
      </c>
    </row>
    <row r="159" spans="2:13" hidden="1" x14ac:dyDescent="0.25">
      <c r="B159" s="122"/>
      <c r="C159" s="101" t="s">
        <v>262</v>
      </c>
      <c r="D159" s="67"/>
      <c r="E159" s="67" t="s">
        <v>178</v>
      </c>
      <c r="F159" s="98">
        <v>45796</v>
      </c>
      <c r="G159" s="71">
        <v>105</v>
      </c>
      <c r="H159" s="41" t="str">
        <f t="shared" si="39"/>
        <v>-</v>
      </c>
      <c r="I159" s="42"/>
      <c r="J159" s="41">
        <f t="shared" si="44"/>
        <v>0</v>
      </c>
      <c r="K159" s="36">
        <f t="shared" si="41"/>
        <v>0</v>
      </c>
      <c r="L159" s="41">
        <f t="shared" si="42"/>
        <v>0</v>
      </c>
      <c r="M159" s="44">
        <f t="shared" si="43"/>
        <v>0</v>
      </c>
    </row>
    <row r="160" spans="2:13" ht="15.75" hidden="1" thickBot="1" x14ac:dyDescent="0.3">
      <c r="B160" s="48"/>
      <c r="C160" s="49" t="s">
        <v>263</v>
      </c>
      <c r="D160" s="50" t="s">
        <v>264</v>
      </c>
      <c r="E160" s="50"/>
      <c r="F160" s="50"/>
      <c r="G160" s="52"/>
      <c r="H160" s="41" t="str">
        <f t="shared" si="39"/>
        <v>-</v>
      </c>
      <c r="I160" s="42"/>
      <c r="J160" s="41">
        <f t="shared" si="44"/>
        <v>0</v>
      </c>
      <c r="K160" s="43">
        <f t="shared" si="41"/>
        <v>0</v>
      </c>
      <c r="L160" s="41">
        <f t="shared" si="42"/>
        <v>0</v>
      </c>
      <c r="M160" s="44">
        <f t="shared" si="43"/>
        <v>0</v>
      </c>
    </row>
    <row r="161" spans="2:13" ht="15.75" hidden="1" thickBot="1" x14ac:dyDescent="0.3">
      <c r="B161" s="57" t="s">
        <v>265</v>
      </c>
      <c r="C161" s="58" t="s">
        <v>266</v>
      </c>
      <c r="D161" s="59" t="s">
        <v>267</v>
      </c>
      <c r="E161" s="59" t="s">
        <v>268</v>
      </c>
      <c r="F161" s="98">
        <v>45622</v>
      </c>
      <c r="G161" s="61">
        <v>147</v>
      </c>
      <c r="H161" s="53" t="str">
        <f t="shared" si="39"/>
        <v>-</v>
      </c>
      <c r="I161" s="54" t="s">
        <v>42</v>
      </c>
      <c r="J161" s="94">
        <f>SUM(J162:J191)</f>
        <v>0</v>
      </c>
      <c r="K161" s="55"/>
      <c r="L161" s="94">
        <f>SUM(L162:L191)</f>
        <v>0</v>
      </c>
      <c r="M161" s="97">
        <f>SUM(M162:M191)</f>
        <v>0</v>
      </c>
    </row>
    <row r="162" spans="2:13" hidden="1" x14ac:dyDescent="0.25">
      <c r="B162" s="62" t="s">
        <v>265</v>
      </c>
      <c r="C162" s="63" t="s">
        <v>269</v>
      </c>
      <c r="D162" s="69"/>
      <c r="E162" s="64" t="s">
        <v>116</v>
      </c>
      <c r="F162" s="100">
        <v>45729</v>
      </c>
      <c r="G162" s="71">
        <v>7.15</v>
      </c>
      <c r="H162" s="15" t="str">
        <f>IFERROR(L162/I162,"-")</f>
        <v>-</v>
      </c>
      <c r="I162" s="16"/>
      <c r="J162" s="15">
        <f t="shared" ref="J162:J191" si="46">G161*I162</f>
        <v>0</v>
      </c>
      <c r="K162" s="17">
        <f t="shared" si="41"/>
        <v>0</v>
      </c>
      <c r="L162" s="15">
        <f t="shared" ref="L162:L191" si="47">J162*(1+K162)</f>
        <v>0</v>
      </c>
      <c r="M162" s="18">
        <f t="shared" ref="M162:M191" si="48">L162-J162</f>
        <v>0</v>
      </c>
    </row>
    <row r="163" spans="2:13" hidden="1" x14ac:dyDescent="0.25">
      <c r="B163" s="62" t="s">
        <v>265</v>
      </c>
      <c r="C163" s="63" t="s">
        <v>270</v>
      </c>
      <c r="D163" s="69"/>
      <c r="E163" s="64" t="s">
        <v>116</v>
      </c>
      <c r="F163" s="100">
        <v>45687</v>
      </c>
      <c r="G163" s="71">
        <v>8.1999999999999993</v>
      </c>
      <c r="H163" s="15" t="str">
        <f t="shared" ref="H163:H191" si="49">IFERROR(L163/I163,"-")</f>
        <v>-</v>
      </c>
      <c r="I163" s="16"/>
      <c r="J163" s="15">
        <f t="shared" si="46"/>
        <v>0</v>
      </c>
      <c r="K163" s="17">
        <f t="shared" si="41"/>
        <v>0</v>
      </c>
      <c r="L163" s="15">
        <f t="shared" si="47"/>
        <v>0</v>
      </c>
      <c r="M163" s="18">
        <f t="shared" si="48"/>
        <v>0</v>
      </c>
    </row>
    <row r="164" spans="2:13" hidden="1" x14ac:dyDescent="0.25">
      <c r="B164" s="62" t="s">
        <v>265</v>
      </c>
      <c r="C164" s="63" t="s">
        <v>271</v>
      </c>
      <c r="D164" s="69"/>
      <c r="E164" s="64" t="s">
        <v>116</v>
      </c>
      <c r="F164" s="100">
        <v>45821</v>
      </c>
      <c r="G164" s="71">
        <v>550</v>
      </c>
      <c r="H164" s="15" t="str">
        <f t="shared" si="49"/>
        <v>-</v>
      </c>
      <c r="I164" s="16"/>
      <c r="J164" s="15">
        <f t="shared" si="46"/>
        <v>0</v>
      </c>
      <c r="K164" s="17">
        <f t="shared" si="41"/>
        <v>0</v>
      </c>
      <c r="L164" s="15">
        <f t="shared" si="47"/>
        <v>0</v>
      </c>
      <c r="M164" s="18">
        <f t="shared" si="48"/>
        <v>0</v>
      </c>
    </row>
    <row r="165" spans="2:13" hidden="1" x14ac:dyDescent="0.25">
      <c r="B165" s="62" t="s">
        <v>265</v>
      </c>
      <c r="C165" s="63" t="s">
        <v>272</v>
      </c>
      <c r="D165" s="69"/>
      <c r="E165" s="64"/>
      <c r="F165" s="100">
        <v>45728</v>
      </c>
      <c r="G165" s="71">
        <v>32</v>
      </c>
      <c r="H165" s="15" t="str">
        <f t="shared" si="49"/>
        <v>-</v>
      </c>
      <c r="I165" s="16"/>
      <c r="J165" s="15">
        <f t="shared" si="46"/>
        <v>0</v>
      </c>
      <c r="K165" s="17">
        <f t="shared" si="41"/>
        <v>0</v>
      </c>
      <c r="L165" s="15">
        <f t="shared" si="47"/>
        <v>0</v>
      </c>
      <c r="M165" s="18">
        <f t="shared" si="48"/>
        <v>0</v>
      </c>
    </row>
    <row r="166" spans="2:13" hidden="1" x14ac:dyDescent="0.25">
      <c r="B166" s="62" t="s">
        <v>265</v>
      </c>
      <c r="C166" s="63" t="s">
        <v>273</v>
      </c>
      <c r="D166" s="69"/>
      <c r="E166" s="64" t="s">
        <v>238</v>
      </c>
      <c r="F166" s="100">
        <v>45390</v>
      </c>
      <c r="G166" s="71">
        <v>513.91999999999996</v>
      </c>
      <c r="H166" s="34" t="str">
        <f t="shared" si="49"/>
        <v>-</v>
      </c>
      <c r="I166" s="35"/>
      <c r="J166" s="34">
        <f t="shared" si="46"/>
        <v>0</v>
      </c>
      <c r="K166" s="36">
        <f t="shared" si="41"/>
        <v>0</v>
      </c>
      <c r="L166" s="34">
        <f t="shared" si="47"/>
        <v>0</v>
      </c>
      <c r="M166" s="37">
        <f t="shared" si="48"/>
        <v>0</v>
      </c>
    </row>
    <row r="167" spans="2:13" hidden="1" x14ac:dyDescent="0.25">
      <c r="B167" s="62" t="s">
        <v>265</v>
      </c>
      <c r="C167" s="63" t="s">
        <v>274</v>
      </c>
      <c r="D167" s="69"/>
      <c r="E167" s="64" t="s">
        <v>116</v>
      </c>
      <c r="F167" s="100">
        <v>45622</v>
      </c>
      <c r="G167" s="71">
        <v>800</v>
      </c>
      <c r="H167" s="15" t="str">
        <f t="shared" si="49"/>
        <v>-</v>
      </c>
      <c r="I167" s="16"/>
      <c r="J167" s="15">
        <f t="shared" si="46"/>
        <v>0</v>
      </c>
      <c r="K167" s="17">
        <f t="shared" si="41"/>
        <v>0</v>
      </c>
      <c r="L167" s="15">
        <f t="shared" si="47"/>
        <v>0</v>
      </c>
      <c r="M167" s="18">
        <f t="shared" si="48"/>
        <v>0</v>
      </c>
    </row>
    <row r="168" spans="2:13" hidden="1" x14ac:dyDescent="0.25">
      <c r="B168" s="62" t="s">
        <v>275</v>
      </c>
      <c r="C168" s="64" t="s">
        <v>276</v>
      </c>
      <c r="D168" s="64"/>
      <c r="E168" s="64" t="s">
        <v>116</v>
      </c>
      <c r="F168" s="100">
        <v>45677</v>
      </c>
      <c r="G168" s="66">
        <v>192.32</v>
      </c>
      <c r="H168" s="15" t="str">
        <f t="shared" si="49"/>
        <v>-</v>
      </c>
      <c r="I168" s="16"/>
      <c r="J168" s="15">
        <f t="shared" si="46"/>
        <v>0</v>
      </c>
      <c r="K168" s="17">
        <f t="shared" si="41"/>
        <v>0</v>
      </c>
      <c r="L168" s="15">
        <f t="shared" si="47"/>
        <v>0</v>
      </c>
      <c r="M168" s="18">
        <f t="shared" si="48"/>
        <v>0</v>
      </c>
    </row>
    <row r="169" spans="2:13" hidden="1" x14ac:dyDescent="0.25">
      <c r="B169" s="62" t="s">
        <v>275</v>
      </c>
      <c r="C169" s="64" t="s">
        <v>277</v>
      </c>
      <c r="D169" s="64"/>
      <c r="E169" s="64" t="s">
        <v>116</v>
      </c>
      <c r="F169" s="100">
        <v>45677</v>
      </c>
      <c r="G169" s="66">
        <v>278.22000000000003</v>
      </c>
      <c r="H169" s="15" t="str">
        <f t="shared" si="49"/>
        <v>-</v>
      </c>
      <c r="I169" s="16"/>
      <c r="J169" s="15">
        <f t="shared" si="46"/>
        <v>0</v>
      </c>
      <c r="K169" s="17">
        <f t="shared" si="41"/>
        <v>0</v>
      </c>
      <c r="L169" s="15">
        <f t="shared" si="47"/>
        <v>0</v>
      </c>
      <c r="M169" s="18">
        <f t="shared" si="48"/>
        <v>0</v>
      </c>
    </row>
    <row r="170" spans="2:13" hidden="1" x14ac:dyDescent="0.25">
      <c r="B170" s="62" t="s">
        <v>275</v>
      </c>
      <c r="C170" s="64" t="s">
        <v>278</v>
      </c>
      <c r="D170" s="64" t="s">
        <v>279</v>
      </c>
      <c r="E170" s="64" t="s">
        <v>116</v>
      </c>
      <c r="F170" s="100">
        <v>45677</v>
      </c>
      <c r="G170" s="66">
        <v>624.35</v>
      </c>
      <c r="H170" s="15" t="str">
        <f t="shared" si="49"/>
        <v>-</v>
      </c>
      <c r="I170" s="16"/>
      <c r="J170" s="15">
        <f t="shared" si="46"/>
        <v>0</v>
      </c>
      <c r="K170" s="17">
        <f t="shared" si="41"/>
        <v>0</v>
      </c>
      <c r="L170" s="15">
        <f t="shared" si="47"/>
        <v>0</v>
      </c>
      <c r="M170" s="18">
        <f t="shared" si="48"/>
        <v>0</v>
      </c>
    </row>
    <row r="171" spans="2:13" hidden="1" x14ac:dyDescent="0.25">
      <c r="B171" s="62" t="s">
        <v>275</v>
      </c>
      <c r="C171" s="64" t="s">
        <v>280</v>
      </c>
      <c r="D171" s="64" t="s">
        <v>281</v>
      </c>
      <c r="E171" s="67" t="s">
        <v>116</v>
      </c>
      <c r="F171" s="100">
        <v>45821</v>
      </c>
      <c r="G171" s="66">
        <v>830</v>
      </c>
      <c r="H171" s="15" t="str">
        <f t="shared" si="49"/>
        <v>-</v>
      </c>
      <c r="I171" s="16"/>
      <c r="J171" s="15">
        <f t="shared" si="46"/>
        <v>0</v>
      </c>
      <c r="K171" s="17">
        <f t="shared" si="41"/>
        <v>0</v>
      </c>
      <c r="L171" s="15">
        <f t="shared" si="47"/>
        <v>0</v>
      </c>
      <c r="M171" s="18">
        <f t="shared" si="48"/>
        <v>0</v>
      </c>
    </row>
    <row r="172" spans="2:13" hidden="1" x14ac:dyDescent="0.25">
      <c r="B172" s="62" t="s">
        <v>275</v>
      </c>
      <c r="C172" s="64" t="s">
        <v>282</v>
      </c>
      <c r="D172" s="67"/>
      <c r="E172" s="67"/>
      <c r="F172" s="100">
        <v>45701</v>
      </c>
      <c r="G172" s="71">
        <v>694.07</v>
      </c>
      <c r="H172" s="15" t="str">
        <f t="shared" si="49"/>
        <v>-</v>
      </c>
      <c r="I172" s="16"/>
      <c r="J172" s="15">
        <f t="shared" si="46"/>
        <v>0</v>
      </c>
      <c r="K172" s="17">
        <f t="shared" si="41"/>
        <v>0</v>
      </c>
      <c r="L172" s="15">
        <f t="shared" si="47"/>
        <v>0</v>
      </c>
      <c r="M172" s="18">
        <f t="shared" si="48"/>
        <v>0</v>
      </c>
    </row>
    <row r="173" spans="2:13" hidden="1" x14ac:dyDescent="0.25">
      <c r="B173" s="62" t="s">
        <v>275</v>
      </c>
      <c r="C173" s="64" t="s">
        <v>283</v>
      </c>
      <c r="D173" s="67"/>
      <c r="E173" s="67"/>
      <c r="F173" s="100">
        <v>45701</v>
      </c>
      <c r="G173" s="71">
        <v>901.07</v>
      </c>
      <c r="H173" s="15" t="str">
        <f t="shared" si="49"/>
        <v>-</v>
      </c>
      <c r="I173" s="16"/>
      <c r="J173" s="15">
        <f t="shared" si="46"/>
        <v>0</v>
      </c>
      <c r="K173" s="17">
        <f t="shared" si="41"/>
        <v>0</v>
      </c>
      <c r="L173" s="15">
        <f t="shared" si="47"/>
        <v>0</v>
      </c>
      <c r="M173" s="18">
        <f t="shared" si="48"/>
        <v>0</v>
      </c>
    </row>
    <row r="174" spans="2:13" hidden="1" x14ac:dyDescent="0.25">
      <c r="B174" s="62" t="s">
        <v>284</v>
      </c>
      <c r="C174" s="67" t="s">
        <v>285</v>
      </c>
      <c r="D174" s="67"/>
      <c r="E174" s="67"/>
      <c r="F174" s="100">
        <v>45701</v>
      </c>
      <c r="G174" s="71">
        <v>170.5</v>
      </c>
      <c r="H174" s="15" t="str">
        <f t="shared" si="49"/>
        <v>-</v>
      </c>
      <c r="I174" s="16"/>
      <c r="J174" s="15">
        <f t="shared" si="46"/>
        <v>0</v>
      </c>
      <c r="K174" s="17">
        <f t="shared" si="41"/>
        <v>0</v>
      </c>
      <c r="L174" s="15">
        <f t="shared" si="47"/>
        <v>0</v>
      </c>
      <c r="M174" s="18">
        <f t="shared" si="48"/>
        <v>0</v>
      </c>
    </row>
    <row r="175" spans="2:13" hidden="1" x14ac:dyDescent="0.25">
      <c r="B175" s="62" t="s">
        <v>284</v>
      </c>
      <c r="C175" s="67" t="s">
        <v>286</v>
      </c>
      <c r="D175" s="67"/>
      <c r="E175" s="67"/>
      <c r="F175" s="100">
        <v>45701</v>
      </c>
      <c r="G175" s="71">
        <v>296.60000000000002</v>
      </c>
      <c r="H175" s="15" t="str">
        <f t="shared" si="49"/>
        <v>-</v>
      </c>
      <c r="I175" s="16"/>
      <c r="J175" s="15">
        <f t="shared" si="46"/>
        <v>0</v>
      </c>
      <c r="K175" s="17">
        <f t="shared" si="41"/>
        <v>0</v>
      </c>
      <c r="L175" s="15">
        <f t="shared" si="47"/>
        <v>0</v>
      </c>
      <c r="M175" s="18">
        <f t="shared" si="48"/>
        <v>0</v>
      </c>
    </row>
    <row r="176" spans="2:13" hidden="1" x14ac:dyDescent="0.25">
      <c r="B176" s="62" t="s">
        <v>284</v>
      </c>
      <c r="C176" s="67" t="s">
        <v>287</v>
      </c>
      <c r="D176" s="67"/>
      <c r="E176" s="67"/>
      <c r="F176" s="100">
        <v>45701</v>
      </c>
      <c r="G176" s="71">
        <v>170.5</v>
      </c>
      <c r="H176" s="15" t="str">
        <f t="shared" si="49"/>
        <v>-</v>
      </c>
      <c r="I176" s="16"/>
      <c r="J176" s="15">
        <f t="shared" si="46"/>
        <v>0</v>
      </c>
      <c r="K176" s="17">
        <f t="shared" si="41"/>
        <v>0</v>
      </c>
      <c r="L176" s="15">
        <f t="shared" si="47"/>
        <v>0</v>
      </c>
      <c r="M176" s="18">
        <f t="shared" si="48"/>
        <v>0</v>
      </c>
    </row>
    <row r="177" spans="2:13" hidden="1" x14ac:dyDescent="0.25">
      <c r="B177" s="62" t="s">
        <v>284</v>
      </c>
      <c r="C177" s="67" t="s">
        <v>288</v>
      </c>
      <c r="D177" s="67"/>
      <c r="E177" s="67"/>
      <c r="F177" s="100">
        <v>45701</v>
      </c>
      <c r="G177" s="71">
        <v>296.60000000000002</v>
      </c>
      <c r="H177" s="15" t="str">
        <f t="shared" si="49"/>
        <v>-</v>
      </c>
      <c r="I177" s="16"/>
      <c r="J177" s="15">
        <f t="shared" si="46"/>
        <v>0</v>
      </c>
      <c r="K177" s="17">
        <f t="shared" si="41"/>
        <v>0</v>
      </c>
      <c r="L177" s="15">
        <f t="shared" si="47"/>
        <v>0</v>
      </c>
      <c r="M177" s="18">
        <f t="shared" si="48"/>
        <v>0</v>
      </c>
    </row>
    <row r="178" spans="2:13" hidden="1" x14ac:dyDescent="0.25">
      <c r="B178" s="62" t="s">
        <v>289</v>
      </c>
      <c r="C178" s="101" t="s">
        <v>290</v>
      </c>
      <c r="D178" s="67"/>
      <c r="E178" s="67"/>
      <c r="F178" s="100">
        <v>45698</v>
      </c>
      <c r="G178" s="71">
        <v>295</v>
      </c>
      <c r="H178" s="15" t="str">
        <f t="shared" si="49"/>
        <v>-</v>
      </c>
      <c r="I178" s="16"/>
      <c r="J178" s="15">
        <f t="shared" si="46"/>
        <v>0</v>
      </c>
      <c r="K178" s="17">
        <f t="shared" si="41"/>
        <v>0</v>
      </c>
      <c r="L178" s="15">
        <f t="shared" si="47"/>
        <v>0</v>
      </c>
      <c r="M178" s="18">
        <f t="shared" si="48"/>
        <v>0</v>
      </c>
    </row>
    <row r="179" spans="2:13" hidden="1" x14ac:dyDescent="0.25">
      <c r="B179" s="62" t="s">
        <v>289</v>
      </c>
      <c r="C179" s="101" t="s">
        <v>291</v>
      </c>
      <c r="D179" s="67"/>
      <c r="E179" s="67"/>
      <c r="F179" s="100">
        <v>45728</v>
      </c>
      <c r="G179" s="71">
        <v>135</v>
      </c>
      <c r="H179" s="15" t="str">
        <f t="shared" si="49"/>
        <v>-</v>
      </c>
      <c r="I179" s="35"/>
      <c r="J179" s="15">
        <f t="shared" si="46"/>
        <v>0</v>
      </c>
      <c r="K179" s="17">
        <f t="shared" si="41"/>
        <v>0</v>
      </c>
      <c r="L179" s="15">
        <f t="shared" si="47"/>
        <v>0</v>
      </c>
      <c r="M179" s="18">
        <f t="shared" si="48"/>
        <v>0</v>
      </c>
    </row>
    <row r="180" spans="2:13" hidden="1" x14ac:dyDescent="0.25">
      <c r="B180" s="62" t="s">
        <v>289</v>
      </c>
      <c r="C180" s="101" t="s">
        <v>292</v>
      </c>
      <c r="D180" s="67"/>
      <c r="E180" s="67" t="s">
        <v>116</v>
      </c>
      <c r="F180" s="100">
        <v>45743</v>
      </c>
      <c r="G180" s="71">
        <v>249</v>
      </c>
      <c r="H180" s="15" t="str">
        <f t="shared" si="49"/>
        <v>-</v>
      </c>
      <c r="I180" s="35"/>
      <c r="J180" s="15">
        <f t="shared" si="46"/>
        <v>0</v>
      </c>
      <c r="K180" s="17">
        <f t="shared" si="41"/>
        <v>0</v>
      </c>
      <c r="L180" s="15">
        <f t="shared" si="47"/>
        <v>0</v>
      </c>
      <c r="M180" s="18">
        <f t="shared" si="48"/>
        <v>0</v>
      </c>
    </row>
    <row r="181" spans="2:13" hidden="1" x14ac:dyDescent="0.25">
      <c r="B181" s="62" t="s">
        <v>289</v>
      </c>
      <c r="C181" s="101" t="s">
        <v>293</v>
      </c>
      <c r="D181" s="67"/>
      <c r="E181" s="67" t="s">
        <v>116</v>
      </c>
      <c r="F181" s="100">
        <v>45744</v>
      </c>
      <c r="G181" s="71">
        <v>104</v>
      </c>
      <c r="H181" s="15" t="str">
        <f t="shared" si="49"/>
        <v>-</v>
      </c>
      <c r="I181" s="16"/>
      <c r="J181" s="15">
        <f t="shared" si="46"/>
        <v>0</v>
      </c>
      <c r="K181" s="17">
        <f t="shared" ref="K181:K191" si="50">$K$5</f>
        <v>0</v>
      </c>
      <c r="L181" s="15">
        <f t="shared" si="47"/>
        <v>0</v>
      </c>
      <c r="M181" s="18">
        <f t="shared" si="48"/>
        <v>0</v>
      </c>
    </row>
    <row r="182" spans="2:13" hidden="1" x14ac:dyDescent="0.25">
      <c r="B182" s="62" t="s">
        <v>289</v>
      </c>
      <c r="C182" s="101" t="s">
        <v>294</v>
      </c>
      <c r="D182" s="67"/>
      <c r="E182" s="64" t="s">
        <v>116</v>
      </c>
      <c r="F182" s="100">
        <v>45791</v>
      </c>
      <c r="G182" s="71">
        <v>270</v>
      </c>
      <c r="H182" s="15" t="str">
        <f t="shared" si="49"/>
        <v>-</v>
      </c>
      <c r="I182" s="16"/>
      <c r="J182" s="15">
        <f t="shared" si="46"/>
        <v>0</v>
      </c>
      <c r="K182" s="17">
        <f t="shared" si="50"/>
        <v>0</v>
      </c>
      <c r="L182" s="15">
        <f t="shared" si="47"/>
        <v>0</v>
      </c>
      <c r="M182" s="18">
        <f t="shared" si="48"/>
        <v>0</v>
      </c>
    </row>
    <row r="183" spans="2:13" hidden="1" x14ac:dyDescent="0.25">
      <c r="B183" s="62" t="s">
        <v>289</v>
      </c>
      <c r="C183" s="101" t="s">
        <v>295</v>
      </c>
      <c r="D183" s="67"/>
      <c r="E183" s="64" t="s">
        <v>116</v>
      </c>
      <c r="F183" s="100">
        <v>45791</v>
      </c>
      <c r="G183" s="71">
        <v>81.739999999999995</v>
      </c>
      <c r="H183" s="15" t="str">
        <f t="shared" si="49"/>
        <v>-</v>
      </c>
      <c r="I183" s="16"/>
      <c r="J183" s="15">
        <f t="shared" si="46"/>
        <v>0</v>
      </c>
      <c r="K183" s="17">
        <f t="shared" si="50"/>
        <v>0</v>
      </c>
      <c r="L183" s="15">
        <f t="shared" si="47"/>
        <v>0</v>
      </c>
      <c r="M183" s="18">
        <f t="shared" si="48"/>
        <v>0</v>
      </c>
    </row>
    <row r="184" spans="2:13" hidden="1" x14ac:dyDescent="0.25">
      <c r="B184" s="62" t="s">
        <v>289</v>
      </c>
      <c r="C184" s="63" t="s">
        <v>296</v>
      </c>
      <c r="D184" s="69"/>
      <c r="E184" s="64" t="s">
        <v>116</v>
      </c>
      <c r="F184" s="100">
        <v>45679</v>
      </c>
      <c r="G184" s="71">
        <v>66.91</v>
      </c>
      <c r="H184" s="15" t="str">
        <f t="shared" si="49"/>
        <v>-</v>
      </c>
      <c r="I184" s="16"/>
      <c r="J184" s="15">
        <f t="shared" si="46"/>
        <v>0</v>
      </c>
      <c r="K184" s="17">
        <f t="shared" si="50"/>
        <v>0</v>
      </c>
      <c r="L184" s="15">
        <f t="shared" si="47"/>
        <v>0</v>
      </c>
      <c r="M184" s="18">
        <f t="shared" si="48"/>
        <v>0</v>
      </c>
    </row>
    <row r="185" spans="2:13" hidden="1" x14ac:dyDescent="0.25">
      <c r="B185" s="62" t="s">
        <v>289</v>
      </c>
      <c r="C185" s="63" t="s">
        <v>297</v>
      </c>
      <c r="D185" s="69"/>
      <c r="E185" s="64" t="s">
        <v>116</v>
      </c>
      <c r="F185" s="100">
        <v>45390</v>
      </c>
      <c r="G185" s="71">
        <v>533.84</v>
      </c>
      <c r="H185" s="15" t="str">
        <f t="shared" si="49"/>
        <v>-</v>
      </c>
      <c r="I185" s="16"/>
      <c r="J185" s="15">
        <f t="shared" si="46"/>
        <v>0</v>
      </c>
      <c r="K185" s="17">
        <f t="shared" si="50"/>
        <v>0</v>
      </c>
      <c r="L185" s="15">
        <f t="shared" si="47"/>
        <v>0</v>
      </c>
      <c r="M185" s="18">
        <f t="shared" si="48"/>
        <v>0</v>
      </c>
    </row>
    <row r="186" spans="2:13" ht="15.75" hidden="1" thickBot="1" x14ac:dyDescent="0.3">
      <c r="B186" s="62" t="s">
        <v>289</v>
      </c>
      <c r="C186" s="116" t="s">
        <v>298</v>
      </c>
      <c r="D186" s="123" t="s">
        <v>299</v>
      </c>
      <c r="E186" s="64" t="s">
        <v>116</v>
      </c>
      <c r="F186" s="32">
        <v>45812</v>
      </c>
      <c r="G186" s="71">
        <v>269</v>
      </c>
      <c r="H186" s="15" t="str">
        <f t="shared" si="49"/>
        <v>-</v>
      </c>
      <c r="I186" s="16"/>
      <c r="J186" s="15">
        <f t="shared" si="46"/>
        <v>0</v>
      </c>
      <c r="K186" s="17">
        <f t="shared" si="50"/>
        <v>0</v>
      </c>
      <c r="L186" s="15">
        <f t="shared" si="47"/>
        <v>0</v>
      </c>
      <c r="M186" s="18">
        <f t="shared" si="48"/>
        <v>0</v>
      </c>
    </row>
    <row r="187" spans="2:13" hidden="1" x14ac:dyDescent="0.25">
      <c r="B187" s="62" t="s">
        <v>289</v>
      </c>
      <c r="C187" s="116" t="s">
        <v>300</v>
      </c>
      <c r="D187" s="124"/>
      <c r="E187" s="64"/>
      <c r="F187" s="100">
        <v>45763</v>
      </c>
      <c r="G187" s="71">
        <v>267</v>
      </c>
      <c r="H187" s="15" t="str">
        <f t="shared" si="49"/>
        <v>-</v>
      </c>
      <c r="I187" s="16"/>
      <c r="J187" s="15">
        <f t="shared" si="46"/>
        <v>0</v>
      </c>
      <c r="K187" s="17">
        <f t="shared" si="50"/>
        <v>0</v>
      </c>
      <c r="L187" s="15">
        <f t="shared" si="47"/>
        <v>0</v>
      </c>
      <c r="M187" s="18">
        <f t="shared" si="48"/>
        <v>0</v>
      </c>
    </row>
    <row r="188" spans="2:13" hidden="1" x14ac:dyDescent="0.25">
      <c r="B188" s="62" t="s">
        <v>289</v>
      </c>
      <c r="C188" s="125" t="s">
        <v>301</v>
      </c>
      <c r="D188" s="124"/>
      <c r="E188" s="64" t="s">
        <v>202</v>
      </c>
      <c r="F188" s="100">
        <v>45679</v>
      </c>
      <c r="G188" s="71">
        <v>289</v>
      </c>
      <c r="H188" s="15" t="str">
        <f t="shared" si="49"/>
        <v>-</v>
      </c>
      <c r="I188" s="16"/>
      <c r="J188" s="15">
        <f t="shared" si="46"/>
        <v>0</v>
      </c>
      <c r="K188" s="17">
        <f t="shared" si="50"/>
        <v>0</v>
      </c>
      <c r="L188" s="15">
        <f t="shared" si="47"/>
        <v>0</v>
      </c>
      <c r="M188" s="18">
        <f t="shared" si="48"/>
        <v>0</v>
      </c>
    </row>
    <row r="189" spans="2:13" hidden="1" x14ac:dyDescent="0.25">
      <c r="B189" s="62" t="s">
        <v>289</v>
      </c>
      <c r="C189" s="125" t="s">
        <v>302</v>
      </c>
      <c r="D189" s="124"/>
      <c r="E189" s="90"/>
      <c r="F189" s="14">
        <v>45757</v>
      </c>
      <c r="G189" s="71">
        <v>389</v>
      </c>
      <c r="H189" s="15" t="str">
        <f t="shared" si="49"/>
        <v>-</v>
      </c>
      <c r="I189" s="16"/>
      <c r="J189" s="15">
        <f t="shared" si="46"/>
        <v>0</v>
      </c>
      <c r="K189" s="17">
        <f t="shared" si="50"/>
        <v>0</v>
      </c>
      <c r="L189" s="15">
        <f t="shared" si="47"/>
        <v>0</v>
      </c>
      <c r="M189" s="18">
        <f t="shared" si="48"/>
        <v>0</v>
      </c>
    </row>
    <row r="190" spans="2:13" hidden="1" x14ac:dyDescent="0.25">
      <c r="B190" s="68" t="s">
        <v>289</v>
      </c>
      <c r="C190" s="101" t="s">
        <v>303</v>
      </c>
      <c r="D190" s="90"/>
      <c r="E190" s="90" t="s">
        <v>116</v>
      </c>
      <c r="F190" s="14">
        <v>45679</v>
      </c>
      <c r="G190" s="71">
        <v>83</v>
      </c>
      <c r="H190" s="15" t="str">
        <f t="shared" si="49"/>
        <v>-</v>
      </c>
      <c r="I190" s="16"/>
      <c r="J190" s="15">
        <f t="shared" si="46"/>
        <v>0</v>
      </c>
      <c r="K190" s="17">
        <f t="shared" si="50"/>
        <v>0</v>
      </c>
      <c r="L190" s="15">
        <f t="shared" si="47"/>
        <v>0</v>
      </c>
      <c r="M190" s="18">
        <f t="shared" si="48"/>
        <v>0</v>
      </c>
    </row>
    <row r="191" spans="2:13" ht="15.75" hidden="1" thickBot="1" x14ac:dyDescent="0.3">
      <c r="B191" s="48"/>
      <c r="C191" s="49" t="s">
        <v>304</v>
      </c>
      <c r="D191" s="50" t="s">
        <v>305</v>
      </c>
      <c r="E191" s="50"/>
      <c r="F191" s="73"/>
      <c r="G191" s="52"/>
      <c r="H191" s="26" t="str">
        <f t="shared" si="49"/>
        <v>-</v>
      </c>
      <c r="I191" s="27"/>
      <c r="J191" s="26">
        <f t="shared" si="46"/>
        <v>0</v>
      </c>
      <c r="K191" s="28">
        <f t="shared" si="50"/>
        <v>0</v>
      </c>
      <c r="L191" s="26">
        <f t="shared" si="47"/>
        <v>0</v>
      </c>
      <c r="M191" s="29">
        <f t="shared" si="48"/>
        <v>0</v>
      </c>
    </row>
    <row r="192" spans="2:13" hidden="1" x14ac:dyDescent="0.25">
      <c r="B192" s="62" t="s">
        <v>306</v>
      </c>
      <c r="C192" s="64" t="s">
        <v>307</v>
      </c>
      <c r="D192" s="64"/>
      <c r="E192" s="64" t="s">
        <v>308</v>
      </c>
      <c r="F192" s="100">
        <v>45390</v>
      </c>
      <c r="G192" s="66">
        <v>290.66000000000003</v>
      </c>
      <c r="H192" s="15"/>
      <c r="I192" s="16"/>
      <c r="J192" s="15" t="e">
        <f>#REF!*I192</f>
        <v>#REF!</v>
      </c>
      <c r="K192" s="17"/>
      <c r="L192" s="15"/>
      <c r="M192" s="18"/>
    </row>
    <row r="193" spans="2:13" hidden="1" x14ac:dyDescent="0.25">
      <c r="B193" s="62" t="s">
        <v>306</v>
      </c>
      <c r="C193" s="64" t="s">
        <v>309</v>
      </c>
      <c r="D193" s="64"/>
      <c r="E193" s="64"/>
      <c r="F193" s="100"/>
      <c r="G193" s="66"/>
      <c r="H193" s="15" t="str">
        <f t="shared" ref="H193" si="51">IFERROR(L193/I193,"-")</f>
        <v>-</v>
      </c>
      <c r="I193" s="16"/>
      <c r="J193" s="15">
        <f t="shared" ref="J193:J213" si="52">G192*I193</f>
        <v>0</v>
      </c>
      <c r="K193" s="17">
        <f t="shared" ref="K193:K233" si="53">$K$5</f>
        <v>0</v>
      </c>
      <c r="L193" s="15">
        <f t="shared" ref="L193" si="54">J193*(1+K193)</f>
        <v>0</v>
      </c>
      <c r="M193" s="18">
        <f t="shared" ref="M193" si="55">L193-J193</f>
        <v>0</v>
      </c>
    </row>
    <row r="194" spans="2:13" hidden="1" x14ac:dyDescent="0.25">
      <c r="B194" s="62" t="s">
        <v>306</v>
      </c>
      <c r="C194" s="64" t="s">
        <v>310</v>
      </c>
      <c r="D194" s="64"/>
      <c r="E194" s="64" t="s">
        <v>311</v>
      </c>
      <c r="F194" s="100">
        <v>45763</v>
      </c>
      <c r="G194" s="66">
        <v>535</v>
      </c>
      <c r="H194" s="15" t="str">
        <f t="shared" ref="H194:H273" si="56">IFERROR(L194/I194,"-")</f>
        <v>-</v>
      </c>
      <c r="I194" s="16"/>
      <c r="J194" s="15">
        <f t="shared" si="52"/>
        <v>0</v>
      </c>
      <c r="K194" s="17">
        <f t="shared" si="53"/>
        <v>0</v>
      </c>
      <c r="L194" s="15">
        <f t="shared" ref="L194:L257" si="57">J194*(1+K194)</f>
        <v>0</v>
      </c>
      <c r="M194" s="18">
        <f t="shared" ref="M194:M257" si="58">L194-J194</f>
        <v>0</v>
      </c>
    </row>
    <row r="195" spans="2:13" hidden="1" x14ac:dyDescent="0.25">
      <c r="B195" s="62" t="s">
        <v>306</v>
      </c>
      <c r="C195" s="64" t="s">
        <v>312</v>
      </c>
      <c r="D195" s="64"/>
      <c r="E195" s="64"/>
      <c r="F195" s="100"/>
      <c r="G195" s="66"/>
      <c r="H195" s="15" t="str">
        <f t="shared" si="56"/>
        <v>-</v>
      </c>
      <c r="I195" s="16"/>
      <c r="J195" s="15">
        <f t="shared" si="52"/>
        <v>0</v>
      </c>
      <c r="K195" s="17">
        <f t="shared" si="53"/>
        <v>0</v>
      </c>
      <c r="L195" s="15">
        <f t="shared" si="57"/>
        <v>0</v>
      </c>
      <c r="M195" s="18">
        <f t="shared" si="58"/>
        <v>0</v>
      </c>
    </row>
    <row r="196" spans="2:13" hidden="1" x14ac:dyDescent="0.25">
      <c r="B196" s="62" t="s">
        <v>306</v>
      </c>
      <c r="C196" s="64" t="s">
        <v>313</v>
      </c>
      <c r="D196" s="64"/>
      <c r="E196" s="64"/>
      <c r="F196" s="100"/>
      <c r="G196" s="66"/>
      <c r="H196" s="15" t="str">
        <f t="shared" si="56"/>
        <v>-</v>
      </c>
      <c r="I196" s="16"/>
      <c r="J196" s="15">
        <f t="shared" si="52"/>
        <v>0</v>
      </c>
      <c r="K196" s="17">
        <f t="shared" si="53"/>
        <v>0</v>
      </c>
      <c r="L196" s="15">
        <f t="shared" si="57"/>
        <v>0</v>
      </c>
      <c r="M196" s="18">
        <f t="shared" si="58"/>
        <v>0</v>
      </c>
    </row>
    <row r="197" spans="2:13" hidden="1" x14ac:dyDescent="0.25">
      <c r="B197" s="62" t="s">
        <v>306</v>
      </c>
      <c r="C197" s="64" t="s">
        <v>314</v>
      </c>
      <c r="D197" s="64"/>
      <c r="E197" s="64"/>
      <c r="F197" s="100"/>
      <c r="G197" s="66"/>
      <c r="H197" s="15" t="str">
        <f t="shared" si="56"/>
        <v>-</v>
      </c>
      <c r="I197" s="16"/>
      <c r="J197" s="15">
        <f t="shared" si="52"/>
        <v>0</v>
      </c>
      <c r="K197" s="17">
        <f t="shared" si="53"/>
        <v>0</v>
      </c>
      <c r="L197" s="15">
        <f t="shared" si="57"/>
        <v>0</v>
      </c>
      <c r="M197" s="18">
        <f t="shared" si="58"/>
        <v>0</v>
      </c>
    </row>
    <row r="198" spans="2:13" hidden="1" x14ac:dyDescent="0.25">
      <c r="B198" s="62" t="s">
        <v>306</v>
      </c>
      <c r="C198" s="64" t="s">
        <v>315</v>
      </c>
      <c r="D198" s="64"/>
      <c r="E198" s="64"/>
      <c r="F198" s="100"/>
      <c r="G198" s="66"/>
      <c r="H198" s="15" t="str">
        <f t="shared" si="56"/>
        <v>-</v>
      </c>
      <c r="I198" s="16"/>
      <c r="J198" s="15">
        <f t="shared" si="52"/>
        <v>0</v>
      </c>
      <c r="K198" s="17">
        <f t="shared" si="53"/>
        <v>0</v>
      </c>
      <c r="L198" s="15">
        <f t="shared" si="57"/>
        <v>0</v>
      </c>
      <c r="M198" s="18">
        <f t="shared" si="58"/>
        <v>0</v>
      </c>
    </row>
    <row r="199" spans="2:13" hidden="1" x14ac:dyDescent="0.25">
      <c r="B199" s="62" t="s">
        <v>306</v>
      </c>
      <c r="C199" s="64" t="s">
        <v>316</v>
      </c>
      <c r="D199" s="64"/>
      <c r="E199" s="64"/>
      <c r="F199" s="100">
        <v>45394</v>
      </c>
      <c r="G199" s="66">
        <v>701.15</v>
      </c>
      <c r="H199" s="15" t="str">
        <f t="shared" si="56"/>
        <v>-</v>
      </c>
      <c r="I199" s="16"/>
      <c r="J199" s="15">
        <f t="shared" si="52"/>
        <v>0</v>
      </c>
      <c r="K199" s="17">
        <f t="shared" si="53"/>
        <v>0</v>
      </c>
      <c r="L199" s="15">
        <f t="shared" si="57"/>
        <v>0</v>
      </c>
      <c r="M199" s="18">
        <f t="shared" si="58"/>
        <v>0</v>
      </c>
    </row>
    <row r="200" spans="2:13" hidden="1" x14ac:dyDescent="0.25">
      <c r="B200" s="62" t="s">
        <v>306</v>
      </c>
      <c r="C200" s="64" t="s">
        <v>317</v>
      </c>
      <c r="D200" s="64"/>
      <c r="E200" s="64"/>
      <c r="F200" s="100"/>
      <c r="G200" s="66"/>
      <c r="H200" s="15" t="str">
        <f t="shared" si="56"/>
        <v>-</v>
      </c>
      <c r="I200" s="16"/>
      <c r="J200" s="15">
        <f t="shared" si="52"/>
        <v>0</v>
      </c>
      <c r="K200" s="17">
        <f t="shared" si="53"/>
        <v>0</v>
      </c>
      <c r="L200" s="15">
        <f t="shared" si="57"/>
        <v>0</v>
      </c>
      <c r="M200" s="18">
        <f t="shared" si="58"/>
        <v>0</v>
      </c>
    </row>
    <row r="201" spans="2:13" hidden="1" x14ac:dyDescent="0.25">
      <c r="B201" s="62" t="s">
        <v>306</v>
      </c>
      <c r="C201" s="64" t="s">
        <v>318</v>
      </c>
      <c r="D201" s="64"/>
      <c r="E201" s="64" t="s">
        <v>308</v>
      </c>
      <c r="F201" s="100">
        <v>45673</v>
      </c>
      <c r="G201" s="66">
        <v>1180</v>
      </c>
      <c r="H201" s="15" t="str">
        <f t="shared" si="56"/>
        <v>-</v>
      </c>
      <c r="I201" s="16"/>
      <c r="J201" s="15">
        <f t="shared" si="52"/>
        <v>0</v>
      </c>
      <c r="K201" s="17">
        <f t="shared" si="53"/>
        <v>0</v>
      </c>
      <c r="L201" s="15">
        <f t="shared" si="57"/>
        <v>0</v>
      </c>
      <c r="M201" s="18">
        <f t="shared" si="58"/>
        <v>0</v>
      </c>
    </row>
    <row r="202" spans="2:13" hidden="1" x14ac:dyDescent="0.25">
      <c r="B202" s="62" t="s">
        <v>306</v>
      </c>
      <c r="C202" s="64" t="s">
        <v>319</v>
      </c>
      <c r="D202" s="64"/>
      <c r="E202" s="64" t="s">
        <v>308</v>
      </c>
      <c r="F202" s="100">
        <v>45827</v>
      </c>
      <c r="G202" s="66">
        <v>435</v>
      </c>
      <c r="H202" s="15" t="str">
        <f t="shared" si="56"/>
        <v>-</v>
      </c>
      <c r="I202" s="16"/>
      <c r="J202" s="15">
        <f t="shared" si="52"/>
        <v>0</v>
      </c>
      <c r="K202" s="17">
        <f t="shared" si="53"/>
        <v>0</v>
      </c>
      <c r="L202" s="15">
        <f t="shared" si="57"/>
        <v>0</v>
      </c>
      <c r="M202" s="18">
        <f t="shared" si="58"/>
        <v>0</v>
      </c>
    </row>
    <row r="203" spans="2:13" hidden="1" x14ac:dyDescent="0.25">
      <c r="B203" s="62" t="s">
        <v>306</v>
      </c>
      <c r="C203" s="64" t="s">
        <v>320</v>
      </c>
      <c r="D203" s="64"/>
      <c r="E203" s="64" t="s">
        <v>311</v>
      </c>
      <c r="F203" s="100">
        <v>45826</v>
      </c>
      <c r="G203" s="66">
        <v>1200</v>
      </c>
      <c r="H203" s="15" t="str">
        <f t="shared" si="56"/>
        <v>-</v>
      </c>
      <c r="I203" s="16"/>
      <c r="J203" s="15">
        <f t="shared" si="52"/>
        <v>0</v>
      </c>
      <c r="K203" s="17">
        <f t="shared" si="53"/>
        <v>0</v>
      </c>
      <c r="L203" s="15">
        <f t="shared" si="57"/>
        <v>0</v>
      </c>
      <c r="M203" s="18">
        <f t="shared" si="58"/>
        <v>0</v>
      </c>
    </row>
    <row r="204" spans="2:13" hidden="1" x14ac:dyDescent="0.25">
      <c r="B204" s="62" t="s">
        <v>306</v>
      </c>
      <c r="C204" s="64" t="s">
        <v>321</v>
      </c>
      <c r="D204" s="64"/>
      <c r="E204" s="64"/>
      <c r="F204" s="100"/>
      <c r="G204" s="66"/>
      <c r="H204" s="15" t="str">
        <f t="shared" si="56"/>
        <v>-</v>
      </c>
      <c r="I204" s="16"/>
      <c r="J204" s="15">
        <f t="shared" si="52"/>
        <v>0</v>
      </c>
      <c r="K204" s="17">
        <f t="shared" si="53"/>
        <v>0</v>
      </c>
      <c r="L204" s="15">
        <f t="shared" si="57"/>
        <v>0</v>
      </c>
      <c r="M204" s="18">
        <f t="shared" si="58"/>
        <v>0</v>
      </c>
    </row>
    <row r="205" spans="2:13" hidden="1" x14ac:dyDescent="0.25">
      <c r="B205" s="62" t="s">
        <v>306</v>
      </c>
      <c r="C205" s="64" t="s">
        <v>322</v>
      </c>
      <c r="D205" s="64"/>
      <c r="E205" s="64"/>
      <c r="F205" s="64"/>
      <c r="G205" s="66"/>
      <c r="H205" s="15" t="str">
        <f t="shared" si="56"/>
        <v>-</v>
      </c>
      <c r="I205" s="16"/>
      <c r="J205" s="15">
        <f t="shared" si="52"/>
        <v>0</v>
      </c>
      <c r="K205" s="17">
        <f t="shared" si="53"/>
        <v>0</v>
      </c>
      <c r="L205" s="15">
        <f t="shared" si="57"/>
        <v>0</v>
      </c>
      <c r="M205" s="18">
        <f t="shared" si="58"/>
        <v>0</v>
      </c>
    </row>
    <row r="206" spans="2:13" hidden="1" x14ac:dyDescent="0.25">
      <c r="B206" s="62" t="s">
        <v>306</v>
      </c>
      <c r="C206" s="64" t="s">
        <v>323</v>
      </c>
      <c r="D206" s="64"/>
      <c r="E206" s="64"/>
      <c r="F206" s="100">
        <v>45436</v>
      </c>
      <c r="G206" s="66">
        <v>395</v>
      </c>
      <c r="H206" s="15" t="str">
        <f t="shared" si="56"/>
        <v>-</v>
      </c>
      <c r="I206" s="16"/>
      <c r="J206" s="15">
        <f t="shared" si="52"/>
        <v>0</v>
      </c>
      <c r="K206" s="17">
        <f t="shared" si="53"/>
        <v>0</v>
      </c>
      <c r="L206" s="15">
        <f t="shared" si="57"/>
        <v>0</v>
      </c>
      <c r="M206" s="18">
        <f t="shared" si="58"/>
        <v>0</v>
      </c>
    </row>
    <row r="207" spans="2:13" hidden="1" x14ac:dyDescent="0.25">
      <c r="B207" s="62" t="s">
        <v>306</v>
      </c>
      <c r="C207" s="64" t="s">
        <v>324</v>
      </c>
      <c r="D207" s="64"/>
      <c r="E207" s="64" t="s">
        <v>202</v>
      </c>
      <c r="F207" s="100">
        <v>45545</v>
      </c>
      <c r="G207" s="66">
        <v>3118</v>
      </c>
      <c r="H207" s="15" t="str">
        <f t="shared" si="56"/>
        <v>-</v>
      </c>
      <c r="I207" s="16"/>
      <c r="J207" s="15">
        <f t="shared" si="52"/>
        <v>0</v>
      </c>
      <c r="K207" s="17">
        <f t="shared" si="53"/>
        <v>0</v>
      </c>
      <c r="L207" s="15">
        <f t="shared" si="57"/>
        <v>0</v>
      </c>
      <c r="M207" s="18">
        <f t="shared" si="58"/>
        <v>0</v>
      </c>
    </row>
    <row r="208" spans="2:13" hidden="1" x14ac:dyDescent="0.25">
      <c r="B208" s="62" t="s">
        <v>306</v>
      </c>
      <c r="C208" s="64" t="s">
        <v>325</v>
      </c>
      <c r="D208" s="64"/>
      <c r="E208" s="64" t="s">
        <v>308</v>
      </c>
      <c r="F208" s="100">
        <v>45677</v>
      </c>
      <c r="G208" s="66">
        <v>3330</v>
      </c>
      <c r="H208" s="15" t="str">
        <f t="shared" si="56"/>
        <v>-</v>
      </c>
      <c r="I208" s="16"/>
      <c r="J208" s="15">
        <f t="shared" si="52"/>
        <v>0</v>
      </c>
      <c r="K208" s="17">
        <f t="shared" si="53"/>
        <v>0</v>
      </c>
      <c r="L208" s="15">
        <f t="shared" si="57"/>
        <v>0</v>
      </c>
      <c r="M208" s="18">
        <f t="shared" si="58"/>
        <v>0</v>
      </c>
    </row>
    <row r="209" spans="2:13" hidden="1" x14ac:dyDescent="0.25">
      <c r="B209" s="62" t="s">
        <v>306</v>
      </c>
      <c r="C209" s="64" t="s">
        <v>326</v>
      </c>
      <c r="D209" s="64"/>
      <c r="E209" s="64"/>
      <c r="F209" s="100">
        <v>45505</v>
      </c>
      <c r="G209" s="66">
        <v>11489</v>
      </c>
      <c r="H209" s="15" t="str">
        <f t="shared" si="56"/>
        <v>-</v>
      </c>
      <c r="I209" s="16"/>
      <c r="J209" s="15">
        <f t="shared" si="52"/>
        <v>0</v>
      </c>
      <c r="K209" s="17">
        <f t="shared" si="53"/>
        <v>0</v>
      </c>
      <c r="L209" s="15">
        <f t="shared" si="57"/>
        <v>0</v>
      </c>
      <c r="M209" s="18">
        <f t="shared" si="58"/>
        <v>0</v>
      </c>
    </row>
    <row r="210" spans="2:13" hidden="1" x14ac:dyDescent="0.25">
      <c r="B210" s="62" t="s">
        <v>306</v>
      </c>
      <c r="C210" s="64" t="s">
        <v>327</v>
      </c>
      <c r="D210" s="64"/>
      <c r="E210" s="64" t="s">
        <v>328</v>
      </c>
      <c r="F210" s="100">
        <v>45631</v>
      </c>
      <c r="G210" s="66">
        <v>6237</v>
      </c>
      <c r="H210" s="15" t="str">
        <f t="shared" si="56"/>
        <v>-</v>
      </c>
      <c r="I210" s="16"/>
      <c r="J210" s="15">
        <f t="shared" si="52"/>
        <v>0</v>
      </c>
      <c r="K210" s="17">
        <f t="shared" si="53"/>
        <v>0</v>
      </c>
      <c r="L210" s="15">
        <f t="shared" si="57"/>
        <v>0</v>
      </c>
      <c r="M210" s="18">
        <f t="shared" si="58"/>
        <v>0</v>
      </c>
    </row>
    <row r="211" spans="2:13" hidden="1" x14ac:dyDescent="0.25">
      <c r="B211" s="62" t="s">
        <v>306</v>
      </c>
      <c r="C211" s="64" t="s">
        <v>329</v>
      </c>
      <c r="D211" s="64"/>
      <c r="E211" s="64" t="s">
        <v>116</v>
      </c>
      <c r="F211" s="100">
        <v>45489</v>
      </c>
      <c r="G211" s="66">
        <v>4987</v>
      </c>
      <c r="H211" s="15" t="str">
        <f t="shared" si="56"/>
        <v>-</v>
      </c>
      <c r="I211" s="16"/>
      <c r="J211" s="15">
        <f t="shared" si="52"/>
        <v>0</v>
      </c>
      <c r="K211" s="17">
        <f t="shared" si="53"/>
        <v>0</v>
      </c>
      <c r="L211" s="15">
        <f t="shared" si="57"/>
        <v>0</v>
      </c>
      <c r="M211" s="18">
        <f t="shared" si="58"/>
        <v>0</v>
      </c>
    </row>
    <row r="212" spans="2:13" hidden="1" x14ac:dyDescent="0.25">
      <c r="B212" s="62" t="s">
        <v>306</v>
      </c>
      <c r="C212" s="64" t="s">
        <v>330</v>
      </c>
      <c r="D212" s="64"/>
      <c r="E212" s="64"/>
      <c r="F212" s="100"/>
      <c r="G212" s="66">
        <v>6000</v>
      </c>
      <c r="H212" s="15" t="str">
        <f t="shared" si="56"/>
        <v>-</v>
      </c>
      <c r="I212" s="16"/>
      <c r="J212" s="15">
        <f t="shared" si="52"/>
        <v>0</v>
      </c>
      <c r="K212" s="17">
        <f t="shared" si="53"/>
        <v>0</v>
      </c>
      <c r="L212" s="15">
        <f t="shared" si="57"/>
        <v>0</v>
      </c>
      <c r="M212" s="18">
        <f t="shared" si="58"/>
        <v>0</v>
      </c>
    </row>
    <row r="213" spans="2:13" hidden="1" x14ac:dyDescent="0.25">
      <c r="B213" s="62" t="s">
        <v>306</v>
      </c>
      <c r="C213" s="64" t="s">
        <v>331</v>
      </c>
      <c r="D213" s="64"/>
      <c r="E213" s="64"/>
      <c r="F213" s="100"/>
      <c r="G213" s="66"/>
      <c r="H213" s="15" t="str">
        <f t="shared" si="56"/>
        <v>-</v>
      </c>
      <c r="I213" s="16"/>
      <c r="J213" s="15">
        <f t="shared" si="52"/>
        <v>0</v>
      </c>
      <c r="K213" s="17">
        <f t="shared" si="53"/>
        <v>0</v>
      </c>
      <c r="L213" s="15">
        <f t="shared" si="57"/>
        <v>0</v>
      </c>
      <c r="M213" s="18">
        <f t="shared" si="58"/>
        <v>0</v>
      </c>
    </row>
    <row r="214" spans="2:13" hidden="1" x14ac:dyDescent="0.25">
      <c r="B214" s="62" t="s">
        <v>332</v>
      </c>
      <c r="C214" s="64" t="s">
        <v>333</v>
      </c>
      <c r="D214" s="64"/>
      <c r="E214" s="64" t="s">
        <v>334</v>
      </c>
      <c r="F214" s="100">
        <v>45538</v>
      </c>
      <c r="G214" s="66">
        <v>85</v>
      </c>
      <c r="H214" s="15" t="str">
        <f t="shared" si="56"/>
        <v>-</v>
      </c>
      <c r="I214" s="16"/>
      <c r="J214" s="15">
        <f t="shared" ref="J214:J245" si="59">G213*I214</f>
        <v>0</v>
      </c>
      <c r="K214" s="17">
        <f t="shared" si="53"/>
        <v>0</v>
      </c>
      <c r="L214" s="15">
        <f t="shared" si="57"/>
        <v>0</v>
      </c>
      <c r="M214" s="18">
        <f t="shared" si="58"/>
        <v>0</v>
      </c>
    </row>
    <row r="215" spans="2:13" hidden="1" x14ac:dyDescent="0.25">
      <c r="B215" s="62" t="s">
        <v>332</v>
      </c>
      <c r="C215" s="64" t="s">
        <v>335</v>
      </c>
      <c r="D215" s="64"/>
      <c r="E215" s="64" t="s">
        <v>334</v>
      </c>
      <c r="F215" s="100">
        <v>45538</v>
      </c>
      <c r="G215" s="66">
        <v>110</v>
      </c>
      <c r="H215" s="15" t="str">
        <f t="shared" si="56"/>
        <v>-</v>
      </c>
      <c r="I215" s="16"/>
      <c r="J215" s="15">
        <f t="shared" si="59"/>
        <v>0</v>
      </c>
      <c r="K215" s="17">
        <f t="shared" si="53"/>
        <v>0</v>
      </c>
      <c r="L215" s="15">
        <f t="shared" si="57"/>
        <v>0</v>
      </c>
      <c r="M215" s="18">
        <f t="shared" si="58"/>
        <v>0</v>
      </c>
    </row>
    <row r="216" spans="2:13" hidden="1" x14ac:dyDescent="0.25">
      <c r="B216" s="62" t="s">
        <v>332</v>
      </c>
      <c r="C216" s="64" t="s">
        <v>336</v>
      </c>
      <c r="D216" s="64"/>
      <c r="E216" s="64" t="s">
        <v>334</v>
      </c>
      <c r="F216" s="100">
        <v>45538</v>
      </c>
      <c r="G216" s="66">
        <v>136</v>
      </c>
      <c r="H216" s="15" t="str">
        <f t="shared" si="56"/>
        <v>-</v>
      </c>
      <c r="I216" s="16"/>
      <c r="J216" s="15">
        <f t="shared" si="59"/>
        <v>0</v>
      </c>
      <c r="K216" s="17">
        <f t="shared" si="53"/>
        <v>0</v>
      </c>
      <c r="L216" s="15">
        <f t="shared" si="57"/>
        <v>0</v>
      </c>
      <c r="M216" s="18">
        <f t="shared" si="58"/>
        <v>0</v>
      </c>
    </row>
    <row r="217" spans="2:13" hidden="1" x14ac:dyDescent="0.25">
      <c r="B217" s="62" t="s">
        <v>337</v>
      </c>
      <c r="C217" s="64" t="s">
        <v>338</v>
      </c>
      <c r="D217" s="64"/>
      <c r="E217" s="64" t="s">
        <v>202</v>
      </c>
      <c r="F217" s="100">
        <v>45678</v>
      </c>
      <c r="G217" s="66">
        <v>275</v>
      </c>
      <c r="H217" s="15" t="str">
        <f t="shared" si="56"/>
        <v>-</v>
      </c>
      <c r="I217" s="16"/>
      <c r="J217" s="15">
        <f t="shared" si="59"/>
        <v>0</v>
      </c>
      <c r="K217" s="17">
        <f t="shared" si="53"/>
        <v>0</v>
      </c>
      <c r="L217" s="15">
        <f t="shared" si="57"/>
        <v>0</v>
      </c>
      <c r="M217" s="18">
        <f t="shared" si="58"/>
        <v>0</v>
      </c>
    </row>
    <row r="218" spans="2:13" hidden="1" x14ac:dyDescent="0.25">
      <c r="B218" s="62" t="s">
        <v>337</v>
      </c>
      <c r="C218" s="64" t="s">
        <v>339</v>
      </c>
      <c r="D218" s="64"/>
      <c r="E218" s="64" t="s">
        <v>340</v>
      </c>
      <c r="F218" s="100">
        <v>45729</v>
      </c>
      <c r="G218" s="66">
        <v>270</v>
      </c>
      <c r="H218" s="15" t="str">
        <f t="shared" si="56"/>
        <v>-</v>
      </c>
      <c r="I218" s="16"/>
      <c r="J218" s="15">
        <f t="shared" si="59"/>
        <v>0</v>
      </c>
      <c r="K218" s="17">
        <f t="shared" si="53"/>
        <v>0</v>
      </c>
      <c r="L218" s="15">
        <f t="shared" si="57"/>
        <v>0</v>
      </c>
      <c r="M218" s="18">
        <f t="shared" si="58"/>
        <v>0</v>
      </c>
    </row>
    <row r="219" spans="2:13" hidden="1" x14ac:dyDescent="0.25">
      <c r="B219" s="62" t="s">
        <v>337</v>
      </c>
      <c r="C219" s="64" t="s">
        <v>341</v>
      </c>
      <c r="D219" s="64"/>
      <c r="E219" s="64" t="s">
        <v>342</v>
      </c>
      <c r="F219" s="100">
        <v>45805</v>
      </c>
      <c r="G219" s="66">
        <v>912</v>
      </c>
      <c r="H219" s="15" t="str">
        <f t="shared" si="56"/>
        <v>-</v>
      </c>
      <c r="I219" s="16"/>
      <c r="J219" s="15">
        <f t="shared" si="59"/>
        <v>0</v>
      </c>
      <c r="K219" s="17">
        <f t="shared" si="53"/>
        <v>0</v>
      </c>
      <c r="L219" s="15">
        <f t="shared" si="57"/>
        <v>0</v>
      </c>
      <c r="M219" s="18">
        <f t="shared" si="58"/>
        <v>0</v>
      </c>
    </row>
    <row r="220" spans="2:13" hidden="1" x14ac:dyDescent="0.25">
      <c r="B220" s="62" t="s">
        <v>337</v>
      </c>
      <c r="C220" s="64" t="s">
        <v>343</v>
      </c>
      <c r="D220" s="64"/>
      <c r="E220" s="64" t="s">
        <v>342</v>
      </c>
      <c r="F220" s="100">
        <v>45405</v>
      </c>
      <c r="G220" s="66">
        <v>860</v>
      </c>
      <c r="H220" s="15" t="str">
        <f t="shared" si="56"/>
        <v>-</v>
      </c>
      <c r="I220" s="16"/>
      <c r="J220" s="15">
        <f t="shared" si="59"/>
        <v>0</v>
      </c>
      <c r="K220" s="17">
        <f t="shared" si="53"/>
        <v>0</v>
      </c>
      <c r="L220" s="15">
        <f t="shared" si="57"/>
        <v>0</v>
      </c>
      <c r="M220" s="18">
        <f t="shared" si="58"/>
        <v>0</v>
      </c>
    </row>
    <row r="221" spans="2:13" hidden="1" x14ac:dyDescent="0.25">
      <c r="B221" s="62" t="s">
        <v>337</v>
      </c>
      <c r="C221" s="64" t="s">
        <v>344</v>
      </c>
      <c r="D221" s="64"/>
      <c r="E221" s="64"/>
      <c r="F221" s="100">
        <v>45394</v>
      </c>
      <c r="G221" s="66">
        <v>1892</v>
      </c>
      <c r="H221" s="15" t="str">
        <f t="shared" si="56"/>
        <v>-</v>
      </c>
      <c r="I221" s="16"/>
      <c r="J221" s="15">
        <f t="shared" si="59"/>
        <v>0</v>
      </c>
      <c r="K221" s="17">
        <f t="shared" si="53"/>
        <v>0</v>
      </c>
      <c r="L221" s="15">
        <f t="shared" si="57"/>
        <v>0</v>
      </c>
      <c r="M221" s="18">
        <f t="shared" si="58"/>
        <v>0</v>
      </c>
    </row>
    <row r="222" spans="2:13" hidden="1" x14ac:dyDescent="0.25">
      <c r="B222" s="62" t="s">
        <v>345</v>
      </c>
      <c r="C222" s="64" t="s">
        <v>346</v>
      </c>
      <c r="D222" s="64"/>
      <c r="E222" s="64" t="s">
        <v>347</v>
      </c>
      <c r="F222" s="100">
        <v>45671</v>
      </c>
      <c r="G222" s="66">
        <v>343.7</v>
      </c>
      <c r="H222" s="15" t="str">
        <f t="shared" si="56"/>
        <v>-</v>
      </c>
      <c r="I222" s="16"/>
      <c r="J222" s="15">
        <f t="shared" si="59"/>
        <v>0</v>
      </c>
      <c r="K222" s="17">
        <f t="shared" si="53"/>
        <v>0</v>
      </c>
      <c r="L222" s="15">
        <f t="shared" si="57"/>
        <v>0</v>
      </c>
      <c r="M222" s="18">
        <f t="shared" si="58"/>
        <v>0</v>
      </c>
    </row>
    <row r="223" spans="2:13" hidden="1" x14ac:dyDescent="0.25">
      <c r="B223" s="62" t="s">
        <v>345</v>
      </c>
      <c r="C223" s="63" t="s">
        <v>348</v>
      </c>
      <c r="D223" s="64"/>
      <c r="E223" s="64" t="s">
        <v>84</v>
      </c>
      <c r="F223" s="100">
        <v>45784</v>
      </c>
      <c r="G223" s="66">
        <v>115.5</v>
      </c>
      <c r="H223" s="15" t="str">
        <f t="shared" si="56"/>
        <v>-</v>
      </c>
      <c r="I223" s="16"/>
      <c r="J223" s="15">
        <f t="shared" si="59"/>
        <v>0</v>
      </c>
      <c r="K223" s="17">
        <f t="shared" si="53"/>
        <v>0</v>
      </c>
      <c r="L223" s="15">
        <f t="shared" si="57"/>
        <v>0</v>
      </c>
      <c r="M223" s="18">
        <f t="shared" si="58"/>
        <v>0</v>
      </c>
    </row>
    <row r="224" spans="2:13" hidden="1" x14ac:dyDescent="0.25">
      <c r="B224" s="62" t="s">
        <v>345</v>
      </c>
      <c r="C224" s="64" t="s">
        <v>349</v>
      </c>
      <c r="D224" s="64"/>
      <c r="E224" s="64" t="s">
        <v>84</v>
      </c>
      <c r="F224" s="100">
        <v>45784</v>
      </c>
      <c r="G224" s="66">
        <v>115.5</v>
      </c>
      <c r="H224" s="15" t="str">
        <f t="shared" si="56"/>
        <v>-</v>
      </c>
      <c r="I224" s="16"/>
      <c r="J224" s="15">
        <f t="shared" si="59"/>
        <v>0</v>
      </c>
      <c r="K224" s="17">
        <f t="shared" si="53"/>
        <v>0</v>
      </c>
      <c r="L224" s="15">
        <f t="shared" si="57"/>
        <v>0</v>
      </c>
      <c r="M224" s="18">
        <f t="shared" si="58"/>
        <v>0</v>
      </c>
    </row>
    <row r="225" spans="2:13" hidden="1" x14ac:dyDescent="0.25">
      <c r="B225" s="62" t="s">
        <v>345</v>
      </c>
      <c r="C225" s="64" t="s">
        <v>350</v>
      </c>
      <c r="D225" s="64"/>
      <c r="E225" s="64" t="s">
        <v>84</v>
      </c>
      <c r="F225" s="100">
        <v>45812</v>
      </c>
      <c r="G225" s="66">
        <v>343.7</v>
      </c>
      <c r="H225" s="15" t="str">
        <f t="shared" si="56"/>
        <v>-</v>
      </c>
      <c r="I225" s="16"/>
      <c r="J225" s="15">
        <f t="shared" si="59"/>
        <v>0</v>
      </c>
      <c r="K225" s="17">
        <f t="shared" si="53"/>
        <v>0</v>
      </c>
      <c r="L225" s="15">
        <f t="shared" si="57"/>
        <v>0</v>
      </c>
      <c r="M225" s="18">
        <f t="shared" si="58"/>
        <v>0</v>
      </c>
    </row>
    <row r="226" spans="2:13" hidden="1" x14ac:dyDescent="0.25">
      <c r="B226" s="62" t="s">
        <v>345</v>
      </c>
      <c r="C226" s="64" t="s">
        <v>351</v>
      </c>
      <c r="D226" s="64"/>
      <c r="E226" s="64" t="s">
        <v>84</v>
      </c>
      <c r="F226" s="100">
        <v>45812</v>
      </c>
      <c r="G226" s="66">
        <v>343.7</v>
      </c>
      <c r="H226" s="15" t="str">
        <f t="shared" si="56"/>
        <v>-</v>
      </c>
      <c r="I226" s="16"/>
      <c r="J226" s="15">
        <f t="shared" si="59"/>
        <v>0</v>
      </c>
      <c r="K226" s="17">
        <f t="shared" si="53"/>
        <v>0</v>
      </c>
      <c r="L226" s="15">
        <f t="shared" si="57"/>
        <v>0</v>
      </c>
      <c r="M226" s="18">
        <f t="shared" si="58"/>
        <v>0</v>
      </c>
    </row>
    <row r="227" spans="2:13" hidden="1" x14ac:dyDescent="0.25">
      <c r="B227" s="62" t="s">
        <v>345</v>
      </c>
      <c r="C227" s="64" t="s">
        <v>352</v>
      </c>
      <c r="D227" s="64"/>
      <c r="E227" s="64" t="s">
        <v>84</v>
      </c>
      <c r="F227" s="100">
        <v>45784</v>
      </c>
      <c r="G227" s="66">
        <v>115.5</v>
      </c>
      <c r="H227" s="15" t="str">
        <f t="shared" si="56"/>
        <v>-</v>
      </c>
      <c r="I227" s="16"/>
      <c r="J227" s="15">
        <f t="shared" si="59"/>
        <v>0</v>
      </c>
      <c r="K227" s="17">
        <f t="shared" si="53"/>
        <v>0</v>
      </c>
      <c r="L227" s="15">
        <f t="shared" si="57"/>
        <v>0</v>
      </c>
      <c r="M227" s="18">
        <f t="shared" si="58"/>
        <v>0</v>
      </c>
    </row>
    <row r="228" spans="2:13" hidden="1" x14ac:dyDescent="0.25">
      <c r="B228" s="62" t="s">
        <v>345</v>
      </c>
      <c r="C228" s="64" t="s">
        <v>353</v>
      </c>
      <c r="D228" s="64"/>
      <c r="E228" s="64" t="s">
        <v>84</v>
      </c>
      <c r="F228" s="100">
        <v>45784</v>
      </c>
      <c r="G228" s="66">
        <v>126.7</v>
      </c>
      <c r="H228" s="15" t="str">
        <f t="shared" si="56"/>
        <v>-</v>
      </c>
      <c r="I228" s="16"/>
      <c r="J228" s="15">
        <f t="shared" si="59"/>
        <v>0</v>
      </c>
      <c r="K228" s="17">
        <f t="shared" si="53"/>
        <v>0</v>
      </c>
      <c r="L228" s="15">
        <f t="shared" si="57"/>
        <v>0</v>
      </c>
      <c r="M228" s="18">
        <f t="shared" si="58"/>
        <v>0</v>
      </c>
    </row>
    <row r="229" spans="2:13" hidden="1" x14ac:dyDescent="0.25">
      <c r="B229" s="62" t="s">
        <v>354</v>
      </c>
      <c r="C229" s="64" t="s">
        <v>355</v>
      </c>
      <c r="D229" s="64"/>
      <c r="E229" s="64" t="s">
        <v>116</v>
      </c>
      <c r="F229" s="100">
        <v>45390</v>
      </c>
      <c r="G229" s="66">
        <v>16.399999999999999</v>
      </c>
      <c r="H229" s="15" t="str">
        <f t="shared" si="56"/>
        <v>-</v>
      </c>
      <c r="I229" s="16"/>
      <c r="J229" s="15">
        <f t="shared" si="59"/>
        <v>0</v>
      </c>
      <c r="K229" s="17">
        <f t="shared" si="53"/>
        <v>0</v>
      </c>
      <c r="L229" s="15">
        <f t="shared" si="57"/>
        <v>0</v>
      </c>
      <c r="M229" s="18">
        <f t="shared" si="58"/>
        <v>0</v>
      </c>
    </row>
    <row r="230" spans="2:13" hidden="1" x14ac:dyDescent="0.25">
      <c r="B230" s="62" t="s">
        <v>356</v>
      </c>
      <c r="C230" s="64" t="s">
        <v>24</v>
      </c>
      <c r="D230" s="64"/>
      <c r="E230" s="64" t="s">
        <v>202</v>
      </c>
      <c r="F230" s="32">
        <v>45784</v>
      </c>
      <c r="G230" s="66">
        <v>30.26</v>
      </c>
      <c r="H230" s="15" t="str">
        <f t="shared" si="56"/>
        <v>-</v>
      </c>
      <c r="I230" s="16"/>
      <c r="J230" s="15">
        <f t="shared" si="59"/>
        <v>0</v>
      </c>
      <c r="K230" s="17">
        <f t="shared" si="53"/>
        <v>0</v>
      </c>
      <c r="L230" s="15">
        <f t="shared" si="57"/>
        <v>0</v>
      </c>
      <c r="M230" s="18">
        <f t="shared" si="58"/>
        <v>0</v>
      </c>
    </row>
    <row r="231" spans="2:13" hidden="1" x14ac:dyDescent="0.25">
      <c r="B231" s="62" t="s">
        <v>356</v>
      </c>
      <c r="C231" s="64" t="s">
        <v>357</v>
      </c>
      <c r="D231" s="64"/>
      <c r="E231" s="64" t="s">
        <v>202</v>
      </c>
      <c r="F231" s="32">
        <v>45755</v>
      </c>
      <c r="G231" s="66">
        <v>35</v>
      </c>
      <c r="H231" s="15" t="str">
        <f t="shared" si="56"/>
        <v>-</v>
      </c>
      <c r="I231" s="16"/>
      <c r="J231" s="15">
        <f t="shared" si="59"/>
        <v>0</v>
      </c>
      <c r="K231" s="17">
        <f t="shared" si="53"/>
        <v>0</v>
      </c>
      <c r="L231" s="15">
        <f t="shared" si="57"/>
        <v>0</v>
      </c>
      <c r="M231" s="18">
        <f t="shared" si="58"/>
        <v>0</v>
      </c>
    </row>
    <row r="232" spans="2:13" hidden="1" x14ac:dyDescent="0.25">
      <c r="B232" s="62" t="s">
        <v>354</v>
      </c>
      <c r="C232" s="64" t="s">
        <v>358</v>
      </c>
      <c r="D232" s="64"/>
      <c r="E232" s="64" t="s">
        <v>202</v>
      </c>
      <c r="F232" s="32">
        <v>45755</v>
      </c>
      <c r="G232" s="66">
        <v>30</v>
      </c>
      <c r="H232" s="15" t="str">
        <f t="shared" si="56"/>
        <v>-</v>
      </c>
      <c r="I232" s="16"/>
      <c r="J232" s="15">
        <f t="shared" si="59"/>
        <v>0</v>
      </c>
      <c r="K232" s="17">
        <f t="shared" si="53"/>
        <v>0</v>
      </c>
      <c r="L232" s="15">
        <f t="shared" si="57"/>
        <v>0</v>
      </c>
      <c r="M232" s="18">
        <f t="shared" si="58"/>
        <v>0</v>
      </c>
    </row>
    <row r="233" spans="2:13" hidden="1" x14ac:dyDescent="0.25">
      <c r="B233" s="62" t="s">
        <v>354</v>
      </c>
      <c r="C233" s="64" t="s">
        <v>359</v>
      </c>
      <c r="D233" s="64"/>
      <c r="E233" s="64" t="s">
        <v>202</v>
      </c>
      <c r="F233" s="32">
        <v>45754</v>
      </c>
      <c r="G233" s="66">
        <v>50</v>
      </c>
      <c r="H233" s="15" t="str">
        <f t="shared" si="56"/>
        <v>-</v>
      </c>
      <c r="I233" s="16"/>
      <c r="J233" s="15">
        <f t="shared" si="59"/>
        <v>0</v>
      </c>
      <c r="K233" s="17">
        <f t="shared" si="53"/>
        <v>0</v>
      </c>
      <c r="L233" s="15">
        <f t="shared" si="57"/>
        <v>0</v>
      </c>
      <c r="M233" s="18">
        <f t="shared" si="58"/>
        <v>0</v>
      </c>
    </row>
    <row r="234" spans="2:13" hidden="1" x14ac:dyDescent="0.25">
      <c r="B234" s="62" t="s">
        <v>354</v>
      </c>
      <c r="C234" s="64" t="s">
        <v>360</v>
      </c>
      <c r="D234" s="64"/>
      <c r="E234" s="64" t="s">
        <v>202</v>
      </c>
      <c r="F234" s="32">
        <v>45754</v>
      </c>
      <c r="G234" s="66">
        <v>310</v>
      </c>
      <c r="H234" s="15"/>
      <c r="I234" s="16"/>
      <c r="J234" s="15">
        <f t="shared" si="59"/>
        <v>0</v>
      </c>
      <c r="K234" s="17"/>
      <c r="L234" s="15"/>
      <c r="M234" s="18"/>
    </row>
    <row r="235" spans="2:13" hidden="1" x14ac:dyDescent="0.25">
      <c r="B235" s="62" t="s">
        <v>361</v>
      </c>
      <c r="C235" s="64" t="s">
        <v>362</v>
      </c>
      <c r="D235" s="128"/>
      <c r="E235" s="64" t="s">
        <v>340</v>
      </c>
      <c r="F235" s="100">
        <v>45625</v>
      </c>
      <c r="G235" s="66">
        <v>325</v>
      </c>
      <c r="H235" s="15"/>
      <c r="I235" s="16"/>
      <c r="J235" s="15">
        <f t="shared" si="59"/>
        <v>0</v>
      </c>
      <c r="K235" s="17"/>
      <c r="L235" s="15"/>
      <c r="M235" s="18"/>
    </row>
    <row r="236" spans="2:13" hidden="1" x14ac:dyDescent="0.25">
      <c r="B236" s="62" t="s">
        <v>361</v>
      </c>
      <c r="C236" s="64" t="s">
        <v>363</v>
      </c>
      <c r="D236" s="64"/>
      <c r="E236" s="64" t="s">
        <v>340</v>
      </c>
      <c r="F236" s="100">
        <v>45390</v>
      </c>
      <c r="G236" s="66">
        <v>179.94</v>
      </c>
      <c r="H236" s="15" t="str">
        <f t="shared" si="56"/>
        <v>-</v>
      </c>
      <c r="I236" s="16"/>
      <c r="J236" s="15">
        <f t="shared" si="59"/>
        <v>0</v>
      </c>
      <c r="K236" s="17">
        <f>$K$5</f>
        <v>0</v>
      </c>
      <c r="L236" s="15">
        <f>J236*(1+K236)</f>
        <v>0</v>
      </c>
      <c r="M236" s="18">
        <f>L236-J236</f>
        <v>0</v>
      </c>
    </row>
    <row r="237" spans="2:13" hidden="1" x14ac:dyDescent="0.25">
      <c r="B237" s="62" t="s">
        <v>361</v>
      </c>
      <c r="C237" s="64" t="s">
        <v>364</v>
      </c>
      <c r="D237" s="64"/>
      <c r="E237" s="64" t="s">
        <v>365</v>
      </c>
      <c r="F237" s="100">
        <v>45390</v>
      </c>
      <c r="G237" s="66">
        <v>438.07</v>
      </c>
      <c r="H237" s="15" t="str">
        <f t="shared" si="56"/>
        <v>-</v>
      </c>
      <c r="I237" s="16"/>
      <c r="J237" s="15">
        <f t="shared" si="59"/>
        <v>0</v>
      </c>
      <c r="K237" s="17">
        <f>$K$5</f>
        <v>0</v>
      </c>
      <c r="L237" s="15">
        <f>J237*(1+K237)</f>
        <v>0</v>
      </c>
      <c r="M237" s="18">
        <f>L237-J237</f>
        <v>0</v>
      </c>
    </row>
    <row r="238" spans="2:13" hidden="1" x14ac:dyDescent="0.25">
      <c r="B238" s="62" t="s">
        <v>361</v>
      </c>
      <c r="C238" s="64" t="s">
        <v>366</v>
      </c>
      <c r="D238" s="64"/>
      <c r="E238" s="64"/>
      <c r="F238" s="100"/>
      <c r="G238" s="66">
        <v>378.36</v>
      </c>
      <c r="H238" s="15" t="str">
        <f t="shared" si="56"/>
        <v>-</v>
      </c>
      <c r="I238" s="16"/>
      <c r="J238" s="15">
        <f t="shared" si="59"/>
        <v>0</v>
      </c>
      <c r="K238" s="17">
        <f t="shared" ref="K238:K291" si="60">$K$5</f>
        <v>0</v>
      </c>
      <c r="L238" s="15">
        <f t="shared" si="57"/>
        <v>0</v>
      </c>
      <c r="M238" s="18">
        <f t="shared" si="58"/>
        <v>0</v>
      </c>
    </row>
    <row r="239" spans="2:13" hidden="1" x14ac:dyDescent="0.25">
      <c r="B239" s="62" t="s">
        <v>361</v>
      </c>
      <c r="C239" s="64" t="s">
        <v>367</v>
      </c>
      <c r="D239" s="64"/>
      <c r="E239" s="64"/>
      <c r="F239" s="100"/>
      <c r="G239" s="66">
        <v>2420</v>
      </c>
      <c r="H239" s="15" t="str">
        <f t="shared" si="56"/>
        <v>-</v>
      </c>
      <c r="I239" s="16"/>
      <c r="J239" s="15">
        <f t="shared" si="59"/>
        <v>0</v>
      </c>
      <c r="K239" s="17">
        <f t="shared" si="60"/>
        <v>0</v>
      </c>
      <c r="L239" s="15">
        <f t="shared" si="57"/>
        <v>0</v>
      </c>
      <c r="M239" s="18">
        <f t="shared" si="58"/>
        <v>0</v>
      </c>
    </row>
    <row r="240" spans="2:13" hidden="1" x14ac:dyDescent="0.25">
      <c r="B240" s="62" t="s">
        <v>361</v>
      </c>
      <c r="C240" s="64" t="s">
        <v>368</v>
      </c>
      <c r="D240" s="64"/>
      <c r="E240" s="64" t="s">
        <v>369</v>
      </c>
      <c r="F240" s="100">
        <v>45590</v>
      </c>
      <c r="G240" s="126">
        <v>1108.32</v>
      </c>
      <c r="H240" s="15" t="str">
        <f t="shared" si="56"/>
        <v>-</v>
      </c>
      <c r="I240" s="16"/>
      <c r="J240" s="15">
        <f t="shared" si="59"/>
        <v>0</v>
      </c>
      <c r="K240" s="17">
        <f t="shared" si="60"/>
        <v>0</v>
      </c>
      <c r="L240" s="15">
        <f t="shared" si="57"/>
        <v>0</v>
      </c>
      <c r="M240" s="18">
        <f t="shared" si="58"/>
        <v>0</v>
      </c>
    </row>
    <row r="241" spans="2:13" hidden="1" x14ac:dyDescent="0.25">
      <c r="B241" s="62" t="s">
        <v>361</v>
      </c>
      <c r="C241" s="64" t="s">
        <v>370</v>
      </c>
      <c r="D241" s="64"/>
      <c r="E241" s="64" t="s">
        <v>342</v>
      </c>
      <c r="F241" s="100">
        <v>45390</v>
      </c>
      <c r="G241" s="66">
        <v>898.07</v>
      </c>
      <c r="H241" s="15" t="str">
        <f t="shared" si="56"/>
        <v>-</v>
      </c>
      <c r="I241" s="16"/>
      <c r="J241" s="15">
        <f t="shared" si="59"/>
        <v>0</v>
      </c>
      <c r="K241" s="17">
        <f t="shared" si="60"/>
        <v>0</v>
      </c>
      <c r="L241" s="15">
        <f t="shared" si="57"/>
        <v>0</v>
      </c>
      <c r="M241" s="18">
        <f t="shared" si="58"/>
        <v>0</v>
      </c>
    </row>
    <row r="242" spans="2:13" hidden="1" x14ac:dyDescent="0.25">
      <c r="B242" s="62" t="s">
        <v>371</v>
      </c>
      <c r="C242" s="64" t="s">
        <v>372</v>
      </c>
      <c r="D242" s="128"/>
      <c r="E242" s="64" t="s">
        <v>340</v>
      </c>
      <c r="F242" s="100">
        <v>45622</v>
      </c>
      <c r="G242" s="66">
        <v>708</v>
      </c>
      <c r="H242" s="15" t="str">
        <f t="shared" si="56"/>
        <v>-</v>
      </c>
      <c r="I242" s="16"/>
      <c r="J242" s="15">
        <f t="shared" si="59"/>
        <v>0</v>
      </c>
      <c r="K242" s="17">
        <f t="shared" si="60"/>
        <v>0</v>
      </c>
      <c r="L242" s="15">
        <f t="shared" si="57"/>
        <v>0</v>
      </c>
      <c r="M242" s="18">
        <f t="shared" si="58"/>
        <v>0</v>
      </c>
    </row>
    <row r="243" spans="2:13" hidden="1" x14ac:dyDescent="0.25">
      <c r="B243" s="62" t="s">
        <v>371</v>
      </c>
      <c r="C243" s="64" t="s">
        <v>373</v>
      </c>
      <c r="D243" s="64"/>
      <c r="E243" s="64" t="s">
        <v>340</v>
      </c>
      <c r="F243" s="100">
        <v>45754</v>
      </c>
      <c r="G243" s="66">
        <v>850</v>
      </c>
      <c r="H243" s="15" t="str">
        <f t="shared" si="56"/>
        <v>-</v>
      </c>
      <c r="I243" s="16"/>
      <c r="J243" s="15">
        <f t="shared" si="59"/>
        <v>0</v>
      </c>
      <c r="K243" s="17">
        <f t="shared" si="60"/>
        <v>0</v>
      </c>
      <c r="L243" s="15">
        <f t="shared" si="57"/>
        <v>0</v>
      </c>
      <c r="M243" s="18">
        <f t="shared" si="58"/>
        <v>0</v>
      </c>
    </row>
    <row r="244" spans="2:13" hidden="1" x14ac:dyDescent="0.25">
      <c r="B244" s="62"/>
      <c r="C244" s="64" t="s">
        <v>374</v>
      </c>
      <c r="D244" s="64"/>
      <c r="E244" s="64" t="s">
        <v>375</v>
      </c>
      <c r="F244" s="100">
        <v>45685</v>
      </c>
      <c r="G244" s="66">
        <v>465</v>
      </c>
      <c r="H244" s="15" t="str">
        <f t="shared" si="56"/>
        <v>-</v>
      </c>
      <c r="I244" s="16"/>
      <c r="J244" s="15">
        <f t="shared" si="59"/>
        <v>0</v>
      </c>
      <c r="K244" s="17">
        <f t="shared" si="60"/>
        <v>0</v>
      </c>
      <c r="L244" s="15">
        <f t="shared" si="57"/>
        <v>0</v>
      </c>
      <c r="M244" s="18">
        <f t="shared" si="58"/>
        <v>0</v>
      </c>
    </row>
    <row r="245" spans="2:13" hidden="1" x14ac:dyDescent="0.25">
      <c r="B245" s="62" t="s">
        <v>376</v>
      </c>
      <c r="C245" s="64" t="s">
        <v>377</v>
      </c>
      <c r="D245" s="64"/>
      <c r="E245" s="64" t="s">
        <v>116</v>
      </c>
      <c r="F245" s="100">
        <v>45813</v>
      </c>
      <c r="G245" s="66">
        <v>314</v>
      </c>
      <c r="H245" s="34" t="str">
        <f t="shared" si="56"/>
        <v>-</v>
      </c>
      <c r="I245" s="35"/>
      <c r="J245" s="34">
        <f t="shared" si="59"/>
        <v>0</v>
      </c>
      <c r="K245" s="36">
        <f t="shared" si="60"/>
        <v>0</v>
      </c>
      <c r="L245" s="34">
        <f t="shared" si="57"/>
        <v>0</v>
      </c>
      <c r="M245" s="37">
        <f t="shared" si="58"/>
        <v>0</v>
      </c>
    </row>
    <row r="246" spans="2:13" hidden="1" x14ac:dyDescent="0.25">
      <c r="B246" s="62" t="s">
        <v>376</v>
      </c>
      <c r="C246" s="64" t="s">
        <v>378</v>
      </c>
      <c r="D246" s="64"/>
      <c r="E246" s="64" t="s">
        <v>116</v>
      </c>
      <c r="F246" s="100">
        <v>45813</v>
      </c>
      <c r="G246" s="66">
        <v>581</v>
      </c>
      <c r="H246" s="15"/>
      <c r="I246" s="16"/>
      <c r="J246" s="15">
        <f t="shared" ref="J246:J277" si="61">G245*I246</f>
        <v>0</v>
      </c>
      <c r="K246" s="17"/>
      <c r="L246" s="15"/>
      <c r="M246" s="18"/>
    </row>
    <row r="247" spans="2:13" hidden="1" x14ac:dyDescent="0.25">
      <c r="B247" s="62" t="s">
        <v>376</v>
      </c>
      <c r="C247" s="64" t="s">
        <v>379</v>
      </c>
      <c r="D247" s="64"/>
      <c r="E247" s="64" t="s">
        <v>116</v>
      </c>
      <c r="F247" s="100">
        <v>45813</v>
      </c>
      <c r="G247" s="66">
        <v>941.36</v>
      </c>
      <c r="H247" s="15"/>
      <c r="I247" s="16"/>
      <c r="J247" s="15">
        <f t="shared" si="61"/>
        <v>0</v>
      </c>
      <c r="K247" s="17"/>
      <c r="L247" s="15"/>
      <c r="M247" s="18"/>
    </row>
    <row r="248" spans="2:13" hidden="1" x14ac:dyDescent="0.25">
      <c r="B248" s="62" t="s">
        <v>380</v>
      </c>
      <c r="C248" s="64" t="s">
        <v>381</v>
      </c>
      <c r="D248" s="64"/>
      <c r="E248" s="64"/>
      <c r="F248" s="100"/>
      <c r="G248" s="66"/>
      <c r="H248" s="15"/>
      <c r="I248" s="16"/>
      <c r="J248" s="15">
        <f t="shared" si="61"/>
        <v>0</v>
      </c>
      <c r="K248" s="17"/>
      <c r="L248" s="15"/>
      <c r="M248" s="18"/>
    </row>
    <row r="249" spans="2:13" hidden="1" x14ac:dyDescent="0.25">
      <c r="B249" s="62" t="s">
        <v>382</v>
      </c>
      <c r="C249" s="64" t="s">
        <v>383</v>
      </c>
      <c r="D249" s="64"/>
      <c r="E249" s="64"/>
      <c r="F249" s="100">
        <v>45754</v>
      </c>
      <c r="G249" s="66">
        <v>530</v>
      </c>
      <c r="H249" s="15" t="str">
        <f t="shared" si="56"/>
        <v>-</v>
      </c>
      <c r="I249" s="16"/>
      <c r="J249" s="15">
        <f t="shared" si="61"/>
        <v>0</v>
      </c>
      <c r="K249" s="17">
        <f t="shared" si="60"/>
        <v>0</v>
      </c>
      <c r="L249" s="15">
        <f t="shared" si="57"/>
        <v>0</v>
      </c>
      <c r="M249" s="18">
        <f t="shared" si="58"/>
        <v>0</v>
      </c>
    </row>
    <row r="250" spans="2:13" hidden="1" x14ac:dyDescent="0.25">
      <c r="B250" s="62" t="s">
        <v>382</v>
      </c>
      <c r="C250" s="64" t="s">
        <v>384</v>
      </c>
      <c r="D250" s="64"/>
      <c r="E250" s="64"/>
      <c r="F250" s="100">
        <v>45754</v>
      </c>
      <c r="G250" s="66">
        <v>560</v>
      </c>
      <c r="H250" s="15"/>
      <c r="I250" s="16"/>
      <c r="J250" s="15">
        <f t="shared" si="61"/>
        <v>0</v>
      </c>
      <c r="K250" s="17">
        <f t="shared" si="60"/>
        <v>0</v>
      </c>
      <c r="L250" s="15">
        <f t="shared" si="57"/>
        <v>0</v>
      </c>
      <c r="M250" s="18">
        <f t="shared" si="58"/>
        <v>0</v>
      </c>
    </row>
    <row r="251" spans="2:13" hidden="1" x14ac:dyDescent="0.25">
      <c r="B251" s="62" t="s">
        <v>382</v>
      </c>
      <c r="C251" s="64" t="s">
        <v>385</v>
      </c>
      <c r="D251" s="64"/>
      <c r="E251" s="64"/>
      <c r="F251" s="100">
        <v>45754</v>
      </c>
      <c r="G251" s="66">
        <v>650</v>
      </c>
      <c r="H251" s="15"/>
      <c r="I251" s="16"/>
      <c r="J251" s="15">
        <f t="shared" si="61"/>
        <v>0</v>
      </c>
      <c r="K251" s="17">
        <f t="shared" si="60"/>
        <v>0</v>
      </c>
      <c r="L251" s="15">
        <f t="shared" si="57"/>
        <v>0</v>
      </c>
      <c r="M251" s="18">
        <f t="shared" si="58"/>
        <v>0</v>
      </c>
    </row>
    <row r="252" spans="2:13" hidden="1" x14ac:dyDescent="0.25">
      <c r="B252" s="62" t="s">
        <v>382</v>
      </c>
      <c r="C252" s="64" t="s">
        <v>386</v>
      </c>
      <c r="D252" s="64"/>
      <c r="E252" s="64"/>
      <c r="F252" s="100">
        <v>45754</v>
      </c>
      <c r="G252" s="66">
        <v>640</v>
      </c>
      <c r="H252" s="15" t="str">
        <f t="shared" si="56"/>
        <v>-</v>
      </c>
      <c r="I252" s="16"/>
      <c r="J252" s="15">
        <f t="shared" si="61"/>
        <v>0</v>
      </c>
      <c r="K252" s="17">
        <f t="shared" si="60"/>
        <v>0</v>
      </c>
      <c r="L252" s="15">
        <f t="shared" si="57"/>
        <v>0</v>
      </c>
      <c r="M252" s="18">
        <f t="shared" si="58"/>
        <v>0</v>
      </c>
    </row>
    <row r="253" spans="2:13" hidden="1" x14ac:dyDescent="0.25">
      <c r="B253" s="62" t="s">
        <v>382</v>
      </c>
      <c r="C253" s="64" t="s">
        <v>387</v>
      </c>
      <c r="D253" s="64"/>
      <c r="E253" s="64" t="s">
        <v>388</v>
      </c>
      <c r="F253" s="100">
        <v>45754</v>
      </c>
      <c r="G253" s="66">
        <v>890</v>
      </c>
      <c r="H253" s="15" t="str">
        <f t="shared" si="56"/>
        <v>-</v>
      </c>
      <c r="I253" s="16"/>
      <c r="J253" s="15">
        <f t="shared" si="61"/>
        <v>0</v>
      </c>
      <c r="K253" s="17">
        <f t="shared" si="60"/>
        <v>0</v>
      </c>
      <c r="L253" s="15">
        <f t="shared" si="57"/>
        <v>0</v>
      </c>
      <c r="M253" s="18">
        <f t="shared" si="58"/>
        <v>0</v>
      </c>
    </row>
    <row r="254" spans="2:13" hidden="1" x14ac:dyDescent="0.25">
      <c r="B254" s="62" t="s">
        <v>382</v>
      </c>
      <c r="C254" s="64" t="s">
        <v>389</v>
      </c>
      <c r="D254" s="64"/>
      <c r="E254" s="64"/>
      <c r="F254" s="100">
        <v>45754</v>
      </c>
      <c r="G254" s="66">
        <v>1240</v>
      </c>
      <c r="H254" s="15" t="str">
        <f t="shared" si="56"/>
        <v>-</v>
      </c>
      <c r="I254" s="16"/>
      <c r="J254" s="15">
        <f t="shared" si="61"/>
        <v>0</v>
      </c>
      <c r="K254" s="17">
        <f t="shared" si="60"/>
        <v>0</v>
      </c>
      <c r="L254" s="15">
        <f t="shared" si="57"/>
        <v>0</v>
      </c>
      <c r="M254" s="18">
        <f t="shared" si="58"/>
        <v>0</v>
      </c>
    </row>
    <row r="255" spans="2:13" hidden="1" x14ac:dyDescent="0.25">
      <c r="B255" s="62" t="s">
        <v>382</v>
      </c>
      <c r="C255" s="64" t="s">
        <v>390</v>
      </c>
      <c r="D255" s="64"/>
      <c r="E255" s="64"/>
      <c r="F255" s="100">
        <v>45754</v>
      </c>
      <c r="G255" s="66">
        <v>1790</v>
      </c>
      <c r="H255" s="15" t="str">
        <f t="shared" si="56"/>
        <v>-</v>
      </c>
      <c r="I255" s="16"/>
      <c r="J255" s="15">
        <f t="shared" si="61"/>
        <v>0</v>
      </c>
      <c r="K255" s="17">
        <f t="shared" si="60"/>
        <v>0</v>
      </c>
      <c r="L255" s="15">
        <f t="shared" si="57"/>
        <v>0</v>
      </c>
      <c r="M255" s="18">
        <f t="shared" si="58"/>
        <v>0</v>
      </c>
    </row>
    <row r="256" spans="2:13" hidden="1" x14ac:dyDescent="0.25">
      <c r="B256" s="62" t="s">
        <v>382</v>
      </c>
      <c r="C256" s="64" t="s">
        <v>391</v>
      </c>
      <c r="D256" s="64"/>
      <c r="E256" s="64"/>
      <c r="F256" s="100">
        <v>45754</v>
      </c>
      <c r="G256" s="66">
        <v>3030</v>
      </c>
      <c r="H256" s="15" t="str">
        <f t="shared" si="56"/>
        <v>-</v>
      </c>
      <c r="I256" s="16"/>
      <c r="J256" s="15">
        <f t="shared" si="61"/>
        <v>0</v>
      </c>
      <c r="K256" s="17">
        <f t="shared" si="60"/>
        <v>0</v>
      </c>
      <c r="L256" s="15">
        <f t="shared" si="57"/>
        <v>0</v>
      </c>
      <c r="M256" s="18">
        <f t="shared" si="58"/>
        <v>0</v>
      </c>
    </row>
    <row r="257" spans="2:13" hidden="1" x14ac:dyDescent="0.25">
      <c r="B257" s="62" t="s">
        <v>382</v>
      </c>
      <c r="C257" s="64" t="s">
        <v>392</v>
      </c>
      <c r="D257" s="64"/>
      <c r="E257" s="64"/>
      <c r="F257" s="100">
        <v>45754</v>
      </c>
      <c r="G257" s="66">
        <v>2330</v>
      </c>
      <c r="H257" s="15"/>
      <c r="I257" s="16"/>
      <c r="J257" s="15">
        <f t="shared" si="61"/>
        <v>0</v>
      </c>
      <c r="K257" s="17">
        <f t="shared" si="60"/>
        <v>0</v>
      </c>
      <c r="L257" s="15">
        <f t="shared" si="57"/>
        <v>0</v>
      </c>
      <c r="M257" s="18">
        <f t="shared" si="58"/>
        <v>0</v>
      </c>
    </row>
    <row r="258" spans="2:13" hidden="1" x14ac:dyDescent="0.25">
      <c r="B258" s="62" t="s">
        <v>382</v>
      </c>
      <c r="C258" s="64" t="s">
        <v>393</v>
      </c>
      <c r="D258" s="64"/>
      <c r="E258" s="64" t="s">
        <v>116</v>
      </c>
      <c r="F258" s="100">
        <v>45551</v>
      </c>
      <c r="G258" s="66">
        <v>3900</v>
      </c>
      <c r="H258" s="15"/>
      <c r="I258" s="16"/>
      <c r="J258" s="15">
        <f t="shared" si="61"/>
        <v>0</v>
      </c>
      <c r="K258" s="17">
        <f t="shared" si="60"/>
        <v>0</v>
      </c>
      <c r="L258" s="15">
        <f t="shared" ref="L258:L291" si="62">J258*(1+K258)</f>
        <v>0</v>
      </c>
      <c r="M258" s="18">
        <f t="shared" ref="M258:M291" si="63">L258-J258</f>
        <v>0</v>
      </c>
    </row>
    <row r="259" spans="2:13" hidden="1" x14ac:dyDescent="0.25">
      <c r="B259" s="62" t="s">
        <v>382</v>
      </c>
      <c r="C259" s="64" t="s">
        <v>394</v>
      </c>
      <c r="D259" s="64"/>
      <c r="E259" s="64" t="s">
        <v>116</v>
      </c>
      <c r="F259" s="100">
        <v>45622</v>
      </c>
      <c r="G259" s="66">
        <v>4740</v>
      </c>
      <c r="H259" s="15" t="str">
        <f t="shared" si="56"/>
        <v>-</v>
      </c>
      <c r="I259" s="16"/>
      <c r="J259" s="15">
        <f t="shared" si="61"/>
        <v>0</v>
      </c>
      <c r="K259" s="17">
        <f t="shared" si="60"/>
        <v>0</v>
      </c>
      <c r="L259" s="15">
        <f t="shared" si="62"/>
        <v>0</v>
      </c>
      <c r="M259" s="18">
        <f t="shared" si="63"/>
        <v>0</v>
      </c>
    </row>
    <row r="260" spans="2:13" hidden="1" x14ac:dyDescent="0.25">
      <c r="B260" s="62" t="s">
        <v>382</v>
      </c>
      <c r="C260" s="64" t="s">
        <v>395</v>
      </c>
      <c r="D260" s="64"/>
      <c r="E260" s="64"/>
      <c r="F260" s="100">
        <v>45475</v>
      </c>
      <c r="G260" s="66">
        <v>7870</v>
      </c>
      <c r="H260" s="15" t="str">
        <f t="shared" si="56"/>
        <v>-</v>
      </c>
      <c r="I260" s="16"/>
      <c r="J260" s="15">
        <f t="shared" si="61"/>
        <v>0</v>
      </c>
      <c r="K260" s="17">
        <f t="shared" si="60"/>
        <v>0</v>
      </c>
      <c r="L260" s="15">
        <f t="shared" si="62"/>
        <v>0</v>
      </c>
      <c r="M260" s="18">
        <f t="shared" si="63"/>
        <v>0</v>
      </c>
    </row>
    <row r="261" spans="2:13" hidden="1" x14ac:dyDescent="0.25">
      <c r="B261" s="62" t="s">
        <v>382</v>
      </c>
      <c r="C261" s="64" t="s">
        <v>396</v>
      </c>
      <c r="D261" s="64"/>
      <c r="E261" s="64"/>
      <c r="F261" s="100">
        <v>45754</v>
      </c>
      <c r="G261" s="66">
        <v>2070</v>
      </c>
      <c r="H261" s="15" t="str">
        <f t="shared" si="56"/>
        <v>-</v>
      </c>
      <c r="I261" s="16"/>
      <c r="J261" s="15">
        <f t="shared" si="61"/>
        <v>0</v>
      </c>
      <c r="K261" s="17">
        <f t="shared" si="60"/>
        <v>0</v>
      </c>
      <c r="L261" s="15">
        <f t="shared" si="62"/>
        <v>0</v>
      </c>
      <c r="M261" s="18">
        <f t="shared" si="63"/>
        <v>0</v>
      </c>
    </row>
    <row r="262" spans="2:13" hidden="1" x14ac:dyDescent="0.25">
      <c r="B262" s="62" t="s">
        <v>382</v>
      </c>
      <c r="C262" s="64" t="s">
        <v>397</v>
      </c>
      <c r="D262" s="64"/>
      <c r="E262" s="64"/>
      <c r="F262" s="100">
        <v>45754</v>
      </c>
      <c r="G262" s="66">
        <v>2870</v>
      </c>
      <c r="H262" s="15"/>
      <c r="I262" s="16"/>
      <c r="J262" s="15">
        <f t="shared" si="61"/>
        <v>0</v>
      </c>
      <c r="K262" s="17">
        <f t="shared" si="60"/>
        <v>0</v>
      </c>
      <c r="L262" s="15">
        <f t="shared" si="62"/>
        <v>0</v>
      </c>
      <c r="M262" s="18">
        <f t="shared" si="63"/>
        <v>0</v>
      </c>
    </row>
    <row r="263" spans="2:13" hidden="1" x14ac:dyDescent="0.25">
      <c r="B263" s="62" t="s">
        <v>382</v>
      </c>
      <c r="C263" s="64" t="s">
        <v>398</v>
      </c>
      <c r="D263" s="64"/>
      <c r="E263" s="64"/>
      <c r="F263" s="100">
        <v>45754</v>
      </c>
      <c r="G263" s="66">
        <v>3250</v>
      </c>
      <c r="H263" s="15" t="str">
        <f t="shared" si="56"/>
        <v>-</v>
      </c>
      <c r="I263" s="16"/>
      <c r="J263" s="15">
        <f t="shared" si="61"/>
        <v>0</v>
      </c>
      <c r="K263" s="17">
        <f t="shared" si="60"/>
        <v>0</v>
      </c>
      <c r="L263" s="15">
        <f t="shared" si="62"/>
        <v>0</v>
      </c>
      <c r="M263" s="18">
        <f t="shared" si="63"/>
        <v>0</v>
      </c>
    </row>
    <row r="264" spans="2:13" hidden="1" x14ac:dyDescent="0.25">
      <c r="B264" s="62" t="s">
        <v>382</v>
      </c>
      <c r="C264" s="64" t="s">
        <v>399</v>
      </c>
      <c r="D264" s="64"/>
      <c r="E264" s="64" t="s">
        <v>116</v>
      </c>
      <c r="F264" s="100">
        <v>45631</v>
      </c>
      <c r="G264" s="66">
        <v>7316</v>
      </c>
      <c r="H264" s="15"/>
      <c r="I264" s="16"/>
      <c r="J264" s="15">
        <f t="shared" si="61"/>
        <v>0</v>
      </c>
      <c r="K264" s="17">
        <f t="shared" si="60"/>
        <v>0</v>
      </c>
      <c r="L264" s="15">
        <f t="shared" si="62"/>
        <v>0</v>
      </c>
      <c r="M264" s="18">
        <f t="shared" si="63"/>
        <v>0</v>
      </c>
    </row>
    <row r="265" spans="2:13" hidden="1" x14ac:dyDescent="0.25">
      <c r="B265" s="62" t="s">
        <v>382</v>
      </c>
      <c r="C265" s="64" t="s">
        <v>400</v>
      </c>
      <c r="D265" s="64"/>
      <c r="E265" s="64" t="s">
        <v>388</v>
      </c>
      <c r="F265" s="100">
        <v>45536</v>
      </c>
      <c r="G265" s="66">
        <v>8200</v>
      </c>
      <c r="H265" s="15" t="str">
        <f t="shared" si="56"/>
        <v>-</v>
      </c>
      <c r="I265" s="16"/>
      <c r="J265" s="15">
        <f t="shared" si="61"/>
        <v>0</v>
      </c>
      <c r="K265" s="17">
        <f t="shared" si="60"/>
        <v>0</v>
      </c>
      <c r="L265" s="15">
        <f t="shared" si="62"/>
        <v>0</v>
      </c>
      <c r="M265" s="18">
        <f t="shared" si="63"/>
        <v>0</v>
      </c>
    </row>
    <row r="266" spans="2:13" hidden="1" x14ac:dyDescent="0.25">
      <c r="B266" s="62" t="s">
        <v>382</v>
      </c>
      <c r="C266" s="64" t="s">
        <v>401</v>
      </c>
      <c r="D266" s="64"/>
      <c r="E266" s="64" t="s">
        <v>388</v>
      </c>
      <c r="F266" s="100">
        <v>45518</v>
      </c>
      <c r="G266" s="66">
        <v>12800</v>
      </c>
      <c r="H266" s="15" t="str">
        <f t="shared" si="56"/>
        <v>-</v>
      </c>
      <c r="I266" s="16"/>
      <c r="J266" s="15">
        <f t="shared" si="61"/>
        <v>0</v>
      </c>
      <c r="K266" s="17">
        <f t="shared" si="60"/>
        <v>0</v>
      </c>
      <c r="L266" s="15">
        <f t="shared" si="62"/>
        <v>0</v>
      </c>
      <c r="M266" s="18">
        <f t="shared" si="63"/>
        <v>0</v>
      </c>
    </row>
    <row r="267" spans="2:13" hidden="1" x14ac:dyDescent="0.25">
      <c r="B267" s="62" t="s">
        <v>382</v>
      </c>
      <c r="C267" s="64" t="s">
        <v>402</v>
      </c>
      <c r="D267" s="64"/>
      <c r="E267" s="64" t="s">
        <v>388</v>
      </c>
      <c r="F267" s="100">
        <v>45721</v>
      </c>
      <c r="G267" s="66">
        <v>14560</v>
      </c>
      <c r="H267" s="15" t="str">
        <f t="shared" si="56"/>
        <v>-</v>
      </c>
      <c r="I267" s="16"/>
      <c r="J267" s="15">
        <f t="shared" si="61"/>
        <v>0</v>
      </c>
      <c r="K267" s="17">
        <f t="shared" si="60"/>
        <v>0</v>
      </c>
      <c r="L267" s="15">
        <f t="shared" si="62"/>
        <v>0</v>
      </c>
      <c r="M267" s="18">
        <f t="shared" si="63"/>
        <v>0</v>
      </c>
    </row>
    <row r="268" spans="2:13" hidden="1" x14ac:dyDescent="0.25">
      <c r="B268" s="62" t="s">
        <v>382</v>
      </c>
      <c r="C268" s="64" t="s">
        <v>403</v>
      </c>
      <c r="D268" s="64"/>
      <c r="E268" s="64"/>
      <c r="F268" s="100">
        <v>45625</v>
      </c>
      <c r="G268" s="66">
        <v>16000</v>
      </c>
      <c r="H268" s="15"/>
      <c r="I268" s="16"/>
      <c r="J268" s="15">
        <f t="shared" si="61"/>
        <v>0</v>
      </c>
      <c r="K268" s="17">
        <f t="shared" si="60"/>
        <v>0</v>
      </c>
      <c r="L268" s="15">
        <f t="shared" si="62"/>
        <v>0</v>
      </c>
      <c r="M268" s="18">
        <f t="shared" si="63"/>
        <v>0</v>
      </c>
    </row>
    <row r="269" spans="2:13" hidden="1" x14ac:dyDescent="0.25">
      <c r="B269" s="62" t="s">
        <v>404</v>
      </c>
      <c r="C269" s="64" t="s">
        <v>405</v>
      </c>
      <c r="D269" s="64"/>
      <c r="E269" s="64" t="s">
        <v>406</v>
      </c>
      <c r="F269" s="100">
        <v>45230</v>
      </c>
      <c r="G269" s="66">
        <v>4440</v>
      </c>
      <c r="H269" s="15" t="str">
        <f t="shared" ref="H269" si="64">IFERROR(L269/I269,"-")</f>
        <v>-</v>
      </c>
      <c r="I269" s="16"/>
      <c r="J269" s="15">
        <f t="shared" si="61"/>
        <v>0</v>
      </c>
      <c r="K269" s="17">
        <f t="shared" si="60"/>
        <v>0</v>
      </c>
      <c r="L269" s="15">
        <f t="shared" si="62"/>
        <v>0</v>
      </c>
      <c r="M269" s="18">
        <f t="shared" si="63"/>
        <v>0</v>
      </c>
    </row>
    <row r="270" spans="2:13" hidden="1" x14ac:dyDescent="0.25">
      <c r="B270" s="62" t="s">
        <v>404</v>
      </c>
      <c r="C270" s="64" t="s">
        <v>407</v>
      </c>
      <c r="D270" s="64"/>
      <c r="E270" s="64" t="s">
        <v>116</v>
      </c>
      <c r="F270" s="100">
        <v>45721</v>
      </c>
      <c r="G270" s="66">
        <v>85</v>
      </c>
      <c r="H270" s="15" t="str">
        <f t="shared" si="56"/>
        <v>-</v>
      </c>
      <c r="I270" s="16"/>
      <c r="J270" s="15">
        <f t="shared" si="61"/>
        <v>0</v>
      </c>
      <c r="K270" s="17">
        <f t="shared" si="60"/>
        <v>0</v>
      </c>
      <c r="L270" s="15">
        <f t="shared" si="62"/>
        <v>0</v>
      </c>
      <c r="M270" s="18">
        <f t="shared" si="63"/>
        <v>0</v>
      </c>
    </row>
    <row r="271" spans="2:13" hidden="1" x14ac:dyDescent="0.25">
      <c r="B271" s="62" t="s">
        <v>404</v>
      </c>
      <c r="C271" s="64" t="s">
        <v>408</v>
      </c>
      <c r="D271" s="64"/>
      <c r="E271" s="64" t="s">
        <v>202</v>
      </c>
      <c r="F271" s="100">
        <v>45786</v>
      </c>
      <c r="G271" s="66">
        <v>79.13</v>
      </c>
      <c r="H271" s="15" t="str">
        <f t="shared" si="56"/>
        <v>-</v>
      </c>
      <c r="I271" s="16"/>
      <c r="J271" s="15">
        <f t="shared" si="61"/>
        <v>0</v>
      </c>
      <c r="K271" s="17">
        <f t="shared" si="60"/>
        <v>0</v>
      </c>
      <c r="L271" s="15">
        <f t="shared" si="62"/>
        <v>0</v>
      </c>
      <c r="M271" s="18">
        <f t="shared" si="63"/>
        <v>0</v>
      </c>
    </row>
    <row r="272" spans="2:13" hidden="1" x14ac:dyDescent="0.25">
      <c r="B272" s="62" t="s">
        <v>404</v>
      </c>
      <c r="C272" s="64" t="s">
        <v>409</v>
      </c>
      <c r="D272" s="64"/>
      <c r="E272" s="64" t="s">
        <v>116</v>
      </c>
      <c r="F272" s="100">
        <v>45623</v>
      </c>
      <c r="G272" s="66">
        <v>194</v>
      </c>
      <c r="H272" s="15" t="str">
        <f t="shared" si="56"/>
        <v>-</v>
      </c>
      <c r="I272" s="16"/>
      <c r="J272" s="15">
        <f t="shared" si="61"/>
        <v>0</v>
      </c>
      <c r="K272" s="17">
        <f t="shared" si="60"/>
        <v>0</v>
      </c>
      <c r="L272" s="15">
        <f t="shared" si="62"/>
        <v>0</v>
      </c>
      <c r="M272" s="18">
        <f t="shared" si="63"/>
        <v>0</v>
      </c>
    </row>
    <row r="273" spans="2:13" hidden="1" x14ac:dyDescent="0.25">
      <c r="B273" s="62" t="s">
        <v>404</v>
      </c>
      <c r="C273" s="64" t="s">
        <v>410</v>
      </c>
      <c r="D273" s="64"/>
      <c r="E273" s="64"/>
      <c r="F273" s="100">
        <v>45685</v>
      </c>
      <c r="G273" s="66">
        <v>162.61000000000001</v>
      </c>
      <c r="H273" s="15" t="str">
        <f t="shared" si="56"/>
        <v>-</v>
      </c>
      <c r="I273" s="16"/>
      <c r="J273" s="15">
        <f t="shared" si="61"/>
        <v>0</v>
      </c>
      <c r="K273" s="17">
        <f t="shared" si="60"/>
        <v>0</v>
      </c>
      <c r="L273" s="15">
        <f t="shared" si="62"/>
        <v>0</v>
      </c>
      <c r="M273" s="18">
        <f t="shared" si="63"/>
        <v>0</v>
      </c>
    </row>
    <row r="274" spans="2:13" hidden="1" x14ac:dyDescent="0.25">
      <c r="B274" s="62" t="s">
        <v>404</v>
      </c>
      <c r="C274" s="64" t="s">
        <v>411</v>
      </c>
      <c r="D274" s="64"/>
      <c r="E274" s="64" t="s">
        <v>202</v>
      </c>
      <c r="F274" s="100">
        <v>45819</v>
      </c>
      <c r="G274" s="66">
        <v>280</v>
      </c>
      <c r="H274" s="15"/>
      <c r="I274" s="16"/>
      <c r="J274" s="15">
        <f t="shared" si="61"/>
        <v>0</v>
      </c>
      <c r="K274" s="17">
        <f t="shared" si="60"/>
        <v>0</v>
      </c>
      <c r="L274" s="15">
        <f t="shared" si="62"/>
        <v>0</v>
      </c>
      <c r="M274" s="18">
        <f t="shared" si="63"/>
        <v>0</v>
      </c>
    </row>
    <row r="275" spans="2:13" hidden="1" x14ac:dyDescent="0.25">
      <c r="B275" s="62" t="s">
        <v>404</v>
      </c>
      <c r="C275" s="64" t="s">
        <v>412</v>
      </c>
      <c r="D275" s="64"/>
      <c r="E275" s="64"/>
      <c r="F275" s="100">
        <v>45821</v>
      </c>
      <c r="G275" s="66">
        <v>260</v>
      </c>
      <c r="H275" s="15"/>
      <c r="I275" s="16"/>
      <c r="J275" s="15">
        <f t="shared" si="61"/>
        <v>0</v>
      </c>
      <c r="K275" s="17"/>
      <c r="L275" s="15"/>
      <c r="M275" s="18"/>
    </row>
    <row r="276" spans="2:13" hidden="1" x14ac:dyDescent="0.25">
      <c r="B276" s="62" t="s">
        <v>404</v>
      </c>
      <c r="C276" s="64" t="s">
        <v>413</v>
      </c>
      <c r="D276" s="64"/>
      <c r="E276" s="64"/>
      <c r="F276" s="100">
        <v>45821</v>
      </c>
      <c r="G276" s="66">
        <v>700</v>
      </c>
      <c r="H276" s="34" t="str">
        <f t="shared" ref="H276:H291" si="65">IFERROR(L276/I276,"-")</f>
        <v>-</v>
      </c>
      <c r="I276" s="35"/>
      <c r="J276" s="78">
        <f t="shared" si="61"/>
        <v>0</v>
      </c>
      <c r="K276" s="17">
        <f t="shared" si="60"/>
        <v>0</v>
      </c>
      <c r="L276" s="78">
        <f t="shared" si="62"/>
        <v>0</v>
      </c>
      <c r="M276" s="80">
        <f t="shared" si="63"/>
        <v>0</v>
      </c>
    </row>
    <row r="277" spans="2:13" hidden="1" x14ac:dyDescent="0.25">
      <c r="B277" s="62" t="s">
        <v>404</v>
      </c>
      <c r="C277" s="64" t="s">
        <v>414</v>
      </c>
      <c r="D277" s="64"/>
      <c r="E277" s="64"/>
      <c r="F277" s="100">
        <v>45791</v>
      </c>
      <c r="G277" s="66">
        <v>886</v>
      </c>
      <c r="H277" s="15" t="str">
        <f t="shared" si="65"/>
        <v>-</v>
      </c>
      <c r="I277" s="16"/>
      <c r="J277" s="15">
        <f t="shared" si="61"/>
        <v>0</v>
      </c>
      <c r="K277" s="17">
        <f t="shared" si="60"/>
        <v>0</v>
      </c>
      <c r="L277" s="15">
        <f t="shared" si="62"/>
        <v>0</v>
      </c>
      <c r="M277" s="18">
        <f t="shared" si="63"/>
        <v>0</v>
      </c>
    </row>
    <row r="278" spans="2:13" hidden="1" x14ac:dyDescent="0.25">
      <c r="B278" s="62" t="s">
        <v>404</v>
      </c>
      <c r="C278" s="64" t="s">
        <v>415</v>
      </c>
      <c r="D278" s="64"/>
      <c r="E278" s="64"/>
      <c r="F278" s="100">
        <v>45545</v>
      </c>
      <c r="G278" s="66">
        <v>765</v>
      </c>
      <c r="H278" s="15" t="str">
        <f t="shared" si="65"/>
        <v>-</v>
      </c>
      <c r="I278" s="16"/>
      <c r="J278" s="15">
        <f t="shared" ref="J278:J291" si="66">G277*I278</f>
        <v>0</v>
      </c>
      <c r="K278" s="17">
        <f t="shared" si="60"/>
        <v>0</v>
      </c>
      <c r="L278" s="15">
        <f t="shared" si="62"/>
        <v>0</v>
      </c>
      <c r="M278" s="18">
        <f t="shared" si="63"/>
        <v>0</v>
      </c>
    </row>
    <row r="279" spans="2:13" hidden="1" x14ac:dyDescent="0.25">
      <c r="B279" s="62" t="s">
        <v>404</v>
      </c>
      <c r="C279" s="64" t="s">
        <v>416</v>
      </c>
      <c r="D279" s="64"/>
      <c r="E279" s="64"/>
      <c r="F279" s="100">
        <v>45698</v>
      </c>
      <c r="G279" s="66">
        <v>781</v>
      </c>
      <c r="H279" s="15" t="str">
        <f t="shared" si="65"/>
        <v>-</v>
      </c>
      <c r="I279" s="16"/>
      <c r="J279" s="15">
        <f t="shared" si="66"/>
        <v>0</v>
      </c>
      <c r="K279" s="17">
        <f t="shared" si="60"/>
        <v>0</v>
      </c>
      <c r="L279" s="15">
        <f t="shared" si="62"/>
        <v>0</v>
      </c>
      <c r="M279" s="18">
        <f t="shared" si="63"/>
        <v>0</v>
      </c>
    </row>
    <row r="280" spans="2:13" hidden="1" x14ac:dyDescent="0.25">
      <c r="B280" s="62" t="s">
        <v>404</v>
      </c>
      <c r="C280" s="64" t="s">
        <v>417</v>
      </c>
      <c r="D280" s="64"/>
      <c r="E280" s="64" t="s">
        <v>116</v>
      </c>
      <c r="F280" s="100">
        <v>45728</v>
      </c>
      <c r="G280" s="66">
        <v>992</v>
      </c>
      <c r="H280" s="15" t="str">
        <f t="shared" si="65"/>
        <v>-</v>
      </c>
      <c r="I280" s="16"/>
      <c r="J280" s="15">
        <f t="shared" si="66"/>
        <v>0</v>
      </c>
      <c r="K280" s="17">
        <f t="shared" si="60"/>
        <v>0</v>
      </c>
      <c r="L280" s="15">
        <f t="shared" si="62"/>
        <v>0</v>
      </c>
      <c r="M280" s="18">
        <f t="shared" si="63"/>
        <v>0</v>
      </c>
    </row>
    <row r="281" spans="2:13" hidden="1" x14ac:dyDescent="0.25">
      <c r="B281" s="62" t="s">
        <v>404</v>
      </c>
      <c r="C281" s="64" t="s">
        <v>418</v>
      </c>
      <c r="D281" s="64"/>
      <c r="E281" s="64" t="s">
        <v>116</v>
      </c>
      <c r="F281" s="100">
        <v>45622</v>
      </c>
      <c r="G281" s="66">
        <v>997</v>
      </c>
      <c r="H281" s="34" t="str">
        <f t="shared" si="65"/>
        <v>-</v>
      </c>
      <c r="I281" s="35"/>
      <c r="J281" s="78">
        <f t="shared" si="66"/>
        <v>0</v>
      </c>
      <c r="K281" s="17">
        <f t="shared" si="60"/>
        <v>0</v>
      </c>
      <c r="L281" s="78">
        <f t="shared" si="62"/>
        <v>0</v>
      </c>
      <c r="M281" s="80">
        <f t="shared" si="63"/>
        <v>0</v>
      </c>
    </row>
    <row r="282" spans="2:13" hidden="1" x14ac:dyDescent="0.25">
      <c r="B282" s="62" t="s">
        <v>404</v>
      </c>
      <c r="C282" s="64" t="s">
        <v>419</v>
      </c>
      <c r="D282" s="64"/>
      <c r="E282" s="64" t="s">
        <v>116</v>
      </c>
      <c r="F282" s="100">
        <v>45610</v>
      </c>
      <c r="G282" s="66">
        <v>998</v>
      </c>
      <c r="H282" s="15" t="str">
        <f t="shared" si="65"/>
        <v>-</v>
      </c>
      <c r="I282" s="16"/>
      <c r="J282" s="15">
        <f t="shared" si="66"/>
        <v>0</v>
      </c>
      <c r="K282" s="17">
        <f t="shared" si="60"/>
        <v>0</v>
      </c>
      <c r="L282" s="15">
        <f t="shared" si="62"/>
        <v>0</v>
      </c>
      <c r="M282" s="18">
        <f t="shared" si="63"/>
        <v>0</v>
      </c>
    </row>
    <row r="283" spans="2:13" hidden="1" x14ac:dyDescent="0.25">
      <c r="B283" s="62" t="s">
        <v>404</v>
      </c>
      <c r="C283" s="64" t="s">
        <v>420</v>
      </c>
      <c r="D283" s="64"/>
      <c r="E283" s="64"/>
      <c r="F283" s="100">
        <v>45589</v>
      </c>
      <c r="G283" s="66">
        <v>1422</v>
      </c>
      <c r="H283" s="15" t="str">
        <f t="shared" si="65"/>
        <v>-</v>
      </c>
      <c r="I283" s="16"/>
      <c r="J283" s="15">
        <f t="shared" si="66"/>
        <v>0</v>
      </c>
      <c r="K283" s="17">
        <f t="shared" si="60"/>
        <v>0</v>
      </c>
      <c r="L283" s="15">
        <f t="shared" si="62"/>
        <v>0</v>
      </c>
      <c r="M283" s="18">
        <f t="shared" si="63"/>
        <v>0</v>
      </c>
    </row>
    <row r="284" spans="2:13" hidden="1" x14ac:dyDescent="0.25">
      <c r="B284" s="68" t="s">
        <v>421</v>
      </c>
      <c r="C284" s="63" t="s">
        <v>422</v>
      </c>
      <c r="D284" s="64"/>
      <c r="E284" s="64" t="s">
        <v>116</v>
      </c>
      <c r="F284" s="100">
        <v>45525</v>
      </c>
      <c r="G284" s="66">
        <v>1900</v>
      </c>
      <c r="H284" s="15" t="str">
        <f t="shared" si="65"/>
        <v>-</v>
      </c>
      <c r="I284" s="16"/>
      <c r="J284" s="15">
        <f t="shared" si="66"/>
        <v>0</v>
      </c>
      <c r="K284" s="17">
        <f t="shared" si="60"/>
        <v>0</v>
      </c>
      <c r="L284" s="15">
        <f t="shared" si="62"/>
        <v>0</v>
      </c>
      <c r="M284" s="18">
        <f t="shared" si="63"/>
        <v>0</v>
      </c>
    </row>
    <row r="285" spans="2:13" hidden="1" x14ac:dyDescent="0.25">
      <c r="B285" s="68" t="s">
        <v>421</v>
      </c>
      <c r="C285" s="63" t="s">
        <v>423</v>
      </c>
      <c r="D285" s="64"/>
      <c r="E285" s="64" t="s">
        <v>116</v>
      </c>
      <c r="F285" s="100">
        <v>45525</v>
      </c>
      <c r="G285" s="66">
        <v>2059</v>
      </c>
      <c r="H285" s="15" t="str">
        <f t="shared" si="65"/>
        <v>-</v>
      </c>
      <c r="I285" s="16"/>
      <c r="J285" s="15">
        <f t="shared" si="66"/>
        <v>0</v>
      </c>
      <c r="K285" s="17">
        <f t="shared" si="60"/>
        <v>0</v>
      </c>
      <c r="L285" s="15">
        <f t="shared" si="62"/>
        <v>0</v>
      </c>
      <c r="M285" s="18">
        <f t="shared" si="63"/>
        <v>0</v>
      </c>
    </row>
    <row r="286" spans="2:13" hidden="1" x14ac:dyDescent="0.25">
      <c r="B286" s="68" t="s">
        <v>421</v>
      </c>
      <c r="C286" s="63" t="s">
        <v>424</v>
      </c>
      <c r="D286" s="64"/>
      <c r="E286" s="64" t="s">
        <v>116</v>
      </c>
      <c r="F286" s="100">
        <v>45525</v>
      </c>
      <c r="G286" s="66">
        <v>2355</v>
      </c>
      <c r="H286" s="15" t="str">
        <f t="shared" si="65"/>
        <v>-</v>
      </c>
      <c r="I286" s="16"/>
      <c r="J286" s="15">
        <f t="shared" si="66"/>
        <v>0</v>
      </c>
      <c r="K286" s="17">
        <f t="shared" si="60"/>
        <v>0</v>
      </c>
      <c r="L286" s="15">
        <f t="shared" si="62"/>
        <v>0</v>
      </c>
      <c r="M286" s="18">
        <f t="shared" si="63"/>
        <v>0</v>
      </c>
    </row>
    <row r="287" spans="2:13" hidden="1" x14ac:dyDescent="0.25">
      <c r="B287" s="68" t="s">
        <v>421</v>
      </c>
      <c r="C287" s="63" t="s">
        <v>425</v>
      </c>
      <c r="D287" s="64"/>
      <c r="E287" s="64" t="s">
        <v>116</v>
      </c>
      <c r="F287" s="100">
        <v>45525</v>
      </c>
      <c r="G287" s="66">
        <v>3230</v>
      </c>
      <c r="H287" s="15" t="str">
        <f t="shared" si="65"/>
        <v>-</v>
      </c>
      <c r="I287" s="16"/>
      <c r="J287" s="15">
        <f t="shared" si="66"/>
        <v>0</v>
      </c>
      <c r="K287" s="17">
        <f t="shared" si="60"/>
        <v>0</v>
      </c>
      <c r="L287" s="15">
        <f t="shared" si="62"/>
        <v>0</v>
      </c>
      <c r="M287" s="18">
        <f t="shared" si="63"/>
        <v>0</v>
      </c>
    </row>
    <row r="288" spans="2:13" hidden="1" x14ac:dyDescent="0.25">
      <c r="B288" s="129" t="s">
        <v>426</v>
      </c>
      <c r="C288" s="116" t="s">
        <v>426</v>
      </c>
      <c r="D288" s="64"/>
      <c r="E288" s="64" t="s">
        <v>202</v>
      </c>
      <c r="F288" s="100">
        <v>45786</v>
      </c>
      <c r="G288" s="66">
        <v>118</v>
      </c>
      <c r="H288" s="15" t="str">
        <f t="shared" si="65"/>
        <v>-</v>
      </c>
      <c r="I288" s="16"/>
      <c r="J288" s="15">
        <f t="shared" si="66"/>
        <v>0</v>
      </c>
      <c r="K288" s="17">
        <f t="shared" si="60"/>
        <v>0</v>
      </c>
      <c r="L288" s="15">
        <f t="shared" si="62"/>
        <v>0</v>
      </c>
      <c r="M288" s="18">
        <f t="shared" si="63"/>
        <v>0</v>
      </c>
    </row>
    <row r="289" spans="2:13" hidden="1" x14ac:dyDescent="0.25">
      <c r="B289" s="130"/>
      <c r="C289" s="117" t="s">
        <v>427</v>
      </c>
      <c r="D289" s="67"/>
      <c r="E289" s="67" t="s">
        <v>428</v>
      </c>
      <c r="F289" s="32">
        <v>45545</v>
      </c>
      <c r="G289" s="71">
        <v>234</v>
      </c>
      <c r="H289" s="15" t="str">
        <f t="shared" si="65"/>
        <v>-</v>
      </c>
      <c r="I289" s="16"/>
      <c r="J289" s="15">
        <f t="shared" si="66"/>
        <v>0</v>
      </c>
      <c r="K289" s="17">
        <f t="shared" si="60"/>
        <v>0</v>
      </c>
      <c r="L289" s="15">
        <f t="shared" si="62"/>
        <v>0</v>
      </c>
      <c r="M289" s="18">
        <f t="shared" si="63"/>
        <v>0</v>
      </c>
    </row>
    <row r="290" spans="2:13" hidden="1" x14ac:dyDescent="0.25">
      <c r="B290" s="68"/>
      <c r="C290" s="101" t="s">
        <v>429</v>
      </c>
      <c r="D290" s="67" t="s">
        <v>430</v>
      </c>
      <c r="E290" s="67"/>
      <c r="F290" s="32"/>
      <c r="G290" s="131">
        <v>150000</v>
      </c>
      <c r="H290" s="15" t="str">
        <f t="shared" si="65"/>
        <v>-</v>
      </c>
      <c r="I290" s="16"/>
      <c r="J290" s="15">
        <f t="shared" si="66"/>
        <v>0</v>
      </c>
      <c r="K290" s="17">
        <f t="shared" si="60"/>
        <v>0</v>
      </c>
      <c r="L290" s="15">
        <f t="shared" si="62"/>
        <v>0</v>
      </c>
      <c r="M290" s="18">
        <f t="shared" si="63"/>
        <v>0</v>
      </c>
    </row>
    <row r="291" spans="2:13" ht="15.75" hidden="1" thickBot="1" x14ac:dyDescent="0.3">
      <c r="B291" s="48"/>
      <c r="C291" s="49" t="s">
        <v>431</v>
      </c>
      <c r="D291" s="50"/>
      <c r="E291" s="50"/>
      <c r="F291" s="73"/>
      <c r="G291" s="52"/>
      <c r="H291" s="26" t="str">
        <f t="shared" si="65"/>
        <v>-</v>
      </c>
      <c r="I291" s="27"/>
      <c r="J291" s="26">
        <f t="shared" si="66"/>
        <v>0</v>
      </c>
      <c r="K291" s="28">
        <f t="shared" si="60"/>
        <v>0</v>
      </c>
      <c r="L291" s="26">
        <f t="shared" si="62"/>
        <v>0</v>
      </c>
      <c r="M291" s="29">
        <f t="shared" si="63"/>
        <v>0</v>
      </c>
    </row>
    <row r="292" spans="2:13" ht="15.75" hidden="1" thickBot="1" x14ac:dyDescent="0.3">
      <c r="B292" s="62" t="s">
        <v>432</v>
      </c>
      <c r="C292" s="58" t="s">
        <v>433</v>
      </c>
      <c r="D292" s="59"/>
      <c r="E292" s="59" t="s">
        <v>84</v>
      </c>
      <c r="F292" s="76">
        <v>45790</v>
      </c>
      <c r="G292" s="61">
        <v>3738</v>
      </c>
      <c r="H292" s="53"/>
      <c r="I292" s="54" t="s">
        <v>42</v>
      </c>
      <c r="J292" s="94">
        <f>SUM(J293:J325)</f>
        <v>0</v>
      </c>
      <c r="K292" s="96"/>
      <c r="L292" s="94">
        <f t="shared" ref="L292:M292" si="67">SUM(L293:L325)</f>
        <v>0</v>
      </c>
      <c r="M292" s="97">
        <f t="shared" si="67"/>
        <v>0</v>
      </c>
    </row>
    <row r="293" spans="2:13" hidden="1" x14ac:dyDescent="0.25">
      <c r="B293" s="62" t="s">
        <v>432</v>
      </c>
      <c r="C293" s="58" t="s">
        <v>434</v>
      </c>
      <c r="D293" s="59"/>
      <c r="E293" s="59" t="s">
        <v>84</v>
      </c>
      <c r="F293" s="76">
        <v>45796</v>
      </c>
      <c r="G293" s="61">
        <v>4003.3</v>
      </c>
      <c r="H293" s="15" t="str">
        <f t="shared" ref="H293:H322" si="68">IFERROR(L293/I293,"-")</f>
        <v>-</v>
      </c>
      <c r="I293" s="16"/>
      <c r="J293" s="15">
        <f t="shared" ref="J293:J325" si="69">G292*I293</f>
        <v>0</v>
      </c>
      <c r="K293" s="36">
        <f t="shared" ref="K293:K325" si="70">$K$5</f>
        <v>0</v>
      </c>
      <c r="L293" s="15">
        <f t="shared" ref="L293:L320" si="71">J293*(1+K293)</f>
        <v>0</v>
      </c>
      <c r="M293" s="18">
        <f t="shared" ref="M293:M320" si="72">L293-J293</f>
        <v>0</v>
      </c>
    </row>
    <row r="294" spans="2:13" hidden="1" x14ac:dyDescent="0.25">
      <c r="B294" s="62" t="s">
        <v>432</v>
      </c>
      <c r="C294" s="58" t="s">
        <v>435</v>
      </c>
      <c r="D294" s="59"/>
      <c r="E294" s="59" t="s">
        <v>84</v>
      </c>
      <c r="F294" s="76">
        <v>45819</v>
      </c>
      <c r="G294" s="61">
        <v>6484.9</v>
      </c>
      <c r="H294" s="15"/>
      <c r="I294" s="16"/>
      <c r="J294" s="15">
        <f t="shared" si="69"/>
        <v>0</v>
      </c>
      <c r="K294" s="36"/>
      <c r="L294" s="15"/>
      <c r="M294" s="18"/>
    </row>
    <row r="295" spans="2:13" hidden="1" x14ac:dyDescent="0.25">
      <c r="B295" s="62" t="s">
        <v>432</v>
      </c>
      <c r="C295" s="63" t="s">
        <v>436</v>
      </c>
      <c r="D295" s="64"/>
      <c r="E295" s="64" t="s">
        <v>84</v>
      </c>
      <c r="F295" s="127">
        <v>45790</v>
      </c>
      <c r="G295" s="66">
        <v>4454.1000000000004</v>
      </c>
      <c r="H295" s="15"/>
      <c r="I295" s="16"/>
      <c r="J295" s="15">
        <f t="shared" si="69"/>
        <v>0</v>
      </c>
      <c r="K295" s="36"/>
      <c r="L295" s="15"/>
      <c r="M295" s="18"/>
    </row>
    <row r="296" spans="2:13" hidden="1" x14ac:dyDescent="0.25">
      <c r="B296" s="62" t="s">
        <v>432</v>
      </c>
      <c r="C296" s="63" t="s">
        <v>437</v>
      </c>
      <c r="D296" s="64"/>
      <c r="E296" s="64" t="s">
        <v>84</v>
      </c>
      <c r="F296" s="127">
        <v>45825</v>
      </c>
      <c r="G296" s="66">
        <v>5032.3</v>
      </c>
      <c r="H296" s="34" t="str">
        <f t="shared" si="68"/>
        <v>-</v>
      </c>
      <c r="I296" s="35"/>
      <c r="J296" s="34">
        <f t="shared" si="69"/>
        <v>0</v>
      </c>
      <c r="K296" s="36">
        <f t="shared" si="70"/>
        <v>0</v>
      </c>
      <c r="L296" s="34">
        <f t="shared" si="71"/>
        <v>0</v>
      </c>
      <c r="M296" s="37">
        <f t="shared" si="72"/>
        <v>0</v>
      </c>
    </row>
    <row r="297" spans="2:13" hidden="1" x14ac:dyDescent="0.25">
      <c r="B297" s="62" t="s">
        <v>432</v>
      </c>
      <c r="C297" s="63" t="s">
        <v>438</v>
      </c>
      <c r="D297" s="64"/>
      <c r="E297" s="64" t="s">
        <v>84</v>
      </c>
      <c r="F297" s="127">
        <v>45825</v>
      </c>
      <c r="G297" s="66">
        <v>2881.9</v>
      </c>
      <c r="H297" s="34" t="str">
        <f t="shared" si="68"/>
        <v>-</v>
      </c>
      <c r="I297" s="35"/>
      <c r="J297" s="34">
        <f t="shared" si="69"/>
        <v>0</v>
      </c>
      <c r="K297" s="36">
        <f t="shared" si="70"/>
        <v>0</v>
      </c>
      <c r="L297" s="34">
        <f t="shared" si="71"/>
        <v>0</v>
      </c>
      <c r="M297" s="37">
        <f t="shared" si="72"/>
        <v>0</v>
      </c>
    </row>
    <row r="298" spans="2:13" hidden="1" x14ac:dyDescent="0.25">
      <c r="B298" s="62" t="s">
        <v>432</v>
      </c>
      <c r="C298" s="63" t="s">
        <v>439</v>
      </c>
      <c r="D298" s="64" t="s">
        <v>440</v>
      </c>
      <c r="E298" s="64" t="s">
        <v>84</v>
      </c>
      <c r="F298" s="127">
        <v>45825</v>
      </c>
      <c r="G298" s="66">
        <v>2309.3000000000002</v>
      </c>
      <c r="H298" s="34" t="str">
        <f t="shared" si="68"/>
        <v>-</v>
      </c>
      <c r="I298" s="35"/>
      <c r="J298" s="34">
        <f t="shared" si="69"/>
        <v>0</v>
      </c>
      <c r="K298" s="36">
        <f t="shared" si="70"/>
        <v>0</v>
      </c>
      <c r="L298" s="34">
        <f t="shared" si="71"/>
        <v>0</v>
      </c>
      <c r="M298" s="37">
        <f t="shared" si="72"/>
        <v>0</v>
      </c>
    </row>
    <row r="299" spans="2:13" hidden="1" x14ac:dyDescent="0.25">
      <c r="B299" s="62" t="s">
        <v>432</v>
      </c>
      <c r="C299" s="63" t="s">
        <v>441</v>
      </c>
      <c r="D299" s="64"/>
      <c r="E299" s="64" t="s">
        <v>84</v>
      </c>
      <c r="F299" s="127">
        <v>45825</v>
      </c>
      <c r="G299" s="66">
        <v>2324</v>
      </c>
      <c r="H299" s="34" t="str">
        <f t="shared" si="68"/>
        <v>-</v>
      </c>
      <c r="I299" s="35"/>
      <c r="J299" s="34">
        <f t="shared" si="69"/>
        <v>0</v>
      </c>
      <c r="K299" s="36">
        <f t="shared" si="70"/>
        <v>0</v>
      </c>
      <c r="L299" s="34">
        <f t="shared" si="71"/>
        <v>0</v>
      </c>
      <c r="M299" s="37">
        <f t="shared" si="72"/>
        <v>0</v>
      </c>
    </row>
    <row r="300" spans="2:13" hidden="1" x14ac:dyDescent="0.25">
      <c r="B300" s="62" t="s">
        <v>432</v>
      </c>
      <c r="C300" s="63" t="s">
        <v>442</v>
      </c>
      <c r="D300" s="64"/>
      <c r="E300" s="64" t="s">
        <v>84</v>
      </c>
      <c r="F300" s="100">
        <v>45825</v>
      </c>
      <c r="G300" s="66">
        <v>260.39999999999998</v>
      </c>
      <c r="H300" s="34" t="str">
        <f t="shared" si="68"/>
        <v>-</v>
      </c>
      <c r="I300" s="35"/>
      <c r="J300" s="34">
        <f t="shared" si="69"/>
        <v>0</v>
      </c>
      <c r="K300" s="36">
        <f t="shared" si="70"/>
        <v>0</v>
      </c>
      <c r="L300" s="34">
        <f t="shared" si="71"/>
        <v>0</v>
      </c>
      <c r="M300" s="37">
        <f t="shared" si="72"/>
        <v>0</v>
      </c>
    </row>
    <row r="301" spans="2:13" hidden="1" x14ac:dyDescent="0.25">
      <c r="B301" s="62" t="s">
        <v>432</v>
      </c>
      <c r="C301" s="63" t="s">
        <v>443</v>
      </c>
      <c r="D301" s="64"/>
      <c r="E301" s="64" t="s">
        <v>84</v>
      </c>
      <c r="F301" s="127">
        <v>45825</v>
      </c>
      <c r="G301" s="66">
        <v>520.79999999999995</v>
      </c>
      <c r="H301" s="34" t="str">
        <f t="shared" si="68"/>
        <v>-</v>
      </c>
      <c r="I301" s="35"/>
      <c r="J301" s="34">
        <f t="shared" si="69"/>
        <v>0</v>
      </c>
      <c r="K301" s="36">
        <f t="shared" si="70"/>
        <v>0</v>
      </c>
      <c r="L301" s="34">
        <f t="shared" si="71"/>
        <v>0</v>
      </c>
      <c r="M301" s="37">
        <f t="shared" si="72"/>
        <v>0</v>
      </c>
    </row>
    <row r="302" spans="2:13" hidden="1" x14ac:dyDescent="0.25">
      <c r="B302" s="62" t="s">
        <v>432</v>
      </c>
      <c r="C302" s="63" t="s">
        <v>444</v>
      </c>
      <c r="D302" s="64"/>
      <c r="E302" s="64" t="s">
        <v>84</v>
      </c>
      <c r="F302" s="127">
        <v>45825</v>
      </c>
      <c r="G302" s="66">
        <v>914.2</v>
      </c>
      <c r="H302" s="34" t="str">
        <f t="shared" si="68"/>
        <v>-</v>
      </c>
      <c r="I302" s="35"/>
      <c r="J302" s="34">
        <f t="shared" si="69"/>
        <v>0</v>
      </c>
      <c r="K302" s="36">
        <f t="shared" si="70"/>
        <v>0</v>
      </c>
      <c r="L302" s="34">
        <f t="shared" si="71"/>
        <v>0</v>
      </c>
      <c r="M302" s="37">
        <f t="shared" si="72"/>
        <v>0</v>
      </c>
    </row>
    <row r="303" spans="2:13" hidden="1" x14ac:dyDescent="0.25">
      <c r="B303" s="62" t="s">
        <v>432</v>
      </c>
      <c r="C303" s="63" t="s">
        <v>445</v>
      </c>
      <c r="D303" s="64"/>
      <c r="E303" s="64"/>
      <c r="F303" s="127"/>
      <c r="G303" s="66"/>
      <c r="H303" s="34" t="str">
        <f t="shared" si="68"/>
        <v>-</v>
      </c>
      <c r="I303" s="35"/>
      <c r="J303" s="34">
        <f t="shared" si="69"/>
        <v>0</v>
      </c>
      <c r="K303" s="36">
        <f t="shared" si="70"/>
        <v>0</v>
      </c>
      <c r="L303" s="34">
        <f t="shared" si="71"/>
        <v>0</v>
      </c>
      <c r="M303" s="37">
        <f t="shared" si="72"/>
        <v>0</v>
      </c>
    </row>
    <row r="304" spans="2:13" hidden="1" x14ac:dyDescent="0.25">
      <c r="B304" s="62" t="s">
        <v>432</v>
      </c>
      <c r="C304" s="63" t="s">
        <v>446</v>
      </c>
      <c r="D304" s="64"/>
      <c r="E304" s="64" t="s">
        <v>447</v>
      </c>
      <c r="F304" s="100"/>
      <c r="G304" s="66">
        <v>450</v>
      </c>
      <c r="H304" s="34"/>
      <c r="I304" s="35"/>
      <c r="J304" s="34">
        <f t="shared" si="69"/>
        <v>0</v>
      </c>
      <c r="K304" s="36">
        <f t="shared" si="70"/>
        <v>0</v>
      </c>
      <c r="L304" s="34">
        <f t="shared" si="71"/>
        <v>0</v>
      </c>
      <c r="M304" s="37">
        <f t="shared" si="72"/>
        <v>0</v>
      </c>
    </row>
    <row r="305" spans="2:13" hidden="1" x14ac:dyDescent="0.25">
      <c r="B305" s="62" t="s">
        <v>432</v>
      </c>
      <c r="C305" s="63" t="s">
        <v>448</v>
      </c>
      <c r="D305" s="64"/>
      <c r="E305" s="64" t="s">
        <v>449</v>
      </c>
      <c r="F305" s="100">
        <v>45505</v>
      </c>
      <c r="G305" s="66">
        <v>460</v>
      </c>
      <c r="H305" s="34" t="str">
        <f t="shared" ref="H305" si="73">IFERROR(L305/I305,"-")</f>
        <v>-</v>
      </c>
      <c r="I305" s="35"/>
      <c r="J305" s="34">
        <f t="shared" si="69"/>
        <v>0</v>
      </c>
      <c r="K305" s="36">
        <f t="shared" si="70"/>
        <v>0</v>
      </c>
      <c r="L305" s="34">
        <f t="shared" si="71"/>
        <v>0</v>
      </c>
      <c r="M305" s="37">
        <f t="shared" si="72"/>
        <v>0</v>
      </c>
    </row>
    <row r="306" spans="2:13" hidden="1" x14ac:dyDescent="0.25">
      <c r="B306" s="62" t="s">
        <v>432</v>
      </c>
      <c r="C306" s="63" t="s">
        <v>450</v>
      </c>
      <c r="D306" s="64" t="s">
        <v>451</v>
      </c>
      <c r="E306" s="64" t="s">
        <v>452</v>
      </c>
      <c r="F306" s="100">
        <v>45625</v>
      </c>
      <c r="G306" s="66">
        <v>8468</v>
      </c>
      <c r="H306" s="34" t="str">
        <f t="shared" si="68"/>
        <v>-</v>
      </c>
      <c r="I306" s="35"/>
      <c r="J306" s="34">
        <f t="shared" si="69"/>
        <v>0</v>
      </c>
      <c r="K306" s="36">
        <f t="shared" si="70"/>
        <v>0</v>
      </c>
      <c r="L306" s="34">
        <f t="shared" si="71"/>
        <v>0</v>
      </c>
      <c r="M306" s="37">
        <f t="shared" si="72"/>
        <v>0</v>
      </c>
    </row>
    <row r="307" spans="2:13" hidden="1" x14ac:dyDescent="0.25">
      <c r="B307" s="62" t="s">
        <v>432</v>
      </c>
      <c r="C307" s="63" t="s">
        <v>453</v>
      </c>
      <c r="D307" s="132"/>
      <c r="E307" s="132" t="s">
        <v>59</v>
      </c>
      <c r="F307" s="100">
        <v>45327</v>
      </c>
      <c r="G307" s="66">
        <v>3820</v>
      </c>
      <c r="H307" s="34" t="str">
        <f t="shared" si="68"/>
        <v>-</v>
      </c>
      <c r="I307" s="35"/>
      <c r="J307" s="34">
        <f t="shared" si="69"/>
        <v>0</v>
      </c>
      <c r="K307" s="36">
        <f t="shared" si="70"/>
        <v>0</v>
      </c>
      <c r="L307" s="34">
        <f t="shared" si="71"/>
        <v>0</v>
      </c>
      <c r="M307" s="37">
        <f t="shared" si="72"/>
        <v>0</v>
      </c>
    </row>
    <row r="308" spans="2:13" hidden="1" x14ac:dyDescent="0.25">
      <c r="B308" s="62" t="s">
        <v>432</v>
      </c>
      <c r="C308" s="63" t="s">
        <v>454</v>
      </c>
      <c r="D308" s="64" t="s">
        <v>455</v>
      </c>
      <c r="E308" s="64" t="s">
        <v>59</v>
      </c>
      <c r="F308" s="65">
        <v>45291</v>
      </c>
      <c r="G308" s="66">
        <v>3570</v>
      </c>
      <c r="H308" s="34" t="str">
        <f t="shared" si="68"/>
        <v>-</v>
      </c>
      <c r="I308" s="35"/>
      <c r="J308" s="34">
        <f t="shared" si="69"/>
        <v>0</v>
      </c>
      <c r="K308" s="36">
        <f t="shared" si="70"/>
        <v>0</v>
      </c>
      <c r="L308" s="34">
        <f t="shared" si="71"/>
        <v>0</v>
      </c>
      <c r="M308" s="37">
        <f t="shared" si="72"/>
        <v>0</v>
      </c>
    </row>
    <row r="309" spans="2:13" hidden="1" x14ac:dyDescent="0.25">
      <c r="B309" s="62" t="s">
        <v>432</v>
      </c>
      <c r="C309" s="63" t="s">
        <v>456</v>
      </c>
      <c r="D309" s="64"/>
      <c r="E309" s="64" t="s">
        <v>452</v>
      </c>
      <c r="F309" s="100">
        <v>45755</v>
      </c>
      <c r="G309" s="66">
        <v>2041.44</v>
      </c>
      <c r="H309" s="34" t="str">
        <f t="shared" si="68"/>
        <v>-</v>
      </c>
      <c r="I309" s="35"/>
      <c r="J309" s="34">
        <f t="shared" si="69"/>
        <v>0</v>
      </c>
      <c r="K309" s="36">
        <f t="shared" si="70"/>
        <v>0</v>
      </c>
      <c r="L309" s="34">
        <f t="shared" si="71"/>
        <v>0</v>
      </c>
      <c r="M309" s="37">
        <f t="shared" si="72"/>
        <v>0</v>
      </c>
    </row>
    <row r="310" spans="2:13" hidden="1" x14ac:dyDescent="0.25">
      <c r="B310" s="62" t="s">
        <v>432</v>
      </c>
      <c r="C310" s="63" t="s">
        <v>457</v>
      </c>
      <c r="D310" s="64"/>
      <c r="E310" s="64" t="s">
        <v>452</v>
      </c>
      <c r="F310" s="100">
        <v>45762</v>
      </c>
      <c r="G310" s="66">
        <v>1303.97</v>
      </c>
      <c r="H310" s="34" t="str">
        <f t="shared" si="68"/>
        <v>-</v>
      </c>
      <c r="I310" s="35"/>
      <c r="J310" s="34">
        <f t="shared" si="69"/>
        <v>0</v>
      </c>
      <c r="K310" s="36">
        <f t="shared" si="70"/>
        <v>0</v>
      </c>
      <c r="L310" s="34">
        <f t="shared" si="71"/>
        <v>0</v>
      </c>
      <c r="M310" s="37">
        <f t="shared" si="72"/>
        <v>0</v>
      </c>
    </row>
    <row r="311" spans="2:13" hidden="1" x14ac:dyDescent="0.25">
      <c r="B311" s="62" t="s">
        <v>458</v>
      </c>
      <c r="C311" s="63" t="s">
        <v>459</v>
      </c>
      <c r="D311" s="64"/>
      <c r="E311" s="64" t="s">
        <v>84</v>
      </c>
      <c r="F311" s="127">
        <v>45825</v>
      </c>
      <c r="G311" s="66">
        <v>1290.0999999999999</v>
      </c>
      <c r="H311" s="34" t="str">
        <f t="shared" si="68"/>
        <v>-</v>
      </c>
      <c r="I311" s="35"/>
      <c r="J311" s="34">
        <f t="shared" si="69"/>
        <v>0</v>
      </c>
      <c r="K311" s="36">
        <f t="shared" si="70"/>
        <v>0</v>
      </c>
      <c r="L311" s="34">
        <f t="shared" si="71"/>
        <v>0</v>
      </c>
      <c r="M311" s="37">
        <f t="shared" si="72"/>
        <v>0</v>
      </c>
    </row>
    <row r="312" spans="2:13" hidden="1" x14ac:dyDescent="0.25">
      <c r="B312" s="62" t="s">
        <v>382</v>
      </c>
      <c r="C312" s="63" t="s">
        <v>460</v>
      </c>
      <c r="D312" s="64"/>
      <c r="E312" s="64" t="s">
        <v>84</v>
      </c>
      <c r="F312" s="127">
        <v>45825</v>
      </c>
      <c r="G312" s="66">
        <v>412.3</v>
      </c>
      <c r="H312" s="34" t="str">
        <f t="shared" si="68"/>
        <v>-</v>
      </c>
      <c r="I312" s="35"/>
      <c r="J312" s="34">
        <f t="shared" si="69"/>
        <v>0</v>
      </c>
      <c r="K312" s="36">
        <f t="shared" si="70"/>
        <v>0</v>
      </c>
      <c r="L312" s="34">
        <f t="shared" si="71"/>
        <v>0</v>
      </c>
      <c r="M312" s="37">
        <f t="shared" si="72"/>
        <v>0</v>
      </c>
    </row>
    <row r="313" spans="2:13" hidden="1" x14ac:dyDescent="0.25">
      <c r="B313" s="62" t="s">
        <v>461</v>
      </c>
      <c r="C313" s="63" t="s">
        <v>462</v>
      </c>
      <c r="D313" s="64"/>
      <c r="E313" s="64" t="s">
        <v>84</v>
      </c>
      <c r="F313" s="127">
        <v>45825</v>
      </c>
      <c r="G313" s="66">
        <v>178.5</v>
      </c>
      <c r="H313" s="34" t="str">
        <f t="shared" si="68"/>
        <v>-</v>
      </c>
      <c r="I313" s="35"/>
      <c r="J313" s="34">
        <f t="shared" si="69"/>
        <v>0</v>
      </c>
      <c r="K313" s="36">
        <f t="shared" si="70"/>
        <v>0</v>
      </c>
      <c r="L313" s="34">
        <f t="shared" si="71"/>
        <v>0</v>
      </c>
      <c r="M313" s="37">
        <f t="shared" si="72"/>
        <v>0</v>
      </c>
    </row>
    <row r="314" spans="2:13" hidden="1" x14ac:dyDescent="0.25">
      <c r="B314" s="62" t="s">
        <v>461</v>
      </c>
      <c r="C314" s="63" t="s">
        <v>463</v>
      </c>
      <c r="D314" s="64"/>
      <c r="E314" s="64" t="s">
        <v>84</v>
      </c>
      <c r="F314" s="127">
        <v>45825</v>
      </c>
      <c r="G314" s="66">
        <v>160.30000000000001</v>
      </c>
      <c r="H314" s="34" t="str">
        <f t="shared" si="68"/>
        <v>-</v>
      </c>
      <c r="I314" s="35"/>
      <c r="J314" s="34">
        <f t="shared" si="69"/>
        <v>0</v>
      </c>
      <c r="K314" s="36">
        <f t="shared" si="70"/>
        <v>0</v>
      </c>
      <c r="L314" s="34">
        <f t="shared" si="71"/>
        <v>0</v>
      </c>
      <c r="M314" s="37">
        <f t="shared" si="72"/>
        <v>0</v>
      </c>
    </row>
    <row r="315" spans="2:13" hidden="1" x14ac:dyDescent="0.25">
      <c r="B315" s="62" t="s">
        <v>461</v>
      </c>
      <c r="C315" s="63" t="s">
        <v>464</v>
      </c>
      <c r="D315" s="64"/>
      <c r="E315" s="64" t="s">
        <v>84</v>
      </c>
      <c r="F315" s="127">
        <v>45825</v>
      </c>
      <c r="G315" s="66">
        <v>321.3</v>
      </c>
      <c r="H315" s="34" t="str">
        <f t="shared" si="68"/>
        <v>-</v>
      </c>
      <c r="I315" s="35"/>
      <c r="J315" s="34">
        <f t="shared" si="69"/>
        <v>0</v>
      </c>
      <c r="K315" s="36">
        <f t="shared" si="70"/>
        <v>0</v>
      </c>
      <c r="L315" s="34">
        <f t="shared" si="71"/>
        <v>0</v>
      </c>
      <c r="M315" s="37">
        <f t="shared" si="72"/>
        <v>0</v>
      </c>
    </row>
    <row r="316" spans="2:13" hidden="1" x14ac:dyDescent="0.25">
      <c r="B316" s="62" t="s">
        <v>461</v>
      </c>
      <c r="C316" s="63" t="s">
        <v>465</v>
      </c>
      <c r="D316" s="64"/>
      <c r="E316" s="64" t="s">
        <v>84</v>
      </c>
      <c r="F316" s="127">
        <v>45825</v>
      </c>
      <c r="G316" s="66">
        <v>366.8</v>
      </c>
      <c r="H316" s="34" t="str">
        <f t="shared" si="68"/>
        <v>-</v>
      </c>
      <c r="I316" s="35"/>
      <c r="J316" s="34">
        <f t="shared" si="69"/>
        <v>0</v>
      </c>
      <c r="K316" s="36">
        <f t="shared" si="70"/>
        <v>0</v>
      </c>
      <c r="L316" s="34">
        <f t="shared" si="71"/>
        <v>0</v>
      </c>
      <c r="M316" s="37">
        <f t="shared" si="72"/>
        <v>0</v>
      </c>
    </row>
    <row r="317" spans="2:13" hidden="1" x14ac:dyDescent="0.25">
      <c r="B317" s="62" t="s">
        <v>466</v>
      </c>
      <c r="C317" s="63" t="s">
        <v>467</v>
      </c>
      <c r="D317" s="64" t="s">
        <v>468</v>
      </c>
      <c r="E317" s="64" t="s">
        <v>84</v>
      </c>
      <c r="F317" s="127">
        <v>45825</v>
      </c>
      <c r="G317" s="66">
        <v>463.4</v>
      </c>
      <c r="H317" s="34" t="str">
        <f t="shared" si="68"/>
        <v>-</v>
      </c>
      <c r="I317" s="35"/>
      <c r="J317" s="34">
        <f t="shared" si="69"/>
        <v>0</v>
      </c>
      <c r="K317" s="36">
        <f t="shared" si="70"/>
        <v>0</v>
      </c>
      <c r="L317" s="34">
        <f t="shared" si="71"/>
        <v>0</v>
      </c>
      <c r="M317" s="37">
        <f t="shared" si="72"/>
        <v>0</v>
      </c>
    </row>
    <row r="318" spans="2:13" hidden="1" x14ac:dyDescent="0.25">
      <c r="B318" s="62" t="s">
        <v>466</v>
      </c>
      <c r="C318" s="64" t="s">
        <v>469</v>
      </c>
      <c r="D318" s="64" t="s">
        <v>470</v>
      </c>
      <c r="E318" s="64" t="s">
        <v>452</v>
      </c>
      <c r="F318" s="100">
        <v>45762</v>
      </c>
      <c r="G318" s="66">
        <v>2131.27</v>
      </c>
      <c r="H318" s="34" t="str">
        <f>IFERROR(L318/I318,"-")</f>
        <v>-</v>
      </c>
      <c r="I318" s="35"/>
      <c r="J318" s="34">
        <f t="shared" si="69"/>
        <v>0</v>
      </c>
      <c r="K318" s="36">
        <f t="shared" si="70"/>
        <v>0</v>
      </c>
      <c r="L318" s="34">
        <f t="shared" si="71"/>
        <v>0</v>
      </c>
      <c r="M318" s="37">
        <f t="shared" si="72"/>
        <v>0</v>
      </c>
    </row>
    <row r="319" spans="2:13" hidden="1" x14ac:dyDescent="0.25">
      <c r="B319" s="62" t="s">
        <v>466</v>
      </c>
      <c r="C319" s="64" t="s">
        <v>471</v>
      </c>
      <c r="D319" s="64" t="s">
        <v>472</v>
      </c>
      <c r="E319" s="64"/>
      <c r="F319" s="100"/>
      <c r="G319" s="66">
        <v>8800</v>
      </c>
      <c r="H319" s="34" t="str">
        <f t="shared" si="68"/>
        <v>-</v>
      </c>
      <c r="I319" s="35"/>
      <c r="J319" s="34">
        <f t="shared" si="69"/>
        <v>0</v>
      </c>
      <c r="K319" s="36">
        <f t="shared" si="70"/>
        <v>0</v>
      </c>
      <c r="L319" s="34">
        <f t="shared" si="71"/>
        <v>0</v>
      </c>
      <c r="M319" s="37">
        <f t="shared" si="72"/>
        <v>0</v>
      </c>
    </row>
    <row r="320" spans="2:13" hidden="1" x14ac:dyDescent="0.25">
      <c r="B320" s="62" t="s">
        <v>466</v>
      </c>
      <c r="C320" s="64" t="s">
        <v>473</v>
      </c>
      <c r="D320" s="64" t="s">
        <v>474</v>
      </c>
      <c r="E320" s="64"/>
      <c r="F320" s="100"/>
      <c r="G320" s="66">
        <v>30500</v>
      </c>
      <c r="H320" s="34" t="str">
        <f t="shared" si="68"/>
        <v>-</v>
      </c>
      <c r="I320" s="35"/>
      <c r="J320" s="34">
        <f t="shared" si="69"/>
        <v>0</v>
      </c>
      <c r="K320" s="36">
        <f t="shared" si="70"/>
        <v>0</v>
      </c>
      <c r="L320" s="34">
        <f t="shared" si="71"/>
        <v>0</v>
      </c>
      <c r="M320" s="37">
        <f t="shared" si="72"/>
        <v>0</v>
      </c>
    </row>
    <row r="321" spans="2:13" hidden="1" x14ac:dyDescent="0.25">
      <c r="B321" s="62" t="s">
        <v>466</v>
      </c>
      <c r="C321" s="64" t="s">
        <v>475</v>
      </c>
      <c r="D321" s="64"/>
      <c r="E321" s="64"/>
      <c r="F321" s="100"/>
      <c r="G321" s="66">
        <v>12000</v>
      </c>
      <c r="H321" s="34" t="str">
        <f t="shared" si="68"/>
        <v>-</v>
      </c>
      <c r="I321" s="35"/>
      <c r="J321" s="34">
        <f t="shared" si="69"/>
        <v>0</v>
      </c>
      <c r="K321" s="36">
        <f t="shared" si="70"/>
        <v>0</v>
      </c>
      <c r="L321" s="34">
        <f>J321*(1+K321)</f>
        <v>0</v>
      </c>
      <c r="M321" s="37">
        <f>L321-J321</f>
        <v>0</v>
      </c>
    </row>
    <row r="322" spans="2:13" hidden="1" x14ac:dyDescent="0.25">
      <c r="B322" s="62" t="s">
        <v>466</v>
      </c>
      <c r="C322" s="64" t="s">
        <v>476</v>
      </c>
      <c r="D322" s="64"/>
      <c r="E322" s="64"/>
      <c r="F322" s="100"/>
      <c r="G322" s="66">
        <v>5000</v>
      </c>
      <c r="H322" s="34" t="str">
        <f t="shared" si="68"/>
        <v>-</v>
      </c>
      <c r="I322" s="35"/>
      <c r="J322" s="34">
        <f t="shared" si="69"/>
        <v>0</v>
      </c>
      <c r="K322" s="36">
        <f t="shared" si="70"/>
        <v>0</v>
      </c>
      <c r="L322" s="34">
        <f>J322*(1+K322)</f>
        <v>0</v>
      </c>
      <c r="M322" s="37">
        <f>L322-J322</f>
        <v>0</v>
      </c>
    </row>
    <row r="323" spans="2:13" hidden="1" x14ac:dyDescent="0.25">
      <c r="B323" s="62" t="s">
        <v>466</v>
      </c>
      <c r="C323" s="64" t="s">
        <v>68</v>
      </c>
      <c r="D323" s="64"/>
      <c r="E323" s="64"/>
      <c r="F323" s="100"/>
      <c r="G323" s="66">
        <v>2000</v>
      </c>
      <c r="H323" s="34" t="str">
        <f>IFERROR(L323/I323,"-")</f>
        <v>-</v>
      </c>
      <c r="I323" s="35"/>
      <c r="J323" s="34">
        <f t="shared" si="69"/>
        <v>0</v>
      </c>
      <c r="K323" s="36">
        <f t="shared" si="70"/>
        <v>0</v>
      </c>
      <c r="L323" s="34">
        <f>J323*(1+K323)</f>
        <v>0</v>
      </c>
      <c r="M323" s="37">
        <f>L323-J323</f>
        <v>0</v>
      </c>
    </row>
    <row r="324" spans="2:13" hidden="1" x14ac:dyDescent="0.25">
      <c r="B324" s="68" t="s">
        <v>466</v>
      </c>
      <c r="C324" s="67" t="s">
        <v>477</v>
      </c>
      <c r="D324" s="67" t="s">
        <v>478</v>
      </c>
      <c r="E324" s="67"/>
      <c r="F324" s="32"/>
      <c r="G324" s="71">
        <v>9850</v>
      </c>
      <c r="H324" s="34" t="str">
        <f>IFERROR(L324/I324,"-")</f>
        <v>-</v>
      </c>
      <c r="I324" s="35"/>
      <c r="J324" s="34">
        <f t="shared" si="69"/>
        <v>0</v>
      </c>
      <c r="K324" s="36">
        <f t="shared" si="70"/>
        <v>0</v>
      </c>
      <c r="L324" s="34">
        <f>J324*(1+K324)</f>
        <v>0</v>
      </c>
      <c r="M324" s="37">
        <f>L324-J324</f>
        <v>0</v>
      </c>
    </row>
    <row r="325" spans="2:13" ht="15.75" hidden="1" thickBot="1" x14ac:dyDescent="0.3">
      <c r="B325" s="48"/>
      <c r="C325" s="49" t="s">
        <v>479</v>
      </c>
      <c r="D325" s="50"/>
      <c r="E325" s="50"/>
      <c r="F325" s="73"/>
      <c r="G325" s="52"/>
      <c r="H325" s="41" t="str">
        <f>IFERROR(L325/I325,"-")</f>
        <v>-</v>
      </c>
      <c r="I325" s="42"/>
      <c r="J325" s="41">
        <f t="shared" si="69"/>
        <v>0</v>
      </c>
      <c r="K325" s="36">
        <f t="shared" si="70"/>
        <v>0</v>
      </c>
      <c r="L325" s="41">
        <f>J325*(1+K325)</f>
        <v>0</v>
      </c>
      <c r="M325" s="44">
        <f>L325-J325</f>
        <v>0</v>
      </c>
    </row>
    <row r="326" spans="2:13" ht="15.75" hidden="1" thickBot="1" x14ac:dyDescent="0.3">
      <c r="B326" s="89" t="s">
        <v>480</v>
      </c>
      <c r="C326" s="90" t="s">
        <v>481</v>
      </c>
      <c r="D326" s="90"/>
      <c r="E326" s="90" t="s">
        <v>482</v>
      </c>
      <c r="F326" s="14">
        <v>45806</v>
      </c>
      <c r="G326" s="91">
        <v>9597.42</v>
      </c>
      <c r="H326" s="53"/>
      <c r="I326" s="54" t="s">
        <v>42</v>
      </c>
      <c r="J326" s="94">
        <f>SUM(J327:J334)</f>
        <v>0</v>
      </c>
      <c r="K326" s="96"/>
      <c r="L326" s="94">
        <f>SUM(L327:L334)</f>
        <v>0</v>
      </c>
      <c r="M326" s="97">
        <f>SUM(M327:M334)</f>
        <v>0</v>
      </c>
    </row>
    <row r="327" spans="2:13" hidden="1" x14ac:dyDescent="0.25">
      <c r="B327" s="89" t="s">
        <v>480</v>
      </c>
      <c r="C327" s="90" t="s">
        <v>483</v>
      </c>
      <c r="D327" s="90"/>
      <c r="E327" s="90" t="s">
        <v>482</v>
      </c>
      <c r="F327" s="14">
        <v>45812</v>
      </c>
      <c r="G327" s="91">
        <v>12477</v>
      </c>
      <c r="H327" s="41" t="str">
        <f>IFERROR(L327/I327,"-")</f>
        <v>-</v>
      </c>
      <c r="I327" s="27"/>
      <c r="J327" s="41">
        <f>G326*I327</f>
        <v>0</v>
      </c>
      <c r="K327" s="36">
        <f t="shared" ref="K327:K329" si="74">$K$5</f>
        <v>0</v>
      </c>
      <c r="L327" s="41">
        <f>J327*(1+K327)</f>
        <v>0</v>
      </c>
      <c r="M327" s="44">
        <f>L327-J327</f>
        <v>0</v>
      </c>
    </row>
    <row r="328" spans="2:13" hidden="1" x14ac:dyDescent="0.25">
      <c r="B328" s="89" t="s">
        <v>480</v>
      </c>
      <c r="C328" s="90" t="s">
        <v>484</v>
      </c>
      <c r="D328" s="90"/>
      <c r="E328" s="90" t="s">
        <v>482</v>
      </c>
      <c r="F328" s="14">
        <v>45782</v>
      </c>
      <c r="G328" s="91">
        <v>14796</v>
      </c>
      <c r="H328" s="41" t="str">
        <f t="shared" ref="H328:H329" si="75">IFERROR(L328/I328,"-")</f>
        <v>-</v>
      </c>
      <c r="I328" s="27"/>
      <c r="J328" s="41">
        <f>G327*I328</f>
        <v>0</v>
      </c>
      <c r="K328" s="36">
        <f t="shared" si="74"/>
        <v>0</v>
      </c>
      <c r="L328" s="41">
        <f t="shared" ref="L328:L329" si="76">J328*(1+K328)</f>
        <v>0</v>
      </c>
      <c r="M328" s="44">
        <f t="shared" ref="M328:M329" si="77">L328-J328</f>
        <v>0</v>
      </c>
    </row>
    <row r="329" spans="2:13" ht="15.75" hidden="1" thickBot="1" x14ac:dyDescent="0.3">
      <c r="B329" s="48"/>
      <c r="C329" s="49" t="s">
        <v>485</v>
      </c>
      <c r="D329" s="50"/>
      <c r="E329" s="50"/>
      <c r="F329" s="73"/>
      <c r="G329" s="52"/>
      <c r="H329" s="41" t="str">
        <f t="shared" si="75"/>
        <v>-</v>
      </c>
      <c r="I329" s="27"/>
      <c r="J329" s="41">
        <f>G328*I329</f>
        <v>0</v>
      </c>
      <c r="K329" s="36">
        <f t="shared" si="74"/>
        <v>0</v>
      </c>
      <c r="L329" s="41">
        <f t="shared" si="76"/>
        <v>0</v>
      </c>
      <c r="M329" s="44">
        <f t="shared" si="77"/>
        <v>0</v>
      </c>
    </row>
    <row r="330" spans="2:13" ht="15.75" hidden="1" thickBot="1" x14ac:dyDescent="0.3">
      <c r="B330" s="133" t="s">
        <v>486</v>
      </c>
      <c r="C330" s="58" t="s">
        <v>487</v>
      </c>
      <c r="D330" s="59"/>
      <c r="E330" s="59"/>
      <c r="F330" s="98"/>
      <c r="G330" s="61">
        <v>80000</v>
      </c>
      <c r="H330" s="53"/>
      <c r="I330" s="54" t="s">
        <v>42</v>
      </c>
      <c r="J330" s="94">
        <f>SUM(J331:J338)</f>
        <v>0</v>
      </c>
      <c r="K330" s="96"/>
      <c r="L330" s="94">
        <f>SUM(L331:L338)</f>
        <v>0</v>
      </c>
      <c r="M330" s="97">
        <f>SUM(M331:M338)</f>
        <v>0</v>
      </c>
    </row>
    <row r="331" spans="2:13" hidden="1" x14ac:dyDescent="0.25">
      <c r="B331" s="133" t="s">
        <v>486</v>
      </c>
      <c r="C331" s="63" t="s">
        <v>488</v>
      </c>
      <c r="D331" s="64" t="s">
        <v>489</v>
      </c>
      <c r="E331" s="64"/>
      <c r="F331" s="100"/>
      <c r="G331" s="66">
        <v>19000</v>
      </c>
      <c r="H331" s="15" t="str">
        <f>IFERROR(L331/I331,"-")</f>
        <v>-</v>
      </c>
      <c r="I331" s="16"/>
      <c r="J331" s="15">
        <f t="shared" ref="J331:J338" si="78">G330*I331</f>
        <v>0</v>
      </c>
      <c r="K331" s="36">
        <f t="shared" ref="K331:K338" si="79">$K$5</f>
        <v>0</v>
      </c>
      <c r="L331" s="15">
        <f>J331*(1+K331)</f>
        <v>0</v>
      </c>
      <c r="M331" s="18">
        <f>L331-J331</f>
        <v>0</v>
      </c>
    </row>
    <row r="332" spans="2:13" hidden="1" x14ac:dyDescent="0.25">
      <c r="B332" s="133" t="s">
        <v>486</v>
      </c>
      <c r="C332" s="63" t="s">
        <v>488</v>
      </c>
      <c r="D332" s="64" t="s">
        <v>490</v>
      </c>
      <c r="E332" s="64"/>
      <c r="F332" s="100"/>
      <c r="G332" s="66">
        <v>23927.75</v>
      </c>
      <c r="H332" s="34" t="str">
        <f t="shared" ref="H332:H338" si="80">IFERROR(L332/I332,"-")</f>
        <v>-</v>
      </c>
      <c r="I332" s="35"/>
      <c r="J332" s="34">
        <f t="shared" si="78"/>
        <v>0</v>
      </c>
      <c r="K332" s="36">
        <f t="shared" si="79"/>
        <v>0</v>
      </c>
      <c r="L332" s="34">
        <f t="shared" ref="L332:L336" si="81">J332*(1+K332)</f>
        <v>0</v>
      </c>
      <c r="M332" s="37">
        <f t="shared" ref="M332:M336" si="82">L332-J332</f>
        <v>0</v>
      </c>
    </row>
    <row r="333" spans="2:13" hidden="1" x14ac:dyDescent="0.25">
      <c r="B333" s="133" t="s">
        <v>486</v>
      </c>
      <c r="C333" s="63" t="s">
        <v>488</v>
      </c>
      <c r="D333" s="64" t="s">
        <v>491</v>
      </c>
      <c r="E333" s="64"/>
      <c r="F333" s="100"/>
      <c r="G333" s="66">
        <v>4350.5</v>
      </c>
      <c r="H333" s="34" t="str">
        <f t="shared" si="80"/>
        <v>-</v>
      </c>
      <c r="I333" s="35"/>
      <c r="J333" s="34">
        <f t="shared" si="78"/>
        <v>0</v>
      </c>
      <c r="K333" s="36">
        <f t="shared" si="79"/>
        <v>0</v>
      </c>
      <c r="L333" s="34">
        <f t="shared" si="81"/>
        <v>0</v>
      </c>
      <c r="M333" s="37">
        <f t="shared" si="82"/>
        <v>0</v>
      </c>
    </row>
    <row r="334" spans="2:13" hidden="1" x14ac:dyDescent="0.25">
      <c r="B334" s="133" t="s">
        <v>486</v>
      </c>
      <c r="C334" s="63" t="s">
        <v>488</v>
      </c>
      <c r="D334" s="64" t="s">
        <v>492</v>
      </c>
      <c r="E334" s="64"/>
      <c r="F334" s="100"/>
      <c r="G334" s="66">
        <v>10006.15</v>
      </c>
      <c r="H334" s="34" t="str">
        <f t="shared" si="80"/>
        <v>-</v>
      </c>
      <c r="I334" s="35"/>
      <c r="J334" s="34">
        <f t="shared" si="78"/>
        <v>0</v>
      </c>
      <c r="K334" s="36">
        <f t="shared" si="79"/>
        <v>0</v>
      </c>
      <c r="L334" s="34">
        <f t="shared" si="81"/>
        <v>0</v>
      </c>
      <c r="M334" s="37">
        <f t="shared" si="82"/>
        <v>0</v>
      </c>
    </row>
    <row r="335" spans="2:13" hidden="1" x14ac:dyDescent="0.25">
      <c r="B335" s="134" t="s">
        <v>493</v>
      </c>
      <c r="C335" s="63" t="s">
        <v>494</v>
      </c>
      <c r="D335" s="64"/>
      <c r="E335" s="64"/>
      <c r="F335" s="100"/>
      <c r="G335" s="66">
        <v>2800</v>
      </c>
      <c r="H335" s="34" t="str">
        <f t="shared" si="80"/>
        <v>-</v>
      </c>
      <c r="I335" s="35"/>
      <c r="J335" s="34">
        <f t="shared" si="78"/>
        <v>0</v>
      </c>
      <c r="K335" s="36">
        <f t="shared" si="79"/>
        <v>0</v>
      </c>
      <c r="L335" s="34">
        <f t="shared" si="81"/>
        <v>0</v>
      </c>
      <c r="M335" s="37">
        <f t="shared" si="82"/>
        <v>0</v>
      </c>
    </row>
    <row r="336" spans="2:13" hidden="1" x14ac:dyDescent="0.25">
      <c r="B336" s="134" t="s">
        <v>493</v>
      </c>
      <c r="C336" s="63" t="s">
        <v>495</v>
      </c>
      <c r="D336" s="64"/>
      <c r="E336" s="64"/>
      <c r="F336" s="100"/>
      <c r="G336" s="66">
        <v>2300</v>
      </c>
      <c r="H336" s="34" t="str">
        <f t="shared" si="80"/>
        <v>-</v>
      </c>
      <c r="I336" s="35"/>
      <c r="J336" s="34">
        <f t="shared" si="78"/>
        <v>0</v>
      </c>
      <c r="K336" s="36">
        <f t="shared" si="79"/>
        <v>0</v>
      </c>
      <c r="L336" s="34">
        <f t="shared" si="81"/>
        <v>0</v>
      </c>
      <c r="M336" s="37">
        <f t="shared" si="82"/>
        <v>0</v>
      </c>
    </row>
    <row r="337" spans="2:13" hidden="1" x14ac:dyDescent="0.25">
      <c r="B337" s="134" t="s">
        <v>493</v>
      </c>
      <c r="C337" s="101" t="s">
        <v>496</v>
      </c>
      <c r="D337" s="67"/>
      <c r="E337" s="67"/>
      <c r="F337" s="32"/>
      <c r="G337" s="71">
        <v>34640</v>
      </c>
      <c r="H337" s="34" t="str">
        <f t="shared" si="80"/>
        <v>-</v>
      </c>
      <c r="I337" s="35"/>
      <c r="J337" s="34">
        <f t="shared" si="78"/>
        <v>0</v>
      </c>
      <c r="K337" s="36">
        <f t="shared" si="79"/>
        <v>0</v>
      </c>
      <c r="L337" s="34">
        <f>J337*(1+K337)</f>
        <v>0</v>
      </c>
      <c r="M337" s="37">
        <f>L337-J337</f>
        <v>0</v>
      </c>
    </row>
    <row r="338" spans="2:13" ht="15.75" hidden="1" thickBot="1" x14ac:dyDescent="0.3">
      <c r="B338" s="48"/>
      <c r="C338" s="49" t="s">
        <v>497</v>
      </c>
      <c r="D338" s="50"/>
      <c r="E338" s="50"/>
      <c r="F338" s="73"/>
      <c r="G338" s="52"/>
      <c r="H338" s="41" t="str">
        <f t="shared" si="80"/>
        <v>-</v>
      </c>
      <c r="I338" s="42"/>
      <c r="J338" s="41">
        <f t="shared" si="78"/>
        <v>0</v>
      </c>
      <c r="K338" s="36">
        <f t="shared" si="79"/>
        <v>0</v>
      </c>
      <c r="L338" s="41">
        <f>J338*(1+K338)</f>
        <v>0</v>
      </c>
      <c r="M338" s="44">
        <f>L338-J338</f>
        <v>0</v>
      </c>
    </row>
    <row r="339" spans="2:13" ht="15.75" hidden="1" thickBot="1" x14ac:dyDescent="0.3">
      <c r="B339" s="133" t="s">
        <v>498</v>
      </c>
      <c r="C339" s="58" t="s">
        <v>499</v>
      </c>
      <c r="D339" s="59"/>
      <c r="E339" s="59"/>
      <c r="F339" s="98"/>
      <c r="G339" s="61">
        <f>[1]LAB!$G$12</f>
        <v>150120</v>
      </c>
      <c r="H339" s="53"/>
      <c r="I339" s="54" t="s">
        <v>42</v>
      </c>
      <c r="J339" s="94">
        <f>SUM(J340:J341)</f>
        <v>0</v>
      </c>
      <c r="K339" s="96"/>
      <c r="L339" s="94">
        <f t="shared" ref="L339:M339" si="83">SUM(L340:L341)</f>
        <v>0</v>
      </c>
      <c r="M339" s="97">
        <f t="shared" si="83"/>
        <v>0</v>
      </c>
    </row>
    <row r="340" spans="2:13" hidden="1" x14ac:dyDescent="0.25">
      <c r="B340" s="133" t="s">
        <v>498</v>
      </c>
      <c r="C340" s="101" t="s">
        <v>500</v>
      </c>
      <c r="D340" s="67"/>
      <c r="E340" s="67"/>
      <c r="F340" s="32"/>
      <c r="G340" s="71">
        <v>5000</v>
      </c>
      <c r="H340" s="15" t="str">
        <f t="shared" ref="H340:H347" si="84">IFERROR(L340/I340,"-")</f>
        <v>-</v>
      </c>
      <c r="I340" s="16"/>
      <c r="J340" s="15">
        <f>G339*I340</f>
        <v>0</v>
      </c>
      <c r="K340" s="36">
        <f t="shared" ref="K340:K341" si="85">$K$5</f>
        <v>0</v>
      </c>
      <c r="L340" s="15">
        <f>J340*(1+K340)</f>
        <v>0</v>
      </c>
      <c r="M340" s="18">
        <f>L340-J340</f>
        <v>0</v>
      </c>
    </row>
    <row r="341" spans="2:13" ht="15.75" hidden="1" thickBot="1" x14ac:dyDescent="0.3">
      <c r="B341" s="48"/>
      <c r="C341" s="49" t="s">
        <v>501</v>
      </c>
      <c r="D341" s="50"/>
      <c r="E341" s="50"/>
      <c r="F341" s="73"/>
      <c r="G341" s="52"/>
      <c r="H341" s="41" t="str">
        <f t="shared" si="84"/>
        <v>-</v>
      </c>
      <c r="I341" s="42"/>
      <c r="J341" s="41">
        <f>G340*I341</f>
        <v>0</v>
      </c>
      <c r="K341" s="36">
        <f t="shared" si="85"/>
        <v>0</v>
      </c>
      <c r="L341" s="41">
        <f>J341*(1+K341)</f>
        <v>0</v>
      </c>
      <c r="M341" s="44">
        <f>L341-J341</f>
        <v>0</v>
      </c>
    </row>
    <row r="342" spans="2:13" ht="15.75" hidden="1" thickBot="1" x14ac:dyDescent="0.3">
      <c r="B342" s="134" t="s">
        <v>502</v>
      </c>
      <c r="C342" s="58" t="s">
        <v>503</v>
      </c>
      <c r="D342" s="59"/>
      <c r="E342" s="59"/>
      <c r="F342" s="98"/>
      <c r="G342" s="61">
        <v>12550</v>
      </c>
      <c r="H342" s="53" t="str">
        <f t="shared" si="84"/>
        <v>-</v>
      </c>
      <c r="I342" s="54" t="s">
        <v>42</v>
      </c>
      <c r="J342" s="94">
        <f>SUM(J343:J347)</f>
        <v>0</v>
      </c>
      <c r="K342" s="96"/>
      <c r="L342" s="94">
        <f t="shared" ref="L342:M342" si="86">SUM(L343:L347)</f>
        <v>0</v>
      </c>
      <c r="M342" s="97">
        <f t="shared" si="86"/>
        <v>0</v>
      </c>
    </row>
    <row r="343" spans="2:13" hidden="1" x14ac:dyDescent="0.25">
      <c r="B343" s="134" t="s">
        <v>504</v>
      </c>
      <c r="C343" s="63" t="s">
        <v>505</v>
      </c>
      <c r="D343" s="64"/>
      <c r="E343" s="64"/>
      <c r="F343" s="100"/>
      <c r="G343" s="66">
        <f>[1]LAB!$F$5/8*150*4</f>
        <v>17700</v>
      </c>
      <c r="H343" s="15" t="str">
        <f t="shared" si="84"/>
        <v>-</v>
      </c>
      <c r="I343" s="16"/>
      <c r="J343" s="15">
        <f>G342*I343</f>
        <v>0</v>
      </c>
      <c r="K343" s="36">
        <f t="shared" ref="K343:K347" si="87">$K$5</f>
        <v>0</v>
      </c>
      <c r="L343" s="15">
        <f>J343*(1+K343)</f>
        <v>0</v>
      </c>
      <c r="M343" s="18">
        <f>L343-J343</f>
        <v>0</v>
      </c>
    </row>
    <row r="344" spans="2:13" hidden="1" x14ac:dyDescent="0.25">
      <c r="B344" s="134" t="s">
        <v>504</v>
      </c>
      <c r="C344" s="63" t="s">
        <v>506</v>
      </c>
      <c r="D344" s="64"/>
      <c r="E344" s="64"/>
      <c r="F344" s="100"/>
      <c r="G344" s="66">
        <f>[1]LAB!$G$29</f>
        <v>95700</v>
      </c>
      <c r="H344" s="34" t="str">
        <f t="shared" si="84"/>
        <v>-</v>
      </c>
      <c r="I344" s="35"/>
      <c r="J344" s="34">
        <f>G343*I344</f>
        <v>0</v>
      </c>
      <c r="K344" s="36">
        <f t="shared" si="87"/>
        <v>0</v>
      </c>
      <c r="L344" s="34">
        <f>J344*(1+K344)</f>
        <v>0</v>
      </c>
      <c r="M344" s="37">
        <f>L344-J344</f>
        <v>0</v>
      </c>
    </row>
    <row r="345" spans="2:13" hidden="1" x14ac:dyDescent="0.25">
      <c r="B345" s="134" t="s">
        <v>502</v>
      </c>
      <c r="C345" s="63" t="s">
        <v>507</v>
      </c>
      <c r="D345" s="64"/>
      <c r="E345" s="64"/>
      <c r="F345" s="100"/>
      <c r="G345" s="66">
        <f>[1]LAB!$G$38</f>
        <v>39870</v>
      </c>
      <c r="H345" s="34" t="str">
        <f t="shared" si="84"/>
        <v>-</v>
      </c>
      <c r="I345" s="35"/>
      <c r="J345" s="34">
        <f>G344*I345</f>
        <v>0</v>
      </c>
      <c r="K345" s="36">
        <f t="shared" si="87"/>
        <v>0</v>
      </c>
      <c r="L345" s="34">
        <f>J345*(1+K345)</f>
        <v>0</v>
      </c>
      <c r="M345" s="37">
        <f>L345-J345</f>
        <v>0</v>
      </c>
    </row>
    <row r="346" spans="2:13" hidden="1" x14ac:dyDescent="0.25">
      <c r="B346" s="134" t="s">
        <v>502</v>
      </c>
      <c r="C346" s="101" t="s">
        <v>508</v>
      </c>
      <c r="D346" s="67"/>
      <c r="E346" s="67"/>
      <c r="F346" s="67"/>
      <c r="G346" s="71">
        <v>0</v>
      </c>
      <c r="H346" s="34" t="str">
        <f t="shared" si="84"/>
        <v>-</v>
      </c>
      <c r="I346" s="35"/>
      <c r="J346" s="34">
        <f>G345*I346</f>
        <v>0</v>
      </c>
      <c r="K346" s="36">
        <f t="shared" si="87"/>
        <v>0</v>
      </c>
      <c r="L346" s="34">
        <f>J346*(1+K346)</f>
        <v>0</v>
      </c>
      <c r="M346" s="37">
        <f>L346-J346</f>
        <v>0</v>
      </c>
    </row>
    <row r="347" spans="2:13" ht="15.75" hidden="1" thickBot="1" x14ac:dyDescent="0.3">
      <c r="B347" s="48"/>
      <c r="C347" s="49" t="s">
        <v>509</v>
      </c>
      <c r="D347" s="50"/>
      <c r="E347" s="50"/>
      <c r="F347" s="73"/>
      <c r="G347" s="52"/>
      <c r="H347" s="41" t="str">
        <f t="shared" si="84"/>
        <v>-</v>
      </c>
      <c r="I347" s="42"/>
      <c r="J347" s="41">
        <f>G346*I347</f>
        <v>0</v>
      </c>
      <c r="K347" s="36">
        <f t="shared" si="87"/>
        <v>0</v>
      </c>
      <c r="L347" s="41">
        <f>J347*(1+K347)</f>
        <v>0</v>
      </c>
      <c r="M347" s="44">
        <f>L347-J347</f>
        <v>0</v>
      </c>
    </row>
    <row r="348" spans="2:13" ht="15.75" hidden="1" thickBot="1" x14ac:dyDescent="0.3">
      <c r="B348" s="133" t="s">
        <v>510</v>
      </c>
      <c r="C348" s="58" t="s">
        <v>511</v>
      </c>
      <c r="D348" s="59"/>
      <c r="E348" s="59"/>
      <c r="F348" s="98"/>
      <c r="G348" s="61">
        <v>40000</v>
      </c>
      <c r="H348" s="53"/>
      <c r="I348" s="54" t="s">
        <v>42</v>
      </c>
      <c r="J348" s="94">
        <f>SUM(J349:J360)</f>
        <v>0</v>
      </c>
      <c r="K348" s="96"/>
      <c r="L348" s="94">
        <f t="shared" ref="L348:M348" si="88">SUM(L349:L360)</f>
        <v>0</v>
      </c>
      <c r="M348" s="97">
        <f t="shared" si="88"/>
        <v>0</v>
      </c>
    </row>
    <row r="349" spans="2:13" hidden="1" x14ac:dyDescent="0.25">
      <c r="B349" s="134" t="s">
        <v>512</v>
      </c>
      <c r="C349" s="63" t="s">
        <v>513</v>
      </c>
      <c r="D349" s="64"/>
      <c r="E349" s="64"/>
      <c r="F349" s="100"/>
      <c r="G349" s="66">
        <v>2850</v>
      </c>
      <c r="H349" s="15" t="str">
        <f t="shared" ref="H349:H360" si="89">IFERROR(L349/I349,"-")</f>
        <v>-</v>
      </c>
      <c r="I349" s="16"/>
      <c r="J349" s="15">
        <f t="shared" ref="J349:J360" si="90">G348*I349</f>
        <v>0</v>
      </c>
      <c r="K349" s="36">
        <f t="shared" ref="K349:K360" si="91">$K$5</f>
        <v>0</v>
      </c>
      <c r="L349" s="15">
        <f t="shared" ref="L349:L360" si="92">J349*(1+K349)</f>
        <v>0</v>
      </c>
      <c r="M349" s="18">
        <f t="shared" ref="M349:M360" si="93">L349-J349</f>
        <v>0</v>
      </c>
    </row>
    <row r="350" spans="2:13" hidden="1" x14ac:dyDescent="0.25">
      <c r="B350" s="134" t="s">
        <v>512</v>
      </c>
      <c r="C350" s="63" t="s">
        <v>514</v>
      </c>
      <c r="D350" s="64"/>
      <c r="E350" s="64"/>
      <c r="F350" s="64"/>
      <c r="G350" s="66">
        <v>8300</v>
      </c>
      <c r="H350" s="34" t="str">
        <f t="shared" si="89"/>
        <v>-</v>
      </c>
      <c r="I350" s="35"/>
      <c r="J350" s="34">
        <f t="shared" si="90"/>
        <v>0</v>
      </c>
      <c r="K350" s="36">
        <f t="shared" si="91"/>
        <v>0</v>
      </c>
      <c r="L350" s="34">
        <f t="shared" si="92"/>
        <v>0</v>
      </c>
      <c r="M350" s="37">
        <f t="shared" si="93"/>
        <v>0</v>
      </c>
    </row>
    <row r="351" spans="2:13" hidden="1" x14ac:dyDescent="0.25">
      <c r="B351" s="133" t="s">
        <v>510</v>
      </c>
      <c r="C351" s="63" t="s">
        <v>515</v>
      </c>
      <c r="D351" s="64"/>
      <c r="E351" s="64"/>
      <c r="F351" s="100"/>
      <c r="G351" s="66">
        <v>2500</v>
      </c>
      <c r="H351" s="34" t="str">
        <f t="shared" si="89"/>
        <v>-</v>
      </c>
      <c r="I351" s="35"/>
      <c r="J351" s="34">
        <f t="shared" si="90"/>
        <v>0</v>
      </c>
      <c r="K351" s="36">
        <f t="shared" si="91"/>
        <v>0</v>
      </c>
      <c r="L351" s="34">
        <f t="shared" si="92"/>
        <v>0</v>
      </c>
      <c r="M351" s="37">
        <f t="shared" si="93"/>
        <v>0</v>
      </c>
    </row>
    <row r="352" spans="2:13" hidden="1" x14ac:dyDescent="0.25">
      <c r="B352" s="134" t="s">
        <v>512</v>
      </c>
      <c r="C352" s="63" t="s">
        <v>516</v>
      </c>
      <c r="D352" s="64"/>
      <c r="E352" s="64"/>
      <c r="F352" s="100"/>
      <c r="G352" s="66">
        <v>8000</v>
      </c>
      <c r="H352" s="34" t="str">
        <f t="shared" si="89"/>
        <v>-</v>
      </c>
      <c r="I352" s="35"/>
      <c r="J352" s="34">
        <f t="shared" si="90"/>
        <v>0</v>
      </c>
      <c r="K352" s="36">
        <f t="shared" si="91"/>
        <v>0</v>
      </c>
      <c r="L352" s="34">
        <f t="shared" si="92"/>
        <v>0</v>
      </c>
      <c r="M352" s="37">
        <f t="shared" si="93"/>
        <v>0</v>
      </c>
    </row>
    <row r="353" spans="2:13" hidden="1" x14ac:dyDescent="0.25">
      <c r="B353" s="133" t="s">
        <v>510</v>
      </c>
      <c r="C353" s="63" t="s">
        <v>517</v>
      </c>
      <c r="D353" s="64"/>
      <c r="E353" s="64"/>
      <c r="F353" s="100"/>
      <c r="G353" s="66">
        <f>[1]LAB!$G$21</f>
        <v>22000</v>
      </c>
      <c r="H353" s="34" t="str">
        <f t="shared" si="89"/>
        <v>-</v>
      </c>
      <c r="I353" s="35"/>
      <c r="J353" s="34">
        <f t="shared" si="90"/>
        <v>0</v>
      </c>
      <c r="K353" s="36">
        <f t="shared" si="91"/>
        <v>0</v>
      </c>
      <c r="L353" s="34">
        <f t="shared" si="92"/>
        <v>0</v>
      </c>
      <c r="M353" s="37">
        <f t="shared" si="93"/>
        <v>0</v>
      </c>
    </row>
    <row r="354" spans="2:13" hidden="1" x14ac:dyDescent="0.25">
      <c r="B354" s="133" t="s">
        <v>510</v>
      </c>
      <c r="C354" s="63" t="s">
        <v>518</v>
      </c>
      <c r="D354" s="64"/>
      <c r="E354" s="64"/>
      <c r="F354" s="100"/>
      <c r="G354" s="66">
        <v>12350</v>
      </c>
      <c r="H354" s="34" t="str">
        <f t="shared" si="89"/>
        <v>-</v>
      </c>
      <c r="I354" s="35"/>
      <c r="J354" s="34">
        <f t="shared" si="90"/>
        <v>0</v>
      </c>
      <c r="K354" s="36">
        <f t="shared" si="91"/>
        <v>0</v>
      </c>
      <c r="L354" s="34">
        <f t="shared" si="92"/>
        <v>0</v>
      </c>
      <c r="M354" s="37">
        <f t="shared" si="93"/>
        <v>0</v>
      </c>
    </row>
    <row r="355" spans="2:13" hidden="1" x14ac:dyDescent="0.25">
      <c r="B355" s="133" t="s">
        <v>510</v>
      </c>
      <c r="C355" s="63" t="s">
        <v>519</v>
      </c>
      <c r="D355" s="64"/>
      <c r="E355" s="64"/>
      <c r="F355" s="100"/>
      <c r="G355" s="66">
        <v>15000</v>
      </c>
      <c r="H355" s="34" t="str">
        <f t="shared" si="89"/>
        <v>-</v>
      </c>
      <c r="I355" s="35"/>
      <c r="J355" s="34">
        <f t="shared" si="90"/>
        <v>0</v>
      </c>
      <c r="K355" s="36">
        <f t="shared" si="91"/>
        <v>0</v>
      </c>
      <c r="L355" s="34">
        <f t="shared" si="92"/>
        <v>0</v>
      </c>
      <c r="M355" s="37">
        <f t="shared" si="93"/>
        <v>0</v>
      </c>
    </row>
    <row r="356" spans="2:13" hidden="1" x14ac:dyDescent="0.25">
      <c r="B356" s="133" t="s">
        <v>510</v>
      </c>
      <c r="C356" s="63" t="s">
        <v>520</v>
      </c>
      <c r="D356" s="64" t="s">
        <v>521</v>
      </c>
      <c r="E356" s="64"/>
      <c r="F356" s="100"/>
      <c r="G356" s="66">
        <v>5500</v>
      </c>
      <c r="H356" s="34" t="str">
        <f t="shared" si="89"/>
        <v>-</v>
      </c>
      <c r="I356" s="35"/>
      <c r="J356" s="34">
        <f t="shared" si="90"/>
        <v>0</v>
      </c>
      <c r="K356" s="36">
        <f t="shared" si="91"/>
        <v>0</v>
      </c>
      <c r="L356" s="34">
        <f t="shared" si="92"/>
        <v>0</v>
      </c>
      <c r="M356" s="37">
        <f t="shared" si="93"/>
        <v>0</v>
      </c>
    </row>
    <row r="357" spans="2:13" hidden="1" x14ac:dyDescent="0.25">
      <c r="B357" s="134" t="s">
        <v>512</v>
      </c>
      <c r="C357" s="63" t="s">
        <v>522</v>
      </c>
      <c r="D357" s="64"/>
      <c r="E357" s="64"/>
      <c r="F357" s="100"/>
      <c r="G357" s="66">
        <v>1000</v>
      </c>
      <c r="H357" s="34" t="str">
        <f t="shared" si="89"/>
        <v>-</v>
      </c>
      <c r="I357" s="35"/>
      <c r="J357" s="34">
        <f t="shared" si="90"/>
        <v>0</v>
      </c>
      <c r="K357" s="36">
        <f t="shared" si="91"/>
        <v>0</v>
      </c>
      <c r="L357" s="34">
        <f t="shared" si="92"/>
        <v>0</v>
      </c>
      <c r="M357" s="37">
        <f t="shared" si="93"/>
        <v>0</v>
      </c>
    </row>
    <row r="358" spans="2:13" hidden="1" x14ac:dyDescent="0.25">
      <c r="B358" s="134" t="s">
        <v>512</v>
      </c>
      <c r="C358" s="63" t="s">
        <v>523</v>
      </c>
      <c r="D358" s="64"/>
      <c r="E358" s="64"/>
      <c r="F358" s="100"/>
      <c r="G358" s="66">
        <v>2000</v>
      </c>
      <c r="H358" s="34"/>
      <c r="I358" s="35"/>
      <c r="J358" s="34">
        <f t="shared" si="90"/>
        <v>0</v>
      </c>
      <c r="K358" s="36">
        <f t="shared" si="91"/>
        <v>0</v>
      </c>
      <c r="L358" s="34">
        <f t="shared" si="92"/>
        <v>0</v>
      </c>
      <c r="M358" s="37">
        <f t="shared" si="93"/>
        <v>0</v>
      </c>
    </row>
    <row r="359" spans="2:13" hidden="1" x14ac:dyDescent="0.25">
      <c r="B359" s="134" t="s">
        <v>512</v>
      </c>
      <c r="C359" s="101" t="s">
        <v>524</v>
      </c>
      <c r="D359" s="67"/>
      <c r="E359" s="67"/>
      <c r="F359" s="32">
        <v>45789</v>
      </c>
      <c r="G359" s="71">
        <v>1913.04</v>
      </c>
      <c r="H359" s="34" t="str">
        <f t="shared" ref="H359" si="94">IFERROR(L359/I359,"-")</f>
        <v>-</v>
      </c>
      <c r="I359" s="35"/>
      <c r="J359" s="34">
        <f t="shared" si="90"/>
        <v>0</v>
      </c>
      <c r="K359" s="36">
        <f t="shared" si="91"/>
        <v>0</v>
      </c>
      <c r="L359" s="34">
        <f t="shared" si="92"/>
        <v>0</v>
      </c>
      <c r="M359" s="37">
        <f t="shared" si="93"/>
        <v>0</v>
      </c>
    </row>
    <row r="360" spans="2:13" hidden="1" x14ac:dyDescent="0.25">
      <c r="H360" s="41" t="str">
        <f t="shared" si="89"/>
        <v>-</v>
      </c>
      <c r="I360" s="42"/>
      <c r="J360" s="41">
        <f t="shared" si="90"/>
        <v>0</v>
      </c>
      <c r="K360" s="36">
        <f t="shared" si="91"/>
        <v>0</v>
      </c>
      <c r="L360" s="41">
        <f t="shared" si="92"/>
        <v>0</v>
      </c>
      <c r="M360" s="44">
        <f t="shared" si="93"/>
        <v>0</v>
      </c>
    </row>
  </sheetData>
  <autoFilter ref="B2:G360" xr:uid="{00000000-0001-0000-0000-000000000000}">
    <filterColumn colId="0">
      <filters>
        <filter val="Cable DC"/>
      </filters>
    </filterColumn>
  </autoFilter>
  <mergeCells count="5">
    <mergeCell ref="E26:F26"/>
    <mergeCell ref="E33:F33"/>
    <mergeCell ref="E50:F50"/>
    <mergeCell ref="E59:F59"/>
    <mergeCell ref="E79:F79"/>
  </mergeCells>
  <conditionalFormatting sqref="E2:E359">
    <cfRule type="cellIs" dxfId="29" priority="7" operator="equal">
      <formula>"No price"</formula>
    </cfRule>
    <cfRule type="cellIs" dxfId="28" priority="8" operator="equal">
      <formula>"Discontinued"</formula>
    </cfRule>
  </conditionalFormatting>
  <conditionalFormatting sqref="E26 F51:F58 F60:F78 F161:F359">
    <cfRule type="timePeriod" dxfId="27" priority="5" timePeriod="lastMonth">
      <formula>AND(MONTH(E26)=MONTH(EDATE(TODAY(),0-1)),YEAR(E26)=YEAR(EDATE(TODAY(),0-1)))</formula>
    </cfRule>
    <cfRule type="timePeriod" dxfId="26" priority="6" timePeriod="thisMonth">
      <formula>AND(MONTH(E26)=MONTH(TODAY()),YEAR(E26)=YEAR(TODAY()))</formula>
    </cfRule>
  </conditionalFormatting>
  <conditionalFormatting sqref="E33">
    <cfRule type="timePeriod" dxfId="25" priority="3" timePeriod="lastMonth">
      <formula>AND(MONTH(E33)=MONTH(EDATE(TODAY(),0-1)),YEAR(E33)=YEAR(EDATE(TODAY(),0-1)))</formula>
    </cfRule>
    <cfRule type="timePeriod" dxfId="24" priority="4" timePeriod="thisMonth">
      <formula>AND(MONTH(E33)=MONTH(TODAY()),YEAR(E33)=YEAR(TODAY()))</formula>
    </cfRule>
  </conditionalFormatting>
  <conditionalFormatting sqref="E50">
    <cfRule type="timePeriod" dxfId="23" priority="13" timePeriod="lastMonth">
      <formula>AND(MONTH(E50)=MONTH(EDATE(TODAY(),0-1)),YEAR(E50)=YEAR(EDATE(TODAY(),0-1)))</formula>
    </cfRule>
    <cfRule type="timePeriod" dxfId="22" priority="14" timePeriod="thisMonth">
      <formula>AND(MONTH(E50)=MONTH(TODAY()),YEAR(E50)=YEAR(TODAY()))</formula>
    </cfRule>
  </conditionalFormatting>
  <conditionalFormatting sqref="E59 F2:F25 F27:F32 F34:F49">
    <cfRule type="timePeriod" dxfId="21" priority="11" timePeriod="lastMonth">
      <formula>AND(MONTH(E2)=MONTH(EDATE(TODAY(),0-1)),YEAR(E2)=YEAR(EDATE(TODAY(),0-1)))</formula>
    </cfRule>
  </conditionalFormatting>
  <conditionalFormatting sqref="F2:F25 F27:F32 F34:F49 E59">
    <cfRule type="timePeriod" dxfId="20" priority="12" timePeriod="thisMonth">
      <formula>AND(MONTH(E2)=MONTH(TODAY()),YEAR(E2)=YEAR(TODAY()))</formula>
    </cfRule>
  </conditionalFormatting>
  <conditionalFormatting sqref="F80:F159">
    <cfRule type="timePeriod" dxfId="19" priority="9" timePeriod="lastMonth">
      <formula>AND(MONTH(F80)=MONTH(EDATE(TODAY(),0-1)),YEAR(F80)=YEAR(EDATE(TODAY(),0-1)))</formula>
    </cfRule>
    <cfRule type="timePeriod" dxfId="18" priority="10" timePeriod="thisMonth">
      <formula>AND(MONTH(F80)=MONTH(TODAY()),YEAR(F80)=YEAR(TODAY()))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6EF7-1A47-4F19-A53E-92BA88D9F5A7}">
  <dimension ref="A1:J4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11.42578125" bestFit="1" customWidth="1"/>
    <col min="4" max="4" width="16.7109375" bestFit="1" customWidth="1"/>
    <col min="5" max="5" width="10.42578125" bestFit="1" customWidth="1"/>
    <col min="6" max="6" width="39.42578125" bestFit="1" customWidth="1"/>
    <col min="7" max="7" width="7.85546875" bestFit="1" customWidth="1"/>
    <col min="8" max="8" width="8.28515625" bestFit="1" customWidth="1"/>
    <col min="9" max="9" width="16.5703125" bestFit="1" customWidth="1"/>
    <col min="10" max="10" width="9.140625" bestFit="1" customWidth="1"/>
  </cols>
  <sheetData>
    <row r="1" spans="1:10" ht="15.75" thickBot="1" x14ac:dyDescent="0.3"/>
    <row r="2" spans="1:10" ht="15.75" thickBot="1" x14ac:dyDescent="0.3">
      <c r="A2" s="137" t="s">
        <v>525</v>
      </c>
      <c r="B2" s="135" t="s">
        <v>526</v>
      </c>
      <c r="C2" s="135" t="s">
        <v>527</v>
      </c>
      <c r="D2" s="135"/>
      <c r="E2" s="135"/>
      <c r="F2" s="138" t="s">
        <v>528</v>
      </c>
      <c r="G2" s="138"/>
      <c r="H2" s="138" t="s">
        <v>529</v>
      </c>
      <c r="I2" s="140">
        <v>45799</v>
      </c>
      <c r="J2" s="142">
        <v>3713.24</v>
      </c>
    </row>
    <row r="3" spans="1:10" ht="15.75" thickBot="1" x14ac:dyDescent="0.3">
      <c r="A3" s="137" t="s">
        <v>525</v>
      </c>
      <c r="B3" s="135" t="s">
        <v>526</v>
      </c>
      <c r="C3" s="135"/>
      <c r="D3" s="135"/>
      <c r="E3" s="135"/>
      <c r="F3" s="139" t="s">
        <v>530</v>
      </c>
      <c r="G3" s="138"/>
      <c r="H3" s="139" t="s">
        <v>50</v>
      </c>
      <c r="I3" s="140">
        <v>45623</v>
      </c>
      <c r="J3" s="141">
        <v>900</v>
      </c>
    </row>
    <row r="4" spans="1:10" x14ac:dyDescent="0.25">
      <c r="A4" s="137" t="s">
        <v>525</v>
      </c>
      <c r="B4" s="143" t="s">
        <v>526</v>
      </c>
      <c r="C4" s="143" t="s">
        <v>527</v>
      </c>
      <c r="D4" s="143"/>
      <c r="E4" s="143"/>
      <c r="F4" s="138" t="s">
        <v>528</v>
      </c>
      <c r="G4" s="138"/>
      <c r="H4" s="138" t="s">
        <v>529</v>
      </c>
      <c r="I4" s="144">
        <v>45799</v>
      </c>
      <c r="J4" s="142">
        <v>3713.24</v>
      </c>
    </row>
  </sheetData>
  <conditionalFormatting sqref="I2:I4">
    <cfRule type="timePeriod" dxfId="17" priority="1" timePeriod="lastMonth">
      <formula>AND(MONTH(I2)=MONTH(EDATE(TODAY(),0-1)),YEAR(I2)=YEAR(EDATE(TODAY(),0-1)))</formula>
    </cfRule>
    <cfRule type="timePeriod" dxfId="16" priority="2" timePeriod="thisMonth">
      <formula>AND(MONTH(I2)=MONTH(TODAY()),YEAR(I2)=YEAR(TODAY()))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E97D-D172-43E4-B44A-3517A0695755}">
  <dimension ref="A1:CM153"/>
  <sheetViews>
    <sheetView tabSelected="1" topLeftCell="BZ1" zoomScale="90" zoomScaleNormal="90" workbookViewId="0">
      <pane ySplit="3" topLeftCell="A4" activePane="bottomLeft" state="frozen"/>
      <selection pane="bottomLeft" activeCell="AF71" sqref="AF71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8.85546875" bestFit="1" customWidth="1"/>
    <col min="4" max="4" width="14.140625" bestFit="1" customWidth="1"/>
    <col min="5" max="5" width="10" bestFit="1" customWidth="1"/>
    <col min="6" max="6" width="7.5703125" bestFit="1" customWidth="1"/>
    <col min="7" max="7" width="14.7109375" bestFit="1" customWidth="1"/>
    <col min="8" max="8" width="44.7109375" bestFit="1" customWidth="1"/>
    <col min="9" max="9" width="16.28515625" bestFit="1" customWidth="1"/>
    <col min="10" max="10" width="11" bestFit="1" customWidth="1"/>
    <col min="11" max="11" width="11.85546875" bestFit="1" customWidth="1"/>
    <col min="12" max="12" width="11.7109375" bestFit="1" customWidth="1"/>
    <col min="14" max="14" width="18.85546875" bestFit="1" customWidth="1"/>
    <col min="15" max="16" width="14.7109375" bestFit="1" customWidth="1"/>
    <col min="17" max="17" width="20.140625" bestFit="1" customWidth="1"/>
    <col min="18" max="18" width="21.140625" bestFit="1" customWidth="1"/>
    <col min="19" max="19" width="19.42578125" bestFit="1" customWidth="1"/>
    <col min="20" max="20" width="19.42578125" customWidth="1"/>
    <col min="21" max="21" width="19.140625" bestFit="1" customWidth="1"/>
    <col min="22" max="22" width="32.85546875" bestFit="1" customWidth="1"/>
    <col min="23" max="23" width="32.85546875" customWidth="1"/>
    <col min="24" max="24" width="35.7109375" bestFit="1" customWidth="1"/>
    <col min="25" max="25" width="33.5703125" bestFit="1" customWidth="1"/>
    <col min="26" max="26" width="33.85546875" bestFit="1" customWidth="1"/>
    <col min="27" max="27" width="33.85546875" customWidth="1"/>
    <col min="28" max="28" width="55.42578125" bestFit="1" customWidth="1"/>
    <col min="29" max="29" width="8.7109375" bestFit="1" customWidth="1"/>
    <col min="30" max="30" width="23.7109375" bestFit="1" customWidth="1"/>
    <col min="31" max="31" width="17" bestFit="1" customWidth="1"/>
    <col min="32" max="32" width="13" bestFit="1" customWidth="1"/>
    <col min="34" max="34" width="20.85546875" bestFit="1" customWidth="1"/>
    <col min="35" max="35" width="14.7109375" bestFit="1" customWidth="1"/>
    <col min="36" max="36" width="54.85546875" bestFit="1" customWidth="1"/>
    <col min="37" max="37" width="8.7109375" bestFit="1" customWidth="1"/>
    <col min="38" max="38" width="14.140625" bestFit="1" customWidth="1"/>
    <col min="39" max="39" width="12" bestFit="1" customWidth="1"/>
    <col min="40" max="40" width="11.7109375" bestFit="1" customWidth="1"/>
    <col min="42" max="42" width="18.85546875" bestFit="1" customWidth="1"/>
    <col min="43" max="43" width="23.7109375" bestFit="1" customWidth="1"/>
    <col min="44" max="44" width="21.85546875" bestFit="1" customWidth="1"/>
    <col min="45" max="45" width="21.7109375" customWidth="1"/>
    <col min="46" max="46" width="14.7109375" bestFit="1" customWidth="1"/>
    <col min="47" max="47" width="54.7109375" bestFit="1" customWidth="1"/>
    <col min="48" max="48" width="10.7109375" bestFit="1" customWidth="1"/>
    <col min="49" max="49" width="25.42578125" bestFit="1" customWidth="1"/>
    <col min="50" max="50" width="15.140625" bestFit="1" customWidth="1"/>
    <col min="51" max="51" width="13" bestFit="1" customWidth="1"/>
    <col min="53" max="53" width="18.85546875" bestFit="1" customWidth="1"/>
    <col min="54" max="54" width="24.140625" bestFit="1" customWidth="1"/>
    <col min="55" max="55" width="8.28515625" bestFit="1" customWidth="1"/>
    <col min="56" max="56" width="27.28515625" bestFit="1" customWidth="1"/>
    <col min="57" max="57" width="13.85546875" bestFit="1" customWidth="1"/>
    <col min="58" max="58" width="26.7109375" bestFit="1" customWidth="1"/>
    <col min="59" max="59" width="8.7109375" bestFit="1" customWidth="1"/>
    <col min="60" max="60" width="27.7109375" bestFit="1" customWidth="1"/>
    <col min="61" max="61" width="17.28515625" bestFit="1" customWidth="1"/>
    <col min="62" max="62" width="11.7109375" bestFit="1" customWidth="1"/>
    <col min="63" max="63" width="9" bestFit="1" customWidth="1"/>
    <col min="64" max="64" width="18.85546875" bestFit="1" customWidth="1"/>
    <col min="65" max="65" width="24.28515625" bestFit="1" customWidth="1"/>
    <col min="66" max="66" width="23.85546875" bestFit="1" customWidth="1"/>
    <col min="67" max="67" width="19.7109375" bestFit="1" customWidth="1"/>
    <col min="68" max="68" width="30.42578125" bestFit="1" customWidth="1"/>
    <col min="69" max="69" width="8.7109375" bestFit="1" customWidth="1"/>
    <col min="70" max="70" width="14.140625" bestFit="1" customWidth="1"/>
    <col min="71" max="71" width="14.7109375" bestFit="1" customWidth="1"/>
    <col min="72" max="72" width="11.7109375" bestFit="1" customWidth="1"/>
    <col min="74" max="74" width="18.85546875" bestFit="1" customWidth="1"/>
    <col min="75" max="76" width="21.7109375" bestFit="1" customWidth="1"/>
    <col min="77" max="77" width="18.5703125" bestFit="1" customWidth="1"/>
    <col min="78" max="78" width="17.28515625" bestFit="1" customWidth="1"/>
    <col min="79" max="79" width="43.5703125" bestFit="1" customWidth="1"/>
    <col min="80" max="80" width="8.7109375" bestFit="1" customWidth="1"/>
    <col min="81" max="81" width="11" bestFit="1" customWidth="1"/>
    <col min="82" max="82" width="15.7109375" bestFit="1" customWidth="1"/>
    <col min="83" max="83" width="11.7109375" bestFit="1" customWidth="1"/>
    <col min="85" max="85" width="16.28515625" bestFit="1" customWidth="1"/>
    <col min="86" max="86" width="16.28515625" customWidth="1"/>
    <col min="87" max="87" width="29.28515625" bestFit="1" customWidth="1"/>
    <col min="88" max="88" width="86.85546875" bestFit="1" customWidth="1"/>
    <col min="89" max="89" width="12.28515625" bestFit="1" customWidth="1"/>
    <col min="90" max="90" width="12.42578125" bestFit="1" customWidth="1"/>
    <col min="91" max="91" width="9" bestFit="1" customWidth="1"/>
  </cols>
  <sheetData>
    <row r="1" spans="1:91" s="158" customFormat="1" ht="23.25" x14ac:dyDescent="0.25">
      <c r="A1" s="203" t="s">
        <v>531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N1" s="203" t="s">
        <v>525</v>
      </c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157"/>
      <c r="AH1" s="203" t="s">
        <v>532</v>
      </c>
      <c r="AI1" s="203"/>
      <c r="AJ1" s="203"/>
      <c r="AK1" s="203"/>
      <c r="AL1" s="203"/>
      <c r="AM1" s="203"/>
      <c r="AN1" s="203"/>
      <c r="AP1" s="203" t="s">
        <v>533</v>
      </c>
      <c r="AQ1" s="203"/>
      <c r="AR1" s="203"/>
      <c r="AS1" s="203"/>
      <c r="AT1" s="203"/>
      <c r="AU1" s="203"/>
      <c r="AV1" s="203"/>
      <c r="AW1" s="203"/>
      <c r="AX1" s="203"/>
      <c r="AY1" s="203"/>
      <c r="BA1" s="203" t="s">
        <v>534</v>
      </c>
      <c r="BB1" s="203"/>
      <c r="BC1" s="203"/>
      <c r="BD1" s="203"/>
      <c r="BE1" s="203"/>
      <c r="BF1" s="203"/>
      <c r="BG1" s="203"/>
      <c r="BH1" s="203"/>
      <c r="BI1" s="203"/>
      <c r="BJ1" s="203"/>
      <c r="BL1" s="203" t="s">
        <v>88</v>
      </c>
      <c r="BM1" s="203"/>
      <c r="BN1" s="203"/>
      <c r="BO1" s="203"/>
      <c r="BP1" s="203"/>
      <c r="BQ1" s="203"/>
      <c r="BR1" s="203"/>
      <c r="BS1" s="203"/>
      <c r="BT1" s="203"/>
      <c r="BV1" s="203" t="s">
        <v>535</v>
      </c>
      <c r="BW1" s="203"/>
      <c r="BX1" s="203"/>
      <c r="BY1" s="203"/>
      <c r="BZ1" s="203"/>
      <c r="CA1" s="203"/>
      <c r="CB1" s="203"/>
      <c r="CC1" s="203"/>
      <c r="CD1" s="203"/>
      <c r="CE1" s="203"/>
      <c r="CG1" s="203" t="s">
        <v>860</v>
      </c>
      <c r="CH1" s="203"/>
      <c r="CI1" s="203"/>
      <c r="CJ1" s="203"/>
      <c r="CK1" s="203"/>
      <c r="CL1" s="203"/>
      <c r="CM1" s="203"/>
    </row>
    <row r="2" spans="1:91" s="157" customFormat="1" ht="23.25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H2" s="203"/>
      <c r="AI2" s="203"/>
      <c r="AJ2" s="203"/>
      <c r="AK2" s="203"/>
      <c r="AL2" s="203"/>
      <c r="AM2" s="203"/>
      <c r="AN2" s="203"/>
      <c r="AP2" s="203"/>
      <c r="AQ2" s="203"/>
      <c r="AR2" s="203"/>
      <c r="AS2" s="203"/>
      <c r="AT2" s="203"/>
      <c r="AU2" s="203"/>
      <c r="AV2" s="203"/>
      <c r="AW2" s="203"/>
      <c r="AX2" s="203"/>
      <c r="AY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L2" s="203"/>
      <c r="BM2" s="203"/>
      <c r="BN2" s="203"/>
      <c r="BO2" s="203"/>
      <c r="BP2" s="203"/>
      <c r="BQ2" s="203"/>
      <c r="BR2" s="203"/>
      <c r="BS2" s="203"/>
      <c r="BT2" s="203"/>
      <c r="BV2" s="203"/>
      <c r="BW2" s="203"/>
      <c r="BX2" s="203"/>
      <c r="BY2" s="203"/>
      <c r="BZ2" s="203"/>
      <c r="CA2" s="203"/>
      <c r="CB2" s="203"/>
      <c r="CC2" s="203"/>
      <c r="CD2" s="203"/>
      <c r="CE2" s="203"/>
      <c r="CG2" s="203"/>
      <c r="CH2" s="203"/>
      <c r="CI2" s="203"/>
      <c r="CJ2" s="203"/>
      <c r="CK2" s="203"/>
      <c r="CL2" s="203"/>
      <c r="CM2" s="203"/>
    </row>
    <row r="3" spans="1:91" s="160" customFormat="1" x14ac:dyDescent="0.25">
      <c r="A3" s="159" t="s">
        <v>30</v>
      </c>
      <c r="B3" s="159" t="s">
        <v>536</v>
      </c>
      <c r="C3" s="159" t="s">
        <v>537</v>
      </c>
      <c r="D3" s="159" t="s">
        <v>538</v>
      </c>
      <c r="E3" s="159" t="s">
        <v>539</v>
      </c>
      <c r="F3" s="159" t="s">
        <v>540</v>
      </c>
      <c r="G3" s="159" t="s">
        <v>541</v>
      </c>
      <c r="H3" s="159" t="s">
        <v>31</v>
      </c>
      <c r="I3" s="159" t="s">
        <v>542</v>
      </c>
      <c r="J3" s="159" t="s">
        <v>32</v>
      </c>
      <c r="K3" s="159" t="s">
        <v>33</v>
      </c>
      <c r="L3" s="159" t="s">
        <v>34</v>
      </c>
      <c r="N3" s="160" t="s">
        <v>30</v>
      </c>
      <c r="O3" s="160" t="s">
        <v>11</v>
      </c>
      <c r="P3" s="160" t="s">
        <v>541</v>
      </c>
      <c r="Q3" s="160" t="s">
        <v>543</v>
      </c>
      <c r="R3" s="160" t="s">
        <v>544</v>
      </c>
      <c r="S3" s="160" t="s">
        <v>545</v>
      </c>
      <c r="T3" s="160" t="s">
        <v>546</v>
      </c>
      <c r="U3" s="160" t="s">
        <v>547</v>
      </c>
      <c r="V3" s="160" t="s">
        <v>548</v>
      </c>
      <c r="W3" s="160" t="s">
        <v>549</v>
      </c>
      <c r="X3" s="160" t="s">
        <v>550</v>
      </c>
      <c r="Y3" s="160" t="s">
        <v>551</v>
      </c>
      <c r="Z3" s="160" t="s">
        <v>552</v>
      </c>
      <c r="AA3" s="160" t="s">
        <v>553</v>
      </c>
      <c r="AB3" s="160" t="s">
        <v>31</v>
      </c>
      <c r="AC3" s="160" t="s">
        <v>542</v>
      </c>
      <c r="AD3" s="160" t="s">
        <v>32</v>
      </c>
      <c r="AE3" s="160" t="s">
        <v>33</v>
      </c>
      <c r="AF3" s="160" t="s">
        <v>34</v>
      </c>
      <c r="AH3" s="160" t="s">
        <v>30</v>
      </c>
      <c r="AI3" s="160" t="s">
        <v>541</v>
      </c>
      <c r="AJ3" s="160" t="s">
        <v>31</v>
      </c>
      <c r="AK3" s="160" t="s">
        <v>542</v>
      </c>
      <c r="AL3" s="160" t="s">
        <v>32</v>
      </c>
      <c r="AM3" s="160" t="s">
        <v>33</v>
      </c>
      <c r="AN3" s="160" t="s">
        <v>34</v>
      </c>
      <c r="AP3" s="160" t="s">
        <v>30</v>
      </c>
      <c r="AQ3" s="160" t="s">
        <v>554</v>
      </c>
      <c r="AR3" s="160" t="s">
        <v>555</v>
      </c>
      <c r="AS3" s="160" t="s">
        <v>556</v>
      </c>
      <c r="AT3" s="160" t="s">
        <v>541</v>
      </c>
      <c r="AU3" s="160" t="s">
        <v>31</v>
      </c>
      <c r="AV3" s="160" t="s">
        <v>542</v>
      </c>
      <c r="AW3" s="160" t="s">
        <v>32</v>
      </c>
      <c r="AX3" s="160" t="s">
        <v>33</v>
      </c>
      <c r="AY3" s="160" t="s">
        <v>34</v>
      </c>
      <c r="BA3" s="160" t="s">
        <v>30</v>
      </c>
      <c r="BB3" s="159" t="s">
        <v>557</v>
      </c>
      <c r="BC3" s="159" t="s">
        <v>558</v>
      </c>
      <c r="BD3" s="159" t="s">
        <v>559</v>
      </c>
      <c r="BE3" s="159" t="s">
        <v>560</v>
      </c>
      <c r="BF3" s="159" t="s">
        <v>31</v>
      </c>
      <c r="BG3" s="159" t="s">
        <v>542</v>
      </c>
      <c r="BH3" s="159" t="s">
        <v>32</v>
      </c>
      <c r="BI3" s="159" t="s">
        <v>33</v>
      </c>
      <c r="BJ3" s="159" t="s">
        <v>34</v>
      </c>
      <c r="BL3" s="160" t="s">
        <v>30</v>
      </c>
      <c r="BM3" s="160" t="s">
        <v>561</v>
      </c>
      <c r="BN3" s="160" t="s">
        <v>562</v>
      </c>
      <c r="BO3" s="160" t="s">
        <v>563</v>
      </c>
      <c r="BP3" s="160" t="s">
        <v>31</v>
      </c>
      <c r="BQ3" s="160" t="s">
        <v>542</v>
      </c>
      <c r="BR3" s="160" t="s">
        <v>32</v>
      </c>
      <c r="BS3" s="160" t="s">
        <v>33</v>
      </c>
      <c r="BT3" s="160" t="s">
        <v>34</v>
      </c>
      <c r="BV3" s="160" t="s">
        <v>30</v>
      </c>
      <c r="BW3" s="160" t="s">
        <v>556</v>
      </c>
      <c r="BX3" s="160" t="s">
        <v>564</v>
      </c>
      <c r="BY3" s="160" t="s">
        <v>565</v>
      </c>
      <c r="BZ3" s="160" t="s">
        <v>25</v>
      </c>
      <c r="CA3" s="160" t="s">
        <v>31</v>
      </c>
      <c r="CB3" s="160" t="s">
        <v>542</v>
      </c>
      <c r="CC3" s="160" t="s">
        <v>32</v>
      </c>
      <c r="CD3" s="160" t="s">
        <v>33</v>
      </c>
      <c r="CE3" s="160" t="s">
        <v>34</v>
      </c>
      <c r="CG3" s="171" t="s">
        <v>30</v>
      </c>
      <c r="CH3" s="172"/>
      <c r="CI3" s="172" t="s">
        <v>31</v>
      </c>
      <c r="CJ3" s="172" t="s">
        <v>542</v>
      </c>
      <c r="CK3" s="172" t="s">
        <v>32</v>
      </c>
      <c r="CL3" s="172" t="s">
        <v>33</v>
      </c>
      <c r="CM3" s="173" t="s">
        <v>34</v>
      </c>
    </row>
    <row r="4" spans="1:91" x14ac:dyDescent="0.25">
      <c r="A4" s="160" t="s">
        <v>566</v>
      </c>
      <c r="B4">
        <v>550</v>
      </c>
      <c r="G4" t="s">
        <v>567</v>
      </c>
      <c r="H4" s="161" t="s">
        <v>568</v>
      </c>
      <c r="I4" s="162" t="s">
        <v>569</v>
      </c>
      <c r="K4" s="163">
        <v>45784</v>
      </c>
      <c r="L4" s="164">
        <v>1327.7750000000001</v>
      </c>
      <c r="N4" t="s">
        <v>525</v>
      </c>
      <c r="O4" s="165" t="s">
        <v>570</v>
      </c>
      <c r="P4" s="165" t="s">
        <v>571</v>
      </c>
      <c r="Q4" s="165">
        <v>3</v>
      </c>
      <c r="R4" s="166">
        <v>50</v>
      </c>
      <c r="S4" s="166"/>
      <c r="T4" s="166"/>
      <c r="U4" s="166"/>
      <c r="V4" s="166"/>
      <c r="W4" s="166"/>
      <c r="X4" s="166"/>
      <c r="Y4" s="166"/>
      <c r="Z4" s="166"/>
      <c r="AA4" s="166"/>
      <c r="AB4" t="s">
        <v>572</v>
      </c>
      <c r="AD4" t="s">
        <v>116</v>
      </c>
      <c r="AE4" s="163">
        <v>45805</v>
      </c>
      <c r="AF4" s="167">
        <v>74000</v>
      </c>
      <c r="AH4" t="s">
        <v>532</v>
      </c>
      <c r="AJ4" t="s">
        <v>573</v>
      </c>
      <c r="AL4" t="s">
        <v>84</v>
      </c>
      <c r="AM4" s="163">
        <v>45825</v>
      </c>
      <c r="AN4" s="167">
        <v>4200</v>
      </c>
      <c r="AP4" t="s">
        <v>533</v>
      </c>
      <c r="AQ4">
        <v>5.12</v>
      </c>
      <c r="AT4" t="s">
        <v>571</v>
      </c>
      <c r="AU4" t="s">
        <v>574</v>
      </c>
      <c r="AW4" t="s">
        <v>113</v>
      </c>
      <c r="AX4" s="163">
        <v>45805</v>
      </c>
      <c r="AY4" s="167">
        <v>14250</v>
      </c>
      <c r="BA4" t="s">
        <v>534</v>
      </c>
      <c r="BB4">
        <v>10</v>
      </c>
      <c r="BC4">
        <v>1</v>
      </c>
      <c r="BF4" t="s">
        <v>575</v>
      </c>
      <c r="BH4" t="s">
        <v>576</v>
      </c>
      <c r="BI4" s="163">
        <v>45818</v>
      </c>
      <c r="BJ4" s="167">
        <v>65</v>
      </c>
      <c r="BL4" t="s">
        <v>354</v>
      </c>
      <c r="BN4">
        <v>16</v>
      </c>
      <c r="BO4">
        <v>32</v>
      </c>
      <c r="BP4" t="s">
        <v>355</v>
      </c>
      <c r="BR4" t="s">
        <v>116</v>
      </c>
      <c r="BS4" s="163">
        <v>45390</v>
      </c>
      <c r="BT4" s="167">
        <v>16.399999999999999</v>
      </c>
      <c r="BV4" t="s">
        <v>535</v>
      </c>
      <c r="BW4">
        <v>400</v>
      </c>
      <c r="BX4">
        <v>60</v>
      </c>
      <c r="BY4">
        <v>2</v>
      </c>
      <c r="BZ4" t="s">
        <v>577</v>
      </c>
      <c r="CA4" t="s">
        <v>578</v>
      </c>
      <c r="CC4" t="s">
        <v>342</v>
      </c>
      <c r="CD4" s="163">
        <v>45525</v>
      </c>
      <c r="CE4" s="167">
        <v>467.73</v>
      </c>
      <c r="CG4" s="57" t="s">
        <v>176</v>
      </c>
      <c r="CH4" s="174"/>
      <c r="CI4" s="58" t="s">
        <v>177</v>
      </c>
      <c r="CJ4" s="59"/>
      <c r="CK4" s="59" t="s">
        <v>178</v>
      </c>
      <c r="CL4" s="98">
        <v>45827</v>
      </c>
      <c r="CM4" s="61">
        <v>67</v>
      </c>
    </row>
    <row r="5" spans="1:91" x14ac:dyDescent="0.25">
      <c r="A5" s="160" t="s">
        <v>566</v>
      </c>
      <c r="B5">
        <v>555</v>
      </c>
      <c r="C5">
        <v>14.12</v>
      </c>
      <c r="D5">
        <v>49.72</v>
      </c>
      <c r="E5">
        <v>13.54</v>
      </c>
      <c r="F5">
        <v>40.99</v>
      </c>
      <c r="G5" t="s">
        <v>579</v>
      </c>
      <c r="H5" s="161" t="s">
        <v>580</v>
      </c>
      <c r="I5" s="162"/>
      <c r="K5" s="163">
        <v>45784</v>
      </c>
      <c r="L5" s="164">
        <v>1327.7750000000001</v>
      </c>
      <c r="N5" t="s">
        <v>525</v>
      </c>
      <c r="O5" s="165" t="s">
        <v>581</v>
      </c>
      <c r="P5" s="165" t="s">
        <v>582</v>
      </c>
      <c r="Q5" s="165">
        <v>3</v>
      </c>
      <c r="R5" s="166">
        <v>27</v>
      </c>
      <c r="S5" s="166">
        <v>1</v>
      </c>
      <c r="T5" s="166"/>
      <c r="U5" s="166">
        <v>1</v>
      </c>
      <c r="V5" s="166">
        <v>12</v>
      </c>
      <c r="W5" s="166"/>
      <c r="X5" s="166">
        <v>1000</v>
      </c>
      <c r="Y5" s="166">
        <v>250</v>
      </c>
      <c r="Z5" s="166">
        <v>850</v>
      </c>
      <c r="AA5" s="166"/>
      <c r="AB5" t="s">
        <v>583</v>
      </c>
      <c r="AD5" t="s">
        <v>84</v>
      </c>
      <c r="AE5" s="163">
        <v>45825</v>
      </c>
      <c r="AF5" s="167">
        <v>46275.6</v>
      </c>
      <c r="AH5" t="s">
        <v>532</v>
      </c>
      <c r="AI5" s="165" t="s">
        <v>124</v>
      </c>
      <c r="AJ5" t="s">
        <v>584</v>
      </c>
      <c r="AL5" t="s">
        <v>127</v>
      </c>
      <c r="AM5" s="163">
        <v>45845</v>
      </c>
      <c r="AN5" s="167">
        <v>117230</v>
      </c>
      <c r="AP5" t="s">
        <v>533</v>
      </c>
      <c r="AT5" t="s">
        <v>585</v>
      </c>
      <c r="AU5" t="s">
        <v>586</v>
      </c>
      <c r="AV5" t="s">
        <v>587</v>
      </c>
      <c r="AW5" t="s">
        <v>116</v>
      </c>
      <c r="AX5" s="163">
        <v>45784</v>
      </c>
      <c r="AY5" s="167">
        <v>539.6</v>
      </c>
      <c r="BA5" t="s">
        <v>534</v>
      </c>
      <c r="BB5">
        <v>10</v>
      </c>
      <c r="BC5">
        <v>1</v>
      </c>
      <c r="BF5" t="s">
        <v>575</v>
      </c>
      <c r="BH5" t="s">
        <v>342</v>
      </c>
      <c r="BI5" s="163">
        <v>45807</v>
      </c>
      <c r="BJ5" s="167">
        <v>146</v>
      </c>
      <c r="BL5" t="s">
        <v>354</v>
      </c>
      <c r="BN5">
        <v>160</v>
      </c>
      <c r="BO5">
        <v>1000</v>
      </c>
      <c r="BP5" t="s">
        <v>359</v>
      </c>
      <c r="BR5" t="s">
        <v>202</v>
      </c>
      <c r="BS5" s="163">
        <v>45754</v>
      </c>
      <c r="BT5" s="167">
        <v>50</v>
      </c>
      <c r="BV5" t="s">
        <v>535</v>
      </c>
      <c r="BW5">
        <v>400</v>
      </c>
      <c r="BX5">
        <v>63</v>
      </c>
      <c r="BY5">
        <v>2</v>
      </c>
      <c r="BZ5" t="s">
        <v>577</v>
      </c>
      <c r="CA5" t="s">
        <v>588</v>
      </c>
      <c r="CC5" t="s">
        <v>342</v>
      </c>
      <c r="CD5" s="163">
        <v>45525</v>
      </c>
      <c r="CE5" s="167">
        <v>310.75</v>
      </c>
      <c r="CG5" s="62" t="s">
        <v>176</v>
      </c>
      <c r="CH5" s="175"/>
      <c r="CI5" s="63" t="s">
        <v>179</v>
      </c>
      <c r="CJ5" s="64" t="s">
        <v>180</v>
      </c>
      <c r="CK5" s="64" t="s">
        <v>178</v>
      </c>
      <c r="CL5" s="98">
        <v>45796</v>
      </c>
      <c r="CM5" s="66">
        <v>85</v>
      </c>
    </row>
    <row r="6" spans="1:91" x14ac:dyDescent="0.25">
      <c r="A6" t="s">
        <v>566</v>
      </c>
      <c r="B6">
        <v>565</v>
      </c>
      <c r="C6">
        <v>14.31</v>
      </c>
      <c r="D6">
        <v>50.5</v>
      </c>
      <c r="E6">
        <v>13.56</v>
      </c>
      <c r="F6">
        <v>41.68</v>
      </c>
      <c r="G6" t="s">
        <v>589</v>
      </c>
      <c r="H6" t="s">
        <v>8</v>
      </c>
      <c r="I6" s="162"/>
      <c r="K6" s="163"/>
      <c r="L6" s="164"/>
      <c r="N6" t="s">
        <v>525</v>
      </c>
      <c r="O6" s="165" t="s">
        <v>581</v>
      </c>
      <c r="P6" s="165" t="s">
        <v>590</v>
      </c>
      <c r="Q6" s="165">
        <v>1</v>
      </c>
      <c r="R6" s="166">
        <v>5</v>
      </c>
      <c r="S6" s="166">
        <v>4</v>
      </c>
      <c r="T6" s="166"/>
      <c r="U6" s="166">
        <v>2</v>
      </c>
      <c r="V6" s="166">
        <v>18</v>
      </c>
      <c r="W6" s="166"/>
      <c r="X6" s="166">
        <v>1000</v>
      </c>
      <c r="Y6" s="166">
        <v>270</v>
      </c>
      <c r="Z6" s="166">
        <v>480</v>
      </c>
      <c r="AA6" s="166"/>
      <c r="AB6" t="s">
        <v>591</v>
      </c>
      <c r="AD6">
        <v>27250</v>
      </c>
      <c r="AE6" s="163">
        <v>45825</v>
      </c>
      <c r="AF6" s="167">
        <v>21732.9</v>
      </c>
      <c r="AH6" t="s">
        <v>532</v>
      </c>
      <c r="AI6" s="165" t="s">
        <v>124</v>
      </c>
      <c r="AJ6" t="s">
        <v>592</v>
      </c>
      <c r="AL6" t="s">
        <v>127</v>
      </c>
      <c r="AM6" s="163">
        <v>45845</v>
      </c>
      <c r="AN6" s="167">
        <v>12280</v>
      </c>
      <c r="AP6" t="s">
        <v>533</v>
      </c>
      <c r="AT6" t="s">
        <v>585</v>
      </c>
      <c r="AU6" t="s">
        <v>593</v>
      </c>
      <c r="AV6" t="s">
        <v>587</v>
      </c>
      <c r="AW6" t="s">
        <v>116</v>
      </c>
      <c r="AX6" s="163">
        <v>45784</v>
      </c>
      <c r="AY6" s="167">
        <v>4256</v>
      </c>
      <c r="BA6" t="s">
        <v>534</v>
      </c>
      <c r="BB6">
        <v>10</v>
      </c>
      <c r="BC6">
        <v>3</v>
      </c>
      <c r="BF6" t="s">
        <v>594</v>
      </c>
      <c r="BH6" t="s">
        <v>334</v>
      </c>
      <c r="BI6" s="163">
        <v>45698</v>
      </c>
      <c r="BJ6" s="167">
        <v>113.33</v>
      </c>
      <c r="BL6" t="s">
        <v>354</v>
      </c>
      <c r="BN6">
        <v>160</v>
      </c>
      <c r="BO6">
        <v>1000</v>
      </c>
      <c r="BP6" t="s">
        <v>360</v>
      </c>
      <c r="BR6" t="s">
        <v>202</v>
      </c>
      <c r="BS6" s="163">
        <v>45754</v>
      </c>
      <c r="BT6" s="167">
        <v>310</v>
      </c>
      <c r="BV6" t="s">
        <v>535</v>
      </c>
      <c r="BW6">
        <v>1000</v>
      </c>
      <c r="BX6">
        <v>32</v>
      </c>
      <c r="BY6">
        <v>4</v>
      </c>
      <c r="BZ6" t="s">
        <v>595</v>
      </c>
      <c r="CA6" t="s">
        <v>28</v>
      </c>
      <c r="CC6" t="s">
        <v>596</v>
      </c>
      <c r="CD6" s="163">
        <v>45821</v>
      </c>
      <c r="CE6" s="167">
        <v>450</v>
      </c>
      <c r="CG6" s="62" t="s">
        <v>176</v>
      </c>
      <c r="CH6" s="175"/>
      <c r="CI6" s="63" t="s">
        <v>181</v>
      </c>
      <c r="CJ6" s="64" t="s">
        <v>182</v>
      </c>
      <c r="CK6" s="64" t="s">
        <v>178</v>
      </c>
      <c r="CL6" s="98">
        <v>45796</v>
      </c>
      <c r="CM6" s="66">
        <v>120</v>
      </c>
    </row>
    <row r="7" spans="1:91" x14ac:dyDescent="0.25">
      <c r="K7" s="163"/>
      <c r="N7" t="s">
        <v>525</v>
      </c>
      <c r="O7" s="165" t="s">
        <v>581</v>
      </c>
      <c r="P7" s="165" t="s">
        <v>590</v>
      </c>
      <c r="Q7" s="165">
        <v>1</v>
      </c>
      <c r="R7" s="166">
        <v>8.1999999999999993</v>
      </c>
      <c r="S7" s="166">
        <v>4</v>
      </c>
      <c r="T7" s="166"/>
      <c r="U7" s="166">
        <v>2</v>
      </c>
      <c r="V7" s="166">
        <v>18</v>
      </c>
      <c r="W7" s="166"/>
      <c r="X7" s="166">
        <v>1000</v>
      </c>
      <c r="Y7" s="166">
        <v>270</v>
      </c>
      <c r="Z7" s="166">
        <v>480</v>
      </c>
      <c r="AA7" s="166"/>
      <c r="AB7" t="s">
        <v>597</v>
      </c>
      <c r="AD7" t="s">
        <v>84</v>
      </c>
      <c r="AE7" s="163">
        <v>45825</v>
      </c>
      <c r="AF7" s="167">
        <v>29494.5</v>
      </c>
      <c r="AH7" t="s">
        <v>532</v>
      </c>
      <c r="AI7" s="165" t="s">
        <v>124</v>
      </c>
      <c r="AJ7" t="s">
        <v>592</v>
      </c>
      <c r="AL7" t="s">
        <v>127</v>
      </c>
      <c r="AM7" s="163">
        <v>45845</v>
      </c>
      <c r="AN7" s="167">
        <v>14730</v>
      </c>
      <c r="AP7" t="s">
        <v>533</v>
      </c>
      <c r="AT7" t="s">
        <v>598</v>
      </c>
      <c r="AU7" t="s">
        <v>599</v>
      </c>
      <c r="AW7">
        <v>12650</v>
      </c>
      <c r="AX7" s="163">
        <v>45840</v>
      </c>
      <c r="AY7" s="167">
        <v>14820</v>
      </c>
      <c r="BA7" t="s">
        <v>534</v>
      </c>
      <c r="BB7">
        <v>15</v>
      </c>
      <c r="BC7">
        <v>1</v>
      </c>
      <c r="BD7">
        <v>3</v>
      </c>
      <c r="BF7" t="s">
        <v>600</v>
      </c>
      <c r="BH7" t="s">
        <v>342</v>
      </c>
      <c r="BI7" s="163">
        <v>45807</v>
      </c>
      <c r="BJ7" s="167">
        <v>150</v>
      </c>
      <c r="BL7" t="s">
        <v>354</v>
      </c>
      <c r="BN7">
        <v>15</v>
      </c>
      <c r="BP7" t="s">
        <v>601</v>
      </c>
      <c r="BR7" t="s">
        <v>84</v>
      </c>
      <c r="BS7" s="163">
        <v>45825</v>
      </c>
      <c r="BT7" s="167">
        <v>363.3</v>
      </c>
      <c r="BV7" t="s">
        <v>535</v>
      </c>
      <c r="BW7">
        <v>1000</v>
      </c>
      <c r="BX7">
        <v>32</v>
      </c>
      <c r="BY7">
        <v>4</v>
      </c>
      <c r="BZ7" t="s">
        <v>602</v>
      </c>
      <c r="CA7" t="s">
        <v>603</v>
      </c>
      <c r="CC7" t="s">
        <v>596</v>
      </c>
      <c r="CD7" s="163">
        <v>45814</v>
      </c>
      <c r="CE7" s="167">
        <v>584.78</v>
      </c>
      <c r="CG7" s="62" t="s">
        <v>176</v>
      </c>
      <c r="CH7" s="175"/>
      <c r="CI7" s="63" t="s">
        <v>183</v>
      </c>
      <c r="CJ7" s="64" t="s">
        <v>184</v>
      </c>
      <c r="CK7" s="64" t="s">
        <v>178</v>
      </c>
      <c r="CL7" s="98">
        <v>45796</v>
      </c>
      <c r="CM7" s="66">
        <v>165</v>
      </c>
    </row>
    <row r="8" spans="1:91" x14ac:dyDescent="0.25">
      <c r="K8" s="163"/>
      <c r="N8" t="s">
        <v>525</v>
      </c>
      <c r="O8" s="165" t="s">
        <v>581</v>
      </c>
      <c r="P8" s="165" t="s">
        <v>604</v>
      </c>
      <c r="Q8" s="165">
        <v>3</v>
      </c>
      <c r="R8" s="166">
        <v>10</v>
      </c>
      <c r="S8" s="166"/>
      <c r="T8" s="166"/>
      <c r="U8" s="166">
        <v>2</v>
      </c>
      <c r="V8" s="166"/>
      <c r="W8" s="166"/>
      <c r="X8" s="166"/>
      <c r="Y8" s="166">
        <v>200</v>
      </c>
      <c r="Z8" s="166">
        <v>800</v>
      </c>
      <c r="AA8" s="166"/>
      <c r="AB8" t="s">
        <v>605</v>
      </c>
      <c r="AD8" t="s">
        <v>84</v>
      </c>
      <c r="AE8" s="163">
        <v>45825</v>
      </c>
      <c r="AF8" s="167">
        <v>37009.699999999997</v>
      </c>
      <c r="AH8" t="s">
        <v>532</v>
      </c>
      <c r="AI8" s="165" t="s">
        <v>124</v>
      </c>
      <c r="AJ8" t="s">
        <v>606</v>
      </c>
      <c r="AL8" t="s">
        <v>127</v>
      </c>
      <c r="AM8" s="163">
        <v>45845</v>
      </c>
      <c r="AN8" s="167">
        <v>12280</v>
      </c>
      <c r="AP8" t="s">
        <v>533</v>
      </c>
      <c r="AQ8">
        <v>10</v>
      </c>
      <c r="AR8">
        <v>8</v>
      </c>
      <c r="AT8" t="s">
        <v>598</v>
      </c>
      <c r="AU8" t="s">
        <v>607</v>
      </c>
      <c r="AW8">
        <v>35500</v>
      </c>
      <c r="AX8" s="163">
        <v>45840</v>
      </c>
      <c r="AY8" s="167">
        <v>35948</v>
      </c>
      <c r="BA8" t="s">
        <v>534</v>
      </c>
      <c r="BB8">
        <v>16</v>
      </c>
      <c r="BC8">
        <v>1</v>
      </c>
      <c r="BF8" t="s">
        <v>608</v>
      </c>
      <c r="BH8" t="s">
        <v>576</v>
      </c>
      <c r="BI8" s="163">
        <v>45818</v>
      </c>
      <c r="BJ8" s="167">
        <v>65</v>
      </c>
      <c r="BL8" t="s">
        <v>354</v>
      </c>
      <c r="BN8">
        <v>20</v>
      </c>
      <c r="BO8">
        <v>32</v>
      </c>
      <c r="BP8" t="s">
        <v>24</v>
      </c>
      <c r="BR8" t="s">
        <v>202</v>
      </c>
      <c r="BS8" s="163">
        <v>45784</v>
      </c>
      <c r="BT8" s="167">
        <v>30.26</v>
      </c>
      <c r="BV8" t="s">
        <v>535</v>
      </c>
      <c r="BW8">
        <v>1000</v>
      </c>
      <c r="BX8">
        <v>32</v>
      </c>
      <c r="BY8">
        <v>4</v>
      </c>
      <c r="BZ8" t="s">
        <v>609</v>
      </c>
      <c r="CA8" t="s">
        <v>610</v>
      </c>
      <c r="CC8" t="s">
        <v>596</v>
      </c>
      <c r="CD8" s="163">
        <v>45666</v>
      </c>
      <c r="CE8" s="167">
        <v>767</v>
      </c>
      <c r="CG8" s="62" t="s">
        <v>176</v>
      </c>
      <c r="CH8" s="175"/>
      <c r="CI8" s="63" t="s">
        <v>185</v>
      </c>
      <c r="CJ8" s="64" t="s">
        <v>186</v>
      </c>
      <c r="CK8" s="64" t="s">
        <v>178</v>
      </c>
      <c r="CL8" s="98">
        <v>45796</v>
      </c>
      <c r="CM8" s="66">
        <v>220</v>
      </c>
    </row>
    <row r="9" spans="1:91" x14ac:dyDescent="0.25">
      <c r="H9">
        <f>INT(Z40/F6*0.9)</f>
        <v>20</v>
      </c>
      <c r="K9" s="163"/>
      <c r="N9" t="s">
        <v>525</v>
      </c>
      <c r="O9" s="165" t="s">
        <v>581</v>
      </c>
      <c r="P9" s="165" t="s">
        <v>604</v>
      </c>
      <c r="Q9" s="165">
        <v>3</v>
      </c>
      <c r="R9" s="166">
        <v>15</v>
      </c>
      <c r="S9" s="166"/>
      <c r="T9" s="166"/>
      <c r="U9" s="166">
        <v>2</v>
      </c>
      <c r="V9" s="166"/>
      <c r="W9" s="166"/>
      <c r="X9" s="166"/>
      <c r="Y9" s="166">
        <v>200</v>
      </c>
      <c r="Z9" s="166">
        <v>800</v>
      </c>
      <c r="AA9" s="166"/>
      <c r="AB9" t="s">
        <v>611</v>
      </c>
      <c r="AD9" t="s">
        <v>84</v>
      </c>
      <c r="AE9" s="163">
        <v>45825</v>
      </c>
      <c r="AF9" s="167">
        <v>39839.800000000003</v>
      </c>
      <c r="AH9" t="s">
        <v>532</v>
      </c>
      <c r="AI9" s="165" t="s">
        <v>124</v>
      </c>
      <c r="AJ9" t="s">
        <v>606</v>
      </c>
      <c r="AL9" t="s">
        <v>127</v>
      </c>
      <c r="AM9" s="163">
        <v>45845</v>
      </c>
      <c r="AN9" s="167">
        <v>14730</v>
      </c>
      <c r="AP9" t="s">
        <v>533</v>
      </c>
      <c r="AQ9">
        <v>15</v>
      </c>
      <c r="AR9">
        <v>12</v>
      </c>
      <c r="AT9" t="s">
        <v>598</v>
      </c>
      <c r="AU9" t="s">
        <v>612</v>
      </c>
      <c r="AW9">
        <v>51350</v>
      </c>
      <c r="AX9" s="163">
        <v>45840</v>
      </c>
      <c r="AY9" s="167">
        <v>51376</v>
      </c>
      <c r="BA9" t="s">
        <v>534</v>
      </c>
      <c r="BB9">
        <v>20</v>
      </c>
      <c r="BC9">
        <v>1</v>
      </c>
      <c r="BF9" t="s">
        <v>613</v>
      </c>
      <c r="BH9" t="s">
        <v>576</v>
      </c>
      <c r="BI9" s="163">
        <v>45819</v>
      </c>
      <c r="BJ9" s="167">
        <v>65</v>
      </c>
      <c r="BL9" t="s">
        <v>354</v>
      </c>
      <c r="BN9">
        <v>32</v>
      </c>
      <c r="BO9">
        <v>32</v>
      </c>
      <c r="BP9" t="s">
        <v>357</v>
      </c>
      <c r="BR9" t="s">
        <v>202</v>
      </c>
      <c r="BS9" s="163">
        <v>45755</v>
      </c>
      <c r="BT9" s="167">
        <v>35</v>
      </c>
      <c r="BV9" t="s">
        <v>535</v>
      </c>
      <c r="BW9">
        <v>400</v>
      </c>
      <c r="BX9">
        <v>63</v>
      </c>
      <c r="BY9">
        <v>3</v>
      </c>
      <c r="BZ9" t="s">
        <v>577</v>
      </c>
      <c r="CA9" t="s">
        <v>614</v>
      </c>
      <c r="CD9" s="163">
        <v>45572</v>
      </c>
      <c r="CE9" s="167">
        <v>252</v>
      </c>
      <c r="CG9" s="62" t="s">
        <v>176</v>
      </c>
      <c r="CH9" s="175"/>
      <c r="CI9" s="63" t="s">
        <v>187</v>
      </c>
      <c r="CJ9" s="64" t="s">
        <v>188</v>
      </c>
      <c r="CK9" s="64" t="s">
        <v>178</v>
      </c>
      <c r="CL9" s="98">
        <v>45796</v>
      </c>
      <c r="CM9" s="66">
        <v>280</v>
      </c>
    </row>
    <row r="10" spans="1:91" x14ac:dyDescent="0.25">
      <c r="K10" s="163"/>
      <c r="N10" t="s">
        <v>525</v>
      </c>
      <c r="O10" s="165" t="s">
        <v>581</v>
      </c>
      <c r="P10" s="165" t="s">
        <v>604</v>
      </c>
      <c r="Q10" s="165">
        <v>3</v>
      </c>
      <c r="R10" s="166">
        <v>17.5</v>
      </c>
      <c r="S10" s="166"/>
      <c r="T10" s="166"/>
      <c r="U10" s="166">
        <v>2</v>
      </c>
      <c r="V10" s="166"/>
      <c r="W10" s="166"/>
      <c r="X10" s="166"/>
      <c r="Y10" s="166">
        <v>200</v>
      </c>
      <c r="Z10" s="166">
        <v>800</v>
      </c>
      <c r="AA10" s="166"/>
      <c r="AB10" t="s">
        <v>615</v>
      </c>
      <c r="AD10" t="s">
        <v>84</v>
      </c>
      <c r="AE10" s="163">
        <v>45825</v>
      </c>
      <c r="AF10" s="167">
        <v>42457.1</v>
      </c>
      <c r="AH10" t="s">
        <v>532</v>
      </c>
      <c r="AI10" s="165" t="s">
        <v>124</v>
      </c>
      <c r="AJ10" t="s">
        <v>616</v>
      </c>
      <c r="AL10" t="s">
        <v>127</v>
      </c>
      <c r="AM10" s="163">
        <v>45845</v>
      </c>
      <c r="AN10" s="167">
        <v>4060</v>
      </c>
      <c r="AP10" t="s">
        <v>533</v>
      </c>
      <c r="AQ10">
        <v>20</v>
      </c>
      <c r="AR10">
        <v>16</v>
      </c>
      <c r="AT10" t="s">
        <v>598</v>
      </c>
      <c r="AU10" t="s">
        <v>617</v>
      </c>
      <c r="AW10">
        <v>65350</v>
      </c>
      <c r="AX10" s="163">
        <v>45840</v>
      </c>
      <c r="AY10" s="167">
        <v>65436</v>
      </c>
      <c r="BA10" t="s">
        <v>534</v>
      </c>
      <c r="BB10">
        <v>20</v>
      </c>
      <c r="BC10">
        <v>1</v>
      </c>
      <c r="BF10" t="s">
        <v>613</v>
      </c>
      <c r="BH10" t="s">
        <v>342</v>
      </c>
      <c r="BI10" s="163">
        <v>45807</v>
      </c>
      <c r="BJ10" s="167">
        <v>150</v>
      </c>
      <c r="BL10" t="s">
        <v>618</v>
      </c>
      <c r="BP10" t="s">
        <v>349</v>
      </c>
      <c r="BR10" t="s">
        <v>84</v>
      </c>
      <c r="BS10" s="163">
        <v>45784</v>
      </c>
      <c r="BT10" s="167">
        <v>115.5</v>
      </c>
      <c r="BV10" t="s">
        <v>535</v>
      </c>
      <c r="BW10">
        <v>400</v>
      </c>
      <c r="BX10">
        <v>80</v>
      </c>
      <c r="BY10">
        <v>3</v>
      </c>
      <c r="BZ10" t="s">
        <v>577</v>
      </c>
      <c r="CA10" t="s">
        <v>619</v>
      </c>
      <c r="CC10" t="s">
        <v>340</v>
      </c>
      <c r="CD10" s="163">
        <v>45461</v>
      </c>
      <c r="CE10" s="167">
        <v>1385</v>
      </c>
      <c r="CG10" s="62" t="s">
        <v>176</v>
      </c>
      <c r="CH10" s="175"/>
      <c r="CI10" s="63" t="s">
        <v>189</v>
      </c>
      <c r="CJ10" s="64" t="s">
        <v>190</v>
      </c>
      <c r="CK10" s="64" t="s">
        <v>178</v>
      </c>
      <c r="CL10" s="98">
        <v>45796</v>
      </c>
      <c r="CM10" s="66">
        <v>340</v>
      </c>
    </row>
    <row r="11" spans="1:91" x14ac:dyDescent="0.25">
      <c r="K11" s="163"/>
      <c r="N11" t="s">
        <v>525</v>
      </c>
      <c r="O11" s="165" t="s">
        <v>581</v>
      </c>
      <c r="P11" s="165" t="s">
        <v>604</v>
      </c>
      <c r="Q11" s="165">
        <v>3</v>
      </c>
      <c r="R11" s="166">
        <v>20</v>
      </c>
      <c r="S11" s="166"/>
      <c r="T11" s="166"/>
      <c r="U11" s="166">
        <v>2</v>
      </c>
      <c r="V11" s="166"/>
      <c r="W11" s="166"/>
      <c r="X11" s="166"/>
      <c r="Y11" s="166">
        <v>200</v>
      </c>
      <c r="Z11" s="166">
        <v>800</v>
      </c>
      <c r="AA11" s="166"/>
      <c r="AB11" t="s">
        <v>620</v>
      </c>
      <c r="AD11" t="s">
        <v>84</v>
      </c>
      <c r="AE11" s="163">
        <v>45825</v>
      </c>
      <c r="AF11" s="167">
        <v>41785.1</v>
      </c>
      <c r="AH11" t="s">
        <v>532</v>
      </c>
      <c r="AI11" s="165" t="s">
        <v>124</v>
      </c>
      <c r="AJ11" t="s">
        <v>621</v>
      </c>
      <c r="AL11" t="s">
        <v>127</v>
      </c>
      <c r="AM11" s="163">
        <v>45845</v>
      </c>
      <c r="AN11" s="167">
        <v>61380</v>
      </c>
      <c r="AP11" t="s">
        <v>533</v>
      </c>
      <c r="AQ11">
        <v>30</v>
      </c>
      <c r="AR11">
        <v>24</v>
      </c>
      <c r="AT11" t="s">
        <v>598</v>
      </c>
      <c r="AU11" t="s">
        <v>622</v>
      </c>
      <c r="AW11">
        <v>94250</v>
      </c>
      <c r="AX11" s="163">
        <v>45840</v>
      </c>
      <c r="AY11" s="167">
        <v>94240</v>
      </c>
      <c r="BA11" t="s">
        <v>534</v>
      </c>
      <c r="BB11">
        <v>25</v>
      </c>
      <c r="BC11">
        <v>1</v>
      </c>
      <c r="BF11" t="s">
        <v>623</v>
      </c>
      <c r="BH11" t="s">
        <v>342</v>
      </c>
      <c r="BI11" s="163">
        <v>45721</v>
      </c>
      <c r="BJ11" s="167">
        <v>162.5</v>
      </c>
      <c r="BL11" t="s">
        <v>618</v>
      </c>
      <c r="BP11" t="s">
        <v>353</v>
      </c>
      <c r="BR11" t="s">
        <v>84</v>
      </c>
      <c r="BS11" s="163">
        <v>45784</v>
      </c>
      <c r="BT11" s="167">
        <v>126.7</v>
      </c>
      <c r="BV11" t="s">
        <v>535</v>
      </c>
      <c r="BW11">
        <v>400</v>
      </c>
      <c r="BX11">
        <v>100</v>
      </c>
      <c r="BY11">
        <v>2</v>
      </c>
      <c r="BZ11" t="s">
        <v>577</v>
      </c>
      <c r="CA11" t="s">
        <v>624</v>
      </c>
      <c r="CC11" t="s">
        <v>342</v>
      </c>
      <c r="CD11" s="163">
        <v>45665</v>
      </c>
      <c r="CE11" s="167">
        <v>545</v>
      </c>
      <c r="CG11" s="62" t="s">
        <v>176</v>
      </c>
      <c r="CH11" s="175"/>
      <c r="CI11" s="63" t="s">
        <v>191</v>
      </c>
      <c r="CJ11" s="64"/>
      <c r="CK11" s="64" t="s">
        <v>178</v>
      </c>
      <c r="CL11" s="98">
        <v>45796</v>
      </c>
      <c r="CM11" s="66">
        <v>430</v>
      </c>
    </row>
    <row r="12" spans="1:91" x14ac:dyDescent="0.25">
      <c r="H12">
        <f>INT(X40/(D6*1.15))</f>
        <v>17</v>
      </c>
      <c r="K12" s="163"/>
      <c r="N12" t="s">
        <v>525</v>
      </c>
      <c r="O12" s="165" t="s">
        <v>581</v>
      </c>
      <c r="P12" s="165" t="s">
        <v>604</v>
      </c>
      <c r="Q12" s="165">
        <v>3</v>
      </c>
      <c r="R12" s="166">
        <v>20</v>
      </c>
      <c r="S12" s="166"/>
      <c r="T12" s="166"/>
      <c r="U12" s="166">
        <v>2</v>
      </c>
      <c r="V12" s="166"/>
      <c r="W12" s="166"/>
      <c r="X12" s="166"/>
      <c r="Y12" s="166">
        <v>200</v>
      </c>
      <c r="Z12" s="166">
        <v>800</v>
      </c>
      <c r="AA12" s="166"/>
      <c r="AB12" t="s">
        <v>625</v>
      </c>
      <c r="AD12" t="s">
        <v>84</v>
      </c>
      <c r="AE12" s="163">
        <v>45825</v>
      </c>
      <c r="AF12" s="167">
        <v>46216.800000000003</v>
      </c>
      <c r="AH12" t="s">
        <v>532</v>
      </c>
      <c r="AI12" s="165" t="s">
        <v>124</v>
      </c>
      <c r="AJ12" t="s">
        <v>626</v>
      </c>
      <c r="AL12" t="s">
        <v>127</v>
      </c>
      <c r="AM12" s="163">
        <v>45845</v>
      </c>
      <c r="AN12" s="167">
        <v>103110</v>
      </c>
      <c r="AP12" t="s">
        <v>533</v>
      </c>
      <c r="AQ12">
        <v>30</v>
      </c>
      <c r="AR12">
        <v>24</v>
      </c>
      <c r="AT12" t="s">
        <v>598</v>
      </c>
      <c r="AU12" t="s">
        <v>627</v>
      </c>
      <c r="AW12" t="s">
        <v>116</v>
      </c>
      <c r="AX12" s="163">
        <v>45840</v>
      </c>
      <c r="AY12" s="167">
        <v>102220</v>
      </c>
      <c r="BA12" t="s">
        <v>534</v>
      </c>
      <c r="BB12">
        <v>30</v>
      </c>
      <c r="BC12">
        <v>1</v>
      </c>
      <c r="BF12" t="s">
        <v>628</v>
      </c>
      <c r="BH12" t="s">
        <v>340</v>
      </c>
      <c r="BI12" s="163">
        <v>45721</v>
      </c>
      <c r="BJ12" s="167">
        <v>163</v>
      </c>
      <c r="BL12" t="s">
        <v>618</v>
      </c>
      <c r="BM12">
        <v>20</v>
      </c>
      <c r="BN12">
        <v>32</v>
      </c>
      <c r="BP12" t="s">
        <v>358</v>
      </c>
      <c r="BR12" t="s">
        <v>202</v>
      </c>
      <c r="BS12" s="163">
        <v>45755</v>
      </c>
      <c r="BT12" s="167">
        <v>30</v>
      </c>
      <c r="BV12" t="s">
        <v>535</v>
      </c>
      <c r="BW12">
        <v>400</v>
      </c>
      <c r="BX12">
        <v>160</v>
      </c>
      <c r="BY12">
        <v>3</v>
      </c>
      <c r="BZ12" t="s">
        <v>577</v>
      </c>
      <c r="CA12" t="s">
        <v>629</v>
      </c>
      <c r="CC12" t="s">
        <v>340</v>
      </c>
      <c r="CD12" s="163">
        <v>45461</v>
      </c>
      <c r="CE12" s="167">
        <v>1481.16</v>
      </c>
      <c r="CG12" s="62" t="s">
        <v>176</v>
      </c>
      <c r="CH12" s="175"/>
      <c r="CI12" s="63" t="s">
        <v>194</v>
      </c>
      <c r="CJ12" s="64" t="s">
        <v>195</v>
      </c>
      <c r="CK12" s="64" t="s">
        <v>178</v>
      </c>
      <c r="CL12" s="98">
        <v>45796</v>
      </c>
      <c r="CM12" s="66">
        <v>75</v>
      </c>
    </row>
    <row r="13" spans="1:91" x14ac:dyDescent="0.25">
      <c r="K13" s="163"/>
      <c r="N13" t="s">
        <v>525</v>
      </c>
      <c r="O13" s="165" t="s">
        <v>581</v>
      </c>
      <c r="P13" s="165" t="s">
        <v>630</v>
      </c>
      <c r="Q13" s="165">
        <v>3</v>
      </c>
      <c r="R13" s="166">
        <v>50</v>
      </c>
      <c r="S13" s="166">
        <v>1</v>
      </c>
      <c r="T13" s="166"/>
      <c r="U13" s="166">
        <v>1</v>
      </c>
      <c r="V13" s="166">
        <v>87.5</v>
      </c>
      <c r="W13" s="166"/>
      <c r="X13" s="166">
        <v>930</v>
      </c>
      <c r="Y13" s="166">
        <v>580</v>
      </c>
      <c r="Z13" s="166">
        <v>930</v>
      </c>
      <c r="AA13" s="166"/>
      <c r="AB13" t="s">
        <v>631</v>
      </c>
      <c r="AD13" t="s">
        <v>84</v>
      </c>
      <c r="AE13" s="163">
        <v>45825</v>
      </c>
      <c r="AF13" s="167">
        <v>114163.7</v>
      </c>
      <c r="AH13" t="s">
        <v>532</v>
      </c>
      <c r="AI13" s="165" t="s">
        <v>124</v>
      </c>
      <c r="AJ13" t="s">
        <v>632</v>
      </c>
      <c r="AL13" t="s">
        <v>127</v>
      </c>
      <c r="AM13" s="163">
        <v>45845</v>
      </c>
      <c r="AN13" s="167">
        <v>49100</v>
      </c>
      <c r="AP13" t="s">
        <v>533</v>
      </c>
      <c r="AQ13">
        <v>40</v>
      </c>
      <c r="AR13">
        <v>32</v>
      </c>
      <c r="AT13" t="s">
        <v>585</v>
      </c>
      <c r="AU13" t="s">
        <v>633</v>
      </c>
      <c r="AW13">
        <v>128500</v>
      </c>
      <c r="AX13" s="163">
        <v>45840</v>
      </c>
      <c r="AY13" s="167">
        <v>124488</v>
      </c>
      <c r="BA13" t="s">
        <v>534</v>
      </c>
      <c r="BB13">
        <v>30</v>
      </c>
      <c r="BC13">
        <v>2</v>
      </c>
      <c r="BD13">
        <v>3</v>
      </c>
      <c r="BF13" t="s">
        <v>634</v>
      </c>
      <c r="BH13" t="s">
        <v>342</v>
      </c>
      <c r="BI13" s="163">
        <v>45807</v>
      </c>
      <c r="BJ13" s="167">
        <v>410</v>
      </c>
      <c r="BL13" t="s">
        <v>345</v>
      </c>
      <c r="BN13">
        <v>300</v>
      </c>
      <c r="BO13">
        <v>80</v>
      </c>
      <c r="BP13" t="s">
        <v>346</v>
      </c>
      <c r="BR13" t="s">
        <v>347</v>
      </c>
      <c r="BS13" s="163">
        <v>45671</v>
      </c>
      <c r="BT13" s="167">
        <v>343.7</v>
      </c>
      <c r="BV13" t="s">
        <v>535</v>
      </c>
      <c r="BW13">
        <v>400</v>
      </c>
      <c r="BX13">
        <v>160</v>
      </c>
      <c r="BY13">
        <v>4</v>
      </c>
      <c r="BZ13" t="s">
        <v>577</v>
      </c>
      <c r="CA13" t="s">
        <v>635</v>
      </c>
      <c r="CC13" t="s">
        <v>116</v>
      </c>
      <c r="CD13" s="163">
        <v>45699</v>
      </c>
      <c r="CE13" s="167">
        <v>2200</v>
      </c>
      <c r="CG13" s="62" t="s">
        <v>176</v>
      </c>
      <c r="CH13" s="175"/>
      <c r="CI13" s="116" t="s">
        <v>231</v>
      </c>
      <c r="CJ13" s="64" t="s">
        <v>232</v>
      </c>
      <c r="CK13" s="64" t="s">
        <v>178</v>
      </c>
      <c r="CL13" s="98">
        <v>45796</v>
      </c>
      <c r="CM13" s="66">
        <v>12</v>
      </c>
    </row>
    <row r="14" spans="1:91" x14ac:dyDescent="0.25">
      <c r="K14" s="163"/>
      <c r="N14" t="s">
        <v>525</v>
      </c>
      <c r="O14" s="165" t="s">
        <v>581</v>
      </c>
      <c r="P14" s="165" t="s">
        <v>630</v>
      </c>
      <c r="Q14" s="165">
        <v>3</v>
      </c>
      <c r="R14" s="166">
        <v>100</v>
      </c>
      <c r="S14" s="166">
        <v>1</v>
      </c>
      <c r="T14" s="166"/>
      <c r="U14" s="166">
        <v>1</v>
      </c>
      <c r="V14" s="166">
        <v>175</v>
      </c>
      <c r="W14" s="166"/>
      <c r="X14" s="166">
        <v>930</v>
      </c>
      <c r="Y14" s="166">
        <v>580</v>
      </c>
      <c r="Z14" s="166">
        <v>930</v>
      </c>
      <c r="AA14" s="166"/>
      <c r="AB14" t="s">
        <v>636</v>
      </c>
      <c r="AE14" s="163">
        <v>45825</v>
      </c>
      <c r="AF14" s="167">
        <v>117131</v>
      </c>
      <c r="AH14" t="s">
        <v>532</v>
      </c>
      <c r="AI14" s="165" t="s">
        <v>124</v>
      </c>
      <c r="AJ14" t="s">
        <v>637</v>
      </c>
      <c r="AL14" t="s">
        <v>127</v>
      </c>
      <c r="AM14" s="163">
        <v>45845</v>
      </c>
      <c r="AN14" s="167">
        <v>4060</v>
      </c>
      <c r="AP14" t="s">
        <v>533</v>
      </c>
      <c r="AQ14">
        <v>40</v>
      </c>
      <c r="AR14">
        <v>32</v>
      </c>
      <c r="AT14" t="s">
        <v>585</v>
      </c>
      <c r="AU14" t="s">
        <v>638</v>
      </c>
      <c r="AW14" t="s">
        <v>116</v>
      </c>
      <c r="AX14" s="163">
        <v>45840</v>
      </c>
      <c r="AY14" s="167">
        <v>133456</v>
      </c>
      <c r="BA14" t="s">
        <v>534</v>
      </c>
      <c r="BB14">
        <v>30</v>
      </c>
      <c r="BC14">
        <v>3</v>
      </c>
      <c r="BF14" t="s">
        <v>639</v>
      </c>
      <c r="BH14" t="s">
        <v>202</v>
      </c>
      <c r="BI14" s="163">
        <v>45497</v>
      </c>
      <c r="BJ14" s="167">
        <v>799</v>
      </c>
      <c r="BL14" t="s">
        <v>345</v>
      </c>
      <c r="BN14">
        <v>500</v>
      </c>
      <c r="BO14">
        <v>80</v>
      </c>
      <c r="BP14" t="s">
        <v>348</v>
      </c>
      <c r="BR14" t="s">
        <v>84</v>
      </c>
      <c r="BS14" s="163">
        <v>45784</v>
      </c>
      <c r="BT14" s="167">
        <v>115.5</v>
      </c>
      <c r="BV14" t="s">
        <v>535</v>
      </c>
      <c r="BW14">
        <v>400</v>
      </c>
      <c r="BX14">
        <v>250</v>
      </c>
      <c r="BY14">
        <v>3</v>
      </c>
      <c r="BZ14" t="s">
        <v>577</v>
      </c>
      <c r="CA14" t="s">
        <v>640</v>
      </c>
      <c r="CC14" t="s">
        <v>116</v>
      </c>
      <c r="CD14" s="163">
        <v>45763</v>
      </c>
      <c r="CE14" s="167">
        <v>3100</v>
      </c>
      <c r="CG14" s="62" t="s">
        <v>176</v>
      </c>
      <c r="CH14" s="175"/>
      <c r="CI14" s="116" t="s">
        <v>233</v>
      </c>
      <c r="CJ14" s="64" t="s">
        <v>234</v>
      </c>
      <c r="CK14" s="64" t="s">
        <v>178</v>
      </c>
      <c r="CL14" s="98">
        <v>45796</v>
      </c>
      <c r="CM14" s="66">
        <v>15</v>
      </c>
    </row>
    <row r="15" spans="1:91" x14ac:dyDescent="0.25">
      <c r="K15" s="163"/>
      <c r="N15" t="s">
        <v>525</v>
      </c>
      <c r="O15" s="165" t="s">
        <v>581</v>
      </c>
      <c r="P15" s="165" t="s">
        <v>641</v>
      </c>
      <c r="Q15" s="165">
        <v>3</v>
      </c>
      <c r="R15" s="166">
        <v>150</v>
      </c>
      <c r="S15" s="166">
        <v>20</v>
      </c>
      <c r="T15" s="166"/>
      <c r="U15" s="166">
        <v>10</v>
      </c>
      <c r="V15" s="166">
        <v>30</v>
      </c>
      <c r="W15" s="166"/>
      <c r="X15" s="166">
        <v>1100</v>
      </c>
      <c r="Y15" s="166">
        <v>200</v>
      </c>
      <c r="Z15" s="166">
        <v>1000</v>
      </c>
      <c r="AA15" s="166"/>
      <c r="AB15" t="s">
        <v>642</v>
      </c>
      <c r="AD15" t="s">
        <v>643</v>
      </c>
      <c r="AE15" s="163">
        <v>45665</v>
      </c>
      <c r="AF15" s="167">
        <v>95933.38</v>
      </c>
      <c r="AH15" t="s">
        <v>532</v>
      </c>
      <c r="AI15" s="165" t="s">
        <v>124</v>
      </c>
      <c r="AJ15" t="s">
        <v>644</v>
      </c>
      <c r="AL15" t="s">
        <v>127</v>
      </c>
      <c r="AM15" s="163">
        <v>45845</v>
      </c>
      <c r="AN15" s="167">
        <v>860</v>
      </c>
      <c r="AP15" t="s">
        <v>533</v>
      </c>
      <c r="AQ15">
        <v>60</v>
      </c>
      <c r="AR15">
        <v>48</v>
      </c>
      <c r="AT15" t="s">
        <v>598</v>
      </c>
      <c r="AU15" t="s">
        <v>645</v>
      </c>
      <c r="AW15" t="s">
        <v>116</v>
      </c>
      <c r="AX15" s="163">
        <v>45840</v>
      </c>
      <c r="AY15" s="167">
        <v>186352</v>
      </c>
      <c r="BA15" t="s">
        <v>534</v>
      </c>
      <c r="BB15">
        <v>32</v>
      </c>
      <c r="BC15">
        <v>1</v>
      </c>
      <c r="BF15" t="s">
        <v>646</v>
      </c>
      <c r="BH15" t="s">
        <v>576</v>
      </c>
      <c r="BI15" s="163">
        <v>45818</v>
      </c>
      <c r="BJ15" s="167">
        <v>65</v>
      </c>
      <c r="BL15" t="s">
        <v>345</v>
      </c>
      <c r="BN15">
        <v>200</v>
      </c>
      <c r="BO15">
        <v>58</v>
      </c>
      <c r="BP15" t="s">
        <v>350</v>
      </c>
      <c r="BR15" t="s">
        <v>84</v>
      </c>
      <c r="BS15" s="163">
        <v>45812</v>
      </c>
      <c r="BT15" s="167">
        <v>343.7</v>
      </c>
      <c r="CD15" s="163"/>
      <c r="CG15" s="62" t="s">
        <v>176</v>
      </c>
      <c r="CH15" s="175"/>
      <c r="CI15" s="116" t="s">
        <v>235</v>
      </c>
      <c r="CJ15" s="64"/>
      <c r="CK15" s="64" t="s">
        <v>178</v>
      </c>
      <c r="CL15" s="98">
        <v>45796</v>
      </c>
      <c r="CM15" s="66">
        <v>31</v>
      </c>
    </row>
    <row r="16" spans="1:91" x14ac:dyDescent="0.25">
      <c r="K16" s="163"/>
      <c r="N16" t="s">
        <v>525</v>
      </c>
      <c r="O16" s="165" t="s">
        <v>581</v>
      </c>
      <c r="P16" s="165" t="s">
        <v>641</v>
      </c>
      <c r="Q16" s="165">
        <v>3</v>
      </c>
      <c r="R16" s="166">
        <v>115</v>
      </c>
      <c r="S16" s="166">
        <v>20</v>
      </c>
      <c r="T16" s="166"/>
      <c r="U16" s="166">
        <v>10</v>
      </c>
      <c r="V16" s="166">
        <v>30</v>
      </c>
      <c r="W16" s="166"/>
      <c r="X16" s="166">
        <v>1100</v>
      </c>
      <c r="Y16" s="166">
        <v>200</v>
      </c>
      <c r="Z16" s="166">
        <v>1000</v>
      </c>
      <c r="AA16" s="166"/>
      <c r="AB16" t="s">
        <v>647</v>
      </c>
      <c r="AD16" t="s">
        <v>643</v>
      </c>
      <c r="AE16" s="163">
        <v>45596</v>
      </c>
      <c r="AF16" s="167">
        <v>73173.67</v>
      </c>
      <c r="AH16" t="s">
        <v>532</v>
      </c>
      <c r="AI16" s="165" t="s">
        <v>124</v>
      </c>
      <c r="AJ16" t="s">
        <v>648</v>
      </c>
      <c r="AL16" t="s">
        <v>127</v>
      </c>
      <c r="AM16" s="163">
        <v>45845</v>
      </c>
      <c r="AN16" s="167">
        <v>6360</v>
      </c>
      <c r="AP16" t="s">
        <v>533</v>
      </c>
      <c r="AQ16">
        <v>60</v>
      </c>
      <c r="AR16">
        <v>48</v>
      </c>
      <c r="AT16" t="s">
        <v>598</v>
      </c>
      <c r="AU16" t="s">
        <v>649</v>
      </c>
      <c r="AW16" t="s">
        <v>116</v>
      </c>
      <c r="AX16" s="163">
        <v>45840</v>
      </c>
      <c r="AY16" s="167">
        <v>205200</v>
      </c>
      <c r="BA16" t="s">
        <v>534</v>
      </c>
      <c r="BB16">
        <v>35</v>
      </c>
      <c r="BC16">
        <v>1</v>
      </c>
      <c r="BF16" t="s">
        <v>650</v>
      </c>
      <c r="BH16" t="s">
        <v>342</v>
      </c>
      <c r="BI16" s="163">
        <v>45807</v>
      </c>
      <c r="BJ16" s="167">
        <v>165</v>
      </c>
      <c r="BL16" t="s">
        <v>345</v>
      </c>
      <c r="BN16">
        <v>300</v>
      </c>
      <c r="BO16">
        <v>58</v>
      </c>
      <c r="BP16" t="s">
        <v>351</v>
      </c>
      <c r="BR16" t="s">
        <v>84</v>
      </c>
      <c r="BS16" s="163">
        <v>45812</v>
      </c>
      <c r="BT16" s="167">
        <v>343.7</v>
      </c>
      <c r="CD16" s="163"/>
    </row>
    <row r="17" spans="10:82" x14ac:dyDescent="0.25">
      <c r="K17" s="163"/>
      <c r="N17" t="s">
        <v>525</v>
      </c>
      <c r="O17" s="165" t="s">
        <v>581</v>
      </c>
      <c r="P17" s="165" t="s">
        <v>641</v>
      </c>
      <c r="Q17" s="165">
        <v>3</v>
      </c>
      <c r="R17" s="166">
        <v>100</v>
      </c>
      <c r="S17" s="166">
        <v>20</v>
      </c>
      <c r="T17" s="166"/>
      <c r="U17" s="166">
        <v>10</v>
      </c>
      <c r="V17" s="166">
        <v>30</v>
      </c>
      <c r="W17" s="166"/>
      <c r="X17" s="166">
        <v>1100</v>
      </c>
      <c r="Y17" s="166">
        <v>200</v>
      </c>
      <c r="Z17" s="166">
        <v>1000</v>
      </c>
      <c r="AA17" s="166"/>
      <c r="AB17" t="s">
        <v>651</v>
      </c>
      <c r="AD17" t="s">
        <v>643</v>
      </c>
      <c r="AE17" s="163">
        <v>45637</v>
      </c>
      <c r="AF17" s="167">
        <v>68870.350000000006</v>
      </c>
      <c r="AH17" t="s">
        <v>532</v>
      </c>
      <c r="AI17" s="165" t="s">
        <v>124</v>
      </c>
      <c r="AJ17" t="s">
        <v>652</v>
      </c>
      <c r="AL17" t="s">
        <v>127</v>
      </c>
      <c r="AM17" s="163">
        <v>45845</v>
      </c>
      <c r="AN17" s="167">
        <v>13980</v>
      </c>
      <c r="AP17" t="s">
        <v>533</v>
      </c>
      <c r="AQ17">
        <v>80</v>
      </c>
      <c r="AR17">
        <v>64</v>
      </c>
      <c r="AT17" t="s">
        <v>598</v>
      </c>
      <c r="AU17" t="s">
        <v>653</v>
      </c>
      <c r="AW17" t="s">
        <v>116</v>
      </c>
      <c r="AX17" s="163">
        <v>45840</v>
      </c>
      <c r="AY17" s="167">
        <v>233624</v>
      </c>
      <c r="BA17" t="s">
        <v>534</v>
      </c>
      <c r="BB17">
        <v>40</v>
      </c>
      <c r="BC17">
        <v>1</v>
      </c>
      <c r="BD17">
        <v>3</v>
      </c>
      <c r="BF17" t="s">
        <v>654</v>
      </c>
      <c r="BH17" t="s">
        <v>342</v>
      </c>
      <c r="BI17" s="163">
        <v>45474</v>
      </c>
      <c r="BJ17" s="167">
        <v>159</v>
      </c>
      <c r="BL17" t="s">
        <v>345</v>
      </c>
      <c r="BN17">
        <v>400</v>
      </c>
      <c r="BO17">
        <v>80</v>
      </c>
      <c r="BP17" t="s">
        <v>352</v>
      </c>
      <c r="BR17" t="s">
        <v>84</v>
      </c>
      <c r="BS17" s="163">
        <v>45784</v>
      </c>
      <c r="BT17" s="167">
        <v>115.5</v>
      </c>
      <c r="CD17" s="163"/>
    </row>
    <row r="18" spans="10:82" x14ac:dyDescent="0.25">
      <c r="J18" s="161"/>
      <c r="K18" s="163"/>
      <c r="N18" t="s">
        <v>525</v>
      </c>
      <c r="O18" s="165" t="s">
        <v>581</v>
      </c>
      <c r="P18" s="165" t="s">
        <v>641</v>
      </c>
      <c r="Q18" s="165">
        <v>3</v>
      </c>
      <c r="R18" s="166">
        <v>50</v>
      </c>
      <c r="S18" s="166">
        <v>8</v>
      </c>
      <c r="T18" s="166">
        <v>20</v>
      </c>
      <c r="U18" s="166">
        <v>4</v>
      </c>
      <c r="V18" s="166">
        <v>30</v>
      </c>
      <c r="W18" s="166">
        <v>40</v>
      </c>
      <c r="X18" s="166">
        <v>1100</v>
      </c>
      <c r="Y18" s="166">
        <v>200</v>
      </c>
      <c r="Z18" s="166">
        <v>1000</v>
      </c>
      <c r="AA18" s="166">
        <v>600</v>
      </c>
      <c r="AB18" t="s">
        <v>18</v>
      </c>
      <c r="AD18" t="s">
        <v>643</v>
      </c>
      <c r="AE18" s="163">
        <v>45762</v>
      </c>
      <c r="AF18" s="167">
        <v>45683</v>
      </c>
      <c r="AH18" t="s">
        <v>532</v>
      </c>
      <c r="AI18" s="165" t="s">
        <v>124</v>
      </c>
      <c r="AJ18" t="s">
        <v>655</v>
      </c>
      <c r="AL18" t="s">
        <v>127</v>
      </c>
      <c r="AM18" s="163">
        <v>45845</v>
      </c>
      <c r="AN18" s="167">
        <v>823490</v>
      </c>
      <c r="AP18" t="s">
        <v>533</v>
      </c>
      <c r="AQ18">
        <v>100</v>
      </c>
      <c r="AR18">
        <v>80</v>
      </c>
      <c r="AT18" t="s">
        <v>598</v>
      </c>
      <c r="AU18" t="s">
        <v>656</v>
      </c>
      <c r="AW18" t="s">
        <v>657</v>
      </c>
      <c r="AX18" s="163">
        <v>45825</v>
      </c>
      <c r="AY18" s="167">
        <v>0</v>
      </c>
      <c r="BA18" t="s">
        <v>534</v>
      </c>
      <c r="BB18">
        <v>40</v>
      </c>
      <c r="BC18">
        <v>1</v>
      </c>
      <c r="BD18">
        <v>6</v>
      </c>
      <c r="BF18" t="s">
        <v>658</v>
      </c>
      <c r="BH18" t="s">
        <v>116</v>
      </c>
      <c r="BI18" s="163">
        <v>45505</v>
      </c>
      <c r="BJ18" s="167">
        <v>109.96</v>
      </c>
      <c r="BS18" s="163"/>
      <c r="CD18" s="163"/>
    </row>
    <row r="19" spans="10:82" x14ac:dyDescent="0.25">
      <c r="K19" s="163"/>
      <c r="N19" t="s">
        <v>525</v>
      </c>
      <c r="O19" s="165" t="s">
        <v>581</v>
      </c>
      <c r="P19" s="165" t="s">
        <v>641</v>
      </c>
      <c r="Q19" s="165">
        <v>3</v>
      </c>
      <c r="R19" s="166">
        <v>40</v>
      </c>
      <c r="S19" s="166">
        <v>4</v>
      </c>
      <c r="T19" s="166"/>
      <c r="U19" s="166">
        <v>4</v>
      </c>
      <c r="V19" s="166">
        <v>26</v>
      </c>
      <c r="W19" s="166"/>
      <c r="X19" s="166">
        <v>1100</v>
      </c>
      <c r="Y19" s="166">
        <v>200</v>
      </c>
      <c r="Z19" s="166">
        <v>1000</v>
      </c>
      <c r="AA19" s="166"/>
      <c r="AB19" t="s">
        <v>659</v>
      </c>
      <c r="AD19" t="s">
        <v>643</v>
      </c>
      <c r="AE19" s="163">
        <v>45637</v>
      </c>
      <c r="AF19" s="167">
        <v>41622</v>
      </c>
      <c r="AH19" t="s">
        <v>532</v>
      </c>
      <c r="AI19" s="165" t="s">
        <v>124</v>
      </c>
      <c r="AJ19" t="s">
        <v>660</v>
      </c>
      <c r="AL19" t="s">
        <v>127</v>
      </c>
      <c r="AM19" s="163">
        <v>45845</v>
      </c>
      <c r="AN19" s="167">
        <v>65180</v>
      </c>
      <c r="AP19" t="s">
        <v>533</v>
      </c>
      <c r="AQ19">
        <v>100</v>
      </c>
      <c r="AR19">
        <v>80</v>
      </c>
      <c r="AT19" t="s">
        <v>598</v>
      </c>
      <c r="AU19" t="s">
        <v>661</v>
      </c>
      <c r="AW19" t="s">
        <v>118</v>
      </c>
      <c r="AX19" s="163">
        <v>45840</v>
      </c>
      <c r="AY19" s="167">
        <v>313880</v>
      </c>
      <c r="BA19" t="s">
        <v>534</v>
      </c>
      <c r="BB19">
        <v>40</v>
      </c>
      <c r="BC19">
        <v>2</v>
      </c>
      <c r="BD19">
        <v>3</v>
      </c>
      <c r="BF19" t="s">
        <v>662</v>
      </c>
      <c r="BH19" t="s">
        <v>340</v>
      </c>
      <c r="BI19" s="163">
        <v>45791</v>
      </c>
      <c r="BJ19" s="167">
        <v>85</v>
      </c>
      <c r="BS19" s="163"/>
      <c r="CD19" s="163"/>
    </row>
    <row r="20" spans="10:82" x14ac:dyDescent="0.25">
      <c r="K20" s="163"/>
      <c r="N20" t="s">
        <v>525</v>
      </c>
      <c r="O20" s="165" t="s">
        <v>581</v>
      </c>
      <c r="P20" s="165" t="s">
        <v>641</v>
      </c>
      <c r="Q20" s="165">
        <v>3</v>
      </c>
      <c r="R20" s="166">
        <v>36</v>
      </c>
      <c r="S20" s="166">
        <v>4</v>
      </c>
      <c r="T20" s="166"/>
      <c r="U20" s="166">
        <v>4</v>
      </c>
      <c r="V20" s="166">
        <v>26</v>
      </c>
      <c r="W20" s="166"/>
      <c r="X20" s="166">
        <v>1100</v>
      </c>
      <c r="Y20" s="166">
        <v>200</v>
      </c>
      <c r="Z20" s="166">
        <v>1000</v>
      </c>
      <c r="AA20" s="166"/>
      <c r="AB20" t="s">
        <v>663</v>
      </c>
      <c r="AD20" t="s">
        <v>643</v>
      </c>
      <c r="AE20" s="163">
        <v>45637</v>
      </c>
      <c r="AF20" s="167">
        <v>37065.17</v>
      </c>
      <c r="AH20" t="s">
        <v>532</v>
      </c>
      <c r="AI20" s="165" t="s">
        <v>124</v>
      </c>
      <c r="AJ20" t="s">
        <v>664</v>
      </c>
      <c r="AL20" t="s">
        <v>127</v>
      </c>
      <c r="AM20" s="163">
        <v>45845</v>
      </c>
      <c r="AN20" s="167">
        <v>117310</v>
      </c>
      <c r="AP20" t="s">
        <v>533</v>
      </c>
      <c r="AQ20">
        <v>200</v>
      </c>
      <c r="AR20">
        <v>160</v>
      </c>
      <c r="AT20" t="s">
        <v>598</v>
      </c>
      <c r="AU20" t="s">
        <v>665</v>
      </c>
      <c r="AW20" t="s">
        <v>116</v>
      </c>
      <c r="AX20" s="163">
        <v>45840</v>
      </c>
      <c r="AY20" s="167">
        <v>570000</v>
      </c>
      <c r="BA20" t="s">
        <v>534</v>
      </c>
      <c r="BB20">
        <v>40</v>
      </c>
      <c r="BC20">
        <v>2</v>
      </c>
      <c r="BD20">
        <v>6</v>
      </c>
      <c r="BF20" t="s">
        <v>666</v>
      </c>
      <c r="BH20" t="s">
        <v>116</v>
      </c>
      <c r="BI20" s="163">
        <v>45411</v>
      </c>
      <c r="BJ20" s="167">
        <v>745.21</v>
      </c>
      <c r="BS20" s="163"/>
      <c r="CD20" s="163"/>
    </row>
    <row r="21" spans="10:82" x14ac:dyDescent="0.25">
      <c r="K21" s="163"/>
      <c r="N21" t="s">
        <v>525</v>
      </c>
      <c r="O21" s="165" t="s">
        <v>581</v>
      </c>
      <c r="P21" s="165" t="s">
        <v>641</v>
      </c>
      <c r="Q21" s="165">
        <v>3</v>
      </c>
      <c r="R21" s="166">
        <v>30</v>
      </c>
      <c r="S21" s="166">
        <v>4</v>
      </c>
      <c r="T21" s="166"/>
      <c r="U21" s="166">
        <v>4</v>
      </c>
      <c r="V21" s="166">
        <v>26</v>
      </c>
      <c r="W21" s="166"/>
      <c r="X21" s="166">
        <v>1100</v>
      </c>
      <c r="Y21" s="166">
        <v>200</v>
      </c>
      <c r="Z21" s="166">
        <v>1000</v>
      </c>
      <c r="AA21" s="166"/>
      <c r="AB21" t="s">
        <v>667</v>
      </c>
      <c r="AD21" t="s">
        <v>643</v>
      </c>
      <c r="AE21" s="163">
        <v>45637</v>
      </c>
      <c r="AF21" s="167">
        <v>35168.300000000003</v>
      </c>
      <c r="AH21" t="s">
        <v>532</v>
      </c>
      <c r="AI21" s="165" t="s">
        <v>124</v>
      </c>
      <c r="AJ21" t="s">
        <v>668</v>
      </c>
      <c r="AL21" t="s">
        <v>127</v>
      </c>
      <c r="AM21" s="163">
        <v>45845</v>
      </c>
      <c r="AN21" s="167">
        <v>193010</v>
      </c>
      <c r="AP21" t="s">
        <v>533</v>
      </c>
      <c r="AQ21">
        <v>230</v>
      </c>
      <c r="AR21">
        <v>184</v>
      </c>
      <c r="AT21" t="s">
        <v>598</v>
      </c>
      <c r="AU21" t="s">
        <v>669</v>
      </c>
      <c r="AW21" t="s">
        <v>116</v>
      </c>
      <c r="AX21" s="163">
        <v>45840</v>
      </c>
      <c r="AY21" s="167">
        <v>665000</v>
      </c>
      <c r="BA21" t="s">
        <v>534</v>
      </c>
      <c r="BB21">
        <v>40</v>
      </c>
      <c r="BC21">
        <v>2</v>
      </c>
      <c r="BD21">
        <v>15</v>
      </c>
      <c r="BF21" t="s">
        <v>670</v>
      </c>
      <c r="BI21" s="163">
        <v>45394</v>
      </c>
      <c r="BJ21" s="167">
        <v>686.45</v>
      </c>
      <c r="BS21" s="163"/>
      <c r="CD21" s="163"/>
    </row>
    <row r="22" spans="10:82" x14ac:dyDescent="0.25">
      <c r="K22" s="163"/>
      <c r="N22" t="s">
        <v>525</v>
      </c>
      <c r="O22" s="165" t="s">
        <v>581</v>
      </c>
      <c r="P22" s="165" t="s">
        <v>641</v>
      </c>
      <c r="Q22" s="165">
        <v>3</v>
      </c>
      <c r="R22" s="166">
        <v>25</v>
      </c>
      <c r="S22" s="166">
        <v>2</v>
      </c>
      <c r="T22" s="166"/>
      <c r="U22" s="166">
        <v>2</v>
      </c>
      <c r="V22" s="166">
        <v>30</v>
      </c>
      <c r="W22" s="166"/>
      <c r="X22" s="166">
        <v>1100</v>
      </c>
      <c r="Y22" s="166">
        <v>160</v>
      </c>
      <c r="Z22" s="166">
        <v>950</v>
      </c>
      <c r="AA22" s="166"/>
      <c r="AB22" t="s">
        <v>671</v>
      </c>
      <c r="AD22" t="s">
        <v>643</v>
      </c>
      <c r="AE22" s="163">
        <v>45637</v>
      </c>
      <c r="AF22" s="167">
        <v>22893.19</v>
      </c>
      <c r="AH22" t="s">
        <v>532</v>
      </c>
      <c r="AI22" s="165" t="s">
        <v>124</v>
      </c>
      <c r="AJ22" t="s">
        <v>672</v>
      </c>
      <c r="AL22" t="s">
        <v>127</v>
      </c>
      <c r="AM22" s="163">
        <v>45845</v>
      </c>
      <c r="AN22" s="167">
        <v>566150</v>
      </c>
      <c r="AP22" t="s">
        <v>533</v>
      </c>
      <c r="AQ22">
        <v>300</v>
      </c>
      <c r="AR22">
        <v>240</v>
      </c>
      <c r="AT22" t="s">
        <v>598</v>
      </c>
      <c r="AU22" t="s">
        <v>673</v>
      </c>
      <c r="AW22" t="s">
        <v>116</v>
      </c>
      <c r="AX22" s="163">
        <v>45840</v>
      </c>
      <c r="AY22" s="167">
        <v>921880</v>
      </c>
      <c r="BA22" t="s">
        <v>534</v>
      </c>
      <c r="BB22">
        <v>40</v>
      </c>
      <c r="BC22">
        <v>3</v>
      </c>
      <c r="BF22" t="s">
        <v>674</v>
      </c>
      <c r="BH22" t="s">
        <v>116</v>
      </c>
      <c r="BI22" s="163">
        <v>45497</v>
      </c>
      <c r="BJ22" s="167">
        <v>799</v>
      </c>
      <c r="BS22" s="163"/>
      <c r="CD22" s="163"/>
    </row>
    <row r="23" spans="10:82" x14ac:dyDescent="0.25">
      <c r="K23" s="163"/>
      <c r="N23" t="s">
        <v>525</v>
      </c>
      <c r="O23" s="165" t="s">
        <v>581</v>
      </c>
      <c r="P23" s="165" t="s">
        <v>641</v>
      </c>
      <c r="Q23" s="165">
        <v>3</v>
      </c>
      <c r="R23" s="166">
        <v>20</v>
      </c>
      <c r="S23" s="166">
        <v>2</v>
      </c>
      <c r="T23" s="166"/>
      <c r="U23" s="166">
        <v>2</v>
      </c>
      <c r="V23" s="166">
        <v>30</v>
      </c>
      <c r="W23" s="166"/>
      <c r="X23" s="166">
        <v>1100</v>
      </c>
      <c r="Y23" s="166">
        <v>160</v>
      </c>
      <c r="Z23" s="166">
        <v>950</v>
      </c>
      <c r="AA23" s="166"/>
      <c r="AB23" t="s">
        <v>675</v>
      </c>
      <c r="AD23" t="s">
        <v>643</v>
      </c>
      <c r="AE23" s="163">
        <v>45637</v>
      </c>
      <c r="AF23" s="167">
        <v>22239.1</v>
      </c>
      <c r="AH23" t="s">
        <v>532</v>
      </c>
      <c r="AI23" s="165" t="s">
        <v>124</v>
      </c>
      <c r="AJ23" t="s">
        <v>676</v>
      </c>
      <c r="AL23" t="s">
        <v>127</v>
      </c>
      <c r="AM23" s="163">
        <v>45845</v>
      </c>
      <c r="AN23" s="167">
        <v>7630</v>
      </c>
      <c r="AP23" t="s">
        <v>533</v>
      </c>
      <c r="AQ23">
        <v>400</v>
      </c>
      <c r="AR23">
        <v>320</v>
      </c>
      <c r="AT23" t="s">
        <v>598</v>
      </c>
      <c r="AU23" t="s">
        <v>677</v>
      </c>
      <c r="AW23" t="s">
        <v>116</v>
      </c>
      <c r="AX23" s="163">
        <v>45840</v>
      </c>
      <c r="AY23" s="167">
        <v>1032080</v>
      </c>
      <c r="BA23" t="s">
        <v>534</v>
      </c>
      <c r="BB23">
        <v>40</v>
      </c>
      <c r="BC23">
        <v>3</v>
      </c>
      <c r="BD23">
        <v>3</v>
      </c>
      <c r="BF23" t="s">
        <v>678</v>
      </c>
      <c r="BH23" t="s">
        <v>116</v>
      </c>
      <c r="BI23" s="163">
        <v>45572</v>
      </c>
      <c r="BJ23" s="167">
        <v>81</v>
      </c>
      <c r="BS23" s="163"/>
      <c r="CD23" s="163"/>
    </row>
    <row r="24" spans="10:82" x14ac:dyDescent="0.25">
      <c r="K24" s="163"/>
      <c r="N24" t="s">
        <v>525</v>
      </c>
      <c r="O24" s="165" t="s">
        <v>581</v>
      </c>
      <c r="P24" s="165" t="s">
        <v>641</v>
      </c>
      <c r="Q24" s="165">
        <v>3</v>
      </c>
      <c r="R24" s="166">
        <v>15</v>
      </c>
      <c r="S24" s="166">
        <v>2</v>
      </c>
      <c r="T24" s="166"/>
      <c r="U24" s="166">
        <v>2</v>
      </c>
      <c r="V24" s="166">
        <v>30</v>
      </c>
      <c r="W24" s="166"/>
      <c r="X24" s="166">
        <v>1100</v>
      </c>
      <c r="Y24" s="166">
        <v>160</v>
      </c>
      <c r="Z24" s="166">
        <v>950</v>
      </c>
      <c r="AA24" s="166"/>
      <c r="AB24" t="s">
        <v>679</v>
      </c>
      <c r="AD24">
        <v>19900</v>
      </c>
      <c r="AE24" s="163">
        <v>45637</v>
      </c>
      <c r="AF24" s="167">
        <v>20603.87</v>
      </c>
      <c r="AH24" t="s">
        <v>532</v>
      </c>
      <c r="AI24" s="165" t="s">
        <v>124</v>
      </c>
      <c r="AJ24" t="s">
        <v>680</v>
      </c>
      <c r="AL24" t="s">
        <v>127</v>
      </c>
      <c r="AM24" s="163">
        <v>45845</v>
      </c>
      <c r="AN24" s="167">
        <v>20940</v>
      </c>
      <c r="AP24" t="s">
        <v>533</v>
      </c>
      <c r="AQ24">
        <v>500</v>
      </c>
      <c r="AR24">
        <v>400</v>
      </c>
      <c r="AT24" t="s">
        <v>598</v>
      </c>
      <c r="AU24" t="s">
        <v>681</v>
      </c>
      <c r="AW24" t="s">
        <v>116</v>
      </c>
      <c r="AX24" s="163">
        <v>45840</v>
      </c>
      <c r="AY24" s="167">
        <v>1292000</v>
      </c>
      <c r="BA24" t="s">
        <v>534</v>
      </c>
      <c r="BB24">
        <v>40</v>
      </c>
      <c r="BC24">
        <v>4</v>
      </c>
      <c r="BD24">
        <v>6</v>
      </c>
      <c r="BF24" t="s">
        <v>682</v>
      </c>
      <c r="BH24" t="s">
        <v>116</v>
      </c>
      <c r="BI24" s="163">
        <v>45514</v>
      </c>
      <c r="BJ24" s="167">
        <v>325</v>
      </c>
      <c r="BS24" s="163"/>
      <c r="CD24" s="163"/>
    </row>
    <row r="25" spans="10:82" x14ac:dyDescent="0.25">
      <c r="K25" s="163"/>
      <c r="N25" t="s">
        <v>525</v>
      </c>
      <c r="O25" s="165" t="s">
        <v>581</v>
      </c>
      <c r="P25" s="165" t="s">
        <v>683</v>
      </c>
      <c r="Q25" s="165">
        <v>3</v>
      </c>
      <c r="R25" s="166">
        <v>550</v>
      </c>
      <c r="S25" s="166"/>
      <c r="T25" s="166"/>
      <c r="U25" s="166"/>
      <c r="V25" s="166"/>
      <c r="W25" s="166"/>
      <c r="X25" s="166"/>
      <c r="Y25" s="166"/>
      <c r="Z25" s="166"/>
      <c r="AA25" s="166"/>
      <c r="AB25" t="s">
        <v>684</v>
      </c>
      <c r="AD25" t="s">
        <v>529</v>
      </c>
      <c r="AE25" s="163">
        <v>45799</v>
      </c>
      <c r="AF25" s="167">
        <v>1086059.31</v>
      </c>
      <c r="AH25" t="s">
        <v>532</v>
      </c>
      <c r="AI25" s="165" t="s">
        <v>124</v>
      </c>
      <c r="AJ25" t="s">
        <v>131</v>
      </c>
      <c r="AL25" t="s">
        <v>347</v>
      </c>
      <c r="AM25" s="163">
        <v>45796</v>
      </c>
      <c r="AN25" s="167">
        <v>1990</v>
      </c>
      <c r="AP25" t="s">
        <v>533</v>
      </c>
      <c r="AQ25">
        <v>700</v>
      </c>
      <c r="AR25">
        <v>560</v>
      </c>
      <c r="AT25" t="s">
        <v>598</v>
      </c>
      <c r="AU25" t="s">
        <v>685</v>
      </c>
      <c r="AW25" t="s">
        <v>686</v>
      </c>
      <c r="AX25" s="163">
        <v>45790</v>
      </c>
      <c r="AY25" s="167">
        <v>2181131.1</v>
      </c>
      <c r="BA25" t="s">
        <v>534</v>
      </c>
      <c r="BB25">
        <v>50</v>
      </c>
      <c r="BC25">
        <v>1</v>
      </c>
      <c r="BF25" t="s">
        <v>687</v>
      </c>
      <c r="BH25" t="s">
        <v>340</v>
      </c>
      <c r="BI25" s="163">
        <v>45665</v>
      </c>
      <c r="BJ25" s="167">
        <v>45</v>
      </c>
      <c r="BS25" s="163"/>
      <c r="CD25" s="163"/>
    </row>
    <row r="26" spans="10:82" x14ac:dyDescent="0.25">
      <c r="K26" s="163"/>
      <c r="N26" t="s">
        <v>525</v>
      </c>
      <c r="O26" s="165" t="s">
        <v>581</v>
      </c>
      <c r="P26" s="165" t="s">
        <v>688</v>
      </c>
      <c r="Q26" s="165">
        <v>3</v>
      </c>
      <c r="R26" s="165">
        <v>275</v>
      </c>
      <c r="S26" s="165"/>
      <c r="T26" s="165"/>
      <c r="U26" s="165"/>
      <c r="V26" s="165"/>
      <c r="W26" s="165"/>
      <c r="X26" s="165"/>
      <c r="Y26" s="165"/>
      <c r="Z26" s="165"/>
      <c r="AA26" s="165"/>
      <c r="AB26" t="s">
        <v>689</v>
      </c>
      <c r="AD26" t="s">
        <v>529</v>
      </c>
      <c r="AE26" s="163">
        <v>45799</v>
      </c>
      <c r="AF26" s="167">
        <v>708313.59999999998</v>
      </c>
      <c r="AH26" t="s">
        <v>532</v>
      </c>
      <c r="AI26" s="165" t="s">
        <v>124</v>
      </c>
      <c r="AJ26" t="s">
        <v>660</v>
      </c>
      <c r="AL26" t="s">
        <v>347</v>
      </c>
      <c r="AM26" s="163">
        <v>45796</v>
      </c>
      <c r="AN26" s="167">
        <v>64090</v>
      </c>
      <c r="AP26" t="s">
        <v>533</v>
      </c>
      <c r="AQ26">
        <v>800</v>
      </c>
      <c r="AR26">
        <v>640</v>
      </c>
      <c r="AT26" t="s">
        <v>598</v>
      </c>
      <c r="AU26" t="s">
        <v>690</v>
      </c>
      <c r="AW26" t="s">
        <v>686</v>
      </c>
      <c r="AX26" s="163">
        <v>45790</v>
      </c>
      <c r="AY26" s="167">
        <v>2472482.7000000002</v>
      </c>
      <c r="BA26" t="s">
        <v>534</v>
      </c>
      <c r="BB26">
        <v>50</v>
      </c>
      <c r="BC26">
        <v>1</v>
      </c>
      <c r="BD26">
        <v>6</v>
      </c>
      <c r="BF26" t="s">
        <v>691</v>
      </c>
      <c r="BH26" t="s">
        <v>692</v>
      </c>
      <c r="BI26" s="163">
        <v>45528</v>
      </c>
      <c r="BJ26" s="167">
        <v>129.80000000000001</v>
      </c>
      <c r="BS26" s="163"/>
      <c r="CD26" s="163"/>
    </row>
    <row r="27" spans="10:82" x14ac:dyDescent="0.25">
      <c r="K27" s="163"/>
      <c r="N27" t="s">
        <v>525</v>
      </c>
      <c r="O27" s="165" t="s">
        <v>581</v>
      </c>
      <c r="P27" s="165" t="s">
        <v>124</v>
      </c>
      <c r="Q27" s="165">
        <v>3</v>
      </c>
      <c r="R27" s="166">
        <v>125</v>
      </c>
      <c r="S27" s="166">
        <v>12</v>
      </c>
      <c r="T27" s="166"/>
      <c r="U27" s="166">
        <v>12</v>
      </c>
      <c r="V27" s="166">
        <v>30</v>
      </c>
      <c r="W27" s="166"/>
      <c r="X27" s="166">
        <v>1100</v>
      </c>
      <c r="Y27" s="166">
        <v>180</v>
      </c>
      <c r="Z27" s="166">
        <v>1000</v>
      </c>
      <c r="AA27" s="166"/>
      <c r="AB27" t="s">
        <v>693</v>
      </c>
      <c r="AD27" t="s">
        <v>529</v>
      </c>
      <c r="AE27" s="163">
        <v>45845</v>
      </c>
      <c r="AF27" s="167">
        <v>72720</v>
      </c>
      <c r="AH27" t="s">
        <v>532</v>
      </c>
      <c r="AI27" s="165" t="s">
        <v>124</v>
      </c>
      <c r="AJ27" t="s">
        <v>129</v>
      </c>
      <c r="AL27" t="s">
        <v>347</v>
      </c>
      <c r="AM27" s="163">
        <v>45796</v>
      </c>
      <c r="AN27" s="167">
        <v>1900</v>
      </c>
      <c r="AP27" t="s">
        <v>533</v>
      </c>
      <c r="AQ27">
        <v>6.02</v>
      </c>
      <c r="AR27">
        <v>5.84</v>
      </c>
      <c r="AT27" t="s">
        <v>694</v>
      </c>
      <c r="AU27" t="s">
        <v>695</v>
      </c>
      <c r="AW27" t="s">
        <v>127</v>
      </c>
      <c r="AX27" s="163">
        <v>45820</v>
      </c>
      <c r="AY27" s="167">
        <v>25700</v>
      </c>
      <c r="BA27" t="s">
        <v>534</v>
      </c>
      <c r="BB27">
        <v>50</v>
      </c>
      <c r="BC27">
        <v>2</v>
      </c>
      <c r="BF27" t="s">
        <v>696</v>
      </c>
      <c r="BH27" t="s">
        <v>697</v>
      </c>
      <c r="BI27" s="163">
        <v>45525</v>
      </c>
      <c r="BJ27" s="167">
        <v>485</v>
      </c>
      <c r="BS27" s="163"/>
      <c r="CD27" s="163"/>
    </row>
    <row r="28" spans="10:82" x14ac:dyDescent="0.25">
      <c r="K28" s="163"/>
      <c r="N28" t="s">
        <v>525</v>
      </c>
      <c r="O28" s="165" t="s">
        <v>570</v>
      </c>
      <c r="P28" s="165" t="s">
        <v>124</v>
      </c>
      <c r="Q28" s="165">
        <v>1</v>
      </c>
      <c r="R28" s="166">
        <v>5</v>
      </c>
      <c r="S28" s="166">
        <v>3</v>
      </c>
      <c r="T28" s="166"/>
      <c r="U28" s="166">
        <v>3</v>
      </c>
      <c r="V28" s="166">
        <v>20</v>
      </c>
      <c r="W28" s="166"/>
      <c r="X28" s="166">
        <v>1000</v>
      </c>
      <c r="Y28" s="166">
        <v>60</v>
      </c>
      <c r="Z28" s="166">
        <v>950</v>
      </c>
      <c r="AA28" s="166"/>
      <c r="AB28" t="s">
        <v>698</v>
      </c>
      <c r="AD28" t="s">
        <v>127</v>
      </c>
      <c r="AE28" s="163">
        <v>45820</v>
      </c>
      <c r="AF28" s="167">
        <v>8610</v>
      </c>
      <c r="AM28" s="163"/>
      <c r="AP28" t="s">
        <v>533</v>
      </c>
      <c r="AQ28">
        <v>8.06</v>
      </c>
      <c r="AR28">
        <v>7.8</v>
      </c>
      <c r="AT28" t="s">
        <v>694</v>
      </c>
      <c r="AU28" t="s">
        <v>699</v>
      </c>
      <c r="AW28" t="s">
        <v>127</v>
      </c>
      <c r="AX28" s="163">
        <v>45820</v>
      </c>
      <c r="AY28" s="167">
        <v>33510</v>
      </c>
      <c r="BA28" t="s">
        <v>534</v>
      </c>
      <c r="BB28">
        <v>50</v>
      </c>
      <c r="BC28">
        <v>2</v>
      </c>
      <c r="BD28">
        <v>10</v>
      </c>
      <c r="BF28" t="s">
        <v>700</v>
      </c>
      <c r="BI28" s="163">
        <v>45525</v>
      </c>
      <c r="BJ28" s="167">
        <v>603</v>
      </c>
      <c r="BS28" s="163"/>
      <c r="CD28" s="163"/>
    </row>
    <row r="29" spans="10:82" x14ac:dyDescent="0.25">
      <c r="K29" s="163"/>
      <c r="N29" t="s">
        <v>525</v>
      </c>
      <c r="O29" s="165" t="s">
        <v>570</v>
      </c>
      <c r="P29" s="165" t="s">
        <v>124</v>
      </c>
      <c r="Q29" s="165">
        <v>1</v>
      </c>
      <c r="R29" s="166">
        <v>6</v>
      </c>
      <c r="S29" s="166">
        <v>3</v>
      </c>
      <c r="T29" s="166"/>
      <c r="U29" s="166">
        <v>3</v>
      </c>
      <c r="V29" s="166">
        <v>20</v>
      </c>
      <c r="W29" s="166"/>
      <c r="X29" s="166">
        <v>1000</v>
      </c>
      <c r="Y29" s="166">
        <v>60</v>
      </c>
      <c r="Z29" s="166">
        <v>950</v>
      </c>
      <c r="AA29" s="166"/>
      <c r="AB29" t="s">
        <v>701</v>
      </c>
      <c r="AD29" t="s">
        <v>127</v>
      </c>
      <c r="AE29" s="163">
        <v>45820</v>
      </c>
      <c r="AF29" s="167">
        <v>8850</v>
      </c>
      <c r="AM29" s="163"/>
      <c r="AP29" t="s">
        <v>533</v>
      </c>
      <c r="AQ29">
        <v>9.0399999999999991</v>
      </c>
      <c r="AR29">
        <v>8.76</v>
      </c>
      <c r="AT29" t="s">
        <v>694</v>
      </c>
      <c r="AU29" t="s">
        <v>702</v>
      </c>
      <c r="AW29" t="s">
        <v>127</v>
      </c>
      <c r="AX29" s="163">
        <v>45820</v>
      </c>
      <c r="AY29" s="167">
        <v>36130</v>
      </c>
      <c r="BA29" t="s">
        <v>534</v>
      </c>
      <c r="BB29">
        <v>50</v>
      </c>
      <c r="BC29">
        <v>3</v>
      </c>
      <c r="BD29">
        <v>3</v>
      </c>
      <c r="BF29" t="s">
        <v>703</v>
      </c>
      <c r="BH29" t="s">
        <v>340</v>
      </c>
      <c r="BI29" s="163">
        <v>45743</v>
      </c>
      <c r="BJ29" s="167">
        <v>130</v>
      </c>
      <c r="BS29" s="163"/>
      <c r="CD29" s="163"/>
    </row>
    <row r="30" spans="10:82" x14ac:dyDescent="0.25">
      <c r="K30" s="163"/>
      <c r="N30" t="s">
        <v>525</v>
      </c>
      <c r="O30" s="165" t="s">
        <v>570</v>
      </c>
      <c r="P30" s="165" t="s">
        <v>124</v>
      </c>
      <c r="Q30" s="165">
        <v>3</v>
      </c>
      <c r="R30" s="166">
        <v>12</v>
      </c>
      <c r="S30" s="166">
        <v>3</v>
      </c>
      <c r="T30" s="166"/>
      <c r="U30" s="166">
        <v>3</v>
      </c>
      <c r="V30" s="166">
        <v>20</v>
      </c>
      <c r="W30" s="166"/>
      <c r="X30" s="166">
        <v>1000</v>
      </c>
      <c r="Y30" s="166">
        <v>125</v>
      </c>
      <c r="Z30" s="166">
        <v>950</v>
      </c>
      <c r="AA30" s="166"/>
      <c r="AB30" t="s">
        <v>704</v>
      </c>
      <c r="AD30" t="s">
        <v>127</v>
      </c>
      <c r="AE30" s="163">
        <v>45820</v>
      </c>
      <c r="AF30" s="167">
        <v>18430</v>
      </c>
      <c r="AM30" s="163"/>
      <c r="AP30" t="s">
        <v>533</v>
      </c>
      <c r="AQ30">
        <v>12</v>
      </c>
      <c r="AT30" t="s">
        <v>705</v>
      </c>
      <c r="AU30" t="s">
        <v>706</v>
      </c>
      <c r="AW30" t="s">
        <v>127</v>
      </c>
      <c r="AX30" s="163">
        <v>45845</v>
      </c>
      <c r="AY30" s="167">
        <v>42780</v>
      </c>
      <c r="BA30" t="s">
        <v>534</v>
      </c>
      <c r="BB30">
        <v>50</v>
      </c>
      <c r="BC30">
        <v>3</v>
      </c>
      <c r="BD30">
        <v>6</v>
      </c>
      <c r="BF30" t="s">
        <v>707</v>
      </c>
      <c r="BI30" s="163">
        <v>45525</v>
      </c>
      <c r="BJ30" s="167">
        <v>796</v>
      </c>
      <c r="BS30" s="163"/>
      <c r="CD30" s="163"/>
    </row>
    <row r="31" spans="10:82" x14ac:dyDescent="0.25">
      <c r="K31" s="163"/>
      <c r="N31" t="s">
        <v>525</v>
      </c>
      <c r="O31" s="165" t="s">
        <v>581</v>
      </c>
      <c r="P31" s="165" t="s">
        <v>124</v>
      </c>
      <c r="Q31" s="165">
        <v>1</v>
      </c>
      <c r="R31" s="166">
        <v>5</v>
      </c>
      <c r="S31" s="166">
        <v>3</v>
      </c>
      <c r="T31" s="166"/>
      <c r="U31" s="166">
        <v>3</v>
      </c>
      <c r="V31" s="166">
        <v>20</v>
      </c>
      <c r="W31" s="166"/>
      <c r="X31" s="166">
        <v>1000</v>
      </c>
      <c r="Y31" s="166">
        <v>60</v>
      </c>
      <c r="Z31" s="166">
        <v>950</v>
      </c>
      <c r="AA31" s="166"/>
      <c r="AB31" t="s">
        <v>708</v>
      </c>
      <c r="AD31" t="s">
        <v>127</v>
      </c>
      <c r="AE31" s="163">
        <v>45820</v>
      </c>
      <c r="AF31" s="167">
        <v>16700</v>
      </c>
      <c r="AM31" s="163"/>
      <c r="AP31" t="s">
        <v>533</v>
      </c>
      <c r="AQ31">
        <v>8</v>
      </c>
      <c r="AT31" t="s">
        <v>694</v>
      </c>
      <c r="AU31" t="s">
        <v>709</v>
      </c>
      <c r="AW31" t="s">
        <v>347</v>
      </c>
      <c r="AX31" s="163">
        <v>45796</v>
      </c>
      <c r="AY31" s="167">
        <v>34220</v>
      </c>
      <c r="BA31" t="s">
        <v>534</v>
      </c>
      <c r="BB31">
        <v>60</v>
      </c>
      <c r="BC31">
        <v>1</v>
      </c>
      <c r="BF31" t="s">
        <v>710</v>
      </c>
      <c r="BI31" s="163">
        <v>45525</v>
      </c>
      <c r="BJ31" s="167">
        <v>205.35</v>
      </c>
      <c r="BS31" s="163"/>
      <c r="CD31" s="163"/>
    </row>
    <row r="32" spans="10:82" x14ac:dyDescent="0.25">
      <c r="K32" s="163"/>
      <c r="N32" t="s">
        <v>525</v>
      </c>
      <c r="O32" s="165" t="s">
        <v>581</v>
      </c>
      <c r="P32" s="165" t="s">
        <v>124</v>
      </c>
      <c r="Q32" s="165">
        <v>1</v>
      </c>
      <c r="R32" s="166">
        <v>6</v>
      </c>
      <c r="S32" s="166">
        <v>3</v>
      </c>
      <c r="T32" s="166"/>
      <c r="U32" s="166">
        <v>3</v>
      </c>
      <c r="V32" s="166">
        <v>20</v>
      </c>
      <c r="W32" s="166"/>
      <c r="X32" s="166">
        <v>1000</v>
      </c>
      <c r="Y32" s="166">
        <v>60</v>
      </c>
      <c r="Z32" s="166">
        <v>950</v>
      </c>
      <c r="AA32" s="166"/>
      <c r="AB32" t="s">
        <v>711</v>
      </c>
      <c r="AD32" t="s">
        <v>127</v>
      </c>
      <c r="AE32" s="163">
        <v>45820</v>
      </c>
      <c r="AF32" s="167">
        <v>17190</v>
      </c>
      <c r="AM32" s="163"/>
      <c r="AP32" t="s">
        <v>533</v>
      </c>
      <c r="AQ32">
        <v>3.3</v>
      </c>
      <c r="AT32" t="s">
        <v>712</v>
      </c>
      <c r="AU32" t="s">
        <v>713</v>
      </c>
      <c r="AW32" t="s">
        <v>714</v>
      </c>
      <c r="AX32" s="163">
        <v>45230</v>
      </c>
      <c r="AY32" s="167">
        <v>53247.360000000001</v>
      </c>
      <c r="BA32" t="s">
        <v>534</v>
      </c>
      <c r="BB32">
        <v>60</v>
      </c>
      <c r="BC32">
        <v>2</v>
      </c>
      <c r="BD32">
        <v>3</v>
      </c>
      <c r="BF32" t="s">
        <v>715</v>
      </c>
      <c r="BH32" t="s">
        <v>342</v>
      </c>
      <c r="BI32" s="163">
        <v>45807</v>
      </c>
      <c r="BJ32" s="167">
        <v>420</v>
      </c>
      <c r="BS32" s="163"/>
      <c r="CD32" s="163"/>
    </row>
    <row r="33" spans="11:82" x14ac:dyDescent="0.25">
      <c r="K33" s="163"/>
      <c r="N33" t="s">
        <v>525</v>
      </c>
      <c r="O33" s="165" t="s">
        <v>581</v>
      </c>
      <c r="P33" s="165" t="s">
        <v>124</v>
      </c>
      <c r="Q33" s="165">
        <v>1</v>
      </c>
      <c r="R33" s="166">
        <v>8</v>
      </c>
      <c r="S33" s="166">
        <v>3</v>
      </c>
      <c r="T33" s="166"/>
      <c r="U33" s="166">
        <v>3</v>
      </c>
      <c r="V33" s="166">
        <v>20</v>
      </c>
      <c r="W33" s="166"/>
      <c r="X33" s="166">
        <v>1000</v>
      </c>
      <c r="Y33" s="166">
        <v>60</v>
      </c>
      <c r="Z33" s="166">
        <v>950</v>
      </c>
      <c r="AA33" s="166"/>
      <c r="AB33" t="s">
        <v>716</v>
      </c>
      <c r="AD33" t="s">
        <v>127</v>
      </c>
      <c r="AE33" s="163">
        <v>45820</v>
      </c>
      <c r="AF33" s="167">
        <v>25790</v>
      </c>
      <c r="AM33" s="163"/>
      <c r="AP33" t="s">
        <v>533</v>
      </c>
      <c r="AQ33">
        <v>6.5</v>
      </c>
      <c r="AT33" t="s">
        <v>712</v>
      </c>
      <c r="AU33" t="s">
        <v>717</v>
      </c>
      <c r="AW33" t="s">
        <v>714</v>
      </c>
      <c r="AX33" s="163">
        <v>45230</v>
      </c>
      <c r="AY33" s="167">
        <v>100494.62</v>
      </c>
      <c r="BA33" t="s">
        <v>534</v>
      </c>
      <c r="BB33">
        <v>60</v>
      </c>
      <c r="BC33">
        <v>2</v>
      </c>
      <c r="BD33">
        <v>3</v>
      </c>
      <c r="BF33" t="s">
        <v>718</v>
      </c>
      <c r="BH33" t="s">
        <v>342</v>
      </c>
      <c r="BI33" s="163">
        <v>45757</v>
      </c>
      <c r="BJ33" s="167">
        <v>420</v>
      </c>
      <c r="BS33" s="163"/>
      <c r="CD33" s="163"/>
    </row>
    <row r="34" spans="11:82" x14ac:dyDescent="0.25">
      <c r="K34" s="163"/>
      <c r="N34" t="s">
        <v>525</v>
      </c>
      <c r="O34" s="165" t="s">
        <v>581</v>
      </c>
      <c r="P34" s="165" t="s">
        <v>124</v>
      </c>
      <c r="Q34" s="165">
        <v>1</v>
      </c>
      <c r="R34" s="166">
        <v>10</v>
      </c>
      <c r="S34" s="166">
        <v>3</v>
      </c>
      <c r="T34" s="166"/>
      <c r="U34" s="166">
        <v>3</v>
      </c>
      <c r="V34" s="166">
        <v>20</v>
      </c>
      <c r="W34" s="166"/>
      <c r="X34" s="166">
        <v>1000</v>
      </c>
      <c r="Y34" s="166">
        <v>60</v>
      </c>
      <c r="Z34" s="166">
        <v>950</v>
      </c>
      <c r="AA34" s="166"/>
      <c r="AB34" t="s">
        <v>719</v>
      </c>
      <c r="AD34" t="s">
        <v>127</v>
      </c>
      <c r="AE34" s="163">
        <v>45820</v>
      </c>
      <c r="AF34" s="167">
        <v>29470</v>
      </c>
      <c r="AM34" s="163"/>
      <c r="AX34" s="163"/>
      <c r="BA34" t="s">
        <v>534</v>
      </c>
      <c r="BB34">
        <v>63</v>
      </c>
      <c r="BC34">
        <v>1</v>
      </c>
      <c r="BF34" t="s">
        <v>720</v>
      </c>
      <c r="BI34" s="163">
        <v>45525</v>
      </c>
      <c r="BJ34" s="167">
        <v>48.84</v>
      </c>
      <c r="BS34" s="163"/>
      <c r="CD34" s="163"/>
    </row>
    <row r="35" spans="11:82" x14ac:dyDescent="0.25">
      <c r="K35" s="163"/>
      <c r="N35" t="s">
        <v>525</v>
      </c>
      <c r="O35" s="165" t="s">
        <v>581</v>
      </c>
      <c r="P35" s="165" t="s">
        <v>124</v>
      </c>
      <c r="Q35" s="165">
        <v>1</v>
      </c>
      <c r="R35" s="166">
        <v>12</v>
      </c>
      <c r="S35" s="166">
        <v>3</v>
      </c>
      <c r="T35" s="166"/>
      <c r="U35" s="166">
        <v>3</v>
      </c>
      <c r="V35" s="166">
        <v>20</v>
      </c>
      <c r="W35" s="166"/>
      <c r="X35" s="166">
        <v>1000</v>
      </c>
      <c r="Y35" s="166">
        <v>60</v>
      </c>
      <c r="Z35" s="166">
        <v>950</v>
      </c>
      <c r="AA35" s="166"/>
      <c r="AB35" t="s">
        <v>721</v>
      </c>
      <c r="AD35" t="s">
        <v>127</v>
      </c>
      <c r="AE35" s="163">
        <v>45820</v>
      </c>
      <c r="AF35" s="167">
        <v>30700</v>
      </c>
      <c r="AM35" s="163"/>
      <c r="AX35" s="163"/>
      <c r="BA35" t="s">
        <v>534</v>
      </c>
      <c r="BB35">
        <v>63</v>
      </c>
      <c r="BC35">
        <v>1</v>
      </c>
      <c r="BD35">
        <v>6</v>
      </c>
      <c r="BF35" t="s">
        <v>722</v>
      </c>
      <c r="BH35" t="s">
        <v>202</v>
      </c>
      <c r="BI35" s="163">
        <v>45699</v>
      </c>
      <c r="BJ35" s="167">
        <v>179</v>
      </c>
      <c r="BS35" s="163"/>
      <c r="CD35" s="163"/>
    </row>
    <row r="36" spans="11:82" x14ac:dyDescent="0.25">
      <c r="K36" s="163"/>
      <c r="N36" t="s">
        <v>525</v>
      </c>
      <c r="O36" s="165" t="s">
        <v>581</v>
      </c>
      <c r="P36" s="165" t="s">
        <v>124</v>
      </c>
      <c r="Q36" s="165">
        <v>3</v>
      </c>
      <c r="R36" s="166">
        <v>12</v>
      </c>
      <c r="S36" s="166">
        <v>3</v>
      </c>
      <c r="T36" s="166"/>
      <c r="U36" s="166">
        <v>3</v>
      </c>
      <c r="V36" s="166">
        <v>20</v>
      </c>
      <c r="W36" s="166"/>
      <c r="X36" s="166">
        <v>1000</v>
      </c>
      <c r="Y36" s="166">
        <v>125</v>
      </c>
      <c r="Z36" s="166">
        <v>950</v>
      </c>
      <c r="AA36" s="166"/>
      <c r="AB36" t="s">
        <v>723</v>
      </c>
      <c r="AD36" t="s">
        <v>127</v>
      </c>
      <c r="AE36" s="163">
        <v>45820</v>
      </c>
      <c r="AF36" s="167">
        <v>39050</v>
      </c>
      <c r="AM36" s="163"/>
      <c r="AQ36" s="166"/>
      <c r="AR36" s="165"/>
      <c r="AS36" s="165"/>
      <c r="AT36" s="165"/>
      <c r="AU36" s="168"/>
      <c r="AX36" s="163"/>
      <c r="BA36" t="s">
        <v>534</v>
      </c>
      <c r="BB36">
        <v>63</v>
      </c>
      <c r="BC36">
        <v>2</v>
      </c>
      <c r="BF36" t="s">
        <v>724</v>
      </c>
      <c r="BH36" t="s">
        <v>340</v>
      </c>
      <c r="BI36" s="163">
        <v>45791</v>
      </c>
      <c r="BJ36" s="167">
        <v>95</v>
      </c>
      <c r="BS36" s="163"/>
      <c r="CD36" s="163"/>
    </row>
    <row r="37" spans="11:82" x14ac:dyDescent="0.25">
      <c r="K37" s="163"/>
      <c r="N37" t="s">
        <v>525</v>
      </c>
      <c r="O37" s="165" t="s">
        <v>581</v>
      </c>
      <c r="P37" s="165" t="s">
        <v>124</v>
      </c>
      <c r="Q37" s="165">
        <v>3</v>
      </c>
      <c r="R37" s="166">
        <v>15</v>
      </c>
      <c r="S37" s="166">
        <v>3</v>
      </c>
      <c r="T37" s="166"/>
      <c r="U37" s="166">
        <v>3</v>
      </c>
      <c r="V37" s="166">
        <v>20</v>
      </c>
      <c r="W37" s="166"/>
      <c r="X37" s="166">
        <v>1000</v>
      </c>
      <c r="Y37" s="166">
        <v>125</v>
      </c>
      <c r="Z37" s="166">
        <v>950</v>
      </c>
      <c r="AA37" s="166"/>
      <c r="AB37" t="s">
        <v>725</v>
      </c>
      <c r="AD37" t="s">
        <v>127</v>
      </c>
      <c r="AE37" s="163">
        <v>45820</v>
      </c>
      <c r="AF37" s="167">
        <v>42970</v>
      </c>
      <c r="AM37" s="163"/>
      <c r="AQ37" s="165"/>
      <c r="AR37" s="165"/>
      <c r="AS37" s="165"/>
      <c r="AT37" s="165"/>
      <c r="AU37" s="168"/>
      <c r="AX37" s="163"/>
      <c r="BA37" t="s">
        <v>534</v>
      </c>
      <c r="BB37">
        <v>63</v>
      </c>
      <c r="BC37">
        <v>2</v>
      </c>
      <c r="BD37">
        <v>3</v>
      </c>
      <c r="BF37" t="s">
        <v>726</v>
      </c>
      <c r="BH37" t="s">
        <v>116</v>
      </c>
      <c r="BI37" s="163">
        <v>45525</v>
      </c>
      <c r="BJ37" s="167">
        <v>789.91</v>
      </c>
      <c r="BS37" s="163"/>
      <c r="CD37" s="163"/>
    </row>
    <row r="38" spans="11:82" x14ac:dyDescent="0.25">
      <c r="K38" s="163"/>
      <c r="N38" t="s">
        <v>525</v>
      </c>
      <c r="O38" s="165" t="s">
        <v>581</v>
      </c>
      <c r="P38" s="165" t="s">
        <v>124</v>
      </c>
      <c r="Q38" s="165">
        <v>3</v>
      </c>
      <c r="R38" s="166">
        <v>20</v>
      </c>
      <c r="S38" s="166">
        <v>3</v>
      </c>
      <c r="T38" s="166"/>
      <c r="U38" s="166">
        <v>3</v>
      </c>
      <c r="V38" s="166">
        <v>20</v>
      </c>
      <c r="W38" s="166"/>
      <c r="X38" s="166">
        <v>1000</v>
      </c>
      <c r="Y38" s="166">
        <v>125</v>
      </c>
      <c r="Z38" s="166">
        <v>950</v>
      </c>
      <c r="AA38" s="166"/>
      <c r="AB38" t="s">
        <v>727</v>
      </c>
      <c r="AD38" t="s">
        <v>127</v>
      </c>
      <c r="AE38" s="163">
        <v>45820</v>
      </c>
      <c r="AF38" s="167">
        <v>49110</v>
      </c>
      <c r="AM38" s="163"/>
      <c r="AQ38" s="165"/>
      <c r="AR38" s="165"/>
      <c r="AS38" s="165"/>
      <c r="AT38" s="165"/>
      <c r="AU38" s="168"/>
      <c r="AX38" s="163"/>
      <c r="BA38" t="s">
        <v>534</v>
      </c>
      <c r="BB38">
        <v>63</v>
      </c>
      <c r="BC38">
        <v>2</v>
      </c>
      <c r="BD38">
        <v>6</v>
      </c>
      <c r="BF38" t="s">
        <v>728</v>
      </c>
      <c r="BI38" s="163">
        <v>45525</v>
      </c>
      <c r="BJ38" s="167">
        <v>433.33</v>
      </c>
      <c r="BS38" s="163"/>
      <c r="CD38" s="163"/>
    </row>
    <row r="39" spans="11:82" x14ac:dyDescent="0.25">
      <c r="K39" s="163"/>
      <c r="N39" t="s">
        <v>525</v>
      </c>
      <c r="O39" s="165" t="s">
        <v>581</v>
      </c>
      <c r="P39" s="165" t="s">
        <v>124</v>
      </c>
      <c r="Q39" s="165">
        <v>3</v>
      </c>
      <c r="R39" s="166">
        <v>25</v>
      </c>
      <c r="S39" s="166">
        <v>3</v>
      </c>
      <c r="T39" s="166"/>
      <c r="U39" s="166">
        <v>3</v>
      </c>
      <c r="V39" s="166">
        <v>20</v>
      </c>
      <c r="W39" s="166"/>
      <c r="X39" s="166">
        <v>1000</v>
      </c>
      <c r="Y39" s="166">
        <v>125</v>
      </c>
      <c r="Z39" s="166">
        <v>950</v>
      </c>
      <c r="AA39" s="166"/>
      <c r="AB39" t="s">
        <v>729</v>
      </c>
      <c r="AD39" t="s">
        <v>127</v>
      </c>
      <c r="AE39" s="163">
        <v>45820</v>
      </c>
      <c r="AF39" s="167">
        <v>52790</v>
      </c>
      <c r="AM39" s="163"/>
      <c r="AQ39" s="165"/>
      <c r="AR39" s="165"/>
      <c r="AS39" s="165"/>
      <c r="AT39" s="165"/>
      <c r="AU39" s="168"/>
      <c r="AX39" s="163"/>
      <c r="BA39" t="s">
        <v>534</v>
      </c>
      <c r="BB39">
        <v>63</v>
      </c>
      <c r="BC39">
        <v>3</v>
      </c>
      <c r="BD39">
        <v>3</v>
      </c>
      <c r="BF39" t="s">
        <v>730</v>
      </c>
      <c r="BI39" s="163">
        <v>45525</v>
      </c>
      <c r="BJ39" s="167">
        <v>316.8</v>
      </c>
      <c r="BS39" s="163"/>
      <c r="CD39" s="163"/>
    </row>
    <row r="40" spans="11:82" x14ac:dyDescent="0.25">
      <c r="K40" s="163"/>
      <c r="N40" t="s">
        <v>525</v>
      </c>
      <c r="O40" s="165" t="s">
        <v>581</v>
      </c>
      <c r="P40" s="165" t="s">
        <v>124</v>
      </c>
      <c r="Q40" s="165">
        <v>3</v>
      </c>
      <c r="R40" s="166">
        <v>30</v>
      </c>
      <c r="S40" s="166">
        <v>4</v>
      </c>
      <c r="T40" s="166"/>
      <c r="U40" s="166">
        <v>4</v>
      </c>
      <c r="V40" s="166">
        <v>20</v>
      </c>
      <c r="W40" s="166"/>
      <c r="X40" s="166">
        <v>1000</v>
      </c>
      <c r="Y40" s="166">
        <v>125</v>
      </c>
      <c r="Z40" s="166">
        <v>950</v>
      </c>
      <c r="AA40" s="166"/>
      <c r="AB40" t="s">
        <v>731</v>
      </c>
      <c r="AD40" t="s">
        <v>127</v>
      </c>
      <c r="AE40" s="163">
        <v>45820</v>
      </c>
      <c r="AF40" s="167">
        <v>55250</v>
      </c>
      <c r="AM40" s="163"/>
      <c r="AQ40" s="166"/>
      <c r="AR40" s="166"/>
      <c r="AS40" s="166"/>
      <c r="AT40" s="165"/>
      <c r="AU40" s="168"/>
      <c r="AX40" s="163"/>
      <c r="BA40" t="s">
        <v>534</v>
      </c>
      <c r="BB40">
        <v>63</v>
      </c>
      <c r="BC40">
        <v>3</v>
      </c>
      <c r="BD40">
        <v>4.5</v>
      </c>
      <c r="BF40" t="s">
        <v>732</v>
      </c>
      <c r="BI40" s="163">
        <v>45525</v>
      </c>
      <c r="BJ40" s="167">
        <v>282.75</v>
      </c>
      <c r="BS40" s="163"/>
      <c r="CD40" s="163"/>
    </row>
    <row r="41" spans="11:82" x14ac:dyDescent="0.25">
      <c r="K41" s="163"/>
      <c r="N41" t="s">
        <v>525</v>
      </c>
      <c r="O41" s="165" t="s">
        <v>570</v>
      </c>
      <c r="P41" s="165" t="s">
        <v>124</v>
      </c>
      <c r="Q41" s="165">
        <v>3</v>
      </c>
      <c r="R41" s="166">
        <v>50</v>
      </c>
      <c r="S41" s="166">
        <v>5</v>
      </c>
      <c r="T41" s="166"/>
      <c r="U41" s="166">
        <v>5</v>
      </c>
      <c r="V41" s="166">
        <v>30</v>
      </c>
      <c r="W41" s="166"/>
      <c r="X41" s="166">
        <v>1000</v>
      </c>
      <c r="Y41" s="166">
        <v>180</v>
      </c>
      <c r="Z41" s="166">
        <v>950</v>
      </c>
      <c r="AA41" s="166"/>
      <c r="AB41" t="s">
        <v>733</v>
      </c>
      <c r="AD41" t="s">
        <v>127</v>
      </c>
      <c r="AE41" s="163">
        <v>45845</v>
      </c>
      <c r="AF41" s="167">
        <v>73650</v>
      </c>
      <c r="AM41" s="163"/>
      <c r="AQ41" s="166"/>
      <c r="AR41" s="166"/>
      <c r="AS41" s="166"/>
      <c r="AT41" s="165"/>
      <c r="AU41" s="168"/>
      <c r="AX41" s="163"/>
      <c r="BA41" t="s">
        <v>534</v>
      </c>
      <c r="BB41">
        <v>63</v>
      </c>
      <c r="BC41">
        <v>3</v>
      </c>
      <c r="BD41">
        <v>6</v>
      </c>
      <c r="BF41" t="s">
        <v>734</v>
      </c>
      <c r="BH41" t="s">
        <v>202</v>
      </c>
      <c r="BI41" s="163">
        <v>45497</v>
      </c>
      <c r="BJ41" s="167">
        <v>799</v>
      </c>
      <c r="BS41" s="163"/>
      <c r="CD41" s="163"/>
    </row>
    <row r="42" spans="11:82" x14ac:dyDescent="0.25">
      <c r="K42" s="163"/>
      <c r="N42" t="s">
        <v>525</v>
      </c>
      <c r="O42" s="165" t="s">
        <v>570</v>
      </c>
      <c r="P42" s="165" t="s">
        <v>124</v>
      </c>
      <c r="Q42" s="165">
        <v>3</v>
      </c>
      <c r="R42" s="166">
        <v>110</v>
      </c>
      <c r="S42" s="166">
        <v>10</v>
      </c>
      <c r="T42" s="166"/>
      <c r="U42" s="166">
        <v>10</v>
      </c>
      <c r="V42" s="166">
        <v>30</v>
      </c>
      <c r="W42" s="166"/>
      <c r="X42" s="166">
        <v>1000</v>
      </c>
      <c r="Y42" s="166">
        <v>180</v>
      </c>
      <c r="Z42" s="166">
        <v>950</v>
      </c>
      <c r="AA42" s="166"/>
      <c r="AB42" t="s">
        <v>735</v>
      </c>
      <c r="AD42" t="s">
        <v>127</v>
      </c>
      <c r="AE42" s="163">
        <v>45845</v>
      </c>
      <c r="AF42" s="167">
        <v>100650</v>
      </c>
      <c r="AM42" s="163"/>
      <c r="AQ42" s="166"/>
      <c r="AR42" s="166"/>
      <c r="AS42" s="166"/>
      <c r="AT42" s="165"/>
      <c r="AU42" s="168"/>
      <c r="AX42" s="163"/>
      <c r="BA42" t="s">
        <v>534</v>
      </c>
      <c r="BB42">
        <v>63</v>
      </c>
      <c r="BC42">
        <v>3</v>
      </c>
      <c r="BD42">
        <v>10</v>
      </c>
      <c r="BF42" t="s">
        <v>344</v>
      </c>
      <c r="BI42" s="163">
        <v>45525</v>
      </c>
      <c r="BJ42" s="167">
        <v>876.34</v>
      </c>
      <c r="BS42" s="163"/>
      <c r="CD42" s="163"/>
    </row>
    <row r="43" spans="11:82" x14ac:dyDescent="0.25">
      <c r="K43" s="163"/>
      <c r="N43" t="s">
        <v>525</v>
      </c>
      <c r="O43" s="165" t="s">
        <v>581</v>
      </c>
      <c r="P43" s="165" t="s">
        <v>736</v>
      </c>
      <c r="Q43" s="165">
        <v>3</v>
      </c>
      <c r="R43" s="166">
        <v>110</v>
      </c>
      <c r="S43" s="166">
        <v>24</v>
      </c>
      <c r="T43" s="166"/>
      <c r="U43" s="166">
        <v>12</v>
      </c>
      <c r="V43" s="166">
        <v>26</v>
      </c>
      <c r="W43" s="166"/>
      <c r="X43" s="166">
        <v>1100</v>
      </c>
      <c r="Y43" s="166">
        <v>500</v>
      </c>
      <c r="Z43" s="166">
        <v>800</v>
      </c>
      <c r="AA43" s="166"/>
      <c r="AB43" t="s">
        <v>737</v>
      </c>
      <c r="AD43" t="s">
        <v>643</v>
      </c>
      <c r="AE43" s="163">
        <v>45799</v>
      </c>
      <c r="AF43" s="167">
        <v>77812.539999999994</v>
      </c>
      <c r="AM43" s="163"/>
      <c r="AQ43" s="166"/>
      <c r="AR43" s="166"/>
      <c r="AS43" s="166"/>
      <c r="AT43" s="165"/>
      <c r="AU43" s="168"/>
      <c r="AX43" s="163"/>
      <c r="BA43" t="s">
        <v>534</v>
      </c>
      <c r="BB43">
        <v>80</v>
      </c>
      <c r="BC43">
        <v>1</v>
      </c>
      <c r="BF43" t="s">
        <v>738</v>
      </c>
      <c r="BH43" t="s">
        <v>342</v>
      </c>
      <c r="BI43" s="163">
        <v>45673</v>
      </c>
      <c r="BJ43" s="167">
        <v>302.87</v>
      </c>
      <c r="BS43" s="163"/>
      <c r="CD43" s="163"/>
    </row>
    <row r="44" spans="11:82" x14ac:dyDescent="0.25">
      <c r="K44" s="163"/>
      <c r="N44" t="s">
        <v>525</v>
      </c>
      <c r="O44" s="165" t="s">
        <v>581</v>
      </c>
      <c r="P44" s="165" t="s">
        <v>527</v>
      </c>
      <c r="Q44" s="165">
        <v>3</v>
      </c>
      <c r="R44" s="165">
        <v>140</v>
      </c>
      <c r="S44" s="165"/>
      <c r="T44" s="165"/>
      <c r="U44" s="165"/>
      <c r="V44" s="165"/>
      <c r="W44" s="165"/>
      <c r="X44" s="165"/>
      <c r="Y44" s="165"/>
      <c r="Z44" s="165"/>
      <c r="AA44" s="165"/>
      <c r="AB44" t="s">
        <v>739</v>
      </c>
      <c r="AD44" t="s">
        <v>529</v>
      </c>
      <c r="AE44" s="163">
        <v>45799</v>
      </c>
      <c r="AF44" s="167">
        <v>565391.68999999994</v>
      </c>
      <c r="AM44" s="163"/>
      <c r="AQ44" s="166"/>
      <c r="AR44" s="166"/>
      <c r="AS44" s="166"/>
      <c r="AT44" s="165"/>
      <c r="AU44" s="168"/>
      <c r="AX44" s="163"/>
      <c r="BA44" t="s">
        <v>534</v>
      </c>
      <c r="BB44">
        <v>80</v>
      </c>
      <c r="BC44">
        <v>2</v>
      </c>
      <c r="BF44" t="s">
        <v>740</v>
      </c>
      <c r="BI44" s="163">
        <v>45548</v>
      </c>
      <c r="BJ44" s="167">
        <v>1053</v>
      </c>
      <c r="BS44" s="163"/>
      <c r="CD44" s="163"/>
    </row>
    <row r="45" spans="11:82" x14ac:dyDescent="0.25">
      <c r="K45" s="163"/>
      <c r="N45" t="s">
        <v>525</v>
      </c>
      <c r="O45" s="165" t="s">
        <v>581</v>
      </c>
      <c r="P45" s="165" t="s">
        <v>527</v>
      </c>
      <c r="Q45" s="165">
        <v>3</v>
      </c>
      <c r="R45" s="165">
        <v>150</v>
      </c>
      <c r="S45" s="165"/>
      <c r="T45" s="165"/>
      <c r="U45" s="165"/>
      <c r="V45" s="165"/>
      <c r="W45" s="165"/>
      <c r="X45" s="165"/>
      <c r="Y45" s="165"/>
      <c r="Z45" s="165"/>
      <c r="AA45" s="165"/>
      <c r="AB45" t="s">
        <v>741</v>
      </c>
      <c r="AD45" t="s">
        <v>529</v>
      </c>
      <c r="AE45" s="163">
        <v>45799</v>
      </c>
      <c r="AF45" s="167">
        <v>602943.03</v>
      </c>
      <c r="AM45" s="163"/>
      <c r="AQ45" s="166"/>
      <c r="AR45" s="166"/>
      <c r="AS45" s="166"/>
      <c r="AT45" s="165"/>
      <c r="AU45" s="168"/>
      <c r="AX45" s="163"/>
      <c r="BA45" t="s">
        <v>534</v>
      </c>
      <c r="BB45">
        <v>80</v>
      </c>
      <c r="BC45">
        <v>3</v>
      </c>
      <c r="BF45" t="s">
        <v>619</v>
      </c>
      <c r="BH45" t="s">
        <v>340</v>
      </c>
      <c r="BI45" s="163">
        <v>45763</v>
      </c>
      <c r="BJ45" s="167">
        <v>1079</v>
      </c>
      <c r="BS45" s="163"/>
      <c r="CD45" s="163"/>
    </row>
    <row r="46" spans="11:82" x14ac:dyDescent="0.25">
      <c r="K46" s="163"/>
      <c r="N46" t="s">
        <v>525</v>
      </c>
      <c r="O46" s="165" t="s">
        <v>581</v>
      </c>
      <c r="P46" s="165" t="s">
        <v>527</v>
      </c>
      <c r="Q46" s="165">
        <v>3</v>
      </c>
      <c r="R46" s="165">
        <v>160</v>
      </c>
      <c r="S46" s="165"/>
      <c r="T46" s="165"/>
      <c r="U46" s="165"/>
      <c r="V46" s="165"/>
      <c r="W46" s="165"/>
      <c r="X46" s="165"/>
      <c r="Y46" s="165"/>
      <c r="Z46" s="165"/>
      <c r="AA46" s="165"/>
      <c r="AB46" t="s">
        <v>742</v>
      </c>
      <c r="AD46" t="s">
        <v>529</v>
      </c>
      <c r="AE46" s="163">
        <v>45799</v>
      </c>
      <c r="AF46" s="167">
        <v>640494.37</v>
      </c>
      <c r="AM46" s="163"/>
      <c r="AQ46" s="166"/>
      <c r="AR46" s="166"/>
      <c r="AS46" s="166"/>
      <c r="AT46" s="165"/>
      <c r="AU46" s="168"/>
      <c r="AX46" s="163"/>
      <c r="BA46" t="s">
        <v>534</v>
      </c>
      <c r="BB46">
        <v>80</v>
      </c>
      <c r="BC46">
        <v>3</v>
      </c>
      <c r="BD46">
        <v>6</v>
      </c>
      <c r="BF46" t="s">
        <v>743</v>
      </c>
      <c r="BI46" s="163">
        <v>45754</v>
      </c>
      <c r="BJ46" s="167">
        <v>1305</v>
      </c>
      <c r="BS46" s="163"/>
      <c r="CD46" s="163"/>
    </row>
    <row r="47" spans="11:82" x14ac:dyDescent="0.25">
      <c r="K47" s="163"/>
      <c r="N47" t="s">
        <v>525</v>
      </c>
      <c r="O47" s="165" t="s">
        <v>570</v>
      </c>
      <c r="P47" s="165" t="s">
        <v>744</v>
      </c>
      <c r="Q47" s="165">
        <v>1</v>
      </c>
      <c r="R47" s="166">
        <v>3.6</v>
      </c>
      <c r="S47" s="166">
        <v>1</v>
      </c>
      <c r="T47" s="166"/>
      <c r="U47" s="166">
        <v>1</v>
      </c>
      <c r="V47" s="166">
        <v>15.7</v>
      </c>
      <c r="W47" s="166"/>
      <c r="X47" s="166">
        <v>450</v>
      </c>
      <c r="Y47" s="166">
        <v>120</v>
      </c>
      <c r="Z47" s="166">
        <v>450</v>
      </c>
      <c r="AA47" s="166"/>
      <c r="AB47" t="s">
        <v>745</v>
      </c>
      <c r="AD47" t="s">
        <v>118</v>
      </c>
      <c r="AE47" s="163">
        <v>45840</v>
      </c>
      <c r="AF47" s="167">
        <v>18116.169999999998</v>
      </c>
      <c r="AM47" s="163"/>
      <c r="AQ47" s="166"/>
      <c r="AR47" s="166"/>
      <c r="AS47" s="166"/>
      <c r="AT47" s="165"/>
      <c r="AU47" s="168"/>
      <c r="AX47" s="163"/>
      <c r="BA47" t="s">
        <v>534</v>
      </c>
      <c r="BB47">
        <v>80</v>
      </c>
      <c r="BC47">
        <v>4</v>
      </c>
      <c r="BD47">
        <v>6</v>
      </c>
      <c r="BF47" t="s">
        <v>746</v>
      </c>
      <c r="BI47" s="163">
        <v>45754</v>
      </c>
      <c r="BJ47" s="167">
        <v>2718.16</v>
      </c>
      <c r="BS47" s="163"/>
      <c r="CD47" s="163"/>
    </row>
    <row r="48" spans="11:82" x14ac:dyDescent="0.25">
      <c r="K48" s="163"/>
      <c r="N48" t="s">
        <v>525</v>
      </c>
      <c r="O48" s="165" t="s">
        <v>570</v>
      </c>
      <c r="P48" s="165" t="s">
        <v>744</v>
      </c>
      <c r="Q48" s="165">
        <v>1</v>
      </c>
      <c r="R48" s="166">
        <v>3.6</v>
      </c>
      <c r="S48" s="166">
        <v>1</v>
      </c>
      <c r="T48" s="166"/>
      <c r="U48" s="166">
        <v>1</v>
      </c>
      <c r="V48" s="166">
        <v>15.7</v>
      </c>
      <c r="W48" s="166"/>
      <c r="X48" s="166">
        <v>450</v>
      </c>
      <c r="Y48" s="166">
        <v>120</v>
      </c>
      <c r="Z48" s="166">
        <v>450</v>
      </c>
      <c r="AA48" s="166"/>
      <c r="AB48" t="s">
        <v>747</v>
      </c>
      <c r="AD48" t="s">
        <v>748</v>
      </c>
      <c r="AE48" s="163">
        <v>45726</v>
      </c>
      <c r="AF48" s="167">
        <v>26600</v>
      </c>
      <c r="AM48" s="163"/>
      <c r="AQ48" s="166"/>
      <c r="AR48" s="166"/>
      <c r="AS48" s="166"/>
      <c r="AT48" s="165"/>
      <c r="AU48" s="168"/>
      <c r="AX48" s="163"/>
      <c r="BA48" t="s">
        <v>534</v>
      </c>
      <c r="BB48">
        <v>80</v>
      </c>
      <c r="BC48">
        <v>4</v>
      </c>
      <c r="BD48">
        <v>10</v>
      </c>
      <c r="BF48" t="s">
        <v>749</v>
      </c>
      <c r="BH48" t="s">
        <v>308</v>
      </c>
      <c r="BI48" s="163">
        <v>45394</v>
      </c>
      <c r="BJ48" s="167">
        <v>3484.35</v>
      </c>
      <c r="BS48" s="163"/>
      <c r="CD48" s="163"/>
    </row>
    <row r="49" spans="11:82" x14ac:dyDescent="0.25">
      <c r="K49" s="163"/>
      <c r="N49" t="s">
        <v>525</v>
      </c>
      <c r="O49" s="165" t="s">
        <v>570</v>
      </c>
      <c r="P49" s="165" t="s">
        <v>744</v>
      </c>
      <c r="Q49" s="165">
        <v>1</v>
      </c>
      <c r="R49" s="166">
        <v>5</v>
      </c>
      <c r="S49" s="166">
        <v>1</v>
      </c>
      <c r="T49" s="166"/>
      <c r="U49" s="166">
        <v>1</v>
      </c>
      <c r="V49" s="166">
        <v>15.7</v>
      </c>
      <c r="W49" s="166"/>
      <c r="X49" s="166">
        <v>450</v>
      </c>
      <c r="Y49" s="166">
        <v>120</v>
      </c>
      <c r="Z49" s="166">
        <v>450</v>
      </c>
      <c r="AA49" s="166"/>
      <c r="AB49" t="s">
        <v>750</v>
      </c>
      <c r="AD49" t="s">
        <v>751</v>
      </c>
      <c r="AE49" s="163">
        <v>45840</v>
      </c>
      <c r="AF49" s="167">
        <v>18453.79</v>
      </c>
      <c r="AM49" s="163"/>
      <c r="AQ49" s="166"/>
      <c r="AR49" s="166"/>
      <c r="AS49" s="166"/>
      <c r="AT49" s="165"/>
      <c r="AU49" s="168"/>
      <c r="AX49" s="163"/>
      <c r="BA49" t="s">
        <v>534</v>
      </c>
      <c r="BB49">
        <v>80</v>
      </c>
      <c r="BC49">
        <v>4</v>
      </c>
      <c r="BD49">
        <v>16</v>
      </c>
      <c r="BF49" t="s">
        <v>752</v>
      </c>
      <c r="BH49" t="s">
        <v>308</v>
      </c>
      <c r="BI49" s="163">
        <v>45394</v>
      </c>
      <c r="BJ49" s="167">
        <v>4095.65</v>
      </c>
      <c r="BS49" s="163"/>
      <c r="CD49" s="163"/>
    </row>
    <row r="50" spans="11:82" x14ac:dyDescent="0.25">
      <c r="K50" s="163"/>
      <c r="N50" t="s">
        <v>525</v>
      </c>
      <c r="O50" s="165" t="s">
        <v>570</v>
      </c>
      <c r="P50" s="165" t="s">
        <v>744</v>
      </c>
      <c r="Q50" s="165">
        <v>1</v>
      </c>
      <c r="R50" s="166">
        <v>5</v>
      </c>
      <c r="S50" s="166">
        <v>1</v>
      </c>
      <c r="T50" s="166"/>
      <c r="U50" s="166">
        <v>1</v>
      </c>
      <c r="V50" s="166">
        <v>15.7</v>
      </c>
      <c r="W50" s="166"/>
      <c r="X50" s="166">
        <v>450</v>
      </c>
      <c r="Y50" s="166">
        <v>120</v>
      </c>
      <c r="Z50" s="166">
        <v>450</v>
      </c>
      <c r="AA50" s="166"/>
      <c r="AB50" t="s">
        <v>753</v>
      </c>
      <c r="AD50" t="s">
        <v>116</v>
      </c>
      <c r="AE50" s="163">
        <v>45818</v>
      </c>
      <c r="AF50" s="167">
        <v>19193.96</v>
      </c>
      <c r="AM50" s="163"/>
      <c r="AQ50" s="166"/>
      <c r="AR50" s="166"/>
      <c r="AS50" s="166"/>
      <c r="AT50" s="165"/>
      <c r="AU50" s="168"/>
      <c r="AX50" s="163"/>
      <c r="BA50" t="s">
        <v>534</v>
      </c>
      <c r="BB50">
        <v>100</v>
      </c>
      <c r="BC50">
        <v>1</v>
      </c>
      <c r="BF50" t="s">
        <v>754</v>
      </c>
      <c r="BH50" t="s">
        <v>308</v>
      </c>
      <c r="BI50" s="163">
        <v>45429</v>
      </c>
      <c r="BJ50" s="167">
        <v>975</v>
      </c>
      <c r="BS50" s="163"/>
      <c r="CD50" s="163"/>
    </row>
    <row r="51" spans="11:82" x14ac:dyDescent="0.25">
      <c r="K51" s="163"/>
      <c r="N51" t="s">
        <v>525</v>
      </c>
      <c r="O51" s="165" t="s">
        <v>570</v>
      </c>
      <c r="P51" s="165" t="s">
        <v>744</v>
      </c>
      <c r="Q51" s="165">
        <v>1</v>
      </c>
      <c r="R51" s="166">
        <v>6</v>
      </c>
      <c r="S51" s="166">
        <v>2</v>
      </c>
      <c r="T51" s="166"/>
      <c r="U51" s="166">
        <v>2</v>
      </c>
      <c r="V51" s="166">
        <v>15</v>
      </c>
      <c r="W51" s="166"/>
      <c r="X51" s="166">
        <v>450</v>
      </c>
      <c r="Y51" s="166">
        <v>120</v>
      </c>
      <c r="Z51" s="166">
        <v>400</v>
      </c>
      <c r="AA51" s="166"/>
      <c r="AB51" t="s">
        <v>755</v>
      </c>
      <c r="AD51" t="s">
        <v>116</v>
      </c>
      <c r="AE51" s="163">
        <v>45840</v>
      </c>
      <c r="AF51" s="167">
        <v>14179.57</v>
      </c>
      <c r="AM51" s="163"/>
      <c r="AQ51" s="166"/>
      <c r="AR51" s="166"/>
      <c r="AS51" s="166"/>
      <c r="AT51" s="165"/>
      <c r="AU51" s="168"/>
      <c r="AX51" s="163"/>
      <c r="BA51" t="s">
        <v>534</v>
      </c>
      <c r="BB51">
        <v>100</v>
      </c>
      <c r="BC51">
        <v>2</v>
      </c>
      <c r="BD51">
        <v>6</v>
      </c>
      <c r="BF51" t="s">
        <v>624</v>
      </c>
      <c r="BH51" t="s">
        <v>406</v>
      </c>
      <c r="BI51" s="163">
        <v>45671</v>
      </c>
      <c r="BJ51" s="167">
        <v>181.8</v>
      </c>
      <c r="BS51" s="163"/>
      <c r="CD51" s="163"/>
    </row>
    <row r="52" spans="11:82" x14ac:dyDescent="0.25">
      <c r="K52" s="163"/>
      <c r="N52" t="s">
        <v>525</v>
      </c>
      <c r="O52" s="165" t="s">
        <v>570</v>
      </c>
      <c r="P52" s="165" t="s">
        <v>744</v>
      </c>
      <c r="Q52" s="165">
        <v>1</v>
      </c>
      <c r="R52" s="166">
        <v>8</v>
      </c>
      <c r="S52" s="166">
        <v>2</v>
      </c>
      <c r="T52" s="166"/>
      <c r="U52" s="166">
        <v>2</v>
      </c>
      <c r="V52" s="166">
        <v>22</v>
      </c>
      <c r="W52" s="166"/>
      <c r="X52" s="166">
        <v>500</v>
      </c>
      <c r="Y52" s="166">
        <v>125</v>
      </c>
      <c r="Z52" s="166">
        <v>450</v>
      </c>
      <c r="AA52" s="166"/>
      <c r="AB52" t="s">
        <v>756</v>
      </c>
      <c r="AD52" t="s">
        <v>116</v>
      </c>
      <c r="AE52" s="163">
        <v>45840</v>
      </c>
      <c r="AF52" s="167">
        <v>23341.06</v>
      </c>
      <c r="AM52" s="163"/>
      <c r="AQ52" s="166"/>
      <c r="AR52" s="166"/>
      <c r="AS52" s="166"/>
      <c r="AT52" s="165"/>
      <c r="AU52" s="168"/>
      <c r="AX52" s="163"/>
      <c r="BA52" t="s">
        <v>534</v>
      </c>
      <c r="BB52">
        <v>100</v>
      </c>
      <c r="BC52">
        <v>3</v>
      </c>
      <c r="BD52">
        <v>6</v>
      </c>
      <c r="BF52" t="s">
        <v>757</v>
      </c>
      <c r="BH52" t="s">
        <v>342</v>
      </c>
      <c r="BI52" s="163">
        <v>45665</v>
      </c>
      <c r="BJ52" s="167">
        <v>550</v>
      </c>
      <c r="BS52" s="163"/>
      <c r="CD52" s="163"/>
    </row>
    <row r="53" spans="11:82" x14ac:dyDescent="0.25">
      <c r="K53" s="163"/>
      <c r="N53" t="s">
        <v>525</v>
      </c>
      <c r="O53" s="165" t="s">
        <v>570</v>
      </c>
      <c r="P53" s="165" t="s">
        <v>744</v>
      </c>
      <c r="Q53" s="165">
        <v>1</v>
      </c>
      <c r="R53" s="166">
        <v>8</v>
      </c>
      <c r="S53" s="166">
        <v>2</v>
      </c>
      <c r="T53" s="166"/>
      <c r="U53" s="166">
        <v>2</v>
      </c>
      <c r="V53" s="166">
        <v>22</v>
      </c>
      <c r="W53" s="166"/>
      <c r="X53" s="166">
        <v>500</v>
      </c>
      <c r="Y53" s="166">
        <v>125</v>
      </c>
      <c r="Z53" s="166">
        <v>450</v>
      </c>
      <c r="AA53" s="166"/>
      <c r="AB53" t="s">
        <v>758</v>
      </c>
      <c r="AD53" t="s">
        <v>759</v>
      </c>
      <c r="AE53" s="163">
        <v>45840</v>
      </c>
      <c r="AF53" s="167">
        <v>19269.87</v>
      </c>
      <c r="AM53" s="163"/>
      <c r="AQ53" s="166"/>
      <c r="AR53" s="166"/>
      <c r="AS53" s="166"/>
      <c r="AT53" s="165"/>
      <c r="AU53" s="168"/>
      <c r="AX53" s="163"/>
      <c r="BA53" t="s">
        <v>534</v>
      </c>
      <c r="BB53">
        <v>100</v>
      </c>
      <c r="BC53">
        <v>3</v>
      </c>
      <c r="BD53">
        <v>10</v>
      </c>
      <c r="BF53" t="s">
        <v>760</v>
      </c>
      <c r="BH53" t="s">
        <v>308</v>
      </c>
      <c r="BI53" s="163">
        <v>45394</v>
      </c>
      <c r="BJ53" s="167">
        <v>1638.26</v>
      </c>
      <c r="BS53" s="163"/>
      <c r="CD53" s="163"/>
    </row>
    <row r="54" spans="11:82" x14ac:dyDescent="0.25">
      <c r="K54" s="163"/>
      <c r="N54" t="s">
        <v>525</v>
      </c>
      <c r="O54" s="165" t="s">
        <v>570</v>
      </c>
      <c r="P54" s="165" t="s">
        <v>744</v>
      </c>
      <c r="Q54" s="165">
        <v>1</v>
      </c>
      <c r="R54" s="166">
        <v>10</v>
      </c>
      <c r="S54" s="166">
        <v>2</v>
      </c>
      <c r="T54" s="166"/>
      <c r="U54" s="166">
        <v>2</v>
      </c>
      <c r="V54" s="166">
        <v>22</v>
      </c>
      <c r="W54" s="166"/>
      <c r="X54" s="166">
        <v>500</v>
      </c>
      <c r="Y54" s="166">
        <v>125</v>
      </c>
      <c r="Z54" s="166">
        <v>450</v>
      </c>
      <c r="AA54" s="166"/>
      <c r="AB54" t="s">
        <v>761</v>
      </c>
      <c r="AD54" t="s">
        <v>116</v>
      </c>
      <c r="AE54" s="163">
        <v>45840</v>
      </c>
      <c r="AF54" s="167">
        <v>33250.54</v>
      </c>
      <c r="AM54" s="163"/>
      <c r="AQ54" s="166"/>
      <c r="AR54" s="166"/>
      <c r="AS54" s="166"/>
      <c r="AT54" s="165"/>
      <c r="AU54" s="168"/>
      <c r="AX54" s="163"/>
      <c r="BA54" t="s">
        <v>534</v>
      </c>
      <c r="BB54">
        <v>100</v>
      </c>
      <c r="BC54">
        <v>3</v>
      </c>
      <c r="BD54">
        <v>16</v>
      </c>
      <c r="BF54" t="s">
        <v>762</v>
      </c>
      <c r="BH54" t="s">
        <v>308</v>
      </c>
      <c r="BI54" s="163"/>
      <c r="BJ54" s="167">
        <v>3003.48</v>
      </c>
      <c r="BS54" s="163"/>
      <c r="CD54" s="163"/>
    </row>
    <row r="55" spans="11:82" x14ac:dyDescent="0.25">
      <c r="K55" s="163"/>
      <c r="N55" t="s">
        <v>525</v>
      </c>
      <c r="O55" s="165" t="s">
        <v>570</v>
      </c>
      <c r="P55" s="165" t="s">
        <v>744</v>
      </c>
      <c r="Q55" s="165">
        <v>1</v>
      </c>
      <c r="R55" s="166">
        <v>12</v>
      </c>
      <c r="S55" s="166">
        <v>3</v>
      </c>
      <c r="T55" s="166"/>
      <c r="U55" s="166">
        <v>2</v>
      </c>
      <c r="V55" s="166">
        <v>22</v>
      </c>
      <c r="W55" s="166"/>
      <c r="X55" s="166">
        <v>500</v>
      </c>
      <c r="Y55" s="166">
        <v>125</v>
      </c>
      <c r="Z55" s="166">
        <v>450</v>
      </c>
      <c r="AA55" s="166"/>
      <c r="AB55" t="s">
        <v>763</v>
      </c>
      <c r="AD55" t="s">
        <v>116</v>
      </c>
      <c r="AE55" s="163">
        <v>45840</v>
      </c>
      <c r="AF55" s="167">
        <v>36965.370000000003</v>
      </c>
      <c r="AM55" s="163"/>
      <c r="AQ55" s="166"/>
      <c r="AR55" s="166"/>
      <c r="AS55" s="166"/>
      <c r="AT55" s="165"/>
      <c r="AU55" s="168"/>
      <c r="AX55" s="163"/>
      <c r="BA55" t="s">
        <v>534</v>
      </c>
      <c r="BB55">
        <v>100</v>
      </c>
      <c r="BC55">
        <v>3</v>
      </c>
      <c r="BD55">
        <v>50</v>
      </c>
      <c r="BF55" t="s">
        <v>764</v>
      </c>
      <c r="BH55" t="s">
        <v>334</v>
      </c>
      <c r="BI55" s="163">
        <v>45489</v>
      </c>
      <c r="BJ55" s="167">
        <v>2553</v>
      </c>
      <c r="BS55" s="163"/>
      <c r="CD55" s="163"/>
    </row>
    <row r="56" spans="11:82" x14ac:dyDescent="0.25">
      <c r="K56" s="163"/>
      <c r="N56" t="s">
        <v>525</v>
      </c>
      <c r="O56" s="165" t="s">
        <v>570</v>
      </c>
      <c r="P56" s="165" t="s">
        <v>744</v>
      </c>
      <c r="Q56" s="165">
        <v>1</v>
      </c>
      <c r="R56" s="166">
        <v>16</v>
      </c>
      <c r="S56" s="166">
        <v>4</v>
      </c>
      <c r="T56" s="166"/>
      <c r="U56" s="166">
        <v>2</v>
      </c>
      <c r="V56" s="166">
        <v>26</v>
      </c>
      <c r="W56" s="166"/>
      <c r="X56" s="166">
        <v>500</v>
      </c>
      <c r="Y56" s="166">
        <v>150</v>
      </c>
      <c r="Z56" s="166">
        <v>450</v>
      </c>
      <c r="AA56" s="166"/>
      <c r="AB56" t="s">
        <v>765</v>
      </c>
      <c r="AD56" t="s">
        <v>116</v>
      </c>
      <c r="AE56" s="163">
        <v>45840</v>
      </c>
      <c r="AF56" s="167">
        <v>50299.32</v>
      </c>
      <c r="AM56" s="163"/>
      <c r="AQ56" s="166"/>
      <c r="AR56" s="166"/>
      <c r="AS56" s="166"/>
      <c r="AT56" s="165"/>
      <c r="AU56" s="168"/>
      <c r="AX56" s="163"/>
      <c r="BA56" t="s">
        <v>534</v>
      </c>
      <c r="BB56">
        <v>160</v>
      </c>
      <c r="BC56">
        <v>1</v>
      </c>
      <c r="BF56" t="s">
        <v>766</v>
      </c>
      <c r="BI56" s="163"/>
      <c r="BJ56" s="167"/>
      <c r="BS56" s="163"/>
      <c r="CD56" s="163"/>
    </row>
    <row r="57" spans="11:82" x14ac:dyDescent="0.25">
      <c r="K57" s="163"/>
      <c r="N57" t="s">
        <v>525</v>
      </c>
      <c r="O57" s="165" t="s">
        <v>570</v>
      </c>
      <c r="P57" s="165" t="s">
        <v>744</v>
      </c>
      <c r="Q57" s="165">
        <v>3</v>
      </c>
      <c r="R57" s="166">
        <v>12</v>
      </c>
      <c r="S57" s="166">
        <v>2</v>
      </c>
      <c r="T57" s="166"/>
      <c r="U57" s="166">
        <v>2</v>
      </c>
      <c r="V57" s="166">
        <v>25</v>
      </c>
      <c r="W57" s="166"/>
      <c r="X57" s="166">
        <v>800</v>
      </c>
      <c r="Y57" s="166">
        <v>150</v>
      </c>
      <c r="Z57" s="166">
        <v>650</v>
      </c>
      <c r="AA57" s="166"/>
      <c r="AB57" t="s">
        <v>767</v>
      </c>
      <c r="AD57" t="s">
        <v>116</v>
      </c>
      <c r="AE57" s="163">
        <v>45840</v>
      </c>
      <c r="AF57" s="167">
        <v>42381.59</v>
      </c>
      <c r="AM57" s="163"/>
      <c r="AQ57" s="166"/>
      <c r="AR57" s="166"/>
      <c r="AS57" s="166"/>
      <c r="AT57" s="165"/>
      <c r="AU57" s="168"/>
      <c r="AX57" s="163"/>
      <c r="BA57" t="s">
        <v>534</v>
      </c>
      <c r="BB57">
        <v>160</v>
      </c>
      <c r="BC57">
        <v>2</v>
      </c>
      <c r="BF57" t="s">
        <v>768</v>
      </c>
      <c r="BI57" s="163"/>
      <c r="BJ57" s="167"/>
      <c r="BS57" s="163"/>
      <c r="CD57" s="163"/>
    </row>
    <row r="58" spans="11:82" x14ac:dyDescent="0.25">
      <c r="K58" s="163"/>
      <c r="N58" t="s">
        <v>525</v>
      </c>
      <c r="O58" s="165" t="s">
        <v>570</v>
      </c>
      <c r="P58" s="165" t="s">
        <v>744</v>
      </c>
      <c r="Q58" s="165">
        <v>3</v>
      </c>
      <c r="R58" s="166">
        <v>50</v>
      </c>
      <c r="S58" s="166">
        <v>4</v>
      </c>
      <c r="T58" s="166"/>
      <c r="U58" s="166">
        <v>2</v>
      </c>
      <c r="V58" s="166">
        <v>36</v>
      </c>
      <c r="W58" s="166"/>
      <c r="X58" s="166">
        <v>1000</v>
      </c>
      <c r="Y58" s="166">
        <v>150</v>
      </c>
      <c r="Z58" s="166">
        <v>850</v>
      </c>
      <c r="AA58" s="166"/>
      <c r="AB58" t="s">
        <v>769</v>
      </c>
      <c r="AD58" t="s">
        <v>127</v>
      </c>
      <c r="AE58" s="163">
        <v>45840</v>
      </c>
      <c r="AF58" s="167">
        <v>91845.03</v>
      </c>
      <c r="AM58" s="163"/>
      <c r="AQ58" s="166"/>
      <c r="AR58" s="166"/>
      <c r="AS58" s="166"/>
      <c r="AT58" s="165"/>
      <c r="AU58" s="168"/>
      <c r="AX58" s="163"/>
      <c r="BA58" t="s">
        <v>534</v>
      </c>
      <c r="BB58">
        <v>160</v>
      </c>
      <c r="BC58">
        <v>3</v>
      </c>
      <c r="BF58" t="s">
        <v>770</v>
      </c>
      <c r="BI58" s="163"/>
      <c r="BJ58" s="167"/>
      <c r="BS58" s="163"/>
      <c r="CD58" s="163"/>
    </row>
    <row r="59" spans="11:82" x14ac:dyDescent="0.25">
      <c r="K59" s="163"/>
      <c r="N59" t="s">
        <v>525</v>
      </c>
      <c r="O59" s="165" t="s">
        <v>581</v>
      </c>
      <c r="P59" s="165" t="s">
        <v>771</v>
      </c>
      <c r="Q59" s="165">
        <v>3</v>
      </c>
      <c r="R59" s="166">
        <v>27</v>
      </c>
      <c r="S59" s="166">
        <v>4</v>
      </c>
      <c r="T59" s="166"/>
      <c r="U59" s="166">
        <v>28</v>
      </c>
      <c r="V59" s="166"/>
      <c r="W59" s="166"/>
      <c r="X59" s="166">
        <v>1000</v>
      </c>
      <c r="Y59" s="166">
        <v>150</v>
      </c>
      <c r="Z59" s="166">
        <v>870</v>
      </c>
      <c r="AA59" s="166"/>
      <c r="AB59" t="s">
        <v>772</v>
      </c>
      <c r="AD59" t="s">
        <v>84</v>
      </c>
      <c r="AE59" s="163">
        <v>45825</v>
      </c>
      <c r="AF59" s="167">
        <v>58154.6</v>
      </c>
      <c r="AM59" s="163"/>
      <c r="AQ59" s="166"/>
      <c r="AR59" s="166"/>
      <c r="AS59" s="166"/>
      <c r="AT59" s="165"/>
      <c r="AU59" s="168"/>
      <c r="AX59" s="163"/>
      <c r="BA59" t="s">
        <v>534</v>
      </c>
      <c r="BB59">
        <v>160</v>
      </c>
      <c r="BC59">
        <v>1</v>
      </c>
      <c r="BF59" t="s">
        <v>773</v>
      </c>
      <c r="BH59" t="s">
        <v>774</v>
      </c>
      <c r="BI59" s="163"/>
      <c r="BJ59" s="167">
        <v>1415</v>
      </c>
      <c r="BS59" s="163"/>
      <c r="CD59" s="163"/>
    </row>
    <row r="60" spans="11:82" x14ac:dyDescent="0.25">
      <c r="K60" s="163"/>
      <c r="N60" t="s">
        <v>525</v>
      </c>
      <c r="O60" s="165" t="s">
        <v>581</v>
      </c>
      <c r="P60" s="165" t="s">
        <v>771</v>
      </c>
      <c r="Q60" s="165">
        <v>3</v>
      </c>
      <c r="R60" s="166">
        <v>33.299999999999997</v>
      </c>
      <c r="S60" s="166">
        <v>4</v>
      </c>
      <c r="T60" s="166"/>
      <c r="U60" s="166">
        <v>28</v>
      </c>
      <c r="V60" s="166"/>
      <c r="W60" s="166"/>
      <c r="X60" s="166">
        <v>1000</v>
      </c>
      <c r="Y60" s="166">
        <v>150</v>
      </c>
      <c r="Z60" s="166">
        <v>870</v>
      </c>
      <c r="AA60" s="166"/>
      <c r="AB60" t="s">
        <v>775</v>
      </c>
      <c r="AD60" t="s">
        <v>84</v>
      </c>
      <c r="AE60" s="163">
        <v>45825</v>
      </c>
      <c r="AF60" s="167">
        <v>66275.3</v>
      </c>
      <c r="AM60" s="163"/>
      <c r="AQ60" s="166"/>
      <c r="AR60" s="166"/>
      <c r="AS60" s="166"/>
      <c r="AT60" s="165"/>
      <c r="AU60" s="168"/>
      <c r="AX60" s="163"/>
      <c r="BA60" t="s">
        <v>534</v>
      </c>
      <c r="BB60">
        <v>160</v>
      </c>
      <c r="BC60">
        <v>3</v>
      </c>
      <c r="BF60" t="s">
        <v>776</v>
      </c>
      <c r="BH60" t="s">
        <v>334</v>
      </c>
      <c r="BI60" s="163">
        <v>45572</v>
      </c>
      <c r="BJ60" s="167">
        <v>3703.38</v>
      </c>
      <c r="BS60" s="163"/>
      <c r="CD60" s="163"/>
    </row>
    <row r="61" spans="11:82" x14ac:dyDescent="0.25">
      <c r="K61" s="163"/>
      <c r="N61" t="s">
        <v>525</v>
      </c>
      <c r="O61" s="165" t="s">
        <v>570</v>
      </c>
      <c r="P61" s="165" t="s">
        <v>777</v>
      </c>
      <c r="Q61" s="165">
        <v>1</v>
      </c>
      <c r="R61" s="166">
        <v>3</v>
      </c>
      <c r="S61" s="166"/>
      <c r="T61" s="166"/>
      <c r="U61" s="166"/>
      <c r="V61" s="166"/>
      <c r="W61" s="166"/>
      <c r="X61" s="166"/>
      <c r="Y61" s="166"/>
      <c r="Z61" s="166"/>
      <c r="AA61" s="166"/>
      <c r="AB61" t="s">
        <v>778</v>
      </c>
      <c r="AE61" s="163">
        <v>45825</v>
      </c>
      <c r="AF61" s="167">
        <v>6810.3</v>
      </c>
      <c r="AM61" s="163"/>
      <c r="AQ61" s="166"/>
      <c r="AR61" s="166"/>
      <c r="AS61" s="166"/>
      <c r="AT61" s="165"/>
      <c r="AU61" s="168"/>
      <c r="AX61" s="163"/>
      <c r="BA61" t="s">
        <v>534</v>
      </c>
      <c r="BB61">
        <v>160</v>
      </c>
      <c r="BC61">
        <v>3</v>
      </c>
      <c r="BD61">
        <v>25</v>
      </c>
      <c r="BF61" t="s">
        <v>779</v>
      </c>
      <c r="BH61" t="s">
        <v>308</v>
      </c>
      <c r="BI61" s="163">
        <v>45589</v>
      </c>
      <c r="BJ61" s="167">
        <v>2031.37</v>
      </c>
      <c r="BS61" s="163"/>
      <c r="CD61" s="163"/>
    </row>
    <row r="62" spans="11:82" x14ac:dyDescent="0.25">
      <c r="K62" s="163"/>
      <c r="N62" t="s">
        <v>525</v>
      </c>
      <c r="O62" s="165" t="s">
        <v>570</v>
      </c>
      <c r="P62" s="165" t="s">
        <v>777</v>
      </c>
      <c r="Q62" s="165">
        <v>1</v>
      </c>
      <c r="R62" s="166">
        <v>3</v>
      </c>
      <c r="S62" s="166"/>
      <c r="T62" s="166"/>
      <c r="U62" s="166"/>
      <c r="V62" s="166"/>
      <c r="W62" s="166"/>
      <c r="X62" s="166"/>
      <c r="Y62" s="166"/>
      <c r="Z62" s="166"/>
      <c r="AA62" s="166"/>
      <c r="AB62" t="s">
        <v>780</v>
      </c>
      <c r="AE62" s="163">
        <v>45825</v>
      </c>
      <c r="AF62" s="167">
        <v>7758.8</v>
      </c>
      <c r="AM62" s="163"/>
      <c r="AQ62" s="166"/>
      <c r="AR62" s="165"/>
      <c r="AS62" s="165"/>
      <c r="AT62" s="165"/>
      <c r="AU62" s="165"/>
      <c r="AX62" s="163"/>
      <c r="BA62" t="s">
        <v>534</v>
      </c>
      <c r="BB62">
        <v>160</v>
      </c>
      <c r="BC62">
        <v>3</v>
      </c>
      <c r="BD62">
        <v>36</v>
      </c>
      <c r="BF62" t="s">
        <v>781</v>
      </c>
      <c r="BH62" t="s">
        <v>340</v>
      </c>
      <c r="BI62" s="163">
        <v>45532</v>
      </c>
      <c r="BJ62" s="167">
        <v>3703.38</v>
      </c>
      <c r="BS62" s="163"/>
      <c r="CD62" s="163"/>
    </row>
    <row r="63" spans="11:82" x14ac:dyDescent="0.25">
      <c r="K63" s="163"/>
      <c r="N63" t="s">
        <v>525</v>
      </c>
      <c r="O63" s="165" t="s">
        <v>570</v>
      </c>
      <c r="P63" s="165" t="s">
        <v>777</v>
      </c>
      <c r="Q63" s="165">
        <v>1</v>
      </c>
      <c r="R63" s="166">
        <v>5</v>
      </c>
      <c r="S63" s="166"/>
      <c r="T63" s="166"/>
      <c r="U63" s="166"/>
      <c r="V63" s="166"/>
      <c r="W63" s="166"/>
      <c r="X63" s="166"/>
      <c r="Y63" s="166"/>
      <c r="Z63" s="166"/>
      <c r="AA63" s="166"/>
      <c r="AB63" t="s">
        <v>782</v>
      </c>
      <c r="AD63">
        <v>8161.43</v>
      </c>
      <c r="AE63" s="163">
        <v>45825</v>
      </c>
      <c r="AF63" s="167">
        <v>10697.4</v>
      </c>
      <c r="AM63" s="163"/>
      <c r="AQ63" s="166"/>
      <c r="AR63" s="165"/>
      <c r="AS63" s="165"/>
      <c r="AT63" s="165"/>
      <c r="AU63" s="165"/>
      <c r="AX63" s="163"/>
      <c r="BA63" t="s">
        <v>534</v>
      </c>
      <c r="BB63">
        <v>250</v>
      </c>
      <c r="BC63">
        <v>4</v>
      </c>
      <c r="BD63">
        <v>40</v>
      </c>
      <c r="BF63" t="s">
        <v>783</v>
      </c>
      <c r="BH63" t="s">
        <v>116</v>
      </c>
      <c r="BI63" s="163">
        <v>45622</v>
      </c>
      <c r="BJ63" s="167">
        <v>5866</v>
      </c>
      <c r="BS63" s="163"/>
      <c r="CD63" s="163"/>
    </row>
    <row r="64" spans="11:82" x14ac:dyDescent="0.25">
      <c r="K64" s="163"/>
      <c r="N64" t="s">
        <v>525</v>
      </c>
      <c r="O64" s="165" t="s">
        <v>570</v>
      </c>
      <c r="P64" s="165" t="s">
        <v>777</v>
      </c>
      <c r="Q64" s="165">
        <v>1</v>
      </c>
      <c r="R64" s="166">
        <v>5</v>
      </c>
      <c r="S64" s="166"/>
      <c r="T64" s="166"/>
      <c r="U64" s="166"/>
      <c r="V64" s="166"/>
      <c r="W64" s="166"/>
      <c r="X64" s="166"/>
      <c r="Y64" s="166"/>
      <c r="Z64" s="166"/>
      <c r="AA64" s="166"/>
      <c r="AB64" t="s">
        <v>784</v>
      </c>
      <c r="AE64" s="163">
        <v>45825</v>
      </c>
      <c r="AF64" s="167">
        <v>8463.7000000000007</v>
      </c>
      <c r="AM64" s="163"/>
      <c r="AQ64" s="166"/>
      <c r="AR64" s="165"/>
      <c r="AS64" s="165"/>
      <c r="AT64" s="165"/>
      <c r="AU64" s="168"/>
      <c r="AX64" s="163"/>
      <c r="BA64" t="s">
        <v>534</v>
      </c>
      <c r="BB64">
        <v>160</v>
      </c>
      <c r="BC64">
        <v>3</v>
      </c>
      <c r="BF64" t="s">
        <v>785</v>
      </c>
      <c r="BH64" t="s">
        <v>308</v>
      </c>
      <c r="BI64" s="163">
        <v>45394</v>
      </c>
      <c r="BJ64" s="167">
        <v>2246.96</v>
      </c>
      <c r="BS64" s="163"/>
      <c r="CD64" s="163"/>
    </row>
    <row r="65" spans="11:82" x14ac:dyDescent="0.25">
      <c r="K65" s="163"/>
      <c r="N65" t="s">
        <v>525</v>
      </c>
      <c r="O65" s="165" t="s">
        <v>570</v>
      </c>
      <c r="P65" s="165" t="s">
        <v>777</v>
      </c>
      <c r="Q65" s="165">
        <v>1</v>
      </c>
      <c r="R65" s="166">
        <v>8</v>
      </c>
      <c r="S65" s="166"/>
      <c r="T65" s="166"/>
      <c r="U65" s="166"/>
      <c r="V65" s="166"/>
      <c r="W65" s="166"/>
      <c r="X65" s="166"/>
      <c r="Y65" s="166"/>
      <c r="Z65" s="166"/>
      <c r="AA65" s="166"/>
      <c r="AB65" t="s">
        <v>786</v>
      </c>
      <c r="AE65" s="163">
        <v>45825</v>
      </c>
      <c r="AF65" s="167">
        <v>18739.7</v>
      </c>
      <c r="AM65" s="163"/>
      <c r="AQ65" s="166"/>
      <c r="AR65" s="165"/>
      <c r="AS65" s="165"/>
      <c r="AT65" s="165"/>
      <c r="AU65" s="168"/>
      <c r="AX65" s="163"/>
      <c r="BA65" t="s">
        <v>534</v>
      </c>
      <c r="BB65">
        <v>200</v>
      </c>
      <c r="BC65">
        <v>3</v>
      </c>
      <c r="BF65" t="s">
        <v>787</v>
      </c>
      <c r="BH65" t="s">
        <v>788</v>
      </c>
      <c r="BI65" s="163">
        <v>45329</v>
      </c>
      <c r="BJ65" s="167">
        <v>4779.13</v>
      </c>
      <c r="BS65" s="163"/>
      <c r="CD65" s="163"/>
    </row>
    <row r="66" spans="11:82" x14ac:dyDescent="0.25">
      <c r="K66" s="163"/>
      <c r="N66" t="s">
        <v>525</v>
      </c>
      <c r="O66" s="165" t="s">
        <v>570</v>
      </c>
      <c r="P66" s="165" t="s">
        <v>777</v>
      </c>
      <c r="Q66" s="165">
        <v>1</v>
      </c>
      <c r="R66" s="166">
        <v>10</v>
      </c>
      <c r="S66" s="166"/>
      <c r="T66" s="166"/>
      <c r="U66" s="166"/>
      <c r="V66" s="166"/>
      <c r="W66" s="166"/>
      <c r="X66" s="166"/>
      <c r="Y66" s="166"/>
      <c r="Z66" s="166"/>
      <c r="AA66" s="166"/>
      <c r="AB66" t="s">
        <v>789</v>
      </c>
      <c r="AE66" s="163">
        <v>45825</v>
      </c>
      <c r="AF66" s="167">
        <v>22382.5</v>
      </c>
      <c r="AM66" s="163"/>
      <c r="AX66" s="163"/>
      <c r="BA66" t="s">
        <v>534</v>
      </c>
      <c r="BB66">
        <v>250</v>
      </c>
      <c r="BC66">
        <v>3</v>
      </c>
      <c r="BD66">
        <v>25</v>
      </c>
      <c r="BF66" t="s">
        <v>790</v>
      </c>
      <c r="BH66" t="s">
        <v>791</v>
      </c>
      <c r="BI66" s="163">
        <v>45329</v>
      </c>
      <c r="BJ66" s="167">
        <v>3484</v>
      </c>
      <c r="BS66" s="163"/>
      <c r="CD66" s="163"/>
    </row>
    <row r="67" spans="11:82" x14ac:dyDescent="0.25">
      <c r="K67" s="163"/>
      <c r="N67" t="s">
        <v>525</v>
      </c>
      <c r="O67" s="165" t="s">
        <v>570</v>
      </c>
      <c r="P67" s="165" t="s">
        <v>777</v>
      </c>
      <c r="Q67" s="165">
        <v>1</v>
      </c>
      <c r="R67" s="166">
        <v>15</v>
      </c>
      <c r="S67" s="166"/>
      <c r="T67" s="166"/>
      <c r="U67" s="166"/>
      <c r="V67" s="166"/>
      <c r="W67" s="166"/>
      <c r="X67" s="166"/>
      <c r="Y67" s="166"/>
      <c r="Z67" s="166"/>
      <c r="AA67" s="166"/>
      <c r="AB67" t="s">
        <v>792</v>
      </c>
      <c r="AE67" s="163">
        <v>45825</v>
      </c>
      <c r="AF67" s="167">
        <v>31231.9</v>
      </c>
      <c r="AM67" s="163"/>
      <c r="AX67" s="163"/>
      <c r="BA67" t="s">
        <v>534</v>
      </c>
      <c r="BB67">
        <v>250</v>
      </c>
      <c r="BC67">
        <v>3</v>
      </c>
      <c r="BD67">
        <v>36</v>
      </c>
      <c r="BF67" t="s">
        <v>793</v>
      </c>
      <c r="BH67" t="s">
        <v>794</v>
      </c>
      <c r="BI67" s="163">
        <v>45693</v>
      </c>
      <c r="BJ67" s="167">
        <v>1325.33</v>
      </c>
      <c r="BS67" s="163"/>
      <c r="CD67" s="163"/>
    </row>
    <row r="68" spans="11:82" x14ac:dyDescent="0.25">
      <c r="K68" s="163"/>
      <c r="N68" t="s">
        <v>525</v>
      </c>
      <c r="O68" s="165" t="s">
        <v>570</v>
      </c>
      <c r="P68" s="165" t="s">
        <v>777</v>
      </c>
      <c r="Q68" s="165">
        <v>1</v>
      </c>
      <c r="R68" s="166">
        <v>5</v>
      </c>
      <c r="S68" s="166"/>
      <c r="T68" s="166"/>
      <c r="U68" s="166"/>
      <c r="V68" s="166"/>
      <c r="W68" s="166"/>
      <c r="X68" s="166"/>
      <c r="Y68" s="166"/>
      <c r="Z68" s="166"/>
      <c r="AA68" s="166"/>
      <c r="AB68" t="s">
        <v>795</v>
      </c>
      <c r="AE68" s="163">
        <v>45825</v>
      </c>
      <c r="AF68" s="167">
        <v>19234.599999999999</v>
      </c>
      <c r="AM68" s="163"/>
      <c r="AX68" s="163"/>
      <c r="BA68" t="s">
        <v>534</v>
      </c>
      <c r="BB68">
        <v>320</v>
      </c>
      <c r="BC68">
        <v>3</v>
      </c>
      <c r="BD68">
        <v>50</v>
      </c>
      <c r="BF68" t="s">
        <v>796</v>
      </c>
      <c r="BH68" t="s">
        <v>791</v>
      </c>
      <c r="BI68" s="163">
        <v>45329</v>
      </c>
      <c r="BJ68" s="167">
        <v>7244</v>
      </c>
      <c r="BS68" s="163"/>
      <c r="CD68" s="163"/>
    </row>
    <row r="69" spans="11:82" x14ac:dyDescent="0.25">
      <c r="K69" s="163"/>
      <c r="N69" t="s">
        <v>525</v>
      </c>
      <c r="O69" s="165" t="s">
        <v>570</v>
      </c>
      <c r="P69" s="165" t="s">
        <v>777</v>
      </c>
      <c r="Q69" s="165">
        <v>1</v>
      </c>
      <c r="R69" s="166">
        <v>8</v>
      </c>
      <c r="S69" s="166"/>
      <c r="T69" s="166"/>
      <c r="U69" s="166"/>
      <c r="V69" s="166"/>
      <c r="W69" s="166"/>
      <c r="X69" s="166"/>
      <c r="Y69" s="166"/>
      <c r="Z69" s="166"/>
      <c r="AA69" s="166"/>
      <c r="AB69" t="s">
        <v>797</v>
      </c>
      <c r="AE69" s="163">
        <v>45825</v>
      </c>
      <c r="AF69" s="167">
        <v>25387.599999999999</v>
      </c>
      <c r="AM69" s="163"/>
      <c r="AX69" s="163"/>
      <c r="BA69" t="s">
        <v>534</v>
      </c>
      <c r="BB69">
        <v>350</v>
      </c>
      <c r="BC69">
        <v>3</v>
      </c>
      <c r="BD69">
        <v>50</v>
      </c>
      <c r="BF69" t="s">
        <v>798</v>
      </c>
      <c r="BH69" t="s">
        <v>799</v>
      </c>
      <c r="BI69" s="163">
        <v>45631</v>
      </c>
      <c r="BJ69" s="167">
        <v>12333</v>
      </c>
      <c r="BS69" s="163"/>
      <c r="CD69" s="163"/>
    </row>
    <row r="70" spans="11:82" x14ac:dyDescent="0.25">
      <c r="K70" s="163"/>
      <c r="N70" t="s">
        <v>525</v>
      </c>
      <c r="O70" s="165" t="s">
        <v>570</v>
      </c>
      <c r="P70" s="165" t="s">
        <v>777</v>
      </c>
      <c r="Q70" s="165">
        <v>1</v>
      </c>
      <c r="R70" s="166">
        <v>10</v>
      </c>
      <c r="S70" s="166"/>
      <c r="T70" s="166"/>
      <c r="U70" s="166"/>
      <c r="V70" s="166"/>
      <c r="W70" s="166"/>
      <c r="X70" s="166"/>
      <c r="Y70" s="166"/>
      <c r="Z70" s="166"/>
      <c r="AA70" s="166"/>
      <c r="AB70" t="s">
        <v>800</v>
      </c>
      <c r="AE70" s="163">
        <v>45825</v>
      </c>
      <c r="AF70" s="167">
        <v>30332.400000000001</v>
      </c>
      <c r="AM70" s="163"/>
      <c r="AX70" s="163"/>
      <c r="BS70" s="163"/>
      <c r="CD70" s="163"/>
    </row>
    <row r="71" spans="11:82" x14ac:dyDescent="0.25">
      <c r="K71" s="163"/>
      <c r="N71" t="s">
        <v>525</v>
      </c>
      <c r="O71" s="165" t="s">
        <v>570</v>
      </c>
      <c r="P71" s="165" t="s">
        <v>777</v>
      </c>
      <c r="Q71" s="165">
        <v>1</v>
      </c>
      <c r="R71" s="166">
        <v>15</v>
      </c>
      <c r="S71" s="166"/>
      <c r="T71" s="166"/>
      <c r="U71" s="166"/>
      <c r="V71" s="166"/>
      <c r="W71" s="166"/>
      <c r="X71" s="166"/>
      <c r="Y71" s="166"/>
      <c r="Z71" s="166"/>
      <c r="AA71" s="166"/>
      <c r="AB71" t="s">
        <v>801</v>
      </c>
      <c r="AD71" t="s">
        <v>113</v>
      </c>
      <c r="AE71" s="163">
        <v>45825</v>
      </c>
      <c r="AF71" s="167">
        <v>38635.800000000003</v>
      </c>
      <c r="AM71" s="163"/>
      <c r="AX71" s="163"/>
      <c r="BI71" s="163"/>
      <c r="BS71" s="163"/>
      <c r="CD71" s="163"/>
    </row>
    <row r="72" spans="11:82" x14ac:dyDescent="0.25">
      <c r="K72" s="163"/>
      <c r="AE72" s="163"/>
      <c r="AM72" s="163"/>
      <c r="AX72" s="163"/>
      <c r="BI72" s="163"/>
      <c r="BS72" s="163"/>
      <c r="CD72" s="163"/>
    </row>
    <row r="73" spans="11:82" x14ac:dyDescent="0.25">
      <c r="K73" s="163"/>
      <c r="AE73" s="163"/>
      <c r="AM73" s="163"/>
      <c r="AX73" s="163"/>
      <c r="BI73" s="163"/>
      <c r="BS73" s="163"/>
      <c r="CD73" s="163"/>
    </row>
    <row r="74" spans="11:82" x14ac:dyDescent="0.25">
      <c r="K74" s="163"/>
      <c r="AE74" s="163"/>
      <c r="AM74" s="163"/>
      <c r="AX74" s="163"/>
      <c r="BI74" s="163"/>
      <c r="BS74" s="163"/>
      <c r="CD74" s="163"/>
    </row>
    <row r="75" spans="11:82" x14ac:dyDescent="0.25">
      <c r="K75" s="163"/>
      <c r="AE75" s="163"/>
      <c r="AM75" s="163"/>
      <c r="AX75" s="163"/>
      <c r="BI75" s="163"/>
      <c r="BS75" s="163"/>
      <c r="CD75" s="163"/>
    </row>
    <row r="76" spans="11:82" x14ac:dyDescent="0.25">
      <c r="K76" s="163"/>
      <c r="AE76" s="163"/>
      <c r="AM76" s="163"/>
      <c r="AX76" s="163"/>
      <c r="BI76" s="163"/>
      <c r="BS76" s="163"/>
      <c r="CD76" s="163"/>
    </row>
    <row r="77" spans="11:82" x14ac:dyDescent="0.25">
      <c r="K77" s="163"/>
      <c r="AE77" s="163"/>
      <c r="AM77" s="163"/>
      <c r="AX77" s="163"/>
      <c r="BI77" s="163"/>
      <c r="BS77" s="163"/>
      <c r="CD77" s="163"/>
    </row>
    <row r="78" spans="11:82" x14ac:dyDescent="0.25">
      <c r="K78" s="163"/>
      <c r="AE78" s="163"/>
      <c r="AM78" s="163"/>
      <c r="AX78" s="163"/>
      <c r="BI78" s="163"/>
      <c r="BS78" s="163"/>
      <c r="CD78" s="163"/>
    </row>
    <row r="79" spans="11:82" x14ac:dyDescent="0.25">
      <c r="K79" s="163"/>
      <c r="AE79" s="163"/>
      <c r="AM79" s="163"/>
      <c r="AX79" s="163"/>
      <c r="BI79" s="163"/>
      <c r="BS79" s="163"/>
      <c r="CD79" s="163"/>
    </row>
    <row r="80" spans="11:82" x14ac:dyDescent="0.25">
      <c r="K80" s="163"/>
      <c r="AE80" s="163"/>
      <c r="AM80" s="163"/>
      <c r="AX80" s="163"/>
      <c r="BI80" s="163"/>
      <c r="BS80" s="163"/>
      <c r="CD80" s="163"/>
    </row>
    <row r="81" spans="11:82" x14ac:dyDescent="0.25">
      <c r="K81" s="163"/>
      <c r="AE81" s="163"/>
      <c r="AM81" s="163"/>
      <c r="AX81" s="163"/>
      <c r="BI81" s="163"/>
      <c r="BS81" s="163"/>
      <c r="CD81" s="163"/>
    </row>
    <row r="82" spans="11:82" x14ac:dyDescent="0.25">
      <c r="K82" s="163"/>
      <c r="AE82" s="163"/>
      <c r="AM82" s="163"/>
      <c r="AX82" s="163"/>
      <c r="BI82" s="163"/>
      <c r="BS82" s="163"/>
      <c r="CD82" s="163"/>
    </row>
    <row r="83" spans="11:82" x14ac:dyDescent="0.25">
      <c r="K83" s="163"/>
      <c r="AE83" s="163"/>
      <c r="AM83" s="163"/>
      <c r="AX83" s="163"/>
      <c r="BI83" s="163"/>
      <c r="BS83" s="163"/>
      <c r="CD83" s="163"/>
    </row>
    <row r="84" spans="11:82" x14ac:dyDescent="0.25">
      <c r="K84" s="163"/>
      <c r="AE84" s="163"/>
      <c r="AM84" s="163"/>
      <c r="AX84" s="163"/>
      <c r="BI84" s="163"/>
      <c r="BS84" s="163"/>
      <c r="CD84" s="163"/>
    </row>
    <row r="85" spans="11:82" x14ac:dyDescent="0.25">
      <c r="K85" s="163"/>
      <c r="AE85" s="163"/>
      <c r="AM85" s="163"/>
      <c r="AX85" s="163"/>
      <c r="BI85" s="163"/>
      <c r="BS85" s="163"/>
      <c r="CD85" s="163"/>
    </row>
    <row r="86" spans="11:82" x14ac:dyDescent="0.25">
      <c r="K86" s="163"/>
      <c r="AE86" s="163"/>
      <c r="AM86" s="163"/>
      <c r="AX86" s="163"/>
      <c r="BI86" s="163"/>
      <c r="BS86" s="163"/>
      <c r="CD86" s="163"/>
    </row>
    <row r="87" spans="11:82" x14ac:dyDescent="0.25">
      <c r="K87" s="163"/>
      <c r="AE87" s="163"/>
      <c r="AM87" s="163"/>
      <c r="AX87" s="163"/>
      <c r="BI87" s="163"/>
      <c r="BS87" s="163"/>
      <c r="CD87" s="163"/>
    </row>
    <row r="88" spans="11:82" x14ac:dyDescent="0.25">
      <c r="K88" s="163"/>
      <c r="AE88" s="163"/>
      <c r="AM88" s="163"/>
      <c r="AX88" s="163"/>
      <c r="BI88" s="163"/>
      <c r="BS88" s="163"/>
      <c r="CD88" s="163"/>
    </row>
    <row r="89" spans="11:82" x14ac:dyDescent="0.25">
      <c r="K89" s="163"/>
      <c r="AE89" s="163"/>
      <c r="AM89" s="163"/>
      <c r="AX89" s="163"/>
      <c r="BI89" s="163"/>
      <c r="BS89" s="163"/>
      <c r="CD89" s="163"/>
    </row>
    <row r="90" spans="11:82" x14ac:dyDescent="0.25">
      <c r="K90" s="163"/>
      <c r="AE90" s="163"/>
      <c r="AM90" s="163"/>
      <c r="AX90" s="163"/>
      <c r="BI90" s="163"/>
      <c r="BS90" s="163"/>
      <c r="CD90" s="163"/>
    </row>
    <row r="91" spans="11:82" x14ac:dyDescent="0.25">
      <c r="K91" s="163"/>
      <c r="AE91" s="163"/>
      <c r="AM91" s="163"/>
      <c r="AX91" s="163"/>
      <c r="BI91" s="163"/>
      <c r="BS91" s="163"/>
      <c r="CD91" s="163"/>
    </row>
    <row r="92" spans="11:82" x14ac:dyDescent="0.25">
      <c r="K92" s="163"/>
      <c r="AE92" s="163"/>
      <c r="AM92" s="163"/>
      <c r="AX92" s="163"/>
      <c r="BI92" s="163"/>
      <c r="BS92" s="163"/>
      <c r="CD92" s="163"/>
    </row>
    <row r="93" spans="11:82" x14ac:dyDescent="0.25">
      <c r="K93" s="163"/>
      <c r="AE93" s="163"/>
      <c r="AM93" s="163"/>
      <c r="AX93" s="163"/>
      <c r="BI93" s="163"/>
      <c r="BS93" s="163"/>
      <c r="CD93" s="163"/>
    </row>
    <row r="94" spans="11:82" x14ac:dyDescent="0.25">
      <c r="K94" s="163"/>
      <c r="AE94" s="163"/>
      <c r="AM94" s="163"/>
      <c r="AX94" s="163"/>
      <c r="BI94" s="163"/>
      <c r="BS94" s="163"/>
      <c r="CD94" s="163"/>
    </row>
    <row r="95" spans="11:82" x14ac:dyDescent="0.25">
      <c r="K95" s="163"/>
      <c r="AE95" s="163"/>
      <c r="AM95" s="163"/>
      <c r="AX95" s="163"/>
      <c r="BI95" s="163"/>
      <c r="BS95" s="163"/>
      <c r="CD95" s="163"/>
    </row>
    <row r="96" spans="11:82" x14ac:dyDescent="0.25">
      <c r="K96" s="163"/>
      <c r="AE96" s="163"/>
      <c r="AM96" s="163"/>
      <c r="AX96" s="163"/>
      <c r="BI96" s="163"/>
      <c r="BS96" s="163"/>
      <c r="CD96" s="163"/>
    </row>
    <row r="97" spans="11:82" x14ac:dyDescent="0.25">
      <c r="K97" s="163"/>
      <c r="AE97" s="163"/>
      <c r="AM97" s="163"/>
      <c r="AX97" s="163"/>
      <c r="BI97" s="163"/>
      <c r="BS97" s="163"/>
      <c r="CD97" s="163"/>
    </row>
    <row r="98" spans="11:82" x14ac:dyDescent="0.25">
      <c r="K98" s="163"/>
      <c r="AE98" s="163"/>
      <c r="AM98" s="163"/>
      <c r="AX98" s="163"/>
      <c r="BI98" s="163"/>
      <c r="BS98" s="163"/>
      <c r="CD98" s="163"/>
    </row>
    <row r="99" spans="11:82" x14ac:dyDescent="0.25">
      <c r="K99" s="163"/>
      <c r="AE99" s="163"/>
      <c r="AM99" s="163"/>
      <c r="AX99" s="163"/>
      <c r="BI99" s="163"/>
      <c r="BS99" s="163"/>
      <c r="CD99" s="163"/>
    </row>
    <row r="100" spans="11:82" x14ac:dyDescent="0.25">
      <c r="K100" s="163"/>
      <c r="AE100" s="163"/>
      <c r="AM100" s="163"/>
      <c r="AX100" s="163"/>
      <c r="BI100" s="163"/>
      <c r="BS100" s="163"/>
      <c r="CD100" s="163"/>
    </row>
    <row r="101" spans="11:82" x14ac:dyDescent="0.25">
      <c r="K101" s="163"/>
      <c r="AE101" s="163"/>
      <c r="AM101" s="163"/>
      <c r="AX101" s="163"/>
      <c r="BI101" s="163"/>
      <c r="BS101" s="163"/>
      <c r="CD101" s="163"/>
    </row>
    <row r="102" spans="11:82" x14ac:dyDescent="0.25">
      <c r="K102" s="163"/>
      <c r="AE102" s="163"/>
      <c r="AM102" s="163"/>
      <c r="AX102" s="163"/>
      <c r="BI102" s="163"/>
      <c r="BS102" s="163"/>
      <c r="CD102" s="163"/>
    </row>
    <row r="103" spans="11:82" x14ac:dyDescent="0.25">
      <c r="K103" s="163"/>
      <c r="AE103" s="163"/>
      <c r="AM103" s="163"/>
      <c r="AX103" s="163"/>
      <c r="BI103" s="163"/>
      <c r="BS103" s="163"/>
      <c r="CD103" s="163"/>
    </row>
    <row r="104" spans="11:82" x14ac:dyDescent="0.25">
      <c r="K104" s="163"/>
      <c r="AE104" s="163"/>
      <c r="AM104" s="163"/>
      <c r="AX104" s="163"/>
      <c r="BI104" s="163"/>
      <c r="BS104" s="163"/>
      <c r="CD104" s="163"/>
    </row>
    <row r="105" spans="11:82" x14ac:dyDescent="0.25">
      <c r="K105" s="163"/>
      <c r="AE105" s="163"/>
      <c r="AM105" s="163"/>
      <c r="AX105" s="163"/>
      <c r="BI105" s="163"/>
      <c r="BS105" s="163"/>
      <c r="CD105" s="163"/>
    </row>
    <row r="106" spans="11:82" x14ac:dyDescent="0.25">
      <c r="K106" s="163"/>
      <c r="AE106" s="163"/>
      <c r="AM106" s="163"/>
      <c r="AX106" s="163"/>
      <c r="BI106" s="163"/>
      <c r="BS106" s="163"/>
      <c r="CD106" s="163"/>
    </row>
    <row r="107" spans="11:82" x14ac:dyDescent="0.25">
      <c r="K107" s="163"/>
      <c r="AE107" s="163"/>
      <c r="AM107" s="163"/>
      <c r="AX107" s="163"/>
      <c r="BI107" s="163"/>
      <c r="BS107" s="163"/>
      <c r="CD107" s="163"/>
    </row>
    <row r="108" spans="11:82" x14ac:dyDescent="0.25">
      <c r="K108" s="163"/>
      <c r="AE108" s="163"/>
      <c r="AM108" s="163"/>
      <c r="AX108" s="163"/>
      <c r="BI108" s="163"/>
      <c r="BS108" s="163"/>
      <c r="CD108" s="163"/>
    </row>
    <row r="109" spans="11:82" x14ac:dyDescent="0.25">
      <c r="K109" s="163"/>
      <c r="AE109" s="163"/>
      <c r="AM109" s="163"/>
      <c r="AX109" s="163"/>
      <c r="BI109" s="163"/>
      <c r="BS109" s="163"/>
      <c r="CD109" s="163"/>
    </row>
    <row r="110" spans="11:82" x14ac:dyDescent="0.25">
      <c r="K110" s="163"/>
      <c r="AE110" s="163"/>
      <c r="AM110" s="163"/>
      <c r="AX110" s="163"/>
      <c r="BI110" s="163"/>
      <c r="BS110" s="163"/>
      <c r="CD110" s="163"/>
    </row>
    <row r="111" spans="11:82" x14ac:dyDescent="0.25">
      <c r="K111" s="163"/>
      <c r="AE111" s="163"/>
      <c r="AM111" s="163"/>
      <c r="AX111" s="163"/>
      <c r="BI111" s="163"/>
      <c r="BS111" s="163"/>
      <c r="CD111" s="163"/>
    </row>
    <row r="112" spans="11:82" x14ac:dyDescent="0.25">
      <c r="K112" s="163"/>
      <c r="AE112" s="163"/>
      <c r="AM112" s="163"/>
      <c r="AX112" s="163"/>
      <c r="BI112" s="163"/>
      <c r="BS112" s="163"/>
      <c r="CD112" s="163"/>
    </row>
    <row r="113" spans="11:82" x14ac:dyDescent="0.25">
      <c r="K113" s="163"/>
      <c r="AE113" s="163"/>
      <c r="AM113" s="163"/>
      <c r="AX113" s="163"/>
      <c r="BI113" s="163"/>
      <c r="BS113" s="163"/>
      <c r="CD113" s="163"/>
    </row>
    <row r="114" spans="11:82" x14ac:dyDescent="0.25">
      <c r="K114" s="163"/>
      <c r="AE114" s="163"/>
      <c r="AM114" s="163"/>
      <c r="AX114" s="163"/>
      <c r="BI114" s="163"/>
      <c r="BS114" s="163"/>
      <c r="CD114" s="163"/>
    </row>
    <row r="115" spans="11:82" x14ac:dyDescent="0.25">
      <c r="K115" s="163"/>
      <c r="AE115" s="163"/>
      <c r="AM115" s="163"/>
      <c r="AX115" s="163"/>
      <c r="BI115" s="163"/>
      <c r="BS115" s="163"/>
      <c r="CD115" s="163"/>
    </row>
    <row r="116" spans="11:82" x14ac:dyDescent="0.25">
      <c r="K116" s="163"/>
      <c r="AE116" s="163"/>
      <c r="AM116" s="163"/>
      <c r="AX116" s="163"/>
      <c r="BI116" s="163"/>
      <c r="BS116" s="163"/>
      <c r="CD116" s="163"/>
    </row>
    <row r="117" spans="11:82" x14ac:dyDescent="0.25">
      <c r="K117" s="163"/>
      <c r="AE117" s="163"/>
      <c r="AM117" s="163"/>
      <c r="AX117" s="163"/>
      <c r="BI117" s="163"/>
      <c r="BS117" s="163"/>
      <c r="CD117" s="163"/>
    </row>
    <row r="118" spans="11:82" x14ac:dyDescent="0.25">
      <c r="K118" s="163"/>
      <c r="AE118" s="163"/>
      <c r="AM118" s="163"/>
      <c r="AX118" s="163"/>
      <c r="BI118" s="163"/>
      <c r="BS118" s="163"/>
      <c r="CD118" s="163"/>
    </row>
    <row r="119" spans="11:82" x14ac:dyDescent="0.25">
      <c r="K119" s="163"/>
      <c r="AE119" s="163"/>
      <c r="AM119" s="163"/>
      <c r="AX119" s="163"/>
      <c r="BI119" s="163"/>
      <c r="BS119" s="163"/>
      <c r="CD119" s="163"/>
    </row>
    <row r="120" spans="11:82" x14ac:dyDescent="0.25">
      <c r="K120" s="163"/>
      <c r="AE120" s="163"/>
      <c r="AM120" s="163"/>
      <c r="AX120" s="163"/>
      <c r="BI120" s="163"/>
      <c r="BS120" s="163"/>
      <c r="CD120" s="163"/>
    </row>
    <row r="121" spans="11:82" x14ac:dyDescent="0.25">
      <c r="K121" s="163"/>
      <c r="AE121" s="163"/>
      <c r="AM121" s="163"/>
      <c r="AX121" s="163"/>
      <c r="BI121" s="163"/>
      <c r="BS121" s="163"/>
      <c r="CD121" s="163"/>
    </row>
    <row r="122" spans="11:82" x14ac:dyDescent="0.25">
      <c r="K122" s="163"/>
      <c r="AE122" s="163"/>
      <c r="AM122" s="163"/>
      <c r="AX122" s="163"/>
      <c r="BI122" s="163"/>
      <c r="BS122" s="163"/>
      <c r="CD122" s="163"/>
    </row>
    <row r="123" spans="11:82" x14ac:dyDescent="0.25">
      <c r="K123" s="163"/>
      <c r="AE123" s="163"/>
      <c r="AM123" s="163"/>
      <c r="AX123" s="163"/>
      <c r="BI123" s="163"/>
      <c r="BS123" s="163"/>
      <c r="CD123" s="163"/>
    </row>
    <row r="124" spans="11:82" x14ac:dyDescent="0.25">
      <c r="K124" s="163"/>
      <c r="AE124" s="163"/>
      <c r="AM124" s="163"/>
      <c r="AX124" s="163"/>
      <c r="BI124" s="163"/>
      <c r="BS124" s="163"/>
      <c r="CD124" s="163"/>
    </row>
    <row r="125" spans="11:82" x14ac:dyDescent="0.25">
      <c r="K125" s="163"/>
      <c r="AE125" s="163"/>
      <c r="AM125" s="163"/>
      <c r="AX125" s="163"/>
      <c r="BI125" s="163"/>
      <c r="BS125" s="163"/>
      <c r="CD125" s="163"/>
    </row>
    <row r="126" spans="11:82" x14ac:dyDescent="0.25">
      <c r="K126" s="163"/>
      <c r="AE126" s="163"/>
      <c r="AM126" s="163"/>
      <c r="AX126" s="163"/>
      <c r="BI126" s="163"/>
      <c r="BS126" s="163"/>
      <c r="CD126" s="163"/>
    </row>
    <row r="127" spans="11:82" x14ac:dyDescent="0.25">
      <c r="K127" s="163"/>
      <c r="AE127" s="163"/>
      <c r="AM127" s="163"/>
      <c r="AX127" s="163"/>
      <c r="BI127" s="163"/>
      <c r="BS127" s="163"/>
      <c r="CD127" s="163"/>
    </row>
    <row r="128" spans="11:82" x14ac:dyDescent="0.25">
      <c r="K128" s="163"/>
      <c r="AE128" s="163"/>
      <c r="AM128" s="163"/>
      <c r="AX128" s="163"/>
      <c r="BI128" s="163"/>
      <c r="BS128" s="163"/>
      <c r="CD128" s="163"/>
    </row>
    <row r="129" spans="11:82" x14ac:dyDescent="0.25">
      <c r="K129" s="163"/>
      <c r="AE129" s="163"/>
      <c r="AM129" s="163"/>
      <c r="AX129" s="163"/>
      <c r="BI129" s="163"/>
      <c r="BS129" s="163"/>
      <c r="CD129" s="163"/>
    </row>
    <row r="130" spans="11:82" x14ac:dyDescent="0.25">
      <c r="K130" s="163"/>
      <c r="AE130" s="163"/>
      <c r="AM130" s="163"/>
      <c r="AX130" s="163"/>
      <c r="BI130" s="163"/>
      <c r="BS130" s="163"/>
      <c r="CD130" s="163"/>
    </row>
    <row r="131" spans="11:82" x14ac:dyDescent="0.25">
      <c r="K131" s="163"/>
      <c r="AE131" s="163"/>
      <c r="AM131" s="163"/>
      <c r="AX131" s="163"/>
      <c r="BI131" s="163"/>
      <c r="BS131" s="163"/>
      <c r="CD131" s="163"/>
    </row>
    <row r="132" spans="11:82" x14ac:dyDescent="0.25">
      <c r="K132" s="163"/>
      <c r="AE132" s="163"/>
      <c r="AM132" s="163"/>
      <c r="AX132" s="163"/>
      <c r="BI132" s="163"/>
      <c r="BS132" s="163"/>
      <c r="CD132" s="163"/>
    </row>
    <row r="133" spans="11:82" x14ac:dyDescent="0.25">
      <c r="K133" s="163"/>
      <c r="AE133" s="163"/>
      <c r="AM133" s="163"/>
      <c r="AX133" s="163"/>
      <c r="BI133" s="163"/>
      <c r="BS133" s="163"/>
      <c r="CD133" s="163"/>
    </row>
    <row r="134" spans="11:82" x14ac:dyDescent="0.25">
      <c r="K134" s="163"/>
      <c r="AE134" s="163"/>
      <c r="AM134" s="163"/>
      <c r="AX134" s="163"/>
      <c r="BI134" s="163"/>
      <c r="BS134" s="163"/>
      <c r="CD134" s="163"/>
    </row>
    <row r="135" spans="11:82" x14ac:dyDescent="0.25">
      <c r="K135" s="163"/>
      <c r="AE135" s="163"/>
      <c r="AM135" s="163"/>
      <c r="AX135" s="163"/>
      <c r="BI135" s="163"/>
      <c r="BS135" s="163"/>
      <c r="CD135" s="163"/>
    </row>
    <row r="136" spans="11:82" x14ac:dyDescent="0.25">
      <c r="K136" s="163"/>
      <c r="AE136" s="163"/>
      <c r="AM136" s="163"/>
      <c r="AX136" s="163"/>
      <c r="BI136" s="163"/>
      <c r="BS136" s="163"/>
      <c r="CD136" s="163"/>
    </row>
    <row r="137" spans="11:82" x14ac:dyDescent="0.25">
      <c r="K137" s="163"/>
      <c r="AE137" s="163"/>
      <c r="AM137" s="163"/>
      <c r="AX137" s="163"/>
      <c r="BI137" s="163"/>
      <c r="BS137" s="163"/>
      <c r="CD137" s="163"/>
    </row>
    <row r="138" spans="11:82" x14ac:dyDescent="0.25">
      <c r="K138" s="163"/>
      <c r="AE138" s="163"/>
      <c r="AM138" s="163"/>
      <c r="AX138" s="163"/>
      <c r="BI138" s="163"/>
      <c r="BS138" s="163"/>
      <c r="CD138" s="163"/>
    </row>
    <row r="139" spans="11:82" x14ac:dyDescent="0.25">
      <c r="K139" s="163"/>
      <c r="AE139" s="163"/>
      <c r="AM139" s="163"/>
      <c r="AX139" s="163"/>
      <c r="BI139" s="163"/>
      <c r="BS139" s="163"/>
      <c r="CD139" s="163"/>
    </row>
    <row r="140" spans="11:82" x14ac:dyDescent="0.25">
      <c r="K140" s="163"/>
      <c r="AE140" s="163"/>
      <c r="AM140" s="163"/>
      <c r="AX140" s="163"/>
      <c r="BI140" s="163"/>
      <c r="BS140" s="163"/>
      <c r="CD140" s="163"/>
    </row>
    <row r="141" spans="11:82" x14ac:dyDescent="0.25">
      <c r="K141" s="163"/>
      <c r="AE141" s="163"/>
      <c r="AM141" s="163"/>
      <c r="AX141" s="163"/>
      <c r="BI141" s="163"/>
      <c r="BS141" s="163"/>
      <c r="CD141" s="163"/>
    </row>
    <row r="142" spans="11:82" x14ac:dyDescent="0.25">
      <c r="K142" s="163"/>
      <c r="AE142" s="163"/>
      <c r="AM142" s="163"/>
      <c r="AX142" s="163"/>
      <c r="BI142" s="163"/>
      <c r="BS142" s="163"/>
      <c r="CD142" s="163"/>
    </row>
    <row r="143" spans="11:82" x14ac:dyDescent="0.25">
      <c r="K143" s="163"/>
      <c r="AE143" s="163"/>
      <c r="AM143" s="163"/>
      <c r="AX143" s="163"/>
      <c r="BI143" s="163"/>
      <c r="BS143" s="163"/>
      <c r="CD143" s="163"/>
    </row>
    <row r="144" spans="11:82" x14ac:dyDescent="0.25">
      <c r="K144" s="163"/>
      <c r="AE144" s="163"/>
      <c r="AM144" s="163"/>
      <c r="AX144" s="163"/>
      <c r="BI144" s="163"/>
      <c r="BS144" s="163"/>
      <c r="CD144" s="163"/>
    </row>
    <row r="145" spans="11:82" x14ac:dyDescent="0.25">
      <c r="K145" s="163"/>
      <c r="AE145" s="163"/>
      <c r="AM145" s="163"/>
      <c r="AX145" s="163"/>
      <c r="BI145" s="163"/>
      <c r="BS145" s="163"/>
      <c r="CD145" s="163"/>
    </row>
    <row r="146" spans="11:82" x14ac:dyDescent="0.25">
      <c r="K146" s="163"/>
      <c r="AE146" s="163"/>
      <c r="AM146" s="163"/>
      <c r="AX146" s="163"/>
      <c r="BI146" s="163"/>
      <c r="BS146" s="163"/>
      <c r="CD146" s="163"/>
    </row>
    <row r="147" spans="11:82" x14ac:dyDescent="0.25">
      <c r="K147" s="163"/>
      <c r="AE147" s="163"/>
      <c r="AM147" s="163"/>
      <c r="AX147" s="163"/>
      <c r="BI147" s="163"/>
      <c r="BS147" s="163"/>
      <c r="CD147" s="163"/>
    </row>
    <row r="148" spans="11:82" x14ac:dyDescent="0.25">
      <c r="K148" s="163"/>
      <c r="AM148" s="163"/>
      <c r="AX148" s="163"/>
      <c r="BI148" s="163"/>
      <c r="BS148" s="163"/>
      <c r="CD148" s="163"/>
    </row>
    <row r="149" spans="11:82" x14ac:dyDescent="0.25">
      <c r="K149" s="163"/>
      <c r="AM149" s="163"/>
      <c r="AX149" s="163"/>
      <c r="BI149" s="163"/>
      <c r="BS149" s="163"/>
      <c r="CD149" s="163"/>
    </row>
    <row r="150" spans="11:82" x14ac:dyDescent="0.25">
      <c r="K150" s="163"/>
      <c r="AM150" s="163"/>
      <c r="AX150" s="163"/>
      <c r="BI150" s="163"/>
      <c r="BS150" s="163"/>
      <c r="CD150" s="163"/>
    </row>
    <row r="151" spans="11:82" x14ac:dyDescent="0.25">
      <c r="BI151" s="163"/>
    </row>
    <row r="152" spans="11:82" x14ac:dyDescent="0.25">
      <c r="BI152" s="163"/>
    </row>
    <row r="153" spans="11:82" x14ac:dyDescent="0.25">
      <c r="BI153" s="163"/>
    </row>
  </sheetData>
  <mergeCells count="8">
    <mergeCell ref="CG1:CM2"/>
    <mergeCell ref="A1:L2"/>
    <mergeCell ref="BA1:BJ2"/>
    <mergeCell ref="BV1:CE2"/>
    <mergeCell ref="BL1:BT2"/>
    <mergeCell ref="N1:AF2"/>
    <mergeCell ref="AH1:AN2"/>
    <mergeCell ref="AP1:AY2"/>
  </mergeCells>
  <phoneticPr fontId="19" type="noConversion"/>
  <conditionalFormatting sqref="AE4:AE147 K4:K150">
    <cfRule type="timePeriod" dxfId="15" priority="9" timePeriod="lastMonth">
      <formula>AND(MONTH(K4)=MONTH(EDATE(TODAY(),0-1)),YEAR(K4)=YEAR(EDATE(TODAY(),0-1)))</formula>
    </cfRule>
    <cfRule type="timePeriod" dxfId="14" priority="10" timePeriod="thisMonth">
      <formula>AND(MONTH(K4)=MONTH(TODAY()),YEAR(K4)=YEAR(TODAY()))</formula>
    </cfRule>
  </conditionalFormatting>
  <conditionalFormatting sqref="AM4:AM150">
    <cfRule type="timePeriod" dxfId="13" priority="19" timePeriod="lastMonth">
      <formula>AND(MONTH(AM4)=MONTH(EDATE(TODAY(),0-1)),YEAR(AM4)=YEAR(EDATE(TODAY(),0-1)))</formula>
    </cfRule>
    <cfRule type="timePeriod" dxfId="12" priority="20" timePeriod="thisMonth">
      <formula>AND(MONTH(AM4)=MONTH(TODAY()),YEAR(AM4)=YEAR(TODAY()))</formula>
    </cfRule>
  </conditionalFormatting>
  <conditionalFormatting sqref="AX4:AX150">
    <cfRule type="timePeriod" dxfId="11" priority="17" timePeriod="lastMonth">
      <formula>AND(MONTH(AX4)=MONTH(EDATE(TODAY(),0-1)),YEAR(AX4)=YEAR(EDATE(TODAY(),0-1)))</formula>
    </cfRule>
    <cfRule type="timePeriod" dxfId="10" priority="18" timePeriod="thisMonth">
      <formula>AND(MONTH(AX4)=MONTH(TODAY()),YEAR(AX4)=YEAR(TODAY()))</formula>
    </cfRule>
  </conditionalFormatting>
  <conditionalFormatting sqref="BI4:BI69 BI71:BI153">
    <cfRule type="timePeriod" dxfId="9" priority="21" timePeriod="lastMonth">
      <formula>AND(MONTH(BI4)=MONTH(EDATE(TODAY(),0-1)),YEAR(BI4)=YEAR(EDATE(TODAY(),0-1)))</formula>
    </cfRule>
    <cfRule type="timePeriod" dxfId="8" priority="22" timePeriod="thisMonth">
      <formula>AND(MONTH(BI4)=MONTH(TODAY()),YEAR(BI4)=YEAR(TODAY()))</formula>
    </cfRule>
  </conditionalFormatting>
  <conditionalFormatting sqref="BS4:BS150">
    <cfRule type="timePeriod" dxfId="7" priority="7" timePeriod="lastMonth">
      <formula>AND(MONTH(BS4)=MONTH(EDATE(TODAY(),0-1)),YEAR(BS4)=YEAR(EDATE(TODAY(),0-1)))</formula>
    </cfRule>
    <cfRule type="timePeriod" dxfId="6" priority="8" timePeriod="thisMonth">
      <formula>AND(MONTH(BS4)=MONTH(TODAY()),YEAR(BS4)=YEAR(TODAY()))</formula>
    </cfRule>
  </conditionalFormatting>
  <conditionalFormatting sqref="CD4:CD150">
    <cfRule type="timePeriod" dxfId="5" priority="5" timePeriod="lastMonth">
      <formula>AND(MONTH(CD4)=MONTH(EDATE(TODAY(),0-1)),YEAR(CD4)=YEAR(EDATE(TODAY(),0-1)))</formula>
    </cfRule>
    <cfRule type="timePeriod" dxfId="4" priority="6" timePeriod="thisMonth">
      <formula>AND(MONTH(CD4)=MONTH(TODAY()),YEAR(CD4)=YEAR(TODAY()))</formula>
    </cfRule>
  </conditionalFormatting>
  <conditionalFormatting sqref="CK4:CK15">
    <cfRule type="cellIs" dxfId="3" priority="1" operator="equal">
      <formula>"No price"</formula>
    </cfRule>
    <cfRule type="cellIs" dxfId="2" priority="2" operator="equal">
      <formula>"Discontinued"</formula>
    </cfRule>
  </conditionalFormatting>
  <conditionalFormatting sqref="CL4:CL15">
    <cfRule type="timePeriod" dxfId="1" priority="3" timePeriod="lastMonth">
      <formula>AND(MONTH(CL4)=MONTH(EDATE(TODAY(),0-1)),YEAR(CL4)=YEAR(EDATE(TODAY(),0-1)))</formula>
    </cfRule>
    <cfRule type="timePeriod" dxfId="0" priority="4" timePeriod="thisMonth">
      <formula>AND(MONTH(CL4)=MONTH(TODAY()),YEAR(CL4)=YEAR(TODAY()))</formula>
    </cfRule>
  </conditionalFormatting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9A22-D207-4DA9-868B-BEBEBEB68CDE}">
  <dimension ref="A3:Q57"/>
  <sheetViews>
    <sheetView workbookViewId="0">
      <selection activeCell="B6" sqref="B6"/>
    </sheetView>
  </sheetViews>
  <sheetFormatPr defaultRowHeight="15" x14ac:dyDescent="0.25"/>
  <cols>
    <col min="1" max="1" width="8.7109375" bestFit="1" customWidth="1"/>
    <col min="2" max="2" width="8" bestFit="1" customWidth="1"/>
    <col min="6" max="6" width="31" bestFit="1" customWidth="1"/>
    <col min="7" max="7" width="10.42578125" bestFit="1" customWidth="1"/>
    <col min="8" max="9" width="8.5703125" bestFit="1" customWidth="1"/>
    <col min="10" max="11" width="6" bestFit="1" customWidth="1"/>
    <col min="12" max="12" width="11.85546875" bestFit="1" customWidth="1"/>
    <col min="13" max="13" width="5" bestFit="1" customWidth="1"/>
    <col min="14" max="15" width="6" bestFit="1" customWidth="1"/>
    <col min="16" max="16" width="11.85546875" bestFit="1" customWidth="1"/>
    <col min="17" max="17" width="6" bestFit="1" customWidth="1"/>
  </cols>
  <sheetData>
    <row r="3" spans="1:17" x14ac:dyDescent="0.25">
      <c r="A3" s="176" t="s">
        <v>802</v>
      </c>
      <c r="B3" s="176"/>
      <c r="C3" s="176"/>
      <c r="D3" s="176"/>
      <c r="E3" s="176"/>
      <c r="F3" s="176" t="s">
        <v>803</v>
      </c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</row>
    <row r="4" spans="1:17" x14ac:dyDescent="0.25">
      <c r="A4" s="204" t="s">
        <v>804</v>
      </c>
      <c r="B4" s="204"/>
      <c r="C4" s="204"/>
    </row>
    <row r="5" spans="1:17" x14ac:dyDescent="0.25">
      <c r="A5" s="177" t="s">
        <v>805</v>
      </c>
      <c r="B5" s="207" t="s">
        <v>806</v>
      </c>
      <c r="C5" s="207"/>
      <c r="E5" s="208" t="s">
        <v>807</v>
      </c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</row>
    <row r="6" spans="1:17" ht="60" x14ac:dyDescent="0.25">
      <c r="A6" s="178" t="s">
        <v>808</v>
      </c>
      <c r="B6" s="178" t="s">
        <v>809</v>
      </c>
      <c r="C6" s="179" t="s">
        <v>810</v>
      </c>
      <c r="D6" s="179" t="s">
        <v>810</v>
      </c>
      <c r="E6" s="179" t="s">
        <v>810</v>
      </c>
      <c r="F6" s="180" t="s">
        <v>811</v>
      </c>
      <c r="G6" s="180" t="s">
        <v>812</v>
      </c>
      <c r="H6" s="180" t="s">
        <v>813</v>
      </c>
      <c r="I6" s="180" t="s">
        <v>814</v>
      </c>
      <c r="J6" s="180" t="s">
        <v>815</v>
      </c>
      <c r="K6" s="180" t="s">
        <v>815</v>
      </c>
      <c r="L6" s="180" t="s">
        <v>816</v>
      </c>
      <c r="M6" s="180" t="s">
        <v>816</v>
      </c>
      <c r="N6" s="180" t="s">
        <v>817</v>
      </c>
      <c r="O6" s="180" t="s">
        <v>817</v>
      </c>
      <c r="P6" s="180" t="s">
        <v>818</v>
      </c>
      <c r="Q6" s="180"/>
    </row>
    <row r="7" spans="1:17" x14ac:dyDescent="0.25">
      <c r="A7" s="181"/>
      <c r="B7" s="181"/>
      <c r="C7" s="181" t="s">
        <v>819</v>
      </c>
      <c r="D7" s="181" t="s">
        <v>820</v>
      </c>
      <c r="E7" s="181" t="s">
        <v>821</v>
      </c>
      <c r="F7" s="181"/>
      <c r="G7" s="181" t="s">
        <v>822</v>
      </c>
      <c r="H7" s="181" t="s">
        <v>823</v>
      </c>
      <c r="I7" s="181" t="s">
        <v>823</v>
      </c>
      <c r="J7" s="181" t="s">
        <v>824</v>
      </c>
      <c r="K7" s="181" t="s">
        <v>825</v>
      </c>
      <c r="L7" s="181" t="s">
        <v>824</v>
      </c>
      <c r="M7" s="181" t="s">
        <v>825</v>
      </c>
      <c r="N7" s="181" t="s">
        <v>824</v>
      </c>
      <c r="O7" s="181" t="s">
        <v>825</v>
      </c>
      <c r="P7" s="181" t="s">
        <v>824</v>
      </c>
      <c r="Q7" s="181" t="s">
        <v>825</v>
      </c>
    </row>
    <row r="8" spans="1:17" x14ac:dyDescent="0.25">
      <c r="A8" s="182">
        <v>1.5</v>
      </c>
      <c r="B8" s="183">
        <f>E8</f>
        <v>19</v>
      </c>
      <c r="C8" s="182">
        <v>24</v>
      </c>
      <c r="D8" s="182">
        <v>20</v>
      </c>
      <c r="E8" s="182">
        <v>19</v>
      </c>
      <c r="F8" s="184">
        <v>4</v>
      </c>
      <c r="G8" s="182">
        <v>14.48</v>
      </c>
      <c r="H8" s="182">
        <v>25.08</v>
      </c>
      <c r="I8" s="182">
        <v>28.956</v>
      </c>
      <c r="J8" s="182">
        <v>8.51</v>
      </c>
      <c r="K8" s="182">
        <v>9.33</v>
      </c>
      <c r="L8" s="182">
        <v>1.25</v>
      </c>
      <c r="M8" s="182">
        <v>1.25</v>
      </c>
      <c r="N8" s="182">
        <v>14.13</v>
      </c>
      <c r="O8" s="182">
        <v>14.95</v>
      </c>
      <c r="P8" s="182">
        <v>448</v>
      </c>
      <c r="Q8" s="182">
        <v>501</v>
      </c>
    </row>
    <row r="9" spans="1:17" x14ac:dyDescent="0.25">
      <c r="A9" s="182">
        <v>2.5</v>
      </c>
      <c r="B9" s="183">
        <f>E9</f>
        <v>26</v>
      </c>
      <c r="C9" s="182">
        <v>32</v>
      </c>
      <c r="D9" s="182">
        <v>26</v>
      </c>
      <c r="E9" s="182">
        <v>26</v>
      </c>
      <c r="F9" s="184">
        <v>4</v>
      </c>
      <c r="G9" s="182">
        <v>8.8699999999999992</v>
      </c>
      <c r="H9" s="182">
        <v>16.382999999999999</v>
      </c>
      <c r="I9" s="182">
        <v>17.734000000000002</v>
      </c>
      <c r="J9" s="182">
        <v>9.81</v>
      </c>
      <c r="K9" s="182">
        <v>10.56</v>
      </c>
      <c r="L9" s="182">
        <v>1.26</v>
      </c>
      <c r="M9" s="182">
        <v>1.25</v>
      </c>
      <c r="N9" s="182">
        <v>16.23</v>
      </c>
      <c r="O9" s="182">
        <v>16.18</v>
      </c>
      <c r="P9" s="182">
        <v>522</v>
      </c>
      <c r="Q9" s="182">
        <v>597</v>
      </c>
    </row>
    <row r="10" spans="1:17" x14ac:dyDescent="0.25">
      <c r="A10" s="182">
        <v>4</v>
      </c>
      <c r="B10" s="183">
        <f>E10</f>
        <v>25</v>
      </c>
      <c r="C10" s="182">
        <v>42</v>
      </c>
      <c r="D10" s="182">
        <v>34</v>
      </c>
      <c r="E10" s="182">
        <v>25</v>
      </c>
      <c r="F10" s="184">
        <v>4</v>
      </c>
      <c r="G10" s="182">
        <v>5.52</v>
      </c>
      <c r="H10" s="182">
        <v>9.6809999999999992</v>
      </c>
      <c r="I10" s="182">
        <v>11.034000000000001</v>
      </c>
      <c r="J10" s="182">
        <v>11.4</v>
      </c>
      <c r="K10" s="182">
        <v>12.57</v>
      </c>
      <c r="L10" s="182">
        <v>1.26</v>
      </c>
      <c r="M10" s="182">
        <v>1.25</v>
      </c>
      <c r="N10" s="182">
        <v>17.12</v>
      </c>
      <c r="O10" s="182">
        <v>18.39</v>
      </c>
      <c r="P10" s="182">
        <v>887</v>
      </c>
      <c r="Q10" s="182">
        <v>762</v>
      </c>
    </row>
    <row r="11" spans="1:17" x14ac:dyDescent="0.25">
      <c r="A11" s="182">
        <v>6</v>
      </c>
      <c r="B11" s="183">
        <f>E11</f>
        <v>45</v>
      </c>
      <c r="C11" s="182">
        <v>53</v>
      </c>
      <c r="D11" s="182">
        <v>43</v>
      </c>
      <c r="E11" s="182">
        <v>45</v>
      </c>
      <c r="F11" s="183">
        <v>5</v>
      </c>
      <c r="G11" s="185">
        <v>3.69</v>
      </c>
      <c r="H11" s="185">
        <v>8.391</v>
      </c>
      <c r="I11" s="185">
        <v>7.3739999999999997</v>
      </c>
      <c r="J11" s="185">
        <v>12.58</v>
      </c>
      <c r="K11" s="185">
        <v>13.9</v>
      </c>
      <c r="L11" s="185">
        <v>1.25</v>
      </c>
      <c r="M11" s="185">
        <v>1.25</v>
      </c>
      <c r="N11" s="185">
        <v>18.399999999999999</v>
      </c>
      <c r="O11" s="185">
        <v>19.72</v>
      </c>
      <c r="P11" s="185">
        <v>790</v>
      </c>
      <c r="Q11" s="185">
        <v>910</v>
      </c>
    </row>
    <row r="12" spans="1:17" x14ac:dyDescent="0.25">
      <c r="A12" s="182">
        <v>10</v>
      </c>
      <c r="B12" s="183">
        <f t="shared" ref="B12:B23" si="0">E12</f>
        <v>62</v>
      </c>
      <c r="C12" s="182">
        <v>70</v>
      </c>
      <c r="D12" s="182">
        <v>58</v>
      </c>
      <c r="E12" s="182">
        <v>62</v>
      </c>
      <c r="F12" s="183">
        <v>5</v>
      </c>
      <c r="G12" s="185">
        <v>2.19</v>
      </c>
      <c r="H12" s="185">
        <v>3.7930000000000001</v>
      </c>
      <c r="I12" s="185">
        <v>4.3840000000000003</v>
      </c>
      <c r="J12" s="185">
        <v>14.69</v>
      </c>
      <c r="K12" s="185">
        <v>16.14</v>
      </c>
      <c r="L12" s="185">
        <v>1.26</v>
      </c>
      <c r="M12" s="185">
        <v>1.25</v>
      </c>
      <c r="N12" s="185">
        <v>20.41</v>
      </c>
      <c r="O12" s="185">
        <v>21.96</v>
      </c>
      <c r="P12" s="185">
        <v>998</v>
      </c>
      <c r="Q12" s="185">
        <v>1169</v>
      </c>
    </row>
    <row r="13" spans="1:17" x14ac:dyDescent="0.25">
      <c r="A13" s="182">
        <v>16</v>
      </c>
      <c r="B13" s="183">
        <f t="shared" si="0"/>
        <v>83</v>
      </c>
      <c r="C13" s="182">
        <v>91</v>
      </c>
      <c r="D13" s="182">
        <v>75</v>
      </c>
      <c r="E13" s="182">
        <v>83</v>
      </c>
      <c r="F13" s="183">
        <v>5</v>
      </c>
      <c r="G13" s="185">
        <v>1.38</v>
      </c>
      <c r="H13" s="185">
        <v>2.39</v>
      </c>
      <c r="I13" s="185">
        <v>2.7589999999999999</v>
      </c>
      <c r="J13" s="185">
        <v>18.66</v>
      </c>
      <c r="K13" s="185">
        <v>19.18</v>
      </c>
      <c r="L13" s="185">
        <v>1.26</v>
      </c>
      <c r="M13" s="185">
        <v>1.6</v>
      </c>
      <c r="N13" s="185">
        <v>22.37</v>
      </c>
      <c r="O13" s="185">
        <v>25.92</v>
      </c>
      <c r="P13" s="185">
        <v>1295</v>
      </c>
      <c r="Q13" s="185">
        <v>1768</v>
      </c>
    </row>
    <row r="14" spans="1:17" x14ac:dyDescent="0.25">
      <c r="A14" s="182">
        <v>25</v>
      </c>
      <c r="B14" s="183">
        <f t="shared" si="0"/>
        <v>110</v>
      </c>
      <c r="C14" s="182">
        <v>119</v>
      </c>
      <c r="D14" s="182">
        <v>96</v>
      </c>
      <c r="E14" s="182">
        <v>110</v>
      </c>
      <c r="F14" s="183">
        <v>5</v>
      </c>
      <c r="G14" s="185">
        <v>0.87490000000000001</v>
      </c>
      <c r="H14" s="185">
        <v>1.5149999999999999</v>
      </c>
      <c r="I14" s="185">
        <v>1.7490000000000001</v>
      </c>
      <c r="J14" s="185">
        <v>19.48</v>
      </c>
      <c r="K14" s="185">
        <v>21.34</v>
      </c>
      <c r="L14" s="185">
        <v>1.8</v>
      </c>
      <c r="M14" s="185">
        <v>1.6</v>
      </c>
      <c r="N14" s="185">
        <v>28.48</v>
      </c>
      <c r="O14" s="185">
        <v>28.34</v>
      </c>
      <c r="P14" s="185">
        <v>1838</v>
      </c>
      <c r="Q14" s="185">
        <v>2196</v>
      </c>
    </row>
    <row r="15" spans="1:17" x14ac:dyDescent="0.25">
      <c r="A15" s="182">
        <v>35</v>
      </c>
      <c r="B15" s="183">
        <f t="shared" si="0"/>
        <v>135</v>
      </c>
      <c r="C15" s="182">
        <v>143</v>
      </c>
      <c r="D15" s="182">
        <v>116</v>
      </c>
      <c r="E15" s="182">
        <v>135</v>
      </c>
      <c r="F15" s="184">
        <v>4</v>
      </c>
      <c r="G15" s="182">
        <v>0.63349999999999995</v>
      </c>
      <c r="H15" s="182" t="s">
        <v>826</v>
      </c>
      <c r="I15" s="182">
        <v>1.2669999999999999</v>
      </c>
      <c r="J15" s="182">
        <v>20.89</v>
      </c>
      <c r="K15" s="182">
        <v>23.97</v>
      </c>
      <c r="L15" s="182">
        <v>1.8</v>
      </c>
      <c r="M15" s="182">
        <v>1.6</v>
      </c>
      <c r="N15" s="182">
        <v>27.89</v>
      </c>
      <c r="O15" s="182">
        <v>31.17</v>
      </c>
      <c r="P15" s="182">
        <v>2216</v>
      </c>
      <c r="Q15" s="182">
        <v>2732</v>
      </c>
    </row>
    <row r="16" spans="1:17" x14ac:dyDescent="0.25">
      <c r="A16" s="182">
        <v>50</v>
      </c>
      <c r="B16" s="183">
        <f t="shared" si="0"/>
        <v>163</v>
      </c>
      <c r="C16" s="182">
        <v>169</v>
      </c>
      <c r="D16" s="182">
        <v>138</v>
      </c>
      <c r="E16" s="182">
        <v>163</v>
      </c>
      <c r="F16" s="184">
        <v>4</v>
      </c>
      <c r="G16" s="182">
        <v>0.4718</v>
      </c>
      <c r="H16" s="182">
        <v>0.81699999999999995</v>
      </c>
      <c r="I16" s="182">
        <v>0.94399999999999995</v>
      </c>
      <c r="J16" s="182">
        <v>24.28</v>
      </c>
      <c r="K16" s="182">
        <v>28.14</v>
      </c>
      <c r="L16" s="182">
        <v>1.8</v>
      </c>
      <c r="M16" s="182">
        <v>2</v>
      </c>
      <c r="N16" s="182">
        <v>31.48</v>
      </c>
      <c r="O16" s="182">
        <v>36.54</v>
      </c>
      <c r="P16" s="182">
        <v>2871</v>
      </c>
      <c r="Q16" s="182">
        <v>3893</v>
      </c>
    </row>
    <row r="17" spans="1:17" x14ac:dyDescent="0.25">
      <c r="A17" s="182">
        <v>70</v>
      </c>
      <c r="B17" s="183">
        <f t="shared" si="0"/>
        <v>207</v>
      </c>
      <c r="C17" s="182">
        <v>210</v>
      </c>
      <c r="D17" s="182">
        <v>171</v>
      </c>
      <c r="E17" s="182">
        <v>207</v>
      </c>
      <c r="F17" s="184">
        <v>4</v>
      </c>
      <c r="G17" s="182">
        <v>0.33250000000000002</v>
      </c>
      <c r="H17" s="182">
        <v>0.57799999999999996</v>
      </c>
      <c r="I17" s="182">
        <v>0.66500000000000004</v>
      </c>
      <c r="J17" s="182" t="s">
        <v>827</v>
      </c>
      <c r="K17" s="182">
        <v>31.29</v>
      </c>
      <c r="L17" s="182">
        <v>2</v>
      </c>
      <c r="M17" s="182">
        <v>2</v>
      </c>
      <c r="N17" s="182">
        <v>35.47</v>
      </c>
      <c r="O17" s="182">
        <v>40.090000000000003</v>
      </c>
      <c r="P17" s="182">
        <v>3817</v>
      </c>
      <c r="Q17" s="182">
        <v>4837</v>
      </c>
    </row>
    <row r="18" spans="1:17" x14ac:dyDescent="0.25">
      <c r="A18" s="182">
        <v>95</v>
      </c>
      <c r="B18" s="183">
        <f t="shared" si="0"/>
        <v>251</v>
      </c>
      <c r="C18" s="182">
        <v>251</v>
      </c>
      <c r="D18" s="182">
        <v>205</v>
      </c>
      <c r="E18" s="182">
        <v>251</v>
      </c>
      <c r="F18" s="184">
        <v>4</v>
      </c>
      <c r="G18" s="182">
        <v>0.246</v>
      </c>
      <c r="H18" s="182">
        <v>0.42699999999999999</v>
      </c>
      <c r="I18" s="182">
        <v>0.49199999999999999</v>
      </c>
      <c r="J18" s="182">
        <v>31.19</v>
      </c>
      <c r="K18" s="182">
        <v>35.82</v>
      </c>
      <c r="L18" s="182">
        <v>2</v>
      </c>
      <c r="M18" s="182">
        <v>2</v>
      </c>
      <c r="N18" s="182">
        <v>39.99</v>
      </c>
      <c r="O18" s="182">
        <v>44.62</v>
      </c>
      <c r="P18" s="182">
        <v>4901</v>
      </c>
      <c r="Q18" s="182">
        <v>6115</v>
      </c>
    </row>
    <row r="19" spans="1:17" x14ac:dyDescent="0.25">
      <c r="A19" s="182">
        <v>120</v>
      </c>
      <c r="B19" s="183">
        <f t="shared" si="0"/>
        <v>290</v>
      </c>
      <c r="C19" s="182">
        <v>285</v>
      </c>
      <c r="D19" s="182">
        <v>234</v>
      </c>
      <c r="E19" s="182">
        <v>290</v>
      </c>
      <c r="F19" s="184">
        <v>4</v>
      </c>
      <c r="G19" s="182">
        <v>0.20119999999999999</v>
      </c>
      <c r="H19" s="182">
        <v>0.34799999999999998</v>
      </c>
      <c r="I19" s="182">
        <v>0.40200000000000002</v>
      </c>
      <c r="J19" s="182">
        <v>33.380000000000003</v>
      </c>
      <c r="K19" s="182">
        <v>38.1</v>
      </c>
      <c r="L19" s="182">
        <v>2</v>
      </c>
      <c r="M19" s="182">
        <v>2</v>
      </c>
      <c r="N19" s="182">
        <v>42.18</v>
      </c>
      <c r="O19" s="182">
        <v>47.4</v>
      </c>
      <c r="P19" s="182">
        <v>5720</v>
      </c>
      <c r="Q19" s="182">
        <v>7269</v>
      </c>
    </row>
    <row r="20" spans="1:17" x14ac:dyDescent="0.25">
      <c r="A20" s="182">
        <v>150</v>
      </c>
      <c r="B20" s="183">
        <f t="shared" si="0"/>
        <v>332</v>
      </c>
      <c r="C20" s="182">
        <v>320</v>
      </c>
      <c r="D20" s="182">
        <v>263</v>
      </c>
      <c r="E20" s="182">
        <v>332</v>
      </c>
      <c r="F20" s="184">
        <v>4</v>
      </c>
      <c r="G20" s="182">
        <v>0.16980000000000001</v>
      </c>
      <c r="H20" s="182">
        <v>0.29399999999999998</v>
      </c>
      <c r="I20" s="182">
        <v>0.33900000000000002</v>
      </c>
      <c r="J20" s="182">
        <v>38.880000000000003</v>
      </c>
      <c r="K20" s="182">
        <v>42.05</v>
      </c>
      <c r="L20" s="182">
        <v>2</v>
      </c>
      <c r="M20" s="182">
        <v>2.5</v>
      </c>
      <c r="N20" s="182">
        <v>46.98</v>
      </c>
      <c r="O20" s="182">
        <v>52.65</v>
      </c>
      <c r="P20" s="182">
        <v>8908</v>
      </c>
      <c r="Q20" s="182">
        <v>9250</v>
      </c>
    </row>
    <row r="21" spans="1:17" x14ac:dyDescent="0.25">
      <c r="A21" s="182">
        <v>185</v>
      </c>
      <c r="B21" s="183">
        <f t="shared" si="0"/>
        <v>378</v>
      </c>
      <c r="C21" s="182">
        <v>361</v>
      </c>
      <c r="D21" s="182">
        <v>298</v>
      </c>
      <c r="E21" s="182">
        <v>378</v>
      </c>
      <c r="F21" s="184">
        <v>4</v>
      </c>
      <c r="G21" s="182">
        <v>0.14449999999999999</v>
      </c>
      <c r="H21" s="182">
        <v>0.25</v>
      </c>
      <c r="I21" s="182">
        <v>0.28899999999999998</v>
      </c>
      <c r="J21" s="182">
        <v>40.82</v>
      </c>
      <c r="K21" s="182">
        <v>46.75</v>
      </c>
      <c r="L21" s="182">
        <v>2.6</v>
      </c>
      <c r="M21" s="182">
        <v>2.5</v>
      </c>
      <c r="N21" s="182">
        <v>51.12</v>
      </c>
      <c r="O21" s="182">
        <v>57.45</v>
      </c>
      <c r="P21" s="182">
        <v>8890</v>
      </c>
      <c r="Q21" s="182">
        <v>11039</v>
      </c>
    </row>
    <row r="22" spans="1:17" x14ac:dyDescent="0.25">
      <c r="A22" s="182">
        <v>240</v>
      </c>
      <c r="B22" s="183">
        <f t="shared" si="0"/>
        <v>445</v>
      </c>
      <c r="C22" s="182">
        <v>416</v>
      </c>
      <c r="D22" s="182">
        <v>344</v>
      </c>
      <c r="E22" s="182">
        <v>445</v>
      </c>
      <c r="F22" s="184">
        <v>4</v>
      </c>
      <c r="G22" s="182">
        <v>0.122</v>
      </c>
      <c r="H22" s="182">
        <v>0.21099999999999999</v>
      </c>
      <c r="I22" s="182">
        <v>0.24399999999999999</v>
      </c>
      <c r="J22" s="182">
        <v>48.43</v>
      </c>
      <c r="K22" s="182">
        <v>53.06</v>
      </c>
      <c r="L22" s="182">
        <v>2.6</v>
      </c>
      <c r="M22" s="182">
        <v>2.5</v>
      </c>
      <c r="N22" s="182">
        <v>67.13</v>
      </c>
      <c r="O22" s="182">
        <v>64.16</v>
      </c>
      <c r="P22" s="182">
        <v>10787</v>
      </c>
      <c r="Q22" s="182">
        <v>13726</v>
      </c>
    </row>
    <row r="23" spans="1:17" x14ac:dyDescent="0.25">
      <c r="A23" s="182">
        <v>300</v>
      </c>
      <c r="B23" s="183">
        <f t="shared" si="0"/>
        <v>510</v>
      </c>
      <c r="C23" s="182">
        <v>465</v>
      </c>
      <c r="D23" s="182">
        <v>385</v>
      </c>
      <c r="E23" s="182">
        <v>510</v>
      </c>
      <c r="F23" s="184">
        <v>4</v>
      </c>
      <c r="G23" s="182">
        <v>0.109</v>
      </c>
      <c r="H23" s="182">
        <v>0.189</v>
      </c>
      <c r="I23" s="182">
        <v>0.218</v>
      </c>
      <c r="J23" s="182">
        <v>61.1</v>
      </c>
      <c r="K23" s="182">
        <v>58.53</v>
      </c>
      <c r="L23" s="182">
        <v>2.6</v>
      </c>
      <c r="M23" s="182">
        <v>2.5</v>
      </c>
      <c r="N23" s="182">
        <v>82.2</v>
      </c>
      <c r="O23" s="182">
        <v>70.13</v>
      </c>
      <c r="P23" s="182">
        <v>12960</v>
      </c>
      <c r="Q23" s="182">
        <v>16544</v>
      </c>
    </row>
    <row r="25" spans="1:17" x14ac:dyDescent="0.25">
      <c r="A25" s="204" t="s">
        <v>828</v>
      </c>
      <c r="B25" s="204"/>
      <c r="C25" s="204"/>
    </row>
    <row r="26" spans="1:17" x14ac:dyDescent="0.25">
      <c r="A26" s="177" t="s">
        <v>805</v>
      </c>
      <c r="B26" s="207" t="s">
        <v>806</v>
      </c>
      <c r="C26" s="207"/>
      <c r="E26" s="209" t="s">
        <v>807</v>
      </c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</row>
    <row r="27" spans="1:17" ht="60" x14ac:dyDescent="0.25">
      <c r="A27" s="178" t="s">
        <v>808</v>
      </c>
      <c r="B27" s="178" t="s">
        <v>809</v>
      </c>
      <c r="C27" s="179" t="s">
        <v>810</v>
      </c>
      <c r="D27" s="179" t="s">
        <v>810</v>
      </c>
      <c r="E27" s="179" t="s">
        <v>810</v>
      </c>
      <c r="F27" s="180" t="s">
        <v>811</v>
      </c>
      <c r="G27" s="180" t="s">
        <v>812</v>
      </c>
      <c r="H27" s="180" t="s">
        <v>813</v>
      </c>
      <c r="I27" s="180" t="s">
        <v>814</v>
      </c>
      <c r="J27" s="180" t="s">
        <v>815</v>
      </c>
      <c r="K27" s="180" t="s">
        <v>815</v>
      </c>
      <c r="L27" s="180" t="s">
        <v>816</v>
      </c>
      <c r="M27" s="180" t="s">
        <v>816</v>
      </c>
      <c r="N27" s="180" t="s">
        <v>817</v>
      </c>
      <c r="O27" s="180" t="s">
        <v>817</v>
      </c>
      <c r="P27" s="180" t="s">
        <v>818</v>
      </c>
      <c r="Q27" s="180"/>
    </row>
    <row r="28" spans="1:17" x14ac:dyDescent="0.25">
      <c r="A28" s="181"/>
      <c r="B28" s="181"/>
      <c r="C28" s="181" t="s">
        <v>819</v>
      </c>
      <c r="D28" s="181" t="s">
        <v>820</v>
      </c>
      <c r="E28" s="181" t="s">
        <v>821</v>
      </c>
      <c r="F28" s="181"/>
      <c r="G28" s="181" t="s">
        <v>822</v>
      </c>
      <c r="H28" s="181" t="s">
        <v>823</v>
      </c>
      <c r="I28" s="181" t="s">
        <v>823</v>
      </c>
      <c r="J28" s="181" t="s">
        <v>824</v>
      </c>
      <c r="K28" s="181" t="s">
        <v>825</v>
      </c>
      <c r="L28" s="181" t="s">
        <v>824</v>
      </c>
      <c r="M28" s="181" t="s">
        <v>825</v>
      </c>
      <c r="N28" s="181" t="s">
        <v>824</v>
      </c>
      <c r="O28" s="181" t="s">
        <v>825</v>
      </c>
      <c r="P28" s="181" t="s">
        <v>824</v>
      </c>
      <c r="Q28" s="181" t="s">
        <v>825</v>
      </c>
    </row>
    <row r="29" spans="1:17" x14ac:dyDescent="0.25">
      <c r="A29" s="182">
        <v>25</v>
      </c>
      <c r="B29" s="183">
        <f>E29</f>
        <v>80</v>
      </c>
      <c r="C29" s="182">
        <v>90</v>
      </c>
      <c r="D29" s="182">
        <v>73</v>
      </c>
      <c r="E29" s="182">
        <v>80</v>
      </c>
      <c r="F29" s="182"/>
      <c r="G29" s="184">
        <v>1.4446000000000001</v>
      </c>
      <c r="H29" s="182">
        <v>2.5019999999999998</v>
      </c>
      <c r="I29" s="182">
        <v>2.8889999999999998</v>
      </c>
      <c r="J29" s="182">
        <v>17.760000000000002</v>
      </c>
      <c r="K29" s="182">
        <v>20.65</v>
      </c>
      <c r="L29" s="182">
        <v>1.6</v>
      </c>
      <c r="M29" s="182">
        <v>1.6</v>
      </c>
      <c r="N29" s="182">
        <v>24.76</v>
      </c>
      <c r="O29" s="182">
        <v>27.65</v>
      </c>
      <c r="P29" s="182">
        <v>1301</v>
      </c>
      <c r="Q29" s="182">
        <v>1554</v>
      </c>
    </row>
    <row r="30" spans="1:17" x14ac:dyDescent="0.25">
      <c r="A30" s="182">
        <v>35</v>
      </c>
      <c r="B30" s="183">
        <f t="shared" ref="B30:B37" si="1">E30</f>
        <v>99</v>
      </c>
      <c r="C30" s="182">
        <v>108</v>
      </c>
      <c r="D30" s="182">
        <v>87</v>
      </c>
      <c r="E30" s="182">
        <v>99</v>
      </c>
      <c r="F30" s="182"/>
      <c r="G30" s="184">
        <v>1.0465</v>
      </c>
      <c r="H30" s="182">
        <v>1.8129999999999999</v>
      </c>
      <c r="I30" s="182">
        <v>2.093</v>
      </c>
      <c r="J30" s="182">
        <v>19.329999999999998</v>
      </c>
      <c r="K30" s="182">
        <v>21.93</v>
      </c>
      <c r="L30" s="182">
        <v>1.6</v>
      </c>
      <c r="M30" s="182">
        <v>1.6</v>
      </c>
      <c r="N30" s="182">
        <v>26.33</v>
      </c>
      <c r="O30" s="182">
        <v>29.13</v>
      </c>
      <c r="P30" s="182">
        <v>1477</v>
      </c>
      <c r="Q30" s="182">
        <v>1757</v>
      </c>
    </row>
    <row r="31" spans="1:17" x14ac:dyDescent="0.25">
      <c r="A31" s="182">
        <v>50</v>
      </c>
      <c r="B31" s="183">
        <f t="shared" si="1"/>
        <v>119</v>
      </c>
      <c r="C31" s="182">
        <v>129</v>
      </c>
      <c r="D31" s="182">
        <v>104</v>
      </c>
      <c r="E31" s="182">
        <v>119</v>
      </c>
      <c r="F31" s="182"/>
      <c r="G31" s="184">
        <v>0.77490000000000003</v>
      </c>
      <c r="H31" s="182">
        <v>1.3420000000000001</v>
      </c>
      <c r="I31" s="182">
        <v>1.5489999999999999</v>
      </c>
      <c r="J31" s="182">
        <v>21.87</v>
      </c>
      <c r="K31" s="182">
        <v>25.05</v>
      </c>
      <c r="L31" s="182">
        <v>1.6</v>
      </c>
      <c r="M31" s="182">
        <v>1.6</v>
      </c>
      <c r="N31" s="182">
        <v>29.07</v>
      </c>
      <c r="O31" s="182">
        <v>32.25</v>
      </c>
      <c r="P31" s="182">
        <v>1782</v>
      </c>
      <c r="Q31" s="182">
        <v>2150</v>
      </c>
    </row>
    <row r="32" spans="1:17" x14ac:dyDescent="0.25">
      <c r="A32" s="182">
        <v>70</v>
      </c>
      <c r="B32" s="183">
        <f t="shared" si="1"/>
        <v>151</v>
      </c>
      <c r="C32" s="182">
        <v>158</v>
      </c>
      <c r="D32" s="185">
        <v>130</v>
      </c>
      <c r="E32" s="185">
        <v>151</v>
      </c>
      <c r="F32" s="182"/>
      <c r="G32" s="184">
        <v>0.53879999999999995</v>
      </c>
      <c r="H32" s="182">
        <v>0.93300000000000005</v>
      </c>
      <c r="I32" s="182">
        <v>1.0780000000000001</v>
      </c>
      <c r="J32" s="182">
        <v>24.76</v>
      </c>
      <c r="K32" s="182">
        <v>29.27</v>
      </c>
      <c r="L32" s="182">
        <v>1.6</v>
      </c>
      <c r="M32" s="182">
        <v>1.6</v>
      </c>
      <c r="N32" s="182">
        <v>31.96</v>
      </c>
      <c r="O32" s="182">
        <v>37.67</v>
      </c>
      <c r="P32" s="182">
        <v>2132</v>
      </c>
      <c r="Q32" s="182">
        <v>2930</v>
      </c>
    </row>
    <row r="33" spans="1:17" x14ac:dyDescent="0.25">
      <c r="A33" s="182">
        <v>95</v>
      </c>
      <c r="B33" s="183">
        <f t="shared" si="1"/>
        <v>186</v>
      </c>
      <c r="C33" s="182">
        <v>192</v>
      </c>
      <c r="D33" s="185">
        <v>157</v>
      </c>
      <c r="E33" s="185">
        <v>186</v>
      </c>
      <c r="F33" s="182"/>
      <c r="G33" s="184">
        <v>0.39340000000000003</v>
      </c>
      <c r="H33" s="182">
        <v>0.68100000000000005</v>
      </c>
      <c r="I33" s="182">
        <v>0.78700000000000003</v>
      </c>
      <c r="J33" s="182">
        <v>28.68</v>
      </c>
      <c r="K33" s="182">
        <v>33.729999999999997</v>
      </c>
      <c r="L33" s="182">
        <v>2</v>
      </c>
      <c r="M33" s="182">
        <v>2</v>
      </c>
      <c r="N33" s="182">
        <v>37.08</v>
      </c>
      <c r="O33" s="182">
        <v>42.53</v>
      </c>
      <c r="P33" s="182">
        <v>2908</v>
      </c>
      <c r="Q33" s="182">
        <v>3647</v>
      </c>
    </row>
    <row r="34" spans="1:17" x14ac:dyDescent="0.25">
      <c r="A34" s="182">
        <v>120</v>
      </c>
      <c r="B34" s="183">
        <f t="shared" si="1"/>
        <v>216</v>
      </c>
      <c r="C34" s="182">
        <v>219</v>
      </c>
      <c r="D34" s="185">
        <v>179</v>
      </c>
      <c r="E34" s="185">
        <v>216</v>
      </c>
      <c r="F34" s="182"/>
      <c r="G34" s="184">
        <v>0.31480000000000002</v>
      </c>
      <c r="H34" s="182">
        <v>0.54500000000000004</v>
      </c>
      <c r="I34" s="182">
        <v>0.629</v>
      </c>
      <c r="J34" s="182">
        <v>31.09</v>
      </c>
      <c r="K34" s="182">
        <v>35.44</v>
      </c>
      <c r="L34" s="182">
        <v>2</v>
      </c>
      <c r="M34" s="182">
        <v>2</v>
      </c>
      <c r="N34" s="182">
        <v>39.89</v>
      </c>
      <c r="O34" s="182">
        <v>44.24</v>
      </c>
      <c r="P34" s="182">
        <v>3328</v>
      </c>
      <c r="Q34" s="182">
        <v>4023</v>
      </c>
    </row>
    <row r="35" spans="1:17" x14ac:dyDescent="0.25">
      <c r="A35" s="182">
        <v>150</v>
      </c>
      <c r="B35" s="183">
        <f t="shared" si="1"/>
        <v>250</v>
      </c>
      <c r="C35" s="182">
        <v>245</v>
      </c>
      <c r="D35" s="185">
        <v>201</v>
      </c>
      <c r="E35" s="185">
        <v>250</v>
      </c>
      <c r="F35" s="182"/>
      <c r="G35" s="184">
        <v>0.26069999999999999</v>
      </c>
      <c r="H35" s="182">
        <v>0.45200000000000001</v>
      </c>
      <c r="I35" s="182">
        <v>0.52100000000000002</v>
      </c>
      <c r="J35" s="182">
        <v>33.99</v>
      </c>
      <c r="K35" s="182">
        <v>39.39</v>
      </c>
      <c r="L35" s="182">
        <v>2</v>
      </c>
      <c r="M35" s="182">
        <v>2.5</v>
      </c>
      <c r="N35" s="182">
        <v>42.79</v>
      </c>
      <c r="O35" s="182">
        <v>49.69</v>
      </c>
      <c r="P35" s="182">
        <v>3837</v>
      </c>
      <c r="Q35" s="182">
        <v>5276</v>
      </c>
    </row>
    <row r="36" spans="1:17" x14ac:dyDescent="0.25">
      <c r="A36" s="182">
        <v>185</v>
      </c>
      <c r="B36" s="183">
        <f t="shared" si="1"/>
        <v>287</v>
      </c>
      <c r="C36" s="182">
        <v>278</v>
      </c>
      <c r="D36" s="182">
        <v>229</v>
      </c>
      <c r="E36" s="182">
        <v>287</v>
      </c>
      <c r="F36" s="182"/>
      <c r="G36" s="184">
        <v>0.21329999999999999</v>
      </c>
      <c r="H36" s="182">
        <v>0.36899999999999999</v>
      </c>
      <c r="I36" s="182">
        <v>0.42699999999999999</v>
      </c>
      <c r="J36" s="182">
        <v>37.799999999999997</v>
      </c>
      <c r="K36" s="182">
        <v>44.51</v>
      </c>
      <c r="L36" s="182">
        <v>2</v>
      </c>
      <c r="M36" s="182">
        <v>2.5</v>
      </c>
      <c r="N36" s="182">
        <v>47.1</v>
      </c>
      <c r="O36" s="182">
        <v>54.81</v>
      </c>
      <c r="P36" s="182">
        <v>4557</v>
      </c>
      <c r="Q36" s="182">
        <v>6231</v>
      </c>
    </row>
    <row r="37" spans="1:17" x14ac:dyDescent="0.25">
      <c r="A37" s="182">
        <v>240</v>
      </c>
      <c r="B37" s="183">
        <f t="shared" si="1"/>
        <v>342</v>
      </c>
      <c r="C37" s="182">
        <v>324</v>
      </c>
      <c r="D37" s="182">
        <v>268</v>
      </c>
      <c r="E37" s="182">
        <v>342</v>
      </c>
      <c r="F37" s="182"/>
      <c r="G37" s="184">
        <v>0.17080000000000001</v>
      </c>
      <c r="H37" s="182">
        <v>0.29599999999999999</v>
      </c>
      <c r="I37" s="182">
        <v>0.34200000000000003</v>
      </c>
      <c r="J37" s="182">
        <v>42.6</v>
      </c>
      <c r="K37" s="182">
        <v>50.04</v>
      </c>
      <c r="L37" s="182">
        <v>2.5</v>
      </c>
      <c r="M37" s="182">
        <v>2.5</v>
      </c>
      <c r="N37" s="182">
        <v>52.9</v>
      </c>
      <c r="O37" s="182">
        <v>61.14</v>
      </c>
      <c r="P37" s="182">
        <v>5977</v>
      </c>
      <c r="Q37" s="182">
        <v>7550</v>
      </c>
    </row>
    <row r="39" spans="1:17" x14ac:dyDescent="0.25">
      <c r="A39" s="204" t="s">
        <v>829</v>
      </c>
      <c r="B39" s="204"/>
      <c r="C39" s="204"/>
      <c r="E39" s="205" t="s">
        <v>807</v>
      </c>
      <c r="F39" s="205"/>
      <c r="G39" s="205"/>
      <c r="H39" s="205"/>
      <c r="I39" s="205"/>
      <c r="J39" s="205"/>
      <c r="K39" s="205"/>
      <c r="L39" s="205"/>
    </row>
    <row r="40" spans="1:17" x14ac:dyDescent="0.25">
      <c r="A40" s="177" t="s">
        <v>805</v>
      </c>
      <c r="B40" s="207" t="s">
        <v>806</v>
      </c>
      <c r="C40" s="207"/>
      <c r="E40" s="206"/>
      <c r="F40" s="206"/>
      <c r="G40" s="206"/>
      <c r="H40" s="206"/>
      <c r="I40" s="206"/>
      <c r="J40" s="206"/>
      <c r="K40" s="206"/>
      <c r="L40" s="206"/>
    </row>
    <row r="41" spans="1:17" ht="60" x14ac:dyDescent="0.25">
      <c r="A41" s="178" t="s">
        <v>808</v>
      </c>
      <c r="B41" s="178" t="s">
        <v>809</v>
      </c>
      <c r="C41" s="179" t="s">
        <v>810</v>
      </c>
      <c r="D41" s="179" t="s">
        <v>810</v>
      </c>
      <c r="E41" s="179" t="s">
        <v>810</v>
      </c>
      <c r="F41" s="180" t="s">
        <v>811</v>
      </c>
      <c r="G41" s="180" t="s">
        <v>812</v>
      </c>
      <c r="H41" s="180" t="s">
        <v>813</v>
      </c>
      <c r="I41" s="180" t="s">
        <v>814</v>
      </c>
      <c r="J41" s="180" t="s">
        <v>815</v>
      </c>
      <c r="K41" s="180" t="s">
        <v>817</v>
      </c>
      <c r="L41" s="180" t="s">
        <v>818</v>
      </c>
    </row>
    <row r="42" spans="1:17" x14ac:dyDescent="0.25">
      <c r="A42" s="181"/>
      <c r="B42" s="181"/>
      <c r="C42" s="181" t="s">
        <v>819</v>
      </c>
      <c r="D42" s="181" t="s">
        <v>820</v>
      </c>
      <c r="E42" s="181" t="s">
        <v>821</v>
      </c>
      <c r="F42" s="181"/>
      <c r="G42" s="181" t="s">
        <v>822</v>
      </c>
      <c r="H42" s="181" t="s">
        <v>823</v>
      </c>
      <c r="I42" s="181" t="s">
        <v>823</v>
      </c>
      <c r="J42" s="181" t="s">
        <v>830</v>
      </c>
      <c r="K42" s="181" t="s">
        <v>830</v>
      </c>
      <c r="L42" s="181" t="s">
        <v>831</v>
      </c>
    </row>
    <row r="43" spans="1:17" x14ac:dyDescent="0.25">
      <c r="A43" s="182">
        <v>25</v>
      </c>
      <c r="B43" s="183">
        <f>E43</f>
        <v>112</v>
      </c>
      <c r="C43" s="182">
        <v>127</v>
      </c>
      <c r="D43" s="182">
        <v>111</v>
      </c>
      <c r="E43" s="182">
        <v>112</v>
      </c>
      <c r="F43" s="184">
        <v>1</v>
      </c>
      <c r="G43" s="182">
        <v>0.87670000000000003</v>
      </c>
      <c r="H43" s="182">
        <v>1.52</v>
      </c>
      <c r="I43" s="182">
        <v>1.75</v>
      </c>
      <c r="J43" s="182">
        <v>5.95</v>
      </c>
      <c r="K43" s="182">
        <v>11.91</v>
      </c>
      <c r="L43" s="182">
        <v>366</v>
      </c>
    </row>
    <row r="44" spans="1:17" x14ac:dyDescent="0.25">
      <c r="A44" s="182">
        <v>35</v>
      </c>
      <c r="B44" s="183">
        <f>E44</f>
        <v>141</v>
      </c>
      <c r="C44" s="182">
        <v>153</v>
      </c>
      <c r="D44" s="182">
        <v>132</v>
      </c>
      <c r="E44" s="182">
        <v>141</v>
      </c>
      <c r="F44" s="184">
        <v>1</v>
      </c>
      <c r="G44" s="182">
        <v>0.63560000000000005</v>
      </c>
      <c r="H44" s="182">
        <v>1.1000000000000001</v>
      </c>
      <c r="I44" s="182">
        <v>1.23</v>
      </c>
      <c r="J44" s="182">
        <v>7</v>
      </c>
      <c r="K44" s="182">
        <v>12.96</v>
      </c>
      <c r="L44" s="182">
        <v>469</v>
      </c>
    </row>
    <row r="45" spans="1:17" x14ac:dyDescent="0.25">
      <c r="A45" s="182">
        <v>50</v>
      </c>
      <c r="B45" s="183">
        <f>E45</f>
        <v>172</v>
      </c>
      <c r="C45" s="182">
        <v>180</v>
      </c>
      <c r="D45" s="182">
        <v>155</v>
      </c>
      <c r="E45" s="182">
        <v>172</v>
      </c>
      <c r="F45" s="184">
        <v>1</v>
      </c>
      <c r="G45" s="182">
        <v>0.47449999999999998</v>
      </c>
      <c r="H45" s="182">
        <v>0.82</v>
      </c>
      <c r="I45" s="182">
        <v>0.95</v>
      </c>
      <c r="J45" s="182">
        <v>8.15</v>
      </c>
      <c r="K45" s="182">
        <v>15.15</v>
      </c>
      <c r="L45" s="182">
        <v>632</v>
      </c>
    </row>
    <row r="46" spans="1:17" x14ac:dyDescent="0.25">
      <c r="A46" s="182">
        <v>70</v>
      </c>
      <c r="B46" s="183">
        <f>E46</f>
        <v>223</v>
      </c>
      <c r="C46" s="182">
        <v>221</v>
      </c>
      <c r="D46" s="182">
        <v>190</v>
      </c>
      <c r="E46" s="182">
        <v>223</v>
      </c>
      <c r="F46" s="183">
        <v>1</v>
      </c>
      <c r="G46" s="185">
        <v>0.33560000000000001</v>
      </c>
      <c r="H46" s="185">
        <v>0.57999999999999996</v>
      </c>
      <c r="I46" s="185">
        <v>0.67</v>
      </c>
      <c r="J46" s="185">
        <v>9.7899999999999991</v>
      </c>
      <c r="K46" s="185">
        <v>16.57</v>
      </c>
      <c r="L46" s="185">
        <v>880</v>
      </c>
    </row>
    <row r="47" spans="1:17" x14ac:dyDescent="0.25">
      <c r="A47" s="182">
        <v>95</v>
      </c>
      <c r="B47" s="183">
        <f t="shared" ref="B47:B57" si="2">E47</f>
        <v>273</v>
      </c>
      <c r="C47" s="182">
        <v>265</v>
      </c>
      <c r="D47" s="182">
        <v>226</v>
      </c>
      <c r="E47" s="182">
        <v>273</v>
      </c>
      <c r="F47" s="183">
        <v>1</v>
      </c>
      <c r="G47" s="185">
        <v>0.25</v>
      </c>
      <c r="H47" s="185">
        <v>0.43</v>
      </c>
      <c r="I47" s="185">
        <v>0.5</v>
      </c>
      <c r="J47" s="185">
        <v>11.54</v>
      </c>
      <c r="K47" s="185">
        <v>19.04</v>
      </c>
      <c r="L47" s="185">
        <v>1160</v>
      </c>
    </row>
    <row r="48" spans="1:17" x14ac:dyDescent="0.25">
      <c r="A48" s="182">
        <v>120</v>
      </c>
      <c r="B48" s="183">
        <f t="shared" si="2"/>
        <v>318</v>
      </c>
      <c r="C48" s="182">
        <v>301</v>
      </c>
      <c r="D48" s="182">
        <v>256</v>
      </c>
      <c r="E48" s="182">
        <v>318</v>
      </c>
      <c r="F48" s="183">
        <v>1</v>
      </c>
      <c r="G48" s="185">
        <v>0.2054</v>
      </c>
      <c r="H48" s="185">
        <v>0.36</v>
      </c>
      <c r="I48" s="185">
        <v>0.41</v>
      </c>
      <c r="J48" s="185">
        <v>12.96</v>
      </c>
      <c r="K48" s="185">
        <v>20.239999999999998</v>
      </c>
      <c r="L48" s="185">
        <v>1413</v>
      </c>
    </row>
    <row r="49" spans="1:12" x14ac:dyDescent="0.25">
      <c r="A49" s="182">
        <v>150</v>
      </c>
      <c r="B49" s="183">
        <f t="shared" si="2"/>
        <v>369</v>
      </c>
      <c r="C49" s="182">
        <v>338</v>
      </c>
      <c r="D49" s="182">
        <v>287</v>
      </c>
      <c r="E49" s="182">
        <v>369</v>
      </c>
      <c r="F49" s="183">
        <v>1</v>
      </c>
      <c r="G49" s="185">
        <v>0.1734</v>
      </c>
      <c r="H49" s="185">
        <v>0.3</v>
      </c>
      <c r="I49" s="185">
        <v>0.35</v>
      </c>
      <c r="J49" s="185">
        <v>14.39</v>
      </c>
      <c r="K49" s="185">
        <v>22.07</v>
      </c>
      <c r="L49" s="185">
        <v>1734</v>
      </c>
    </row>
    <row r="50" spans="1:12" x14ac:dyDescent="0.25">
      <c r="A50" s="182">
        <v>185</v>
      </c>
      <c r="B50" s="183">
        <f t="shared" si="2"/>
        <v>424</v>
      </c>
      <c r="C50" s="182">
        <v>381</v>
      </c>
      <c r="D50" s="182">
        <v>323</v>
      </c>
      <c r="E50" s="182">
        <v>424</v>
      </c>
      <c r="F50" s="184">
        <v>1</v>
      </c>
      <c r="G50" s="182">
        <v>0.14990000000000001</v>
      </c>
      <c r="H50" s="182">
        <v>0.26</v>
      </c>
      <c r="I50" s="182">
        <v>0.3</v>
      </c>
      <c r="J50" s="182">
        <v>16.100000000000001</v>
      </c>
      <c r="K50" s="182">
        <v>24.08</v>
      </c>
      <c r="L50" s="182">
        <v>2145</v>
      </c>
    </row>
    <row r="51" spans="1:12" x14ac:dyDescent="0.25">
      <c r="A51" s="182">
        <v>240</v>
      </c>
      <c r="B51" s="183">
        <f t="shared" si="2"/>
        <v>504</v>
      </c>
      <c r="C51" s="182">
        <v>442</v>
      </c>
      <c r="D51" s="182">
        <v>372</v>
      </c>
      <c r="E51" s="182">
        <v>504</v>
      </c>
      <c r="F51" s="184">
        <v>1</v>
      </c>
      <c r="G51" s="182">
        <v>0.1268</v>
      </c>
      <c r="H51" s="182">
        <v>0.22</v>
      </c>
      <c r="I51" s="182">
        <v>0.25</v>
      </c>
      <c r="J51" s="182">
        <v>18.71</v>
      </c>
      <c r="K51" s="182">
        <v>27.81</v>
      </c>
      <c r="L51" s="182">
        <v>2725</v>
      </c>
    </row>
    <row r="52" spans="1:12" x14ac:dyDescent="0.25">
      <c r="A52" s="182">
        <v>300</v>
      </c>
      <c r="B52" s="183">
        <f t="shared" si="2"/>
        <v>584</v>
      </c>
      <c r="C52" s="182">
        <v>499</v>
      </c>
      <c r="D52" s="182">
        <v>419</v>
      </c>
      <c r="E52" s="182">
        <v>584</v>
      </c>
      <c r="F52" s="184">
        <v>1</v>
      </c>
      <c r="G52" s="182">
        <v>0.11310000000000001</v>
      </c>
      <c r="H52" s="182">
        <v>0.2</v>
      </c>
      <c r="I52" s="182">
        <v>0.23</v>
      </c>
      <c r="J52" s="182">
        <v>21.45</v>
      </c>
      <c r="K52" s="182">
        <v>30.75</v>
      </c>
      <c r="L52" s="182">
        <v>3375</v>
      </c>
    </row>
    <row r="53" spans="1:12" x14ac:dyDescent="0.25">
      <c r="A53" s="182">
        <v>400</v>
      </c>
      <c r="B53" s="183">
        <f t="shared" si="2"/>
        <v>679</v>
      </c>
      <c r="C53" s="182">
        <v>565</v>
      </c>
      <c r="D53" s="182">
        <v>472</v>
      </c>
      <c r="E53" s="182">
        <v>679</v>
      </c>
      <c r="F53" s="184">
        <v>1</v>
      </c>
      <c r="G53" s="182">
        <v>0.1028</v>
      </c>
      <c r="H53" s="182">
        <v>0.18</v>
      </c>
      <c r="I53" s="182">
        <v>0.21</v>
      </c>
      <c r="J53" s="182">
        <v>24.3</v>
      </c>
      <c r="K53" s="182">
        <v>34.1</v>
      </c>
      <c r="L53" s="182">
        <v>4395</v>
      </c>
    </row>
    <row r="54" spans="1:12" x14ac:dyDescent="0.25">
      <c r="A54" s="182">
        <v>500</v>
      </c>
      <c r="B54" s="183">
        <f t="shared" si="2"/>
        <v>778</v>
      </c>
      <c r="C54" s="182">
        <v>634</v>
      </c>
      <c r="D54" s="182">
        <v>532</v>
      </c>
      <c r="E54" s="182">
        <v>778</v>
      </c>
      <c r="F54" s="184">
        <v>1</v>
      </c>
      <c r="G54" s="182">
        <v>9.6299999999999997E-2</v>
      </c>
      <c r="H54" s="182">
        <v>0.17</v>
      </c>
      <c r="I54" s="182">
        <v>19</v>
      </c>
      <c r="J54" s="182">
        <v>26.51</v>
      </c>
      <c r="K54" s="182">
        <v>37.130000000000003</v>
      </c>
      <c r="L54" s="182">
        <v>5299</v>
      </c>
    </row>
    <row r="55" spans="1:12" x14ac:dyDescent="0.25">
      <c r="A55" s="182">
        <v>630</v>
      </c>
      <c r="B55" s="183">
        <f t="shared" si="2"/>
        <v>892</v>
      </c>
      <c r="C55" s="182">
        <v>718</v>
      </c>
      <c r="D55" s="182">
        <v>603</v>
      </c>
      <c r="E55" s="182">
        <v>892</v>
      </c>
      <c r="F55" s="184">
        <v>1</v>
      </c>
      <c r="G55" s="182">
        <v>8.8999999999999996E-2</v>
      </c>
      <c r="H55" s="182">
        <v>0.15</v>
      </c>
      <c r="I55" s="182">
        <v>0.18</v>
      </c>
      <c r="J55" s="182">
        <v>33.15</v>
      </c>
      <c r="K55" s="182">
        <v>43.62</v>
      </c>
      <c r="L55" s="182">
        <v>6965</v>
      </c>
    </row>
    <row r="56" spans="1:12" x14ac:dyDescent="0.25">
      <c r="A56" s="182">
        <v>800</v>
      </c>
      <c r="B56" s="183">
        <f t="shared" si="2"/>
        <v>1020</v>
      </c>
      <c r="C56" s="182">
        <v>792</v>
      </c>
      <c r="D56" s="182">
        <v>689</v>
      </c>
      <c r="E56" s="182">
        <v>1020</v>
      </c>
      <c r="F56" s="184">
        <v>1</v>
      </c>
      <c r="G56" s="182">
        <v>0.85199999999999998</v>
      </c>
      <c r="H56" s="182">
        <v>0.15</v>
      </c>
      <c r="I56" s="182">
        <v>0.17</v>
      </c>
      <c r="J56" s="182">
        <v>37.700000000000003</v>
      </c>
      <c r="K56" s="182">
        <v>49</v>
      </c>
      <c r="L56" s="182">
        <v>9118</v>
      </c>
    </row>
    <row r="57" spans="1:12" x14ac:dyDescent="0.25">
      <c r="A57" s="182">
        <v>1000</v>
      </c>
      <c r="B57" s="183">
        <f t="shared" si="2"/>
        <v>1149</v>
      </c>
      <c r="C57" s="182">
        <v>856</v>
      </c>
      <c r="D57" s="182">
        <v>741</v>
      </c>
      <c r="E57" s="182">
        <v>1149</v>
      </c>
      <c r="F57" s="184">
        <v>1</v>
      </c>
      <c r="G57" s="182">
        <v>8.1900000000000001E-2</v>
      </c>
      <c r="H57" s="182">
        <v>0.14000000000000001</v>
      </c>
      <c r="I57" s="182">
        <v>0.16</v>
      </c>
      <c r="J57" s="182">
        <v>42.25</v>
      </c>
      <c r="K57" s="182">
        <v>53.45</v>
      </c>
      <c r="L57" s="182">
        <v>11050</v>
      </c>
    </row>
  </sheetData>
  <mergeCells count="9">
    <mergeCell ref="A39:C39"/>
    <mergeCell ref="E39:L40"/>
    <mergeCell ref="B40:C40"/>
    <mergeCell ref="A4:C4"/>
    <mergeCell ref="B5:C5"/>
    <mergeCell ref="E5:Q5"/>
    <mergeCell ref="A25:C25"/>
    <mergeCell ref="B26:C26"/>
    <mergeCell ref="E26:P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4C1-38EE-41E4-97C6-402C31C93E30}">
  <dimension ref="A3:G20"/>
  <sheetViews>
    <sheetView topLeftCell="A5" workbookViewId="0">
      <selection activeCell="A15" sqref="A15"/>
    </sheetView>
  </sheetViews>
  <sheetFormatPr defaultRowHeight="15" x14ac:dyDescent="0.25"/>
  <cols>
    <col min="1" max="1" width="17" bestFit="1" customWidth="1"/>
    <col min="2" max="2" width="14.28515625" bestFit="1" customWidth="1"/>
    <col min="3" max="3" width="8.42578125" bestFit="1" customWidth="1"/>
    <col min="4" max="4" width="6.7109375" bestFit="1" customWidth="1"/>
    <col min="5" max="5" width="33.7109375" bestFit="1" customWidth="1"/>
    <col min="6" max="6" width="8.7109375" bestFit="1" customWidth="1"/>
    <col min="7" max="7" width="15.42578125" bestFit="1" customWidth="1"/>
  </cols>
  <sheetData>
    <row r="3" spans="1:7" x14ac:dyDescent="0.25">
      <c r="A3" s="176" t="s">
        <v>832</v>
      </c>
      <c r="B3" s="176"/>
      <c r="C3" s="176"/>
      <c r="D3" s="176"/>
      <c r="E3" s="176" t="s">
        <v>833</v>
      </c>
      <c r="F3" s="176"/>
      <c r="G3" s="176"/>
    </row>
    <row r="4" spans="1:7" x14ac:dyDescent="0.25">
      <c r="A4" s="177" t="s">
        <v>805</v>
      </c>
      <c r="B4" s="177" t="s">
        <v>84</v>
      </c>
    </row>
    <row r="5" spans="1:7" ht="45" x14ac:dyDescent="0.25">
      <c r="A5" s="188" t="s">
        <v>834</v>
      </c>
      <c r="B5" s="189" t="s">
        <v>835</v>
      </c>
      <c r="C5" s="188" t="s">
        <v>836</v>
      </c>
      <c r="D5" s="190" t="s">
        <v>837</v>
      </c>
      <c r="E5" s="190" t="s">
        <v>838</v>
      </c>
      <c r="F5" s="190" t="s">
        <v>839</v>
      </c>
      <c r="G5" s="190" t="s">
        <v>840</v>
      </c>
    </row>
    <row r="6" spans="1:7" ht="17.25" x14ac:dyDescent="0.25">
      <c r="A6" s="191" t="s">
        <v>841</v>
      </c>
      <c r="B6" s="192" t="s">
        <v>842</v>
      </c>
      <c r="C6" s="191" t="s">
        <v>830</v>
      </c>
      <c r="D6" s="191" t="s">
        <v>843</v>
      </c>
      <c r="E6" s="191" t="s">
        <v>830</v>
      </c>
      <c r="F6" s="191" t="s">
        <v>830</v>
      </c>
      <c r="G6" s="191" t="s">
        <v>844</v>
      </c>
    </row>
    <row r="7" spans="1:7" x14ac:dyDescent="0.25">
      <c r="A7" s="128">
        <v>25</v>
      </c>
      <c r="B7" s="128"/>
      <c r="C7" s="128">
        <v>4.0999999999999996</v>
      </c>
      <c r="D7" s="128">
        <v>1.95</v>
      </c>
      <c r="E7" s="128">
        <v>5.8</v>
      </c>
      <c r="F7" s="128">
        <v>7.2</v>
      </c>
      <c r="G7" s="128">
        <v>1.228</v>
      </c>
    </row>
    <row r="8" spans="1:7" x14ac:dyDescent="0.25">
      <c r="A8" s="128">
        <v>16</v>
      </c>
      <c r="B8" s="128"/>
      <c r="C8" s="128">
        <v>3.21</v>
      </c>
      <c r="D8" s="128">
        <v>3.39</v>
      </c>
      <c r="E8" s="128">
        <v>4.6100000000000003</v>
      </c>
      <c r="F8" s="128">
        <v>6.01</v>
      </c>
      <c r="G8" s="128">
        <v>0.78099999999999992</v>
      </c>
    </row>
    <row r="9" spans="1:7" x14ac:dyDescent="0.25">
      <c r="A9" s="128">
        <v>10</v>
      </c>
      <c r="B9" s="128">
        <v>100</v>
      </c>
      <c r="C9" s="128">
        <v>2.2999999999999998</v>
      </c>
      <c r="D9" s="128">
        <v>5.09</v>
      </c>
      <c r="E9" s="128">
        <v>3.7</v>
      </c>
      <c r="F9" s="128">
        <v>5.0999999999999996</v>
      </c>
      <c r="G9" s="128">
        <v>0.55599999999999994</v>
      </c>
    </row>
    <row r="10" spans="1:7" x14ac:dyDescent="0.25">
      <c r="A10" s="128">
        <v>6</v>
      </c>
      <c r="B10" s="193">
        <v>70</v>
      </c>
      <c r="C10" s="128">
        <v>2.1</v>
      </c>
      <c r="D10" s="128">
        <v>8.2100000000000009</v>
      </c>
      <c r="E10" s="128">
        <v>3.5</v>
      </c>
      <c r="F10" s="128">
        <v>4.9000000000000004</v>
      </c>
      <c r="G10" s="128">
        <v>0.44900000000000001</v>
      </c>
    </row>
    <row r="11" spans="1:7" x14ac:dyDescent="0.25">
      <c r="A11" s="128">
        <v>4</v>
      </c>
      <c r="B11" s="193">
        <v>55</v>
      </c>
      <c r="C11" s="128">
        <v>1.55</v>
      </c>
      <c r="D11" s="128">
        <v>13.7</v>
      </c>
      <c r="E11" s="128">
        <v>2.95</v>
      </c>
      <c r="F11" s="128">
        <v>4.3499999999999996</v>
      </c>
      <c r="G11" s="128">
        <v>0.317</v>
      </c>
    </row>
    <row r="14" spans="1:7" ht="15.75" thickBot="1" x14ac:dyDescent="0.3"/>
    <row r="15" spans="1:7" ht="52.5" thickBot="1" x14ac:dyDescent="0.3">
      <c r="A15" s="135" t="s">
        <v>845</v>
      </c>
      <c r="B15" s="135" t="s">
        <v>846</v>
      </c>
      <c r="C15" s="135" t="s">
        <v>847</v>
      </c>
      <c r="D15" s="135" t="s">
        <v>848</v>
      </c>
      <c r="E15" s="135" t="s">
        <v>849</v>
      </c>
      <c r="F15" s="135" t="s">
        <v>850</v>
      </c>
      <c r="G15" s="186" t="s">
        <v>851</v>
      </c>
    </row>
    <row r="16" spans="1:7" ht="15.75" thickBot="1" x14ac:dyDescent="0.3">
      <c r="A16" s="187">
        <v>25</v>
      </c>
      <c r="B16" s="135"/>
      <c r="C16" s="187">
        <v>4.0999999999999996</v>
      </c>
      <c r="D16" s="187">
        <v>1.95</v>
      </c>
      <c r="E16" s="187">
        <v>5.8</v>
      </c>
      <c r="F16" s="187">
        <v>7.2</v>
      </c>
      <c r="G16" s="187" t="s">
        <v>852</v>
      </c>
    </row>
    <row r="17" spans="1:7" ht="15.75" thickBot="1" x14ac:dyDescent="0.3">
      <c r="A17" s="187">
        <v>16</v>
      </c>
      <c r="B17" s="135"/>
      <c r="C17" s="187">
        <v>3.21</v>
      </c>
      <c r="D17" s="187">
        <v>3.39</v>
      </c>
      <c r="E17" s="187">
        <v>4.6100000000000003</v>
      </c>
      <c r="F17" s="187">
        <v>6.01</v>
      </c>
      <c r="G17" s="187">
        <v>781</v>
      </c>
    </row>
    <row r="18" spans="1:7" ht="15.75" thickBot="1" x14ac:dyDescent="0.3">
      <c r="A18" s="187">
        <v>10</v>
      </c>
      <c r="B18" s="187">
        <v>100</v>
      </c>
      <c r="C18" s="187">
        <v>2.2999999999999998</v>
      </c>
      <c r="D18" s="187">
        <v>5.09</v>
      </c>
      <c r="E18" s="187">
        <v>3.7</v>
      </c>
      <c r="F18" s="187">
        <v>5.0999999999999996</v>
      </c>
      <c r="G18" s="187">
        <v>556</v>
      </c>
    </row>
    <row r="19" spans="1:7" ht="15.75" thickBot="1" x14ac:dyDescent="0.3">
      <c r="A19" s="187">
        <v>6</v>
      </c>
      <c r="B19" s="187">
        <v>70</v>
      </c>
      <c r="C19" s="187">
        <v>2.1</v>
      </c>
      <c r="D19" s="187">
        <v>8.2100000000000009</v>
      </c>
      <c r="E19" s="187">
        <v>3.5</v>
      </c>
      <c r="F19" s="187">
        <v>4.9000000000000004</v>
      </c>
      <c r="G19" s="187">
        <v>449</v>
      </c>
    </row>
    <row r="20" spans="1:7" ht="15.75" thickBot="1" x14ac:dyDescent="0.3">
      <c r="A20" s="187">
        <v>4</v>
      </c>
      <c r="B20" s="187">
        <v>55</v>
      </c>
      <c r="C20" s="187">
        <v>1.55</v>
      </c>
      <c r="D20" s="187">
        <v>13.7</v>
      </c>
      <c r="E20" s="187">
        <v>2.95</v>
      </c>
      <c r="F20" s="187">
        <v>4.3499999999999996</v>
      </c>
      <c r="G20" s="187">
        <v>317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A3C3-2F93-4DA6-867B-7DF73E727001}">
  <dimension ref="A1:L71"/>
  <sheetViews>
    <sheetView topLeftCell="E1" workbookViewId="0">
      <pane ySplit="3" topLeftCell="A4" activePane="bottomLeft" state="frozen"/>
      <selection pane="bottomLeft" activeCell="K12" sqref="K12"/>
    </sheetView>
  </sheetViews>
  <sheetFormatPr defaultColWidth="8.85546875" defaultRowHeight="15" x14ac:dyDescent="0.25"/>
  <cols>
    <col min="1" max="1" width="16.7109375" style="145" bestFit="1" customWidth="1"/>
    <col min="2" max="2" width="52.5703125" style="145" bestFit="1" customWidth="1"/>
    <col min="3" max="4" width="8.85546875" style="145"/>
    <col min="5" max="5" width="42.5703125" style="145" bestFit="1" customWidth="1"/>
    <col min="6" max="6" width="8.85546875" style="145"/>
    <col min="7" max="7" width="15.140625" style="145" bestFit="1" customWidth="1"/>
    <col min="8" max="8" width="26.28515625" style="145" bestFit="1" customWidth="1"/>
    <col min="9" max="9" width="8.85546875" style="145"/>
    <col min="10" max="10" width="14" style="145" bestFit="1" customWidth="1"/>
    <col min="11" max="11" width="41.7109375" style="145" bestFit="1" customWidth="1"/>
    <col min="12" max="12" width="29.140625" style="145" bestFit="1" customWidth="1"/>
    <col min="13" max="16384" width="8.85546875" style="145"/>
  </cols>
  <sheetData>
    <row r="1" spans="1:12" x14ac:dyDescent="0.25">
      <c r="A1" s="210" t="s">
        <v>853</v>
      </c>
      <c r="B1" s="210"/>
      <c r="D1" s="210" t="s">
        <v>531</v>
      </c>
      <c r="E1" s="210"/>
      <c r="G1" s="210" t="s">
        <v>854</v>
      </c>
      <c r="H1" s="210"/>
      <c r="J1" s="210" t="s">
        <v>855</v>
      </c>
      <c r="K1" s="210"/>
    </row>
    <row r="2" spans="1:12" x14ac:dyDescent="0.25">
      <c r="A2" s="210"/>
      <c r="B2" s="210"/>
      <c r="D2" s="210"/>
      <c r="E2" s="210"/>
      <c r="G2" s="210"/>
      <c r="H2" s="210"/>
      <c r="J2" s="210"/>
      <c r="K2" s="210"/>
    </row>
    <row r="3" spans="1:12" s="150" customFormat="1" x14ac:dyDescent="0.25">
      <c r="A3" s="150" t="str">
        <f>Workflow!C7</f>
        <v>Inverter Size (kVA)</v>
      </c>
      <c r="B3" s="150" t="s">
        <v>856</v>
      </c>
      <c r="D3" s="150" t="str">
        <f>Workflow!A1</f>
        <v>PV Size</v>
      </c>
      <c r="E3" s="153" t="s">
        <v>857</v>
      </c>
      <c r="G3" s="150" t="str">
        <f>Workflow!A13</f>
        <v>DC Fuses Size (A)</v>
      </c>
      <c r="H3" s="153" t="s">
        <v>858</v>
      </c>
      <c r="J3" s="150" t="str">
        <f>Workflow!A18</f>
        <v>Mounting Type</v>
      </c>
      <c r="K3" s="150" t="s">
        <v>859</v>
      </c>
    </row>
    <row r="4" spans="1:12" x14ac:dyDescent="0.25">
      <c r="A4" s="145" t="str" cm="1">
        <f t="array" ref="A4:A32">_xlfn._xlws.FILTER(_xlfn.VSTACK("All", _xlfn._xlws.SORT(_xlfn.UNIQUE(InvTable[Power Rating (kVA)]))),_xlfn.VSTACK("All", _xlfn._xlws.SORT(_xlfn.UNIQUE(InvTable[Power Rating (kVA)])))&lt;&gt;0)</f>
        <v>All</v>
      </c>
      <c r="B4" s="145" t="str" cm="1">
        <f t="array" ref="B4:B71">IFERROR(_xlfn.LET(
_xlpm.filterCol1,InvTable[System Type],
_xlpm.filterCol2,InvTable[Power Rating (kVA)],
_xlpm.filterCol3,InvTable[Number Of Phases],
_xlpm.resultCol,InvTable[Description],
_xlpm.condition1,_xlpm.filterCol1 = IF(Workflow!A8 = "All",_xlpm.filterCol1,Workflow!A8),
_xlpm.condition2,_xlpm.filterCol2 = IF(Workflow!C8 = "All",_xlpm.filterCol2,Workflow!C8),
_xlpm.condition3,_xlpm.filterCol3 = IF(Workflow!B8 = "All",_xlpm.filterCol3,Workflow!B8),
_xlfn._xlws.FILTER(_xlpm.resultCol, _xlpm.condition1 * _xlpm.condition2 * _xlpm.condition3)
),"Inverter Not in Product List")</f>
        <v>Deye 50KW Hybrid - 50kw 3P Hybrid Inverter</v>
      </c>
      <c r="D4" s="145" t="str" cm="1">
        <f t="array" ref="D4:D7">_xlfn._xlws.FILTER(_xlfn.VSTACK("All", _xlfn._xlws.SORT(_xlfn.UNIQUE(PVTable[Power Rating (W)]))),_xlfn.VSTACK("All", _xlfn._xlws.SORT(_xlfn.UNIQUE(PVTable[Power Rating (W)])))&lt;&gt;0)</f>
        <v>All</v>
      </c>
      <c r="E4" s="145" t="str" cm="1">
        <f t="array" ref="E4:E6">IFERROR(_xlfn.LET(
_xlpm.filterCol1,PVTable[Power Rating (W)],
_xlpm.resultCol,PVTable[Description],
_xlpm.condition1,_xlpm.filterCol1 = IF(Workflow!A2 = "All",_xlpm.filterCol1,Workflow!A2),
_xlfn._xlws.FILTER(_xlpm.resultCol, _xlpm.condition1)
),"Inverter Not in Product List")</f>
        <v xml:space="preserve">Trina -  550W - PV Module (Tier 1, 25y warranty) </v>
      </c>
      <c r="G4" s="145" t="str" cm="1">
        <f t="array" ref="G4:G13">_xlfn._xlws.FILTER(_xlfn.VSTACK("All", _xlfn._xlws.SORT(_xlfn.UNIQUE(Table6[Max Current Rating (A)]))),_xlfn.VSTACK("All", _xlfn._xlws.SORT(_xlfn.UNIQUE(Table6[Max Current Rating (A)])))&lt;&gt;0)</f>
        <v>All</v>
      </c>
      <c r="H4" s="145" t="str" cm="1">
        <f t="array" ref="H4">IFERROR(_xlfn.LET(
_xlpm.filterCol1,Table6[Max Current Rating (A)],
_xlpm.filterCol2,Table6[Component Type],
_xlpm.resultCol,Table6[Description],
_xlpm.condition1,_xlpm.filterCol1 = IF(Workflow!A14 = "All",_xlpm.filterCol1,Workflow!A14),
_xlpm.condition2,_xlpm.filterCol2 = "Fuse",
_xlfn._xlws.FILTER(_xlpm.resultCol, _xlpm.condition1 * _xlpm.condition2)
),"Fuses Not in Product List")</f>
        <v xml:space="preserve">20A Fuse </v>
      </c>
      <c r="J4" s="145" t="str" cm="1">
        <f t="array" ref="J4:J8">_xlfn._xlws.FILTER(_xlfn.VSTACK("All", _xlfn._xlws.SORT(_xlfn.UNIQUE(Table7[Mounting Type]))),_xlfn.VSTACK("All", _xlfn._xlws.SORT(_xlfn.UNIQUE(Table7[Mounting Type])))&lt;&gt;0)</f>
        <v>All</v>
      </c>
      <c r="K4" s="145" t="e" cm="1" vm="1">
        <f t="array" ref="K4">_xlfn.LET(
    _xlpm.voltage, Table7[Nominal Voltage (V)],
    _xlpm.current, Table7[Nominal Current (A)],
    _xlpm.mountType, Table7[Mounting Type],
    _xlpm.description, Table7[Description],
    _xlpm.minVoltage, Workflow!J4,
    _xlpm.minCurrent, Workflow!K4,
    _xlpm.userMount, Workflow!A19,
    _xlpm.mountCondition, IF(_xlpm.userMount = "All", TRUE, _xlpm.mountType = _xlpm.userMount),
    _xlfn._xlws.FILTER(_xlpm.description, (_xlpm.voltage &gt; _xlpm.minVoltage) * (_xlpm.current &gt; _xlpm.minCurrent) * _xlpm.mountCondition)
)</f>
        <v>#VALUE!</v>
      </c>
    </row>
    <row r="5" spans="1:12" x14ac:dyDescent="0.25">
      <c r="A5" s="145">
        <v>3</v>
      </c>
      <c r="B5" s="145" t="str">
        <v>ECO 27.0-3-S, 1 MPPT, Web server &amp; WLAN</v>
      </c>
      <c r="D5" s="145">
        <v>550</v>
      </c>
      <c r="E5" s="145" t="str">
        <v>Jinko - 555W - PV Module (Tier 1, 25y warranty)</v>
      </c>
      <c r="G5" s="145">
        <v>15</v>
      </c>
      <c r="J5" s="145" t="str">
        <v>Panel Mount</v>
      </c>
      <c r="L5" s="194"/>
    </row>
    <row r="6" spans="1:12" x14ac:dyDescent="0.25">
      <c r="A6" s="145">
        <v>3.6</v>
      </c>
      <c r="B6" s="145" t="str">
        <v>PRIMO 5.0-1, 2 MPPT, Web server &amp; WLAN</v>
      </c>
      <c r="D6" s="145">
        <v>555</v>
      </c>
      <c r="E6" s="145" t="str">
        <v>JA Solar - 565W - PV Module (Tier 1, 25y warranty)</v>
      </c>
      <c r="G6" s="145">
        <v>16</v>
      </c>
      <c r="J6" s="145" t="str">
        <v>Rail Mount</v>
      </c>
    </row>
    <row r="7" spans="1:12" x14ac:dyDescent="0.25">
      <c r="A7" s="145">
        <v>5</v>
      </c>
      <c r="B7" s="145" t="str">
        <v>PRIMO 8.2-1, 2 MPPT, Web server &amp; WLAN</v>
      </c>
      <c r="D7" s="145">
        <v>565</v>
      </c>
      <c r="G7" s="145">
        <v>20</v>
      </c>
      <c r="J7" s="145" t="str">
        <v>Surface Mount</v>
      </c>
    </row>
    <row r="8" spans="1:12" x14ac:dyDescent="0.25">
      <c r="A8" s="145">
        <v>6</v>
      </c>
      <c r="B8" s="145" t="str">
        <v>SYMO 10.0-3-M, 2 MPPT, Web server &amp; WLAN</v>
      </c>
      <c r="G8" s="145">
        <v>32</v>
      </c>
      <c r="J8" s="145" t="str">
        <v>Unspecified</v>
      </c>
    </row>
    <row r="9" spans="1:12" x14ac:dyDescent="0.25">
      <c r="A9" s="145">
        <v>8</v>
      </c>
      <c r="B9" s="145" t="str">
        <v>SYMO 15.0-3-M, 2 MPPT, Web server &amp; WLAN</v>
      </c>
      <c r="G9" s="145">
        <v>160</v>
      </c>
    </row>
    <row r="10" spans="1:12" x14ac:dyDescent="0.25">
      <c r="A10" s="145">
        <v>8.1999999999999993</v>
      </c>
      <c r="B10" s="145" t="str">
        <v>SYMO 17.5-3-M, 2 MPPT, Web server &amp; WLAN</v>
      </c>
      <c r="G10" s="145">
        <v>200</v>
      </c>
    </row>
    <row r="11" spans="1:12" x14ac:dyDescent="0.25">
      <c r="A11" s="145">
        <v>10</v>
      </c>
      <c r="B11" s="145" t="str">
        <v>SYMO 20.0-3-M, 2 MPPT, Lite</v>
      </c>
      <c r="G11" s="145">
        <v>300</v>
      </c>
    </row>
    <row r="12" spans="1:12" x14ac:dyDescent="0.25">
      <c r="A12" s="145">
        <v>12</v>
      </c>
      <c r="B12" s="145" t="str">
        <v>SYMO 20.0-3-M, 2 MPPT, Web server &amp; WLAN</v>
      </c>
      <c r="G12" s="145">
        <v>400</v>
      </c>
    </row>
    <row r="13" spans="1:12" x14ac:dyDescent="0.25">
      <c r="A13" s="145">
        <v>15</v>
      </c>
      <c r="B13" s="145" t="str">
        <v>Tauro ECO 50-3-P</v>
      </c>
      <c r="G13" s="145">
        <v>500</v>
      </c>
    </row>
    <row r="14" spans="1:12" x14ac:dyDescent="0.25">
      <c r="A14" s="145">
        <v>16</v>
      </c>
      <c r="B14" s="145" t="str">
        <v>Tauro ECO 100-3-P</v>
      </c>
    </row>
    <row r="15" spans="1:12" x14ac:dyDescent="0.25">
      <c r="A15" s="145">
        <v>17.5</v>
      </c>
      <c r="B15" s="145" t="str">
        <v>Huawei SUN2000-150K-MG0 Inverter</v>
      </c>
    </row>
    <row r="16" spans="1:12" x14ac:dyDescent="0.25">
      <c r="A16" s="145">
        <v>20</v>
      </c>
      <c r="B16" s="145" t="str">
        <v>Huawei SUN2000-115KTL-M2 Inverter</v>
      </c>
    </row>
    <row r="17" spans="1:2" x14ac:dyDescent="0.25">
      <c r="A17" s="145">
        <v>25</v>
      </c>
      <c r="B17" s="145" t="str">
        <v>Huawei SUN2000-100KTL-M2 Inverter, with AFCI</v>
      </c>
    </row>
    <row r="18" spans="1:2" x14ac:dyDescent="0.25">
      <c r="A18" s="145">
        <v>27</v>
      </c>
      <c r="B18" s="145" t="str">
        <v>Huawei SUN2000-50KTL-M3 Inverter</v>
      </c>
    </row>
    <row r="19" spans="1:2" x14ac:dyDescent="0.25">
      <c r="A19" s="145">
        <v>30</v>
      </c>
      <c r="B19" s="145" t="str">
        <v>Huawei SUN2000-40KTL-M3 Inverter</v>
      </c>
    </row>
    <row r="20" spans="1:2" x14ac:dyDescent="0.25">
      <c r="A20" s="145">
        <v>33.299999999999997</v>
      </c>
      <c r="B20" s="145" t="str">
        <v>Huawei SUN2000-36KTL-M3 Inverter</v>
      </c>
    </row>
    <row r="21" spans="1:2" x14ac:dyDescent="0.25">
      <c r="A21" s="145">
        <v>36</v>
      </c>
      <c r="B21" s="145" t="str">
        <v>Huawei SUN2000-30KTL-M3 Inverter</v>
      </c>
    </row>
    <row r="22" spans="1:2" x14ac:dyDescent="0.25">
      <c r="A22" s="145">
        <v>40</v>
      </c>
      <c r="B22" s="145" t="str">
        <v>Huawei SUN2000-25KTL-M5 Inverter</v>
      </c>
    </row>
    <row r="23" spans="1:2" x14ac:dyDescent="0.25">
      <c r="A23" s="145">
        <v>50</v>
      </c>
      <c r="B23" s="145" t="str">
        <v>Huawei SUN2000-20KTL-M5 Inverter</v>
      </c>
    </row>
    <row r="24" spans="1:2" x14ac:dyDescent="0.25">
      <c r="A24" s="145">
        <v>100</v>
      </c>
      <c r="B24" s="145" t="str">
        <v>Huawei SUN2000-15KTL-M5 Inverter</v>
      </c>
    </row>
    <row r="25" spans="1:2" x14ac:dyDescent="0.25">
      <c r="A25" s="145">
        <v>110</v>
      </c>
      <c r="B25" s="145" t="str">
        <v>Kehua Energy Storage Converter 500kW BCS500K-A-10Y</v>
      </c>
    </row>
    <row r="26" spans="1:2" x14ac:dyDescent="0.25">
      <c r="A26" s="145">
        <v>115</v>
      </c>
      <c r="B26" s="145" t="str">
        <v>Kehua Tech BCS250K-A-10Y</v>
      </c>
    </row>
    <row r="27" spans="1:2" x14ac:dyDescent="0.25">
      <c r="A27" s="145">
        <v>125</v>
      </c>
      <c r="B27" s="145" t="str">
        <v>Sigen PV Inverter Grid-Tie 125kW 400V</v>
      </c>
    </row>
    <row r="28" spans="1:2" x14ac:dyDescent="0.25">
      <c r="A28" s="145">
        <v>140</v>
      </c>
      <c r="B28" s="145" t="str">
        <v>Sigen Hybrid W/M Inverter 5,0kW Single Phase</v>
      </c>
    </row>
    <row r="29" spans="1:2" x14ac:dyDescent="0.25">
      <c r="A29" s="145">
        <v>150</v>
      </c>
      <c r="B29" s="145" t="str">
        <v>Sigen Hybrid W/M Inverter 6,0kW Single Phase</v>
      </c>
    </row>
    <row r="30" spans="1:2" x14ac:dyDescent="0.25">
      <c r="A30" s="145">
        <v>160</v>
      </c>
      <c r="B30" s="145" t="str">
        <v>Sigen Hybrid W/M Inverter 12,0kW Three Phase</v>
      </c>
    </row>
    <row r="31" spans="1:2" x14ac:dyDescent="0.25">
      <c r="A31" s="145">
        <v>275</v>
      </c>
      <c r="B31" s="145" t="str">
        <v>SigenStor Inverter 5,0kW Single Phase</v>
      </c>
    </row>
    <row r="32" spans="1:2" x14ac:dyDescent="0.25">
      <c r="A32" s="145">
        <v>550</v>
      </c>
      <c r="B32" s="145" t="str">
        <v>SigenStor Inverter 6,0kW Single Phase</v>
      </c>
    </row>
    <row r="33" spans="2:2" x14ac:dyDescent="0.25">
      <c r="B33" s="145" t="str">
        <v>SigenStor Inverter 8,0kW Single Phase</v>
      </c>
    </row>
    <row r="34" spans="2:2" x14ac:dyDescent="0.25">
      <c r="B34" s="145" t="str">
        <v>SigenStor Inverter 10,0kW Single Phase</v>
      </c>
    </row>
    <row r="35" spans="2:2" x14ac:dyDescent="0.25">
      <c r="B35" s="145" t="str">
        <v>SigenStor Inverter 12,0kW Single Phase</v>
      </c>
    </row>
    <row r="36" spans="2:2" x14ac:dyDescent="0.25">
      <c r="B36" s="145" t="str">
        <v>SigenStor Inverter 12,0kW Three Phase</v>
      </c>
    </row>
    <row r="37" spans="2:2" x14ac:dyDescent="0.25">
      <c r="B37" s="145" t="str">
        <v>SigenStor Inverter 15,0kW Three Phase</v>
      </c>
    </row>
    <row r="38" spans="2:2" x14ac:dyDescent="0.25">
      <c r="B38" s="145" t="str">
        <v>SigenStor Inverter 20,0kW Three Phase</v>
      </c>
    </row>
    <row r="39" spans="2:2" x14ac:dyDescent="0.25">
      <c r="B39" s="145" t="str">
        <v>SigenStor Inverter 25,0kW Three Phase</v>
      </c>
    </row>
    <row r="40" spans="2:2" x14ac:dyDescent="0.25">
      <c r="B40" s="145" t="str">
        <v>SigenStor Inverter 30,0kW Three Phase</v>
      </c>
    </row>
    <row r="41" spans="2:2" x14ac:dyDescent="0.25">
      <c r="B41" s="145" t="str">
        <v>Sigen Hybrid Inverter Off Grid 50kW Three Phase</v>
      </c>
    </row>
    <row r="42" spans="2:2" x14ac:dyDescent="0.25">
      <c r="B42" s="145" t="str">
        <v>Sigen Hybrid Inverter Off Grid 110kW Three Phase</v>
      </c>
    </row>
    <row r="43" spans="2:2" x14ac:dyDescent="0.25">
      <c r="B43" s="145" t="str">
        <v>SMA CORE-2 STP 110-60 AFCI 3Ph Inverter</v>
      </c>
    </row>
    <row r="44" spans="2:2" x14ac:dyDescent="0.25">
      <c r="B44" s="145" t="str">
        <v>Solar MD SS7020 - HV 200.2 kWh (14x14.3kWh)</v>
      </c>
    </row>
    <row r="45" spans="2:2" x14ac:dyDescent="0.25">
      <c r="B45" s="145" t="str">
        <v>Solar MD SS7021 - HV 214.5kWh (15 x 14.3kWh)</v>
      </c>
    </row>
    <row r="46" spans="2:2" x14ac:dyDescent="0.25">
      <c r="B46" s="145" t="str">
        <v>Solar MD SS7023 - HV 228.8kWh (16 x 14.3kWh)</v>
      </c>
    </row>
    <row r="47" spans="2:2" x14ac:dyDescent="0.25">
      <c r="B47" s="145" t="str">
        <v>Sunsynk 3.6 kW 1P Hybrid 48V</v>
      </c>
    </row>
    <row r="48" spans="2:2" x14ac:dyDescent="0.25">
      <c r="B48" s="145" t="str">
        <v>Sunsynk 3.6 kW 1P Hybrid 48V + 3.84 kWh Battery Pack</v>
      </c>
    </row>
    <row r="49" spans="2:2" x14ac:dyDescent="0.25">
      <c r="B49" s="145" t="str">
        <v>Sunsynk 5kW 1P Hybrid 48V</v>
      </c>
    </row>
    <row r="50" spans="2:2" x14ac:dyDescent="0.25">
      <c r="B50" s="145" t="str">
        <v>Sunsynk 5kW 1P Hybrid 48V Compact</v>
      </c>
    </row>
    <row r="51" spans="2:2" x14ac:dyDescent="0.25">
      <c r="B51" s="145" t="str">
        <v>Sunsynk 6kw Lynks Inverter</v>
      </c>
    </row>
    <row r="52" spans="2:2" x14ac:dyDescent="0.25">
      <c r="B52" s="145" t="str">
        <v>Sunsynk 8kW 1P Hyb Inv 48v Incl Wifi</v>
      </c>
    </row>
    <row r="53" spans="2:2" x14ac:dyDescent="0.25">
      <c r="B53" s="145" t="str">
        <v>Sunsynk 8kw Lynks Inverter</v>
      </c>
    </row>
    <row r="54" spans="2:2" x14ac:dyDescent="0.25">
      <c r="B54" s="145" t="str">
        <v>Sunsynk 10kW 1P Hybrid PV Inverter 48v C/W Wifi Dongle IP65</v>
      </c>
    </row>
    <row r="55" spans="2:2" x14ac:dyDescent="0.25">
      <c r="B55" s="145" t="str">
        <v>Sunsynk 12kW 1P Hybrid 48V</v>
      </c>
    </row>
    <row r="56" spans="2:2" x14ac:dyDescent="0.25">
      <c r="B56" s="145" t="str">
        <v>Sunsynk 16 kW 1P Hybrid 48V</v>
      </c>
    </row>
    <row r="57" spans="2:2" x14ac:dyDescent="0.25">
      <c r="B57" s="145" t="str">
        <v>Sunsynk 12kW 3P Hyb Inv 48v Incl Wifi</v>
      </c>
    </row>
    <row r="58" spans="2:2" x14ac:dyDescent="0.25">
      <c r="B58" s="145" t="str">
        <v>Sunsynk 50kW 3P Hybrid PV Inverter HV</v>
      </c>
    </row>
    <row r="59" spans="2:2" x14ac:dyDescent="0.25">
      <c r="B59" s="145" t="str">
        <v>Verto 27.0kW incl SPD 1+2</v>
      </c>
    </row>
    <row r="60" spans="2:2" x14ac:dyDescent="0.25">
      <c r="B60" s="145" t="str">
        <v>Verto 33.3kW incl SPD 1+2</v>
      </c>
    </row>
    <row r="61" spans="2:2" x14ac:dyDescent="0.25">
      <c r="B61" s="145" t="str">
        <v>MultiPlus-II 48/3000/35-32 230V</v>
      </c>
    </row>
    <row r="62" spans="2:2" x14ac:dyDescent="0.25">
      <c r="B62" s="145" t="str">
        <v>MultiPlus-II 48/3000/35-32 230V GX</v>
      </c>
    </row>
    <row r="63" spans="2:2" x14ac:dyDescent="0.25">
      <c r="B63" s="145" t="str">
        <v>MultiPlus-II 48/5000/70-50 230V GX</v>
      </c>
    </row>
    <row r="64" spans="2:2" x14ac:dyDescent="0.25">
      <c r="B64" s="145" t="str">
        <v>MultiPlus-II 48/5000/70-50 230V</v>
      </c>
    </row>
    <row r="65" spans="2:2" x14ac:dyDescent="0.25">
      <c r="B65" s="145" t="str">
        <v>MultiPlus-II 48/8000/110-100/100 230V</v>
      </c>
    </row>
    <row r="66" spans="2:2" x14ac:dyDescent="0.25">
      <c r="B66" s="145" t="str">
        <v>MultiPlus-II 48/10000/140-100/100 230V</v>
      </c>
    </row>
    <row r="67" spans="2:2" x14ac:dyDescent="0.25">
      <c r="B67" s="145" t="str">
        <v>MultiPlus-II 48/15000/140-100/100 230V</v>
      </c>
    </row>
    <row r="68" spans="2:2" x14ac:dyDescent="0.25">
      <c r="B68" s="145" t="str">
        <v>Quattro 48/5000/70-100/100 230V VE.Bus</v>
      </c>
    </row>
    <row r="69" spans="2:2" x14ac:dyDescent="0.25">
      <c r="B69" s="145" t="str">
        <v>Quattro 48/8000/110-100/100 230V VE.Bus</v>
      </c>
    </row>
    <row r="70" spans="2:2" x14ac:dyDescent="0.25">
      <c r="B70" s="145" t="str">
        <v>Quattro 48/10000/140-100/100 230V VE.Bus</v>
      </c>
    </row>
    <row r="71" spans="2:2" x14ac:dyDescent="0.25">
      <c r="B71" s="145" t="str">
        <v>Quattro 48/15000/200-100/100 230V VE.Bus</v>
      </c>
    </row>
  </sheetData>
  <mergeCells count="4">
    <mergeCell ref="A1:B2"/>
    <mergeCell ref="D1:E2"/>
    <mergeCell ref="G1:H2"/>
    <mergeCell ref="J1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2CA6C129B0D49807D52D8E03AEC3E" ma:contentTypeVersion="14" ma:contentTypeDescription="Create a new document." ma:contentTypeScope="" ma:versionID="e5a10265db0fbec5a3004efea46f6f99">
  <xsd:schema xmlns:xsd="http://www.w3.org/2001/XMLSchema" xmlns:xs="http://www.w3.org/2001/XMLSchema" xmlns:p="http://schemas.microsoft.com/office/2006/metadata/properties" xmlns:ns2="59ffe689-841e-44e2-92bc-c4c3fd54cd06" xmlns:ns3="140c4b56-db4d-4c19-b2e6-a018b4c2b535" targetNamespace="http://schemas.microsoft.com/office/2006/metadata/properties" ma:root="true" ma:fieldsID="26e3949152d0780b756abbc50cccd577" ns2:_="" ns3:_="">
    <xsd:import namespace="59ffe689-841e-44e2-92bc-c4c3fd54cd06"/>
    <xsd:import namespace="140c4b56-db4d-4c19-b2e6-a018b4c2b5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fe689-841e-44e2-92bc-c4c3fd54cd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da7c5da-013b-4596-a73d-1a2f2188c3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c4b56-db4d-4c19-b2e6-a018b4c2b5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2dfb24-1a1e-4c27-b33a-10ba2dc65b2e}" ma:internalName="TaxCatchAll" ma:showField="CatchAllData" ma:web="140c4b56-db4d-4c19-b2e6-a018b4c2b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ffe689-841e-44e2-92bc-c4c3fd54cd06">
      <Terms xmlns="http://schemas.microsoft.com/office/infopath/2007/PartnerControls"/>
    </lcf76f155ced4ddcb4097134ff3c332f>
    <TaxCatchAll xmlns="140c4b56-db4d-4c19-b2e6-a018b4c2b535" xsi:nil="true"/>
  </documentManagement>
</p:properties>
</file>

<file path=customXml/itemProps1.xml><?xml version="1.0" encoding="utf-8"?>
<ds:datastoreItem xmlns:ds="http://schemas.openxmlformats.org/officeDocument/2006/customXml" ds:itemID="{CF37E24A-76DB-4E82-BF4A-073FA544A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C895B7-FEF0-4D00-9273-7234F031E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ffe689-841e-44e2-92bc-c4c3fd54cd06"/>
    <ds:schemaRef ds:uri="140c4b56-db4d-4c19-b2e6-a018b4c2b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04F838-FDC3-4C31-94C8-1B829FE11E80}">
  <ds:schemaRefs>
    <ds:schemaRef ds:uri="http://schemas.microsoft.com/office/2006/metadata/properties"/>
    <ds:schemaRef ds:uri="http://schemas.microsoft.com/office/infopath/2007/PartnerControls"/>
    <ds:schemaRef ds:uri="59ffe689-841e-44e2-92bc-c4c3fd54cd06"/>
    <ds:schemaRef ds:uri="140c4b56-db4d-4c19-b2e6-a018b4c2b5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Steps</vt:lpstr>
      <vt:lpstr>Workflow</vt:lpstr>
      <vt:lpstr>BOM</vt:lpstr>
      <vt:lpstr>Original List</vt:lpstr>
      <vt:lpstr>Unkown Comp</vt:lpstr>
      <vt:lpstr>Equipment</vt:lpstr>
      <vt:lpstr>Cable (AC) Tech Data</vt:lpstr>
      <vt:lpstr>Cable (DC) Tech Data</vt:lpstr>
      <vt:lpstr>DropDown</vt:lpstr>
      <vt:lpstr>Max_Series_Panels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Hannaford</dc:creator>
  <cp:keywords/>
  <dc:description/>
  <cp:lastModifiedBy>Neill Tuck</cp:lastModifiedBy>
  <cp:revision/>
  <dcterms:created xsi:type="dcterms:W3CDTF">2015-06-05T18:17:20Z</dcterms:created>
  <dcterms:modified xsi:type="dcterms:W3CDTF">2025-07-16T12:17:54Z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0x010100A6A2CA6C129B0D49807D52D8E03AEC3E</vt:lpwstr>
  </property>
  <property fmtid="{D5CDD505-2E9C-101B-9397-08002B2CF9AE}" pid="3" name="MediaServiceImageTags">
    <vt:lpwstr/>
  </property>
</Properties>
</file>