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_Statement" sheetId="1" r:id="rId4"/>
    <sheet state="visible" name="Treasury_Plan" sheetId="2" r:id="rId5"/>
    <sheet state="visible" name="Balance_Sheet" sheetId="3" r:id="rId6"/>
    <sheet state="visible" name="Break-even_Analysis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<sst xmlns="http://schemas.openxmlformats.org/spreadsheetml/2006/main" count="173" uniqueCount="145">
  <si>
    <t>Profit and Loss Statement forecast</t>
  </si>
  <si>
    <t>Sprout corpotatinon</t>
  </si>
  <si>
    <t>Year 1</t>
  </si>
  <si>
    <t>Year 2</t>
  </si>
  <si>
    <t>Year 3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</si>
  <si>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</si>
  <si>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</si>
  <si>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</si>
  <si>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</si>
  <si>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</si>
  <si>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</si>
  <si>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</si>
  <si>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</si>
  <si>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</si>
  <si>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</si>
  <si>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</si>
  <si>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</si>
  <si>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</si>
  <si>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</si>
  <si>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Website Users</t>
  </si>
  <si>
    <t>Active Users</t>
  </si>
  <si>
    <t>Basket VIP</t>
  </si>
  <si>
    <t>Active VIP Users</t>
  </si>
  <si>
    <t>Basket non VIP</t>
  </si>
  <si>
    <t>Active Non-VIP Users</t>
  </si>
  <si>
    <t>Subscription</t>
  </si>
  <si>
    <t>Farm visit VIP</t>
  </si>
  <si>
    <t>Basket non-VIP</t>
  </si>
  <si>
    <t>Farmvisit</t>
  </si>
  <si>
    <t>Farm basket revenue</t>
  </si>
  <si>
    <t>Farm basket sold</t>
  </si>
  <si>
    <t>TOTAL REVENUE</t>
  </si>
  <si>
    <t>Farm visit non-VIP (no of people)</t>
  </si>
  <si>
    <t>COGS</t>
  </si>
  <si>
    <t>Farm visit VIP (no of people)</t>
  </si>
  <si>
    <t>Gross profits</t>
  </si>
  <si>
    <t>Assumptions</t>
  </si>
  <si>
    <t>Price</t>
  </si>
  <si>
    <t>EXPENSES</t>
  </si>
  <si>
    <t>Price per Basket NON VIP</t>
  </si>
  <si>
    <t>Amortization expense</t>
  </si>
  <si>
    <t>Price per Basket VIP/Farm</t>
  </si>
  <si>
    <t>One time Expenses</t>
  </si>
  <si>
    <t>Rent Expense</t>
  </si>
  <si>
    <t>2 Computers</t>
  </si>
  <si>
    <t>Insurance expense</t>
  </si>
  <si>
    <t>Subscription per month</t>
  </si>
  <si>
    <t>Marketing</t>
  </si>
  <si>
    <t>Delivery fee</t>
  </si>
  <si>
    <t>1 Server AWS</t>
  </si>
  <si>
    <t>Salary expense</t>
  </si>
  <si>
    <t>Farm visitin VIP</t>
  </si>
  <si>
    <t>Farm transportation visit exp</t>
  </si>
  <si>
    <t>Farm visitin non VIP</t>
  </si>
  <si>
    <t>2 Mobile phones and other small devices</t>
  </si>
  <si>
    <t>Delivery cost</t>
  </si>
  <si>
    <t>Total Expense</t>
  </si>
  <si>
    <t>Transportation farm visit</t>
  </si>
  <si>
    <t>Sprout software development</t>
  </si>
  <si>
    <t>Tax Rate</t>
  </si>
  <si>
    <t>Furniture and other  things for the office</t>
  </si>
  <si>
    <t>Earning Before Tax</t>
  </si>
  <si>
    <t>Expected growth</t>
  </si>
  <si>
    <t>NOTE! Straight line depreciation</t>
  </si>
  <si>
    <t xml:space="preserve">Depreciation per year </t>
  </si>
  <si>
    <t>TOTAL</t>
  </si>
  <si>
    <t>Life of the assets 5 years</t>
  </si>
  <si>
    <t>Tax</t>
  </si>
  <si>
    <t xml:space="preserve">Account Rec % </t>
  </si>
  <si>
    <t>Residual Value = 0</t>
  </si>
  <si>
    <t>Net Earnings</t>
  </si>
  <si>
    <t>Account Payable</t>
  </si>
  <si>
    <t>Treasury Forecast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</si>
  <si>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</si>
  <si>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</si>
  <si>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</si>
  <si>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</si>
  <si>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</si>
  <si>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</si>
  <si>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</si>
  <si>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</si>
  <si>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</si>
  <si>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</si>
  <si>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</si>
  <si>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</si>
  <si>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collections</t>
  </si>
  <si>
    <t>Basket Sales</t>
  </si>
  <si>
    <t>Farm Visit Revenue</t>
  </si>
  <si>
    <t>EXPENCES</t>
  </si>
  <si>
    <t>Cost</t>
  </si>
  <si>
    <t>Depreciation expense</t>
  </si>
  <si>
    <t>NET INCOME /LOSS</t>
  </si>
  <si>
    <t>Add non cash expences</t>
  </si>
  <si>
    <t>Total</t>
  </si>
  <si>
    <t>Dividend paid to shareholders</t>
  </si>
  <si>
    <t>Ending balance</t>
  </si>
  <si>
    <t>Balance Sheet Year 1</t>
  </si>
  <si>
    <t>Balance Sheet Year 3</t>
  </si>
  <si>
    <t>Fixed Assets</t>
  </si>
  <si>
    <t>Equity</t>
  </si>
  <si>
    <t>Current Assets</t>
  </si>
  <si>
    <t>LT Liabilities</t>
  </si>
  <si>
    <t>Treasury</t>
  </si>
  <si>
    <t>ST Liabilities</t>
  </si>
  <si>
    <t>Total Balance Sheet 1</t>
  </si>
  <si>
    <t>Total Bal Sheet 3</t>
  </si>
  <si>
    <t>Balance Sheet Year 2</t>
  </si>
  <si>
    <t>Total Bal Sheet 2</t>
  </si>
  <si>
    <t>Break-Even Analysis</t>
  </si>
  <si>
    <t>NOTE!</t>
  </si>
  <si>
    <t>A company break even when tolal expences = total revenues : net profit is 0</t>
  </si>
  <si>
    <t>Unit price</t>
  </si>
  <si>
    <t xml:space="preserve">Unit sold </t>
  </si>
  <si>
    <t>Revenue</t>
  </si>
  <si>
    <t>Cost Per Unit</t>
  </si>
  <si>
    <t>Variable cost</t>
  </si>
  <si>
    <t>Expences</t>
  </si>
  <si>
    <t>Profit</t>
  </si>
  <si>
    <t>Break even in units</t>
  </si>
  <si>
    <t>Break even in Euro</t>
  </si>
  <si>
    <t xml:space="preserve">Unit increments  </t>
  </si>
  <si>
    <t>Table to make a chart</t>
  </si>
  <si>
    <t>Units</t>
  </si>
  <si>
    <t>Fixed cost</t>
  </si>
  <si>
    <t>Total cost</t>
  </si>
  <si>
    <t>Sales</t>
  </si>
  <si>
    <t>x-axis display*</t>
  </si>
  <si>
    <t>"Shopping list" of your start up</t>
  </si>
  <si>
    <t>One-off investment</t>
  </si>
  <si>
    <t>Expenses committed on an annual basis</t>
  </si>
  <si>
    <t>Note</t>
  </si>
  <si>
    <t>2 laptops</t>
  </si>
  <si>
    <t>2 mobile phones</t>
  </si>
  <si>
    <t>Furniture and other small things for the office</t>
  </si>
  <si>
    <t>Deposit to be able to rent the office</t>
  </si>
  <si>
    <t>Annual office rent</t>
  </si>
  <si>
    <t>Notary, lawyers, deed of incorporation and other</t>
  </si>
  <si>
    <t>https://moving2madrid.com/cost-apartment-sale/fee-chart/</t>
  </si>
  <si>
    <t>initial taxes</t>
  </si>
  <si>
    <t>Insurances</t>
  </si>
  <si>
    <t>Initial branding and communication expenses</t>
  </si>
  <si>
    <t>2 weeks * 2500</t>
  </si>
  <si>
    <t>Annual marketing expenses</t>
  </si>
  <si>
    <t>Salaries (including Social Security)</t>
  </si>
  <si>
    <t>Salaries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</si>
</sst>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-409]\ #,##0.00\ ;[$€-409]&quot; (&quot;#,##0.00\);[$€-409]&quot; -&quot;00\ ;\ @\ "/>
    <numFmt numFmtId="165" formatCode="[$€-1009]\ #,##0.00\ ;\-[$€-1009]\ #,##0.00\ ;[$€-1009]&quot; -&quot;00\ ;\ @\ "/>
    <numFmt numFmtId="166" formatCode="[$€-462]\ #,##0.00\ "/>
    <numFmt numFmtId="167" formatCode="[$$]#,##0.00\ ;\-[$$]#,##0.00\ ;[$$]\-00\ ;\ @\ "/>
  </numFmts>
  <fonts count="15">
    <font>
      <sz val="11.0"/>
      <color rgb="FF000000"/>
      <name val="Calibri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u/>
      <sz val="11.0"/>
      <color rgb="FF000000"/>
      <name val="Arial"/>
    </font>
    <font>
      <sz val="11.0"/>
      <color rgb="FFFF0000"/>
      <name val="Arial"/>
    </font>
    <font>
      <b/>
      <sz val="18.0"/>
      <color rgb="FF000000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b/>
      <sz val="12.0"/>
      <color rgb="FF000000"/>
      <name val="Calibri"/>
    </font>
    <font>
      <u/>
      <sz val="10.0"/>
      <color rgb="FF0000EE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DEBF7"/>
        <bgColor rgb="FFDDEBF7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D9E1F2"/>
        <bgColor rgb="FFD9E1F2"/>
      </patternFill>
    </fill>
    <fill>
      <patternFill patternType="solid">
        <fgColor rgb="FFFFE699"/>
        <bgColor rgb="FFFFE699"/>
      </patternFill>
    </fill>
  </fills>
  <borders count="5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CCCCCC"/>
      </right>
      <top style="hair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hair">
        <color rgb="FF000000"/>
      </top>
      <bottom style="medium">
        <color rgb="FFCCCCCC"/>
      </bottom>
    </border>
    <border>
      <left style="medium">
        <color rgb="FFCCCCCC"/>
      </left>
      <right style="hair">
        <color rgb="FF000000"/>
      </right>
      <top style="hair">
        <color rgb="FF000000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/>
      <bottom/>
    </border>
    <border>
      <left style="hair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hair">
        <color rgb="FF000000"/>
      </right>
      <top style="medium">
        <color rgb="FFCCCCCC"/>
      </top>
      <bottom style="medium">
        <color rgb="FFCCCCCC"/>
      </bottom>
    </border>
    <border>
      <left/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CCCCCC"/>
      </right>
      <top style="medium">
        <color rgb="FFCCCCCC"/>
      </top>
      <bottom style="hair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hair">
        <color rgb="FF000000"/>
      </bottom>
    </border>
    <border>
      <left style="medium">
        <color rgb="FFCCCCCC"/>
      </left>
      <right style="hair">
        <color rgb="FF000000"/>
      </right>
      <top style="medium">
        <color rgb="FFCCCCCC"/>
      </top>
      <bottom style="hair">
        <color rgb="FF000000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hair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CCCCCC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left/>
      <right style="hair">
        <color rgb="FF000000"/>
      </right>
      <top/>
      <bottom/>
    </border>
    <border>
      <right style="hair">
        <color rgb="FF000000"/>
      </right>
    </border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/>
    </border>
    <border>
      <left style="hair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1" numFmtId="0" xfId="0" applyAlignment="1" applyBorder="1" applyFill="1" applyFont="1">
      <alignment horizontal="center" shrinkToFit="0" vertical="bottom" wrapText="0"/>
    </xf>
    <xf borderId="4" fillId="3" fontId="3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shrinkToFit="0" vertical="bottom" wrapText="0"/>
    </xf>
    <xf borderId="6" fillId="4" fontId="4" numFmtId="0" xfId="0" applyAlignment="1" applyBorder="1" applyFill="1" applyFont="1">
      <alignment shrinkToFit="0" vertical="bottom" wrapText="1"/>
    </xf>
    <xf borderId="7" fillId="4" fontId="4" numFmtId="0" xfId="0" applyAlignment="1" applyBorder="1" applyFont="1">
      <alignment shrinkToFit="0" vertical="bottom" wrapText="1"/>
    </xf>
    <xf borderId="8" fillId="4" fontId="4" numFmtId="0" xfId="0" applyAlignment="1" applyBorder="1" applyFont="1">
      <alignment shrinkToFit="0" vertical="bottom" wrapText="1"/>
    </xf>
    <xf borderId="9" fillId="3" fontId="3" numFmtId="0" xfId="0" applyAlignment="1" applyBorder="1" applyFont="1">
      <alignment shrinkToFit="0" vertical="bottom" wrapText="0"/>
    </xf>
    <xf borderId="10" fillId="5" fontId="5" numFmtId="0" xfId="0" applyAlignment="1" applyBorder="1" applyFill="1" applyFont="1">
      <alignment shrinkToFit="0" vertical="bottom" wrapText="1"/>
    </xf>
    <xf borderId="11" fillId="0" fontId="5" numFmtId="0" xfId="0" applyAlignment="1" applyBorder="1" applyFont="1">
      <alignment horizontal="right" shrinkToFit="0" vertical="bottom" wrapText="1"/>
    </xf>
    <xf borderId="12" fillId="0" fontId="5" numFmtId="0" xfId="0" applyAlignment="1" applyBorder="1" applyFont="1">
      <alignment horizontal="right" shrinkToFit="0" vertical="bottom" wrapText="1"/>
    </xf>
    <xf borderId="10" fillId="6" fontId="5" numFmtId="0" xfId="0" applyAlignment="1" applyBorder="1" applyFill="1" applyFont="1">
      <alignment shrinkToFit="0" vertical="bottom" wrapText="1"/>
    </xf>
    <xf borderId="11" fillId="6" fontId="5" numFmtId="0" xfId="0" applyAlignment="1" applyBorder="1" applyFont="1">
      <alignment horizontal="right" shrinkToFit="0" vertical="bottom" wrapText="1"/>
    </xf>
    <xf borderId="12" fillId="6" fontId="5" numFmtId="0" xfId="0" applyAlignment="1" applyBorder="1" applyFont="1">
      <alignment horizontal="right" shrinkToFit="0" vertical="bottom" wrapText="1"/>
    </xf>
    <xf borderId="9" fillId="3" fontId="3" numFmtId="164" xfId="0" applyAlignment="1" applyBorder="1" applyFont="1" applyNumberFormat="1">
      <alignment shrinkToFit="0" vertical="bottom" wrapText="0"/>
    </xf>
    <xf borderId="10" fillId="0" fontId="4" numFmtId="0" xfId="0" applyAlignment="1" applyBorder="1" applyFont="1">
      <alignment shrinkToFit="0" vertical="bottom" wrapText="1"/>
    </xf>
    <xf borderId="11" fillId="0" fontId="5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shrinkToFit="0" vertical="bottom" wrapText="1"/>
    </xf>
    <xf borderId="10" fillId="7" fontId="5" numFmtId="0" xfId="0" applyAlignment="1" applyBorder="1" applyFill="1" applyFont="1">
      <alignment shrinkToFit="0" vertical="bottom" wrapText="1"/>
    </xf>
    <xf borderId="11" fillId="7" fontId="5" numFmtId="0" xfId="0" applyAlignment="1" applyBorder="1" applyFont="1">
      <alignment horizontal="right" shrinkToFit="0" vertical="bottom" wrapText="1"/>
    </xf>
    <xf borderId="12" fillId="7" fontId="5" numFmtId="0" xfId="0" applyAlignment="1" applyBorder="1" applyFont="1">
      <alignment horizontal="right" shrinkToFit="0" vertical="bottom" wrapText="1"/>
    </xf>
    <xf borderId="13" fillId="3" fontId="3" numFmtId="0" xfId="0" applyAlignment="1" applyBorder="1" applyFont="1">
      <alignment shrinkToFit="0" vertical="bottom" wrapText="0"/>
    </xf>
    <xf borderId="14" fillId="3" fontId="3" numFmtId="164" xfId="0" applyAlignment="1" applyBorder="1" applyFont="1" applyNumberForma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9" fillId="2" fontId="3" numFmtId="164" xfId="0" applyAlignment="1" applyBorder="1" applyFont="1" applyNumberFormat="1">
      <alignment shrinkToFit="0" vertical="bottom" wrapText="0"/>
    </xf>
    <xf borderId="10" fillId="0" fontId="5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shrinkToFit="0" vertical="bottom" wrapText="0"/>
    </xf>
    <xf borderId="10" fillId="8" fontId="5" numFmtId="0" xfId="0" applyAlignment="1" applyBorder="1" applyFill="1" applyFont="1">
      <alignment shrinkToFit="0" vertical="bottom" wrapText="1"/>
    </xf>
    <xf borderId="11" fillId="8" fontId="5" numFmtId="0" xfId="0" applyAlignment="1" applyBorder="1" applyFont="1">
      <alignment horizontal="right" shrinkToFit="0" vertical="bottom" wrapText="1"/>
    </xf>
    <xf borderId="12" fillId="8" fontId="5" numFmtId="0" xfId="0" applyAlignment="1" applyBorder="1" applyFont="1">
      <alignment horizontal="right" shrinkToFit="0" vertical="bottom" wrapText="1"/>
    </xf>
    <xf borderId="15" fillId="8" fontId="5" numFmtId="0" xfId="0" applyAlignment="1" applyBorder="1" applyFont="1">
      <alignment shrinkToFit="0" vertical="bottom" wrapText="1"/>
    </xf>
    <xf borderId="16" fillId="8" fontId="5" numFmtId="0" xfId="0" applyAlignment="1" applyBorder="1" applyFont="1">
      <alignment horizontal="right" shrinkToFit="0" vertical="bottom" wrapText="1"/>
    </xf>
    <xf borderId="17" fillId="8" fontId="5" numFmtId="0" xfId="0" applyAlignment="1" applyBorder="1" applyFont="1">
      <alignment horizontal="right" shrinkToFit="0" vertical="bottom" wrapText="1"/>
    </xf>
    <xf borderId="18" fillId="0" fontId="5" numFmtId="0" xfId="0" applyAlignment="1" applyBorder="1" applyFont="1">
      <alignment shrinkToFit="0" vertical="bottom" wrapText="1"/>
    </xf>
    <xf borderId="18" fillId="0" fontId="5" numFmtId="0" xfId="0" applyAlignment="1" applyBorder="1" applyFont="1">
      <alignment horizontal="right" shrinkToFit="0" vertical="bottom" wrapText="1"/>
    </xf>
    <xf borderId="19" fillId="0" fontId="5" numFmtId="0" xfId="0" applyAlignment="1" applyBorder="1" applyFont="1">
      <alignment horizontal="right" shrinkToFit="0" vertical="bottom" wrapText="1"/>
    </xf>
    <xf borderId="20" fillId="9" fontId="6" numFmtId="0" xfId="0" applyAlignment="1" applyBorder="1" applyFill="1" applyFont="1">
      <alignment shrinkToFit="0" vertical="bottom" wrapText="0"/>
    </xf>
    <xf borderId="21" fillId="9" fontId="6" numFmtId="0" xfId="0" applyAlignment="1" applyBorder="1" applyFont="1">
      <alignment shrinkToFit="0" vertical="bottom" wrapText="0"/>
    </xf>
    <xf borderId="22" fillId="0" fontId="5" numFmtId="0" xfId="0" applyAlignment="1" applyBorder="1" applyFont="1">
      <alignment shrinkToFit="0" vertical="bottom" wrapText="1"/>
    </xf>
    <xf borderId="23" fillId="0" fontId="5" numFmtId="165" xfId="0" applyAlignment="1" applyBorder="1" applyFont="1" applyNumberFormat="1">
      <alignment horizontal="right" shrinkToFit="0" vertical="bottom" wrapText="1"/>
    </xf>
    <xf borderId="24" fillId="0" fontId="3" numFmtId="0" xfId="0" applyAlignment="1" applyBorder="1" applyFont="1">
      <alignment shrinkToFit="0" vertical="bottom" wrapText="0"/>
    </xf>
    <xf borderId="25" fillId="0" fontId="3" numFmtId="0" xfId="0" applyAlignment="1" applyBorder="1" applyFont="1">
      <alignment shrinkToFit="0" vertical="bottom" wrapText="0"/>
    </xf>
    <xf borderId="26" fillId="0" fontId="3" numFmtId="0" xfId="0" applyAlignment="1" applyBorder="1" applyFont="1">
      <alignment shrinkToFit="0" vertical="bottom" wrapText="0"/>
    </xf>
    <xf borderId="27" fillId="10" fontId="5" numFmtId="0" xfId="0" applyAlignment="1" applyBorder="1" applyFill="1" applyFont="1">
      <alignment shrinkToFit="0" vertical="bottom" wrapText="1"/>
    </xf>
    <xf borderId="28" fillId="0" fontId="2" numFmtId="0" xfId="0" applyBorder="1" applyFont="1"/>
    <xf borderId="29" fillId="0" fontId="2" numFmtId="0" xfId="0" applyBorder="1" applyFont="1"/>
    <xf borderId="11" fillId="10" fontId="5" numFmtId="0" xfId="0" applyAlignment="1" applyBorder="1" applyFont="1">
      <alignment shrinkToFit="0" vertical="bottom" wrapText="1"/>
    </xf>
    <xf borderId="30" fillId="10" fontId="7" numFmtId="165" xfId="0" applyAlignment="1" applyBorder="1" applyFont="1" applyNumberFormat="1">
      <alignment horizontal="right" shrinkToFit="0" vertical="bottom" wrapText="1"/>
    </xf>
    <xf borderId="31" fillId="10" fontId="5" numFmtId="0" xfId="0" applyAlignment="1" applyBorder="1" applyFont="1">
      <alignment shrinkToFit="0" vertical="bottom" wrapText="1"/>
    </xf>
    <xf borderId="30" fillId="10" fontId="5" numFmtId="165" xfId="0" applyAlignment="1" applyBorder="1" applyFont="1" applyNumberFormat="1">
      <alignment shrinkToFit="0" vertical="bottom" wrapText="1"/>
    </xf>
    <xf borderId="32" fillId="10" fontId="5" numFmtId="0" xfId="0" applyAlignment="1" applyBorder="1" applyFont="1">
      <alignment shrinkToFit="0" vertical="center" wrapText="0"/>
    </xf>
    <xf borderId="33" fillId="10" fontId="5" numFmtId="0" xfId="0" applyAlignment="1" applyBorder="1" applyFont="1">
      <alignment shrinkToFit="0" vertical="center" wrapText="0"/>
    </xf>
    <xf borderId="34" fillId="10" fontId="5" numFmtId="0" xfId="0" applyAlignment="1" applyBorder="1" applyFont="1">
      <alignment shrinkToFit="0" vertical="center" wrapText="0"/>
    </xf>
    <xf borderId="4" fillId="2" fontId="8" numFmtId="0" xfId="0" applyAlignment="1" applyBorder="1" applyFont="1">
      <alignment shrinkToFit="0" vertical="bottom" wrapText="0"/>
    </xf>
    <xf borderId="27" fillId="10" fontId="5" numFmtId="0" xfId="0" applyAlignment="1" applyBorder="1" applyFont="1">
      <alignment shrinkToFit="0" vertical="center" wrapText="0"/>
    </xf>
    <xf borderId="23" fillId="0" fontId="5" numFmtId="9" xfId="0" applyAlignment="1" applyBorder="1" applyFont="1" applyNumberFormat="1">
      <alignment horizontal="right" shrinkToFit="0" vertical="bottom" wrapText="1"/>
    </xf>
    <xf borderId="9" fillId="3" fontId="3" numFmtId="165" xfId="0" applyAlignment="1" applyBorder="1" applyFont="1" applyNumberFormat="1">
      <alignment shrinkToFit="0" vertical="bottom" wrapText="0"/>
    </xf>
    <xf borderId="22" fillId="0" fontId="3" numFmtId="0" xfId="0" applyAlignment="1" applyBorder="1" applyFont="1">
      <alignment shrinkToFit="0" vertical="bottom" wrapText="0"/>
    </xf>
    <xf borderId="23" fillId="0" fontId="3" numFmtId="0" xfId="0" applyAlignment="1" applyBorder="1" applyFont="1">
      <alignment shrinkToFit="0" vertical="bottom" wrapText="0"/>
    </xf>
    <xf borderId="35" fillId="10" fontId="7" numFmtId="165" xfId="0" applyAlignment="1" applyBorder="1" applyFont="1" applyNumberFormat="1">
      <alignment horizontal="right" shrinkToFit="0" vertical="bottom" wrapText="1"/>
    </xf>
    <xf borderId="23" fillId="0" fontId="3" numFmtId="9" xfId="0" applyAlignment="1" applyBorder="1" applyFont="1" applyNumberFormat="1">
      <alignment shrinkToFit="0" vertical="bottom" wrapText="0"/>
    </xf>
    <xf borderId="36" fillId="10" fontId="5" numFmtId="165" xfId="0" applyAlignment="1" applyBorder="1" applyFont="1" applyNumberFormat="1">
      <alignment shrinkToFit="0" vertical="bottom" wrapText="1"/>
    </xf>
    <xf borderId="22" fillId="0" fontId="9" numFmtId="0" xfId="0" applyAlignment="1" applyBorder="1" applyFont="1">
      <alignment shrinkToFit="0" vertical="bottom" wrapText="0"/>
    </xf>
    <xf borderId="23" fillId="0" fontId="3" numFmtId="166" xfId="0" applyAlignment="1" applyBorder="1" applyFont="1" applyNumberFormat="1">
      <alignment shrinkToFit="0" vertical="bottom" wrapText="0"/>
    </xf>
    <xf borderId="37" fillId="10" fontId="5" numFmtId="0" xfId="0" applyAlignment="1" applyBorder="1" applyFont="1">
      <alignment shrinkToFit="0" vertical="center" wrapText="0"/>
    </xf>
    <xf borderId="38" fillId="0" fontId="2" numFmtId="0" xfId="0" applyBorder="1" applyFont="1"/>
    <xf borderId="39" fillId="0" fontId="2" numFmtId="0" xfId="0" applyBorder="1" applyFont="1"/>
    <xf borderId="40" fillId="10" fontId="5" numFmtId="0" xfId="0" applyAlignment="1" applyBorder="1" applyFont="1">
      <alignment shrinkToFit="0" vertical="bottom" wrapText="1"/>
    </xf>
    <xf borderId="41" fillId="10" fontId="7" numFmtId="165" xfId="0" applyAlignment="1" applyBorder="1" applyFont="1" applyNumberFormat="1">
      <alignment horizontal="right" shrinkToFit="0" vertical="bottom" wrapText="1"/>
    </xf>
    <xf borderId="0" fillId="0" fontId="9" numFmtId="0" xfId="0" applyAlignment="1" applyFont="1">
      <alignment shrinkToFit="0" vertical="bottom" wrapText="0"/>
    </xf>
    <xf borderId="42" fillId="2" fontId="3" numFmtId="164" xfId="0" applyAlignment="1" applyBorder="1" applyFont="1" applyNumberFormat="1">
      <alignment shrinkToFit="0" vertical="bottom" wrapText="0"/>
    </xf>
    <xf borderId="43" fillId="0" fontId="5" numFmtId="0" xfId="0" applyAlignment="1" applyBorder="1" applyFont="1">
      <alignment shrinkToFit="0" vertical="bottom" wrapText="1"/>
    </xf>
    <xf borderId="44" fillId="0" fontId="3" numFmtId="9" xfId="0" applyAlignment="1" applyBorder="1" applyFont="1" applyNumberForma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45" fillId="0" fontId="3" numFmtId="165" xfId="0" applyAlignment="1" applyBorder="1" applyFont="1" applyNumberFormat="1">
      <alignment shrinkToFit="0" vertical="bottom" wrapText="0"/>
    </xf>
    <xf borderId="4" fillId="11" fontId="3" numFmtId="165" xfId="0" applyAlignment="1" applyBorder="1" applyFill="1" applyFont="1" applyNumberFormat="1">
      <alignment shrinkToFit="0" vertical="bottom" wrapText="0"/>
    </xf>
    <xf borderId="45" fillId="0" fontId="3" numFmtId="0" xfId="0" applyAlignment="1" applyBorder="1" applyFont="1">
      <alignment shrinkToFit="0" vertical="bottom" wrapText="0"/>
    </xf>
    <xf borderId="46" fillId="0" fontId="3" numFmtId="0" xfId="0" applyAlignment="1" applyBorder="1" applyFont="1">
      <alignment shrinkToFit="0" vertical="bottom" wrapText="0"/>
    </xf>
    <xf borderId="47" fillId="11" fontId="3" numFmtId="165" xfId="0" applyAlignment="1" applyBorder="1" applyFont="1" applyNumberFormat="1">
      <alignment shrinkToFit="0" vertical="bottom" wrapText="0"/>
    </xf>
    <xf borderId="48" fillId="0" fontId="3" numFmtId="0" xfId="0" applyAlignment="1" applyBorder="1" applyFont="1">
      <alignment shrinkToFit="0" vertical="bottom" wrapText="0"/>
    </xf>
    <xf borderId="48" fillId="0" fontId="3" numFmtId="165" xfId="0" applyAlignment="1" applyBorder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4" fillId="11" fontId="1" numFmtId="0" xfId="0" applyAlignment="1" applyBorder="1" applyFont="1">
      <alignment shrinkToFit="0" vertical="bottom" wrapText="0"/>
    </xf>
    <xf borderId="4" fillId="11" fontId="3" numFmtId="166" xfId="0" applyAlignment="1" applyBorder="1" applyFont="1" applyNumberFormat="1">
      <alignment shrinkToFit="0" vertical="bottom" wrapText="0"/>
    </xf>
    <xf borderId="4" fillId="11" fontId="3" numFmtId="0" xfId="0" applyAlignment="1" applyBorder="1" applyFont="1">
      <alignment shrinkToFit="0" vertical="bottom" wrapText="0"/>
    </xf>
    <xf borderId="49" fillId="11" fontId="11" numFmtId="0" xfId="0" applyAlignment="1" applyBorder="1" applyFont="1">
      <alignment shrinkToFit="0" vertical="bottom" wrapText="0"/>
    </xf>
    <xf borderId="50" fillId="11" fontId="7" numFmtId="0" xfId="0" applyAlignment="1" applyBorder="1" applyFont="1">
      <alignment shrinkToFit="0" vertical="bottom" wrapText="0"/>
    </xf>
    <xf borderId="51" fillId="11" fontId="7" numFmtId="0" xfId="0" applyAlignment="1" applyBorder="1" applyFont="1">
      <alignment shrinkToFit="0" vertical="bottom" wrapText="0"/>
    </xf>
    <xf borderId="49" fillId="4" fontId="11" numFmtId="0" xfId="0" applyAlignment="1" applyBorder="1" applyFont="1">
      <alignment shrinkToFit="0" vertical="bottom" wrapText="0"/>
    </xf>
    <xf borderId="50" fillId="4" fontId="7" numFmtId="0" xfId="0" applyAlignment="1" applyBorder="1" applyFont="1">
      <alignment shrinkToFit="0" vertical="bottom" wrapText="0"/>
    </xf>
    <xf borderId="51" fillId="4" fontId="7" numFmtId="0" xfId="0" applyAlignment="1" applyBorder="1" applyFont="1">
      <alignment shrinkToFit="0" vertical="bottom" wrapText="0"/>
    </xf>
    <xf borderId="52" fillId="11" fontId="7" numFmtId="0" xfId="0" applyAlignment="1" applyBorder="1" applyFont="1">
      <alignment shrinkToFit="0" vertical="bottom" wrapText="0"/>
    </xf>
    <xf borderId="4" fillId="11" fontId="7" numFmtId="0" xfId="0" applyAlignment="1" applyBorder="1" applyFont="1">
      <alignment shrinkToFit="0" vertical="bottom" wrapText="0"/>
    </xf>
    <xf borderId="47" fillId="11" fontId="7" numFmtId="0" xfId="0" applyAlignment="1" applyBorder="1" applyFont="1">
      <alignment shrinkToFit="0" vertical="bottom" wrapText="0"/>
    </xf>
    <xf borderId="52" fillId="4" fontId="7" numFmtId="0" xfId="0" applyAlignment="1" applyBorder="1" applyFont="1">
      <alignment shrinkToFit="0" vertical="bottom" wrapText="0"/>
    </xf>
    <xf borderId="4" fillId="4" fontId="7" numFmtId="0" xfId="0" applyAlignment="1" applyBorder="1" applyFont="1">
      <alignment shrinkToFit="0" vertical="bottom" wrapText="0"/>
    </xf>
    <xf borderId="47" fillId="4" fontId="7" numFmtId="0" xfId="0" applyAlignment="1" applyBorder="1" applyFont="1">
      <alignment shrinkToFit="0" vertical="bottom" wrapText="0"/>
    </xf>
    <xf borderId="47" fillId="11" fontId="7" numFmtId="165" xfId="0" applyAlignment="1" applyBorder="1" applyFont="1" applyNumberFormat="1">
      <alignment shrinkToFit="0" vertical="bottom" wrapText="0"/>
    </xf>
    <xf borderId="4" fillId="4" fontId="7" numFmtId="166" xfId="0" applyAlignment="1" applyBorder="1" applyFont="1" applyNumberFormat="1">
      <alignment shrinkToFit="0" vertical="bottom" wrapText="0"/>
    </xf>
    <xf borderId="47" fillId="11" fontId="7" numFmtId="166" xfId="0" applyAlignment="1" applyBorder="1" applyFont="1" applyNumberFormat="1">
      <alignment shrinkToFit="0" vertical="bottom" wrapText="0"/>
    </xf>
    <xf borderId="53" fillId="11" fontId="7" numFmtId="0" xfId="0" applyAlignment="1" applyBorder="1" applyFont="1">
      <alignment shrinkToFit="0" vertical="bottom" wrapText="0"/>
    </xf>
    <xf borderId="13" fillId="11" fontId="7" numFmtId="0" xfId="0" applyAlignment="1" applyBorder="1" applyFont="1">
      <alignment shrinkToFit="0" vertical="bottom" wrapText="0"/>
    </xf>
    <xf borderId="53" fillId="4" fontId="7" numFmtId="0" xfId="0" applyAlignment="1" applyBorder="1" applyFont="1">
      <alignment shrinkToFit="0" vertical="bottom" wrapText="0"/>
    </xf>
    <xf borderId="13" fillId="4" fontId="7" numFmtId="0" xfId="0" applyAlignment="1" applyBorder="1" applyFont="1">
      <alignment shrinkToFit="0" vertical="bottom" wrapText="0"/>
    </xf>
    <xf borderId="49" fillId="12" fontId="11" numFmtId="0" xfId="0" applyAlignment="1" applyBorder="1" applyFill="1" applyFont="1">
      <alignment shrinkToFit="0" vertical="bottom" wrapText="0"/>
    </xf>
    <xf borderId="50" fillId="12" fontId="7" numFmtId="0" xfId="0" applyAlignment="1" applyBorder="1" applyFont="1">
      <alignment shrinkToFit="0" vertical="bottom" wrapText="0"/>
    </xf>
    <xf borderId="51" fillId="12" fontId="7" numFmtId="0" xfId="0" applyAlignment="1" applyBorder="1" applyFont="1">
      <alignment shrinkToFit="0" vertical="bottom" wrapText="0"/>
    </xf>
    <xf borderId="52" fillId="12" fontId="7" numFmtId="0" xfId="0" applyAlignment="1" applyBorder="1" applyFont="1">
      <alignment shrinkToFit="0" vertical="bottom" wrapText="0"/>
    </xf>
    <xf borderId="4" fillId="12" fontId="7" numFmtId="0" xfId="0" applyAlignment="1" applyBorder="1" applyFont="1">
      <alignment shrinkToFit="0" vertical="bottom" wrapText="0"/>
    </xf>
    <xf borderId="47" fillId="12" fontId="7" numFmtId="0" xfId="0" applyAlignment="1" applyBorder="1" applyFont="1">
      <alignment shrinkToFit="0" vertical="bottom" wrapText="0"/>
    </xf>
    <xf borderId="4" fillId="12" fontId="7" numFmtId="165" xfId="0" applyAlignment="1" applyBorder="1" applyFont="1" applyNumberFormat="1">
      <alignment shrinkToFit="0" vertical="bottom" wrapText="0"/>
    </xf>
    <xf borderId="47" fillId="12" fontId="7" numFmtId="166" xfId="0" applyAlignment="1" applyBorder="1" applyFont="1" applyNumberFormat="1">
      <alignment shrinkToFit="0" vertical="bottom" wrapText="0"/>
    </xf>
    <xf borderId="53" fillId="12" fontId="7" numFmtId="0" xfId="0" applyAlignment="1" applyBorder="1" applyFont="1">
      <alignment shrinkToFit="0" vertical="bottom" wrapText="0"/>
    </xf>
    <xf borderId="13" fillId="12" fontId="7" numFmtId="165" xfId="0" applyAlignment="1" applyBorder="1" applyFont="1" applyNumberFormat="1">
      <alignment shrinkToFit="0" vertical="bottom" wrapText="0"/>
    </xf>
    <xf borderId="13" fillId="12" fontId="7" numFmtId="0" xfId="0" applyAlignment="1" applyBorder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13" fontId="6" numFmtId="165" xfId="0" applyAlignment="1" applyBorder="1" applyFill="1" applyFont="1" applyNumberFormat="1">
      <alignment shrinkToFit="0" vertical="bottom" wrapText="0"/>
    </xf>
    <xf borderId="54" fillId="2" fontId="1" numFmtId="0" xfId="0" applyAlignment="1" applyBorder="1" applyFont="1">
      <alignment shrinkToFit="0" vertical="bottom" wrapText="0"/>
    </xf>
    <xf borderId="4" fillId="13" fontId="6" numFmtId="1" xfId="0" applyAlignment="1" applyBorder="1" applyFont="1" applyNumberFormat="1">
      <alignment shrinkToFit="0" vertical="bottom" wrapText="0"/>
    </xf>
    <xf borderId="4" fillId="13" fontId="3" numFmtId="1" xfId="0" applyAlignment="1" applyBorder="1" applyFont="1" applyNumberFormat="1">
      <alignment shrinkToFit="0" vertical="bottom" wrapText="0"/>
    </xf>
    <xf borderId="4" fillId="13" fontId="3" numFmtId="165" xfId="0" applyAlignment="1" applyBorder="1" applyFont="1" applyNumberFormat="1">
      <alignment shrinkToFit="0" vertical="bottom" wrapText="0"/>
    </xf>
    <xf borderId="4" fillId="13" fontId="3" numFmtId="0" xfId="0" applyAlignment="1" applyBorder="1" applyFont="1">
      <alignment shrinkToFit="0" vertical="bottom" wrapText="0"/>
    </xf>
    <xf borderId="1" fillId="14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1" fillId="0" fontId="4" numFmtId="0" xfId="0" applyAlignment="1" applyBorder="1" applyFont="1">
      <alignment shrinkToFit="0" vertical="bottom" wrapText="1"/>
    </xf>
    <xf borderId="55" fillId="0" fontId="13" numFmtId="0" xfId="0" applyAlignment="1" applyBorder="1" applyFont="1">
      <alignment horizontal="center" shrinkToFit="0" vertical="center" wrapText="0"/>
    </xf>
    <xf borderId="11" fillId="0" fontId="13" numFmtId="0" xfId="0" applyAlignment="1" applyBorder="1" applyFont="1">
      <alignment shrinkToFit="0" vertical="bottom" wrapText="1"/>
    </xf>
    <xf borderId="55" fillId="0" fontId="5" numFmtId="0" xfId="0" applyAlignment="1" applyBorder="1" applyFont="1">
      <alignment shrinkToFit="0" vertical="bottom" wrapText="1"/>
    </xf>
    <xf borderId="11" fillId="0" fontId="7" numFmtId="165" xfId="0" applyAlignment="1" applyBorder="1" applyFont="1" applyNumberFormat="1">
      <alignment horizontal="right" shrinkToFit="0" vertical="bottom" wrapText="1"/>
    </xf>
    <xf borderId="11" fillId="0" fontId="5" numFmtId="165" xfId="0" applyAlignment="1" applyBorder="1" applyFont="1" applyNumberFormat="1">
      <alignment shrinkToFit="0" vertical="bottom" wrapText="1"/>
    </xf>
    <xf borderId="11" fillId="0" fontId="5" numFmtId="167" xfId="0" applyAlignment="1" applyBorder="1" applyFont="1" applyNumberFormat="1">
      <alignment shrinkToFit="0" vertical="bottom" wrapText="1"/>
    </xf>
    <xf borderId="55" fillId="0" fontId="5" numFmtId="0" xfId="0" applyAlignment="1" applyBorder="1" applyFont="1">
      <alignment shrinkToFit="0" vertical="center" wrapText="0"/>
    </xf>
    <xf borderId="28" fillId="0" fontId="5" numFmtId="0" xfId="0" applyAlignment="1" applyBorder="1" applyFont="1">
      <alignment shrinkToFit="0" vertical="center" wrapText="0"/>
    </xf>
    <xf borderId="29" fillId="0" fontId="5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shrinkToFit="0" vertical="center" wrapText="0"/>
    </xf>
    <xf borderId="11" fillId="0" fontId="14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F7F7F"/>
                </a:solidFill>
                <a:latin typeface="Calibri"/>
              </a:defRPr>
            </a:pPr>
            <a:r>
              <a:rPr b="0" i="0" sz="1300">
                <a:solidFill>
                  <a:srgbClr val="7F7F7F"/>
                </a:solidFill>
                <a:latin typeface="Calibri"/>
              </a:rPr>
              <a:t>Break-Even chart</a:t>
            </a:r>
          </a:p>
        </c:rich>
      </c:tx>
      <c:overlay val="0"/>
    </c:title>
    <c:plotArea>
      <c:layout>
        <c:manualLayout>
          <c:xMode val="edge"/>
          <c:yMode val="edge"/>
          <c:x val="0.0317770716206307"/>
          <c:y val="0.156753407682776"/>
          <c:w val="0.938340259105353"/>
          <c:h val="0.645291201982652"/>
        </c:manualLayout>
      </c:layout>
      <c:lineChart>
        <c:ser>
          <c:idx val="0"/>
          <c:order val="0"/>
          <c:tx>
            <c:strRef>
              <c:f>'Break-even_Analysis'!$I$16</c:f>
            </c:strRef>
          </c:tx>
          <c:spPr>
            <a:ln cmpd="sng" w="19050">
              <a:solidFill>
                <a:srgbClr val="ED7D31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'Break-even_Analysis'!$F$17:$F$22</c:f>
            </c:strRef>
          </c:cat>
          <c:val>
            <c:numRef>
              <c:f>'Break-even_Analysis'!$I$17:$I$22</c:f>
              <c:numCache/>
            </c:numRef>
          </c:val>
          <c:smooth val="0"/>
        </c:ser>
        <c:ser>
          <c:idx val="1"/>
          <c:order val="1"/>
          <c:tx>
            <c:strRef>
              <c:f>'Break-even_Analysis'!$J$16</c:f>
            </c:strRef>
          </c:tx>
          <c:spPr>
            <a:ln cmpd="sng" w="19050">
              <a:solidFill>
                <a:srgbClr val="A5A5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'Break-even_Analysis'!$F$17:$F$22</c:f>
            </c:strRef>
          </c:cat>
          <c:val>
            <c:numRef>
              <c:f>'Break-even_Analysis'!$J$17:$J$22</c:f>
              <c:numCache/>
            </c:numRef>
          </c:val>
          <c:smooth val="0"/>
        </c:ser>
        <c:axId val="2041482476"/>
        <c:axId val="480599165"/>
      </c:lineChart>
      <c:catAx>
        <c:axId val="2041482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80599165"/>
      </c:catAx>
      <c:valAx>
        <c:axId val="480599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414824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Calibri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1</xdr:row>
      <xdr:rowOff>190500</xdr:rowOff>
    </xdr:from>
    <xdr:ext cx="5791200" cy="24765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oving2madrid.com/cost-apartment-sale/fee-chart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7" width="15.0"/>
    <col customWidth="1" min="8" max="8" width="22.0"/>
    <col customWidth="1" min="9" max="18" width="15.0"/>
    <col customWidth="1" min="19" max="19" width="20.0"/>
    <col customWidth="1" min="20" max="20" width="15.0"/>
    <col customWidth="1" min="21" max="26" width="9.86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/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/>
      <c r="B4" s="6"/>
      <c r="C4" s="7" t="s">
        <v>2</v>
      </c>
      <c r="D4" s="7" t="s">
        <v>3</v>
      </c>
      <c r="E4" s="7" t="s">
        <v>4</v>
      </c>
      <c r="F4" s="6"/>
      <c r="G4" s="4"/>
      <c r="H4" s="8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10" t="s">
        <v>17</v>
      </c>
      <c r="U4" s="4"/>
      <c r="V4" s="4"/>
      <c r="W4" s="4"/>
      <c r="X4" s="4"/>
      <c r="Y4" s="4"/>
      <c r="Z4" s="4"/>
    </row>
    <row r="5" ht="15.75" customHeight="1">
      <c r="A5" s="6" t="s">
        <v>18</v>
      </c>
      <c r="B5" s="6"/>
      <c r="C5" s="11"/>
      <c r="D5" s="11"/>
      <c r="E5" s="11"/>
      <c r="F5" s="6"/>
      <c r="G5" s="4"/>
      <c r="H5" s="12" t="s">
        <v>19</v>
      </c>
      <c r="I5" s="13">
        <v>750.0</v>
      </c>
      <c r="J5" s="13">
        <v>850.0</v>
      </c>
      <c r="K5" s="13">
        <v>950.0</v>
      </c>
      <c r="L5" s="13">
        <v>1050.0</v>
      </c>
      <c r="M5" s="13">
        <v>1150.0</v>
      </c>
      <c r="N5" s="13">
        <v>1350.0</v>
      </c>
      <c r="O5" s="13">
        <v>1550.0</v>
      </c>
      <c r="P5" s="13">
        <v>1750.0</v>
      </c>
      <c r="Q5" s="13">
        <v>1850.0</v>
      </c>
      <c r="R5" s="13">
        <v>1950.0</v>
      </c>
      <c r="S5" s="13">
        <v>2000.0</v>
      </c>
      <c r="T5" s="14">
        <v>2500.0</v>
      </c>
      <c r="U5" s="4"/>
      <c r="V5" s="4"/>
      <c r="W5" s="4"/>
      <c r="X5" s="4"/>
      <c r="Y5" s="4"/>
      <c r="Z5" s="4"/>
    </row>
    <row r="6" ht="15.75" customHeight="1">
      <c r="A6" s="6"/>
      <c r="B6" s="6"/>
      <c r="C6" s="11"/>
      <c r="D6" s="11"/>
      <c r="E6" s="11"/>
      <c r="F6" s="6"/>
      <c r="G6" s="4"/>
      <c r="H6" s="15" t="s">
        <v>20</v>
      </c>
      <c r="I6" s="16">
        <v>450.0</v>
      </c>
      <c r="J6" s="16">
        <v>500.0</v>
      </c>
      <c r="K6" s="16">
        <v>600.0</v>
      </c>
      <c r="L6" s="16">
        <v>700.0</v>
      </c>
      <c r="M6" s="16">
        <v>800.0</v>
      </c>
      <c r="N6" s="16">
        <v>900.0</v>
      </c>
      <c r="O6" s="16">
        <v>1250.0</v>
      </c>
      <c r="P6" s="16">
        <v>1550.0</v>
      </c>
      <c r="Q6" s="16">
        <v>1300.0</v>
      </c>
      <c r="R6" s="16">
        <v>1250.0</v>
      </c>
      <c r="S6" s="16">
        <v>1300.0</v>
      </c>
      <c r="T6" s="17">
        <v>2200.0</v>
      </c>
      <c r="U6" s="4"/>
      <c r="V6" s="4"/>
      <c r="W6" s="4"/>
      <c r="X6" s="4"/>
      <c r="Y6" s="4"/>
      <c r="Z6" s="4"/>
    </row>
    <row r="7" ht="15.75" customHeight="1">
      <c r="A7" s="6" t="s">
        <v>21</v>
      </c>
      <c r="B7" s="6"/>
      <c r="C7" s="18">
        <f t="array" ref="C7">SUM(I11:T11*I19)</f>
        <v>170289</v>
      </c>
      <c r="D7" s="18">
        <f>(C7*I29)+C7</f>
        <v>187317.9</v>
      </c>
      <c r="E7" s="18">
        <f>D7*I29+D7</f>
        <v>206049.69</v>
      </c>
      <c r="F7" s="6"/>
      <c r="G7" s="4"/>
      <c r="H7" s="15" t="s">
        <v>22</v>
      </c>
      <c r="I7" s="16">
        <v>45.0</v>
      </c>
      <c r="J7" s="16">
        <v>90.0</v>
      </c>
      <c r="K7" s="16">
        <v>132.0</v>
      </c>
      <c r="L7" s="16">
        <v>210.0</v>
      </c>
      <c r="M7" s="16">
        <v>300.0</v>
      </c>
      <c r="N7" s="16">
        <v>420.0</v>
      </c>
      <c r="O7" s="16">
        <v>546.0</v>
      </c>
      <c r="P7" s="16">
        <v>684.0</v>
      </c>
      <c r="Q7" s="16">
        <v>900.0</v>
      </c>
      <c r="R7" s="16">
        <v>1320.0</v>
      </c>
      <c r="S7" s="16">
        <v>1800.0</v>
      </c>
      <c r="T7" s="17">
        <v>3000.0</v>
      </c>
      <c r="U7" s="4"/>
      <c r="V7" s="4"/>
      <c r="W7" s="4"/>
      <c r="X7" s="4"/>
      <c r="Y7" s="4"/>
      <c r="Z7" s="4"/>
    </row>
    <row r="8" ht="18.75" customHeight="1">
      <c r="A8" s="6" t="s">
        <v>23</v>
      </c>
      <c r="B8" s="6"/>
      <c r="C8" s="18">
        <f t="array" ref="C8">SUM(I10:T10*I18)</f>
        <v>149100</v>
      </c>
      <c r="D8" s="18">
        <f>C8*I29+C8</f>
        <v>164010</v>
      </c>
      <c r="E8" s="18">
        <f>D8*I29+D8</f>
        <v>180411</v>
      </c>
      <c r="F8" s="6"/>
      <c r="G8" s="4"/>
      <c r="H8" s="15" t="s">
        <v>24</v>
      </c>
      <c r="I8" s="16">
        <v>405.0</v>
      </c>
      <c r="J8" s="16">
        <v>810.0</v>
      </c>
      <c r="K8" s="16">
        <v>1188.0</v>
      </c>
      <c r="L8" s="16">
        <v>1890.0</v>
      </c>
      <c r="M8" s="16">
        <v>2700.0</v>
      </c>
      <c r="N8" s="16">
        <v>3780.0</v>
      </c>
      <c r="O8" s="16">
        <v>4914.0</v>
      </c>
      <c r="P8" s="16">
        <v>6156.0</v>
      </c>
      <c r="Q8" s="16">
        <v>8100.0</v>
      </c>
      <c r="R8" s="16">
        <v>11880.0</v>
      </c>
      <c r="S8" s="16">
        <v>16200.0</v>
      </c>
      <c r="T8" s="17">
        <v>27000.0</v>
      </c>
      <c r="U8" s="4"/>
      <c r="V8" s="4"/>
      <c r="W8" s="4"/>
      <c r="X8" s="4"/>
      <c r="Y8" s="4"/>
      <c r="Z8" s="4"/>
    </row>
    <row r="9" ht="15.75" customHeight="1">
      <c r="A9" s="6" t="s">
        <v>25</v>
      </c>
      <c r="B9" s="6"/>
      <c r="C9" s="18">
        <f t="array" ref="C9">SUM(I7:T7*I21)</f>
        <v>47235</v>
      </c>
      <c r="D9" s="18">
        <f>C9*I29+C9</f>
        <v>51958.5</v>
      </c>
      <c r="E9" s="18">
        <f>D9*I29+D9</f>
        <v>57154.35</v>
      </c>
      <c r="F9" s="6"/>
      <c r="G9" s="4"/>
      <c r="H9" s="19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4"/>
      <c r="V9" s="4"/>
      <c r="W9" s="4"/>
      <c r="X9" s="4"/>
      <c r="Y9" s="4"/>
      <c r="Z9" s="4"/>
    </row>
    <row r="10" ht="15.75" customHeight="1">
      <c r="A10" s="6" t="s">
        <v>26</v>
      </c>
      <c r="B10" s="6"/>
      <c r="C10" s="18">
        <f t="array" ref="C10">SUM(I15:T15*I23)</f>
        <v>0</v>
      </c>
      <c r="D10" s="18">
        <f t="shared" ref="D10:E10" si="1">C10</f>
        <v>0</v>
      </c>
      <c r="E10" s="18">
        <f t="shared" si="1"/>
        <v>0</v>
      </c>
      <c r="F10" s="6"/>
      <c r="G10" s="4"/>
      <c r="H10" s="22" t="s">
        <v>27</v>
      </c>
      <c r="I10" s="23">
        <v>81.0</v>
      </c>
      <c r="J10" s="23">
        <v>162.0</v>
      </c>
      <c r="K10" s="23">
        <v>237.0</v>
      </c>
      <c r="L10" s="23">
        <v>220.0</v>
      </c>
      <c r="M10" s="23">
        <v>330.0</v>
      </c>
      <c r="N10" s="23">
        <v>400.0</v>
      </c>
      <c r="O10" s="23">
        <v>550.0</v>
      </c>
      <c r="P10" s="23">
        <v>580.0</v>
      </c>
      <c r="Q10" s="23">
        <v>550.0</v>
      </c>
      <c r="R10" s="23">
        <v>480.0</v>
      </c>
      <c r="S10" s="23">
        <v>500.0</v>
      </c>
      <c r="T10" s="24">
        <v>880.0</v>
      </c>
      <c r="U10" s="4"/>
      <c r="V10" s="4"/>
      <c r="W10" s="4"/>
      <c r="X10" s="4"/>
      <c r="Y10" s="4"/>
      <c r="Z10" s="4"/>
    </row>
    <row r="11" ht="15.75" customHeight="1">
      <c r="A11" s="6" t="s">
        <v>28</v>
      </c>
      <c r="B11" s="6"/>
      <c r="C11" s="18">
        <f t="array" ref="C11">SUM(I14:T14*I24)</f>
        <v>4500</v>
      </c>
      <c r="D11" s="18">
        <f>C11*I29+C11</f>
        <v>4950</v>
      </c>
      <c r="E11" s="18">
        <f>D11*I29+D11</f>
        <v>5445</v>
      </c>
      <c r="F11" s="6"/>
      <c r="G11" s="4"/>
      <c r="H11" s="22" t="s">
        <v>21</v>
      </c>
      <c r="I11" s="23">
        <v>45.0</v>
      </c>
      <c r="J11" s="23">
        <v>90.0</v>
      </c>
      <c r="K11" s="23">
        <v>132.0</v>
      </c>
      <c r="L11" s="23">
        <v>210.0</v>
      </c>
      <c r="M11" s="23">
        <v>300.0</v>
      </c>
      <c r="N11" s="23">
        <v>420.0</v>
      </c>
      <c r="O11" s="23">
        <v>546.0</v>
      </c>
      <c r="P11" s="23">
        <v>684.0</v>
      </c>
      <c r="Q11" s="23">
        <v>900.0</v>
      </c>
      <c r="R11" s="23">
        <v>850.0</v>
      </c>
      <c r="S11" s="23">
        <v>830.0</v>
      </c>
      <c r="T11" s="24">
        <v>1300.0</v>
      </c>
      <c r="U11" s="4"/>
      <c r="V11" s="4"/>
      <c r="W11" s="4"/>
      <c r="X11" s="4"/>
      <c r="Y11" s="4"/>
      <c r="Z11" s="4"/>
    </row>
    <row r="12" ht="15.75" customHeight="1">
      <c r="A12" s="25" t="s">
        <v>29</v>
      </c>
      <c r="B12" s="25"/>
      <c r="C12" s="26">
        <f t="array" ref="C12">SUM(I12:T12*I19)</f>
        <v>32940</v>
      </c>
      <c r="D12" s="26">
        <f>C12*I29+C12</f>
        <v>36234</v>
      </c>
      <c r="E12" s="26">
        <f>D12*I29+D12</f>
        <v>39857.4</v>
      </c>
      <c r="F12" s="25"/>
      <c r="G12" s="4"/>
      <c r="H12" s="22" t="s">
        <v>30</v>
      </c>
      <c r="I12" s="23">
        <v>42.0</v>
      </c>
      <c r="J12" s="23">
        <v>42.0</v>
      </c>
      <c r="K12" s="23">
        <v>42.0</v>
      </c>
      <c r="L12" s="23">
        <v>84.0</v>
      </c>
      <c r="M12" s="23">
        <v>84.0</v>
      </c>
      <c r="N12" s="23">
        <v>84.0</v>
      </c>
      <c r="O12" s="23">
        <v>126.0</v>
      </c>
      <c r="P12" s="23">
        <v>126.0</v>
      </c>
      <c r="Q12" s="23">
        <v>120.0</v>
      </c>
      <c r="R12" s="23">
        <v>110.0</v>
      </c>
      <c r="S12" s="23">
        <v>110.0</v>
      </c>
      <c r="T12" s="24">
        <v>250.0</v>
      </c>
      <c r="U12" s="4"/>
      <c r="V12" s="4"/>
      <c r="W12" s="4"/>
      <c r="X12" s="4"/>
      <c r="Y12" s="4"/>
      <c r="Z12" s="4"/>
    </row>
    <row r="13" ht="15.75" customHeight="1">
      <c r="A13" s="27" t="s">
        <v>31</v>
      </c>
      <c r="B13" s="28"/>
      <c r="C13" s="29">
        <f t="shared" ref="C13:E13" si="2">SUM(C7:C12)</f>
        <v>404064</v>
      </c>
      <c r="D13" s="29">
        <f t="shared" si="2"/>
        <v>444470.4</v>
      </c>
      <c r="E13" s="29">
        <f t="shared" si="2"/>
        <v>488917.44</v>
      </c>
      <c r="F13" s="28"/>
      <c r="G13" s="4"/>
      <c r="H13" s="3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4"/>
      <c r="V13" s="4"/>
      <c r="W13" s="4"/>
      <c r="X13" s="4"/>
      <c r="Y13" s="4"/>
      <c r="Z13" s="4"/>
    </row>
    <row r="14" ht="15.75" customHeight="1">
      <c r="A14" s="31"/>
      <c r="B14" s="6"/>
      <c r="C14" s="18"/>
      <c r="D14" s="18"/>
      <c r="E14" s="18"/>
      <c r="F14" s="6"/>
      <c r="G14" s="4"/>
      <c r="H14" s="32" t="s">
        <v>32</v>
      </c>
      <c r="I14" s="33">
        <v>50.0</v>
      </c>
      <c r="J14" s="33">
        <v>50.0</v>
      </c>
      <c r="K14" s="33">
        <v>50.0</v>
      </c>
      <c r="L14" s="33">
        <v>100.0</v>
      </c>
      <c r="M14" s="33">
        <v>100.0</v>
      </c>
      <c r="N14" s="33">
        <v>100.0</v>
      </c>
      <c r="O14" s="33">
        <v>150.0</v>
      </c>
      <c r="P14" s="33">
        <v>150.0</v>
      </c>
      <c r="Q14" s="33">
        <v>150.0</v>
      </c>
      <c r="R14" s="33">
        <v>200.0</v>
      </c>
      <c r="S14" s="33">
        <v>200.0</v>
      </c>
      <c r="T14" s="34">
        <v>200.0</v>
      </c>
      <c r="U14" s="4"/>
      <c r="V14" s="4"/>
      <c r="W14" s="4"/>
      <c r="X14" s="4"/>
      <c r="Y14" s="4"/>
      <c r="Z14" s="4"/>
    </row>
    <row r="15" ht="15.75" customHeight="1">
      <c r="A15" s="25" t="s">
        <v>33</v>
      </c>
      <c r="B15" s="25"/>
      <c r="C15" s="26">
        <f t="array" ref="C15">SUM(I10:T12*I20)</f>
        <v>281182.5</v>
      </c>
      <c r="D15" s="26">
        <f>C15*I29+C15</f>
        <v>309300.75</v>
      </c>
      <c r="E15" s="26">
        <f>D15*I29+D15</f>
        <v>340230.825</v>
      </c>
      <c r="F15" s="25"/>
      <c r="G15" s="4"/>
      <c r="H15" s="35" t="s">
        <v>34</v>
      </c>
      <c r="I15" s="36">
        <v>10.0</v>
      </c>
      <c r="J15" s="36">
        <v>10.0</v>
      </c>
      <c r="K15" s="36">
        <v>10.0</v>
      </c>
      <c r="L15" s="36">
        <v>20.0</v>
      </c>
      <c r="M15" s="36">
        <v>20.0</v>
      </c>
      <c r="N15" s="36">
        <v>20.0</v>
      </c>
      <c r="O15" s="36">
        <v>30.0</v>
      </c>
      <c r="P15" s="36">
        <v>30.0</v>
      </c>
      <c r="Q15" s="36">
        <v>30.0</v>
      </c>
      <c r="R15" s="36">
        <v>40.0</v>
      </c>
      <c r="S15" s="36">
        <v>40.0</v>
      </c>
      <c r="T15" s="37">
        <v>40.0</v>
      </c>
      <c r="U15" s="4"/>
      <c r="V15" s="4"/>
      <c r="W15" s="4"/>
      <c r="X15" s="4"/>
      <c r="Y15" s="4"/>
      <c r="Z15" s="4"/>
    </row>
    <row r="16" ht="15.75" customHeight="1">
      <c r="A16" s="27" t="s">
        <v>35</v>
      </c>
      <c r="B16" s="28"/>
      <c r="C16" s="29">
        <f t="shared" ref="C16:E16" si="3">C13-C15</f>
        <v>122881.5</v>
      </c>
      <c r="D16" s="29">
        <f t="shared" si="3"/>
        <v>135169.65</v>
      </c>
      <c r="E16" s="29">
        <f t="shared" si="3"/>
        <v>148686.615</v>
      </c>
      <c r="F16" s="28"/>
      <c r="G16" s="4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11"/>
      <c r="D17" s="11"/>
      <c r="E17" s="11"/>
      <c r="F17" s="6"/>
      <c r="G17" s="4"/>
      <c r="H17" s="41" t="s">
        <v>36</v>
      </c>
      <c r="I17" s="42" t="s">
        <v>37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1" t="s">
        <v>38</v>
      </c>
      <c r="B18" s="6"/>
      <c r="C18" s="11"/>
      <c r="D18" s="11"/>
      <c r="E18" s="11"/>
      <c r="F18" s="6"/>
      <c r="G18" s="4"/>
      <c r="H18" s="43" t="s">
        <v>39</v>
      </c>
      <c r="I18" s="44">
        <v>30.0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6" t="s">
        <v>40</v>
      </c>
      <c r="B19" s="6"/>
      <c r="C19" s="18">
        <f>I30</f>
        <v>1440</v>
      </c>
      <c r="D19" s="18">
        <f>I30</f>
        <v>1440</v>
      </c>
      <c r="E19" s="18">
        <f>I30</f>
        <v>1440</v>
      </c>
      <c r="F19" s="6"/>
      <c r="G19" s="4"/>
      <c r="H19" s="43" t="s">
        <v>41</v>
      </c>
      <c r="I19" s="44">
        <v>27.0</v>
      </c>
      <c r="J19" s="4"/>
      <c r="K19" s="4"/>
      <c r="L19" s="4"/>
      <c r="M19" s="45" t="s">
        <v>42</v>
      </c>
      <c r="N19" s="46"/>
      <c r="O19" s="46"/>
      <c r="P19" s="46"/>
      <c r="Q19" s="47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6" t="s">
        <v>43</v>
      </c>
      <c r="B20" s="6"/>
      <c r="C20" s="18">
        <v>4716.0</v>
      </c>
      <c r="D20" s="18">
        <v>4716.0</v>
      </c>
      <c r="E20" s="18">
        <v>4716.0</v>
      </c>
      <c r="F20" s="6"/>
      <c r="G20" s="4"/>
      <c r="H20" s="43" t="s">
        <v>33</v>
      </c>
      <c r="I20" s="44">
        <v>22.5</v>
      </c>
      <c r="J20" s="4"/>
      <c r="K20" s="4"/>
      <c r="L20" s="4"/>
      <c r="M20" s="48" t="s">
        <v>44</v>
      </c>
      <c r="N20" s="49"/>
      <c r="O20" s="50"/>
      <c r="P20" s="51"/>
      <c r="Q20" s="52">
        <v>2000.0</v>
      </c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6" t="s">
        <v>45</v>
      </c>
      <c r="B21" s="6"/>
      <c r="C21" s="18">
        <v>3166.0</v>
      </c>
      <c r="D21" s="18">
        <v>3166.0</v>
      </c>
      <c r="E21" s="18">
        <v>3166.0</v>
      </c>
      <c r="F21" s="6"/>
      <c r="G21" s="4"/>
      <c r="H21" s="43" t="s">
        <v>46</v>
      </c>
      <c r="I21" s="44">
        <v>5.0</v>
      </c>
      <c r="J21" s="4"/>
      <c r="K21" s="4"/>
      <c r="L21" s="4"/>
      <c r="M21" s="53"/>
      <c r="N21" s="51"/>
      <c r="O21" s="51"/>
      <c r="P21" s="51"/>
      <c r="Q21" s="5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6" t="s">
        <v>47</v>
      </c>
      <c r="B22" s="6"/>
      <c r="C22" s="18">
        <v>4200.0</v>
      </c>
      <c r="D22" s="18">
        <f>C22*I29+C22</f>
        <v>4620</v>
      </c>
      <c r="E22" s="18">
        <f>D22*I29+D22</f>
        <v>5082</v>
      </c>
      <c r="F22" s="6"/>
      <c r="G22" s="4"/>
      <c r="H22" s="43" t="s">
        <v>48</v>
      </c>
      <c r="I22" s="44">
        <v>3.0</v>
      </c>
      <c r="J22" s="4"/>
      <c r="K22" s="4"/>
      <c r="L22" s="4"/>
      <c r="M22" s="48" t="s">
        <v>49</v>
      </c>
      <c r="N22" s="49"/>
      <c r="O22" s="50"/>
      <c r="P22" s="51"/>
      <c r="Q22" s="5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50</v>
      </c>
      <c r="B23" s="6"/>
      <c r="C23" s="18">
        <v>36000.0</v>
      </c>
      <c r="D23" s="18">
        <v>36000.0</v>
      </c>
      <c r="E23" s="18">
        <v>36000.0</v>
      </c>
      <c r="F23" s="6"/>
      <c r="G23" s="4"/>
      <c r="H23" s="43" t="s">
        <v>51</v>
      </c>
      <c r="I23" s="44">
        <v>0.0</v>
      </c>
      <c r="J23" s="4"/>
      <c r="K23" s="4"/>
      <c r="L23" s="4"/>
      <c r="M23" s="53"/>
      <c r="N23" s="51"/>
      <c r="O23" s="51"/>
      <c r="P23" s="51"/>
      <c r="Q23" s="5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5" t="s">
        <v>52</v>
      </c>
      <c r="B24" s="25"/>
      <c r="C24" s="26">
        <f t="array" ref="C24">SUM(I14:T15*I26)</f>
        <v>1800</v>
      </c>
      <c r="D24" s="26">
        <f>C24*I29+C24</f>
        <v>1980</v>
      </c>
      <c r="E24" s="26">
        <f>D24*I29+D24</f>
        <v>2178</v>
      </c>
      <c r="F24" s="25"/>
      <c r="G24" s="4"/>
      <c r="H24" s="43" t="s">
        <v>53</v>
      </c>
      <c r="I24" s="44">
        <v>3.0</v>
      </c>
      <c r="J24" s="4"/>
      <c r="K24" s="4"/>
      <c r="L24" s="4"/>
      <c r="M24" s="55" t="s">
        <v>54</v>
      </c>
      <c r="N24" s="56"/>
      <c r="O24" s="56"/>
      <c r="P24" s="57"/>
      <c r="Q24" s="52">
        <v>1200.0</v>
      </c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/>
      <c r="B25" s="6"/>
      <c r="C25" s="18"/>
      <c r="D25" s="18"/>
      <c r="E25" s="18"/>
      <c r="F25" s="6"/>
      <c r="G25" s="4"/>
      <c r="H25" s="43" t="s">
        <v>55</v>
      </c>
      <c r="I25" s="44">
        <v>1.5</v>
      </c>
      <c r="J25" s="4"/>
      <c r="K25" s="4"/>
      <c r="L25" s="4"/>
      <c r="M25" s="53"/>
      <c r="N25" s="51"/>
      <c r="O25" s="51"/>
      <c r="P25" s="51"/>
      <c r="Q25" s="5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7" t="s">
        <v>56</v>
      </c>
      <c r="B26" s="58"/>
      <c r="C26" s="29">
        <f t="shared" ref="C26:E26" si="4">SUM(C19:C24)</f>
        <v>51322</v>
      </c>
      <c r="D26" s="29">
        <f t="shared" si="4"/>
        <v>51922</v>
      </c>
      <c r="E26" s="29">
        <f t="shared" si="4"/>
        <v>52582</v>
      </c>
      <c r="F26" s="58"/>
      <c r="G26" s="4"/>
      <c r="H26" s="43" t="s">
        <v>57</v>
      </c>
      <c r="I26" s="44">
        <v>1.0</v>
      </c>
      <c r="J26" s="4"/>
      <c r="K26" s="4"/>
      <c r="L26" s="4"/>
      <c r="M26" s="59" t="s">
        <v>58</v>
      </c>
      <c r="N26" s="49"/>
      <c r="O26" s="50"/>
      <c r="P26" s="51"/>
      <c r="Q26" s="52">
        <v>1000.0</v>
      </c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11"/>
      <c r="D27" s="11"/>
      <c r="E27" s="11"/>
      <c r="F27" s="6"/>
      <c r="G27" s="4"/>
      <c r="H27" s="43" t="s">
        <v>59</v>
      </c>
      <c r="I27" s="60">
        <v>0.25</v>
      </c>
      <c r="J27" s="4"/>
      <c r="K27" s="4"/>
      <c r="L27" s="4"/>
      <c r="M27" s="53"/>
      <c r="N27" s="51"/>
      <c r="O27" s="51"/>
      <c r="P27" s="51"/>
      <c r="Q27" s="5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1"/>
      <c r="B28" s="6"/>
      <c r="C28" s="61"/>
      <c r="D28" s="11"/>
      <c r="E28" s="11"/>
      <c r="F28" s="6"/>
      <c r="G28" s="4"/>
      <c r="H28" s="62"/>
      <c r="I28" s="63"/>
      <c r="J28" s="4"/>
      <c r="K28" s="4"/>
      <c r="L28" s="4"/>
      <c r="M28" s="59" t="s">
        <v>60</v>
      </c>
      <c r="N28" s="49"/>
      <c r="O28" s="50"/>
      <c r="P28" s="51"/>
      <c r="Q28" s="64">
        <v>3000.0</v>
      </c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" t="s">
        <v>61</v>
      </c>
      <c r="B29" s="6"/>
      <c r="C29" s="18">
        <f t="shared" ref="C29:E29" si="5">C16-C26</f>
        <v>71559.5</v>
      </c>
      <c r="D29" s="18">
        <f t="shared" si="5"/>
        <v>83247.65</v>
      </c>
      <c r="E29" s="18">
        <f t="shared" si="5"/>
        <v>96104.615</v>
      </c>
      <c r="F29" s="6"/>
      <c r="G29" s="4"/>
      <c r="H29" s="43" t="s">
        <v>62</v>
      </c>
      <c r="I29" s="65">
        <v>0.1</v>
      </c>
      <c r="J29" s="4"/>
      <c r="K29" s="4"/>
      <c r="L29" s="4"/>
      <c r="M29" s="53"/>
      <c r="N29" s="51"/>
      <c r="O29" s="51"/>
      <c r="P29" s="51"/>
      <c r="Q29" s="66"/>
      <c r="R29" s="67" t="s">
        <v>63</v>
      </c>
      <c r="T29" s="4"/>
      <c r="U29" s="4"/>
      <c r="V29" s="4"/>
      <c r="W29" s="4"/>
      <c r="X29" s="4"/>
      <c r="Y29" s="4"/>
      <c r="Z29" s="4"/>
    </row>
    <row r="30" ht="15.75" customHeight="1">
      <c r="A30" s="6"/>
      <c r="B30" s="6"/>
      <c r="C30" s="18"/>
      <c r="D30" s="18"/>
      <c r="E30" s="18"/>
      <c r="F30" s="6"/>
      <c r="G30" s="4"/>
      <c r="H30" s="43" t="s">
        <v>64</v>
      </c>
      <c r="I30" s="68">
        <f>Q30/5</f>
        <v>1440</v>
      </c>
      <c r="J30" s="4"/>
      <c r="K30" s="4"/>
      <c r="L30" s="4"/>
      <c r="M30" s="69" t="s">
        <v>65</v>
      </c>
      <c r="N30" s="70"/>
      <c r="O30" s="71"/>
      <c r="P30" s="72"/>
      <c r="Q30" s="73">
        <f>SUM(Q20:Q28)</f>
        <v>7200</v>
      </c>
      <c r="R30" s="67" t="s">
        <v>66</v>
      </c>
      <c r="T30" s="4"/>
      <c r="U30" s="4"/>
      <c r="V30" s="4"/>
      <c r="W30" s="4"/>
      <c r="X30" s="4"/>
      <c r="Y30" s="4"/>
      <c r="Z30" s="4"/>
    </row>
    <row r="31" ht="15.75" customHeight="1">
      <c r="A31" s="25" t="s">
        <v>67</v>
      </c>
      <c r="B31" s="25"/>
      <c r="C31" s="26">
        <f>C29*I27</f>
        <v>17889.875</v>
      </c>
      <c r="D31" s="26">
        <f>D29*I27</f>
        <v>20811.9125</v>
      </c>
      <c r="E31" s="26">
        <f>E29*I27</f>
        <v>24026.15375</v>
      </c>
      <c r="F31" s="25"/>
      <c r="G31" s="4"/>
      <c r="H31" s="43" t="s">
        <v>68</v>
      </c>
      <c r="I31" s="65">
        <v>0.2</v>
      </c>
      <c r="J31" s="4"/>
      <c r="K31" s="4"/>
      <c r="L31" s="4"/>
      <c r="M31" s="4"/>
      <c r="N31" s="4"/>
      <c r="O31" s="4"/>
      <c r="P31" s="4"/>
      <c r="Q31" s="4"/>
      <c r="R31" s="74" t="s">
        <v>69</v>
      </c>
      <c r="T31" s="4"/>
      <c r="U31" s="4"/>
      <c r="V31" s="4"/>
      <c r="W31" s="4"/>
      <c r="X31" s="4"/>
      <c r="Y31" s="4"/>
      <c r="Z31" s="4"/>
    </row>
    <row r="32" ht="15.75" customHeight="1">
      <c r="A32" s="27" t="s">
        <v>70</v>
      </c>
      <c r="B32" s="28"/>
      <c r="C32" s="75">
        <f t="shared" ref="C32:E32" si="6">C29-C31</f>
        <v>53669.625</v>
      </c>
      <c r="D32" s="75">
        <f t="shared" si="6"/>
        <v>62435.7375</v>
      </c>
      <c r="E32" s="75">
        <f t="shared" si="6"/>
        <v>72078.46125</v>
      </c>
      <c r="F32" s="28"/>
      <c r="G32" s="4"/>
      <c r="H32" s="76" t="s">
        <v>71</v>
      </c>
      <c r="I32" s="77">
        <v>0.1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R29:S29"/>
    <mergeCell ref="R30:S30"/>
    <mergeCell ref="R31:S31"/>
    <mergeCell ref="A1:F1"/>
    <mergeCell ref="A2:F2"/>
    <mergeCell ref="M20:O20"/>
    <mergeCell ref="M22:O22"/>
    <mergeCell ref="M26:O26"/>
    <mergeCell ref="M28:O28"/>
    <mergeCell ref="M30:O3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5" width="15.0"/>
    <col customWidth="1" min="26" max="26" width="9.86"/>
  </cols>
  <sheetData>
    <row r="1" ht="15.75" customHeight="1">
      <c r="A1" s="4"/>
      <c r="B1" s="78" t="s">
        <v>72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5</v>
      </c>
      <c r="B4" s="4" t="s">
        <v>73</v>
      </c>
      <c r="C4" s="4" t="s">
        <v>74</v>
      </c>
      <c r="D4" s="4" t="s">
        <v>75</v>
      </c>
      <c r="E4" s="4" t="s">
        <v>76</v>
      </c>
      <c r="F4" s="4" t="s">
        <v>77</v>
      </c>
      <c r="G4" s="4" t="s">
        <v>78</v>
      </c>
      <c r="H4" s="4" t="s">
        <v>79</v>
      </c>
      <c r="I4" s="4" t="s">
        <v>80</v>
      </c>
      <c r="J4" s="4" t="s">
        <v>81</v>
      </c>
      <c r="K4" s="4" t="s">
        <v>82</v>
      </c>
      <c r="L4" s="4" t="s">
        <v>83</v>
      </c>
      <c r="M4" s="4" t="s">
        <v>84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9" t="s">
        <v>85</v>
      </c>
      <c r="B6" s="8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86</v>
      </c>
      <c r="B7" s="80">
        <f>SUM('P&amp;L_Statement'!I10*'P&amp;L_Statement'!I18+'P&amp;L_Statement'!I11*'P&amp;L_Statement'!I19+'P&amp;L_Statement'!I12*'P&amp;L_Statement'!I19)</f>
        <v>4779</v>
      </c>
      <c r="C7" s="80">
        <f>SUM('P&amp;L_Statement'!J10*'P&amp;L_Statement'!I18+'P&amp;L_Statement'!J11*'P&amp;L_Statement'!I19+'P&amp;L_Statement'!J12*'P&amp;L_Statement'!I19)</f>
        <v>8424</v>
      </c>
      <c r="D7" s="80">
        <f>SUM('P&amp;L_Statement'!K10*'P&amp;L_Statement'!I18+'P&amp;L_Statement'!K11*'P&amp;L_Statement'!I19+'P&amp;L_Statement'!K12*'P&amp;L_Statement'!I19)</f>
        <v>11808</v>
      </c>
      <c r="E7" s="80">
        <f>SUM('P&amp;L_Statement'!L10*'P&amp;L_Statement'!I18+'P&amp;L_Statement'!L11*'P&amp;L_Statement'!I19+'P&amp;L_Statement'!L12*'P&amp;L_Statement'!I19)</f>
        <v>14538</v>
      </c>
      <c r="F7" s="80">
        <f>SUM('P&amp;L_Statement'!M10*'P&amp;L_Statement'!I18+'P&amp;L_Statement'!M11*'P&amp;L_Statement'!I19+'P&amp;L_Statement'!M12*'P&amp;L_Statement'!I19)</f>
        <v>20268</v>
      </c>
      <c r="G7" s="80">
        <f>SUM('P&amp;L_Statement'!N10*'P&amp;L_Statement'!I18+'P&amp;L_Statement'!N11*'P&amp;L_Statement'!I19+'P&amp;L_Statement'!N12*'P&amp;L_Statement'!I19)</f>
        <v>25608</v>
      </c>
      <c r="H7" s="80">
        <f>SUM('P&amp;L_Statement'!O10*'P&amp;L_Statement'!I18+'P&amp;L_Statement'!O11*'P&amp;L_Statement'!I19+'P&amp;L_Statement'!O12*'P&amp;L_Statement'!I19)</f>
        <v>34644</v>
      </c>
      <c r="I7" s="80">
        <f>SUM('P&amp;L_Statement'!P10*'P&amp;L_Statement'!I18+'P&amp;L_Statement'!P11*'P&amp;L_Statement'!I19+'P&amp;L_Statement'!P12*'P&amp;L_Statement'!I19)</f>
        <v>39270</v>
      </c>
      <c r="J7" s="80">
        <f>SUM('P&amp;L_Statement'!Q10*'P&amp;L_Statement'!I18+'P&amp;L_Statement'!Q11*'P&amp;L_Statement'!I19+'P&amp;L_Statement'!Q12*'P&amp;L_Statement'!I19)</f>
        <v>44040</v>
      </c>
      <c r="K7" s="80">
        <f>SUM('P&amp;L_Statement'!R10*'P&amp;L_Statement'!I18+'P&amp;L_Statement'!R11*'P&amp;L_Statement'!I19+'P&amp;L_Statement'!R12*'P&amp;L_Statement'!I19)</f>
        <v>40320</v>
      </c>
      <c r="L7" s="80">
        <f>SUM('P&amp;L_Statement'!S10*'P&amp;L_Statement'!I18+'P&amp;L_Statement'!S11*'P&amp;L_Statement'!I19+'P&amp;L_Statement'!S12*'P&amp;L_Statement'!I19)</f>
        <v>40380</v>
      </c>
      <c r="M7" s="80">
        <f>SUM('P&amp;L_Statement'!T10*'P&amp;L_Statement'!I18+'P&amp;L_Statement'!T11*'P&amp;L_Statement'!I19+'P&amp;L_Statement'!T12*'P&amp;L_Statement'!I19)</f>
        <v>68250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25</v>
      </c>
      <c r="B8" s="80">
        <f>'P&amp;L_Statement'!I7*'P&amp;L_Statement'!I21</f>
        <v>225</v>
      </c>
      <c r="C8" s="80">
        <f>'P&amp;L_Statement'!J7*'P&amp;L_Statement'!I21</f>
        <v>450</v>
      </c>
      <c r="D8" s="80">
        <f>'P&amp;L_Statement'!K7*'P&amp;L_Statement'!I21</f>
        <v>660</v>
      </c>
      <c r="E8" s="80">
        <f>'P&amp;L_Statement'!L7*'P&amp;L_Statement'!I21</f>
        <v>1050</v>
      </c>
      <c r="F8" s="80">
        <f>'P&amp;L_Statement'!M7*'P&amp;L_Statement'!I21</f>
        <v>1500</v>
      </c>
      <c r="G8" s="80">
        <f>'P&amp;L_Statement'!N7*'P&amp;L_Statement'!I21</f>
        <v>2100</v>
      </c>
      <c r="H8" s="80">
        <f>'P&amp;L_Statement'!O7*'P&amp;L_Statement'!I21</f>
        <v>2730</v>
      </c>
      <c r="I8" s="80">
        <f>'P&amp;L_Statement'!P7*'P&amp;L_Statement'!I21</f>
        <v>3420</v>
      </c>
      <c r="J8" s="80">
        <f>'P&amp;L_Statement'!Q7*'P&amp;L_Statement'!I21</f>
        <v>4500</v>
      </c>
      <c r="K8" s="80">
        <f>'P&amp;L_Statement'!R7*'P&amp;L_Statement'!I21</f>
        <v>6600</v>
      </c>
      <c r="L8" s="80">
        <f>'P&amp;L_Statement'!S7*'P&amp;L_Statement'!I21</f>
        <v>9000</v>
      </c>
      <c r="M8" s="80">
        <f>'P&amp;L_Statement'!T7*'P&amp;L_Statement'!I21</f>
        <v>15000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87</v>
      </c>
      <c r="B9" s="81">
        <f>SUM('P&amp;L_Statement'!I14*'P&amp;L_Statement'!I24)</f>
        <v>150</v>
      </c>
      <c r="C9" s="81">
        <f>SUM('P&amp;L_Statement'!J14*'P&amp;L_Statement'!I24)</f>
        <v>150</v>
      </c>
      <c r="D9" s="81">
        <f>SUM('P&amp;L_Statement'!K14*'P&amp;L_Statement'!I24)</f>
        <v>150</v>
      </c>
      <c r="E9" s="81">
        <f>SUM('P&amp;L_Statement'!L14*'P&amp;L_Statement'!I24)</f>
        <v>300</v>
      </c>
      <c r="F9" s="81">
        <f>'P&amp;L_Statement'!M14*'P&amp;L_Statement'!I24</f>
        <v>300</v>
      </c>
      <c r="G9" s="81">
        <f>'P&amp;L_Statement'!N14*'P&amp;L_Statement'!I24</f>
        <v>300</v>
      </c>
      <c r="H9" s="81">
        <f>SUM('P&amp;L_Statement'!O14*'P&amp;L_Statement'!I24)</f>
        <v>450</v>
      </c>
      <c r="I9" s="81">
        <f>'P&amp;L_Statement'!P14*'P&amp;L_Statement'!I24</f>
        <v>450</v>
      </c>
      <c r="J9" s="81">
        <f>'P&amp;L_Statement'!Q14*'P&amp;L_Statement'!I24</f>
        <v>450</v>
      </c>
      <c r="K9" s="81">
        <f>'P&amp;L_Statement'!R14*'P&amp;L_Statement'!I22</f>
        <v>600</v>
      </c>
      <c r="L9" s="81">
        <f>'P&amp;L_Statement'!S14*'P&amp;L_Statement'!I24</f>
        <v>600</v>
      </c>
      <c r="M9" s="81">
        <f>'P&amp;L_Statement'!T14*'P&amp;L_Statement'!I24</f>
        <v>600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9" t="s">
        <v>65</v>
      </c>
      <c r="B10" s="82">
        <f t="shared" ref="B10:M10" si="1">SUM(B7:B9)</f>
        <v>5154</v>
      </c>
      <c r="C10" s="82">
        <f t="shared" si="1"/>
        <v>9024</v>
      </c>
      <c r="D10" s="82">
        <f t="shared" si="1"/>
        <v>12618</v>
      </c>
      <c r="E10" s="82">
        <f t="shared" si="1"/>
        <v>15888</v>
      </c>
      <c r="F10" s="82">
        <f t="shared" si="1"/>
        <v>22068</v>
      </c>
      <c r="G10" s="82">
        <f t="shared" si="1"/>
        <v>28008</v>
      </c>
      <c r="H10" s="82">
        <f t="shared" si="1"/>
        <v>37824</v>
      </c>
      <c r="I10" s="82">
        <f t="shared" si="1"/>
        <v>43140</v>
      </c>
      <c r="J10" s="82">
        <f t="shared" si="1"/>
        <v>48990</v>
      </c>
      <c r="K10" s="82">
        <f t="shared" si="1"/>
        <v>47520</v>
      </c>
      <c r="L10" s="82">
        <f t="shared" si="1"/>
        <v>49980</v>
      </c>
      <c r="M10" s="82">
        <f t="shared" si="1"/>
        <v>83850</v>
      </c>
      <c r="N10" s="8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8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9" t="s">
        <v>88</v>
      </c>
      <c r="B12" s="8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89</v>
      </c>
      <c r="B13" s="80">
        <f t="array" ref="B13">SUM('P&amp;L_Statement'!I10:I12*'P&amp;L_Statement'!I20)</f>
        <v>3780</v>
      </c>
      <c r="C13" s="80">
        <f t="array" ref="C13">SUM('P&amp;L_Statement'!J10:J12*'P&amp;L_Statement'!I20)</f>
        <v>6615</v>
      </c>
      <c r="D13" s="80">
        <f t="array" ref="D13">SUM('P&amp;L_Statement'!K10:K12*'P&amp;L_Statement'!I20)</f>
        <v>9247.5</v>
      </c>
      <c r="E13" s="80">
        <f t="array" ref="E13">SUM('P&amp;L_Statement'!L10:L12*'P&amp;L_Statement'!I20)</f>
        <v>11565</v>
      </c>
      <c r="F13" s="80">
        <f t="array" ref="F13">SUM('P&amp;L_Statement'!M10:M12*'P&amp;L_Statement'!I20)</f>
        <v>16065</v>
      </c>
      <c r="G13" s="80">
        <f t="array" ref="G13">SUM('P&amp;L_Statement'!N10:N12*'P&amp;L_Statement'!I20)</f>
        <v>20340</v>
      </c>
      <c r="H13" s="80">
        <f t="array" ref="H13">SUM('P&amp;L_Statement'!O10:O12*'P&amp;L_Statement'!I20)</f>
        <v>27495</v>
      </c>
      <c r="I13" s="80">
        <f t="array" ref="I13">SUM('P&amp;L_Statement'!P10:P12*'P&amp;L_Statement'!I20)</f>
        <v>31275</v>
      </c>
      <c r="J13" s="80">
        <f t="array" ref="J13">SUM('P&amp;L_Statement'!Q10:Q12*'P&amp;L_Statement'!I20)</f>
        <v>35325</v>
      </c>
      <c r="K13" s="80">
        <f t="array" ref="K13">SUM('P&amp;L_Statement'!R10:R12*'P&amp;L_Statement'!I20)</f>
        <v>32400</v>
      </c>
      <c r="L13" s="80">
        <f t="array" ref="L13">SUM('P&amp;L_Statement'!S10:S12*'P&amp;L_Statement'!I20)</f>
        <v>32400</v>
      </c>
      <c r="M13" s="80">
        <f t="array" ref="M13">SUM('P&amp;L_Statement'!T10:T12*'P&amp;L_Statement'!I20)</f>
        <v>54675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90</v>
      </c>
      <c r="B14" s="80">
        <f>'P&amp;L_Statement'!C19/12</f>
        <v>120</v>
      </c>
      <c r="C14" s="80">
        <f t="shared" ref="C14:M14" si="2">B14</f>
        <v>120</v>
      </c>
      <c r="D14" s="80">
        <f t="shared" si="2"/>
        <v>120</v>
      </c>
      <c r="E14" s="80">
        <f t="shared" si="2"/>
        <v>120</v>
      </c>
      <c r="F14" s="80">
        <f t="shared" si="2"/>
        <v>120</v>
      </c>
      <c r="G14" s="80">
        <f t="shared" si="2"/>
        <v>120</v>
      </c>
      <c r="H14" s="80">
        <f t="shared" si="2"/>
        <v>120</v>
      </c>
      <c r="I14" s="80">
        <f t="shared" si="2"/>
        <v>120</v>
      </c>
      <c r="J14" s="80">
        <f t="shared" si="2"/>
        <v>120</v>
      </c>
      <c r="K14" s="80">
        <f t="shared" si="2"/>
        <v>120</v>
      </c>
      <c r="L14" s="80">
        <f t="shared" si="2"/>
        <v>120</v>
      </c>
      <c r="M14" s="80">
        <f t="shared" si="2"/>
        <v>120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43</v>
      </c>
      <c r="B15" s="80">
        <f>'P&amp;L_Statement'!C20/12</f>
        <v>393</v>
      </c>
      <c r="C15" s="80">
        <f t="shared" ref="C15:M15" si="3">B15</f>
        <v>393</v>
      </c>
      <c r="D15" s="80">
        <f t="shared" si="3"/>
        <v>393</v>
      </c>
      <c r="E15" s="80">
        <f t="shared" si="3"/>
        <v>393</v>
      </c>
      <c r="F15" s="80">
        <f t="shared" si="3"/>
        <v>393</v>
      </c>
      <c r="G15" s="80">
        <f t="shared" si="3"/>
        <v>393</v>
      </c>
      <c r="H15" s="80">
        <f t="shared" si="3"/>
        <v>393</v>
      </c>
      <c r="I15" s="80">
        <f t="shared" si="3"/>
        <v>393</v>
      </c>
      <c r="J15" s="80">
        <f t="shared" si="3"/>
        <v>393</v>
      </c>
      <c r="K15" s="80">
        <f t="shared" si="3"/>
        <v>393</v>
      </c>
      <c r="L15" s="80">
        <f t="shared" si="3"/>
        <v>393</v>
      </c>
      <c r="M15" s="80">
        <f t="shared" si="3"/>
        <v>393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45</v>
      </c>
      <c r="B16" s="80">
        <f>'P&amp;L_Statement'!C21/12</f>
        <v>263.8333333</v>
      </c>
      <c r="C16" s="80">
        <f t="shared" ref="C16:M16" si="4">B16</f>
        <v>263.8333333</v>
      </c>
      <c r="D16" s="80">
        <f t="shared" si="4"/>
        <v>263.8333333</v>
      </c>
      <c r="E16" s="80">
        <f t="shared" si="4"/>
        <v>263.8333333</v>
      </c>
      <c r="F16" s="80">
        <f t="shared" si="4"/>
        <v>263.8333333</v>
      </c>
      <c r="G16" s="80">
        <f t="shared" si="4"/>
        <v>263.8333333</v>
      </c>
      <c r="H16" s="80">
        <f t="shared" si="4"/>
        <v>263.8333333</v>
      </c>
      <c r="I16" s="80">
        <f t="shared" si="4"/>
        <v>263.8333333</v>
      </c>
      <c r="J16" s="80">
        <f t="shared" si="4"/>
        <v>263.8333333</v>
      </c>
      <c r="K16" s="80">
        <f t="shared" si="4"/>
        <v>263.8333333</v>
      </c>
      <c r="L16" s="80">
        <f t="shared" si="4"/>
        <v>263.8333333</v>
      </c>
      <c r="M16" s="80">
        <f t="shared" si="4"/>
        <v>263.8333333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47</v>
      </c>
      <c r="B17" s="80">
        <f>'P&amp;L_Statement'!C22/12</f>
        <v>350</v>
      </c>
      <c r="C17" s="80">
        <f t="shared" ref="C17:M17" si="5">B17</f>
        <v>350</v>
      </c>
      <c r="D17" s="80">
        <f t="shared" si="5"/>
        <v>350</v>
      </c>
      <c r="E17" s="80">
        <f t="shared" si="5"/>
        <v>350</v>
      </c>
      <c r="F17" s="80">
        <f t="shared" si="5"/>
        <v>350</v>
      </c>
      <c r="G17" s="80">
        <f t="shared" si="5"/>
        <v>350</v>
      </c>
      <c r="H17" s="80">
        <f t="shared" si="5"/>
        <v>350</v>
      </c>
      <c r="I17" s="80">
        <f t="shared" si="5"/>
        <v>350</v>
      </c>
      <c r="J17" s="80">
        <f t="shared" si="5"/>
        <v>350</v>
      </c>
      <c r="K17" s="80">
        <f t="shared" si="5"/>
        <v>350</v>
      </c>
      <c r="L17" s="80">
        <f t="shared" si="5"/>
        <v>350</v>
      </c>
      <c r="M17" s="80">
        <f t="shared" si="5"/>
        <v>350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50</v>
      </c>
      <c r="B18" s="80">
        <f>'P&amp;L_Statement'!C23/12</f>
        <v>3000</v>
      </c>
      <c r="C18" s="80">
        <f t="shared" ref="C18:M18" si="6">B18</f>
        <v>3000</v>
      </c>
      <c r="D18" s="80">
        <f t="shared" si="6"/>
        <v>3000</v>
      </c>
      <c r="E18" s="80">
        <f t="shared" si="6"/>
        <v>3000</v>
      </c>
      <c r="F18" s="80">
        <f t="shared" si="6"/>
        <v>3000</v>
      </c>
      <c r="G18" s="80">
        <f t="shared" si="6"/>
        <v>3000</v>
      </c>
      <c r="H18" s="80">
        <f t="shared" si="6"/>
        <v>3000</v>
      </c>
      <c r="I18" s="80">
        <f t="shared" si="6"/>
        <v>3000</v>
      </c>
      <c r="J18" s="80">
        <f t="shared" si="6"/>
        <v>3000</v>
      </c>
      <c r="K18" s="80">
        <f t="shared" si="6"/>
        <v>3000</v>
      </c>
      <c r="L18" s="80">
        <f t="shared" si="6"/>
        <v>3000</v>
      </c>
      <c r="M18" s="80">
        <f t="shared" si="6"/>
        <v>3000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3" t="s">
        <v>52</v>
      </c>
      <c r="B19" s="81">
        <f t="array" ref="B19">SUM('P&amp;L_Statement'!I14:I15*'P&amp;L_Statement'!I26)</f>
        <v>60</v>
      </c>
      <c r="C19" s="81">
        <f t="array" ref="C19">SUM('P&amp;L_Statement'!J14:J15*'P&amp;L_Statement'!I26)</f>
        <v>60</v>
      </c>
      <c r="D19" s="81">
        <f t="array" ref="D19">SUM('P&amp;L_Statement'!K14:K15*'P&amp;L_Statement'!I26)</f>
        <v>60</v>
      </c>
      <c r="E19" s="81">
        <f t="array" ref="E19">SUM('P&amp;L_Statement'!L14:L15*'P&amp;L_Statement'!I26)</f>
        <v>120</v>
      </c>
      <c r="F19" s="81">
        <f t="array" ref="F19">SUM('P&amp;L_Statement'!M14:M15*'P&amp;L_Statement'!I26)</f>
        <v>120</v>
      </c>
      <c r="G19" s="81">
        <f t="array" ref="G19">SUM('P&amp;L_Statement'!M14:M15*'P&amp;L_Statement'!I26)</f>
        <v>120</v>
      </c>
      <c r="H19" s="81">
        <f t="array" ref="H19">SUM('P&amp;L_Statement'!O14:O15*'P&amp;L_Statement'!I26)</f>
        <v>180</v>
      </c>
      <c r="I19" s="81">
        <f t="array" ref="I19">SUM('P&amp;L_Statement'!P14:P15*'P&amp;L_Statement'!I26)</f>
        <v>180</v>
      </c>
      <c r="J19" s="81">
        <f t="array" ref="J19">SUM('P&amp;L_Statement'!Q14:Q15*'P&amp;L_Statement'!I26)</f>
        <v>180</v>
      </c>
      <c r="K19" s="81">
        <f t="array" ref="K19">SUM('P&amp;L_Statement'!R14:R15*'P&amp;L_Statement'!I26)</f>
        <v>240</v>
      </c>
      <c r="L19" s="81">
        <f t="array" ref="L19">SUM('P&amp;L_Statement'!S14:S15*'P&amp;L_Statement'!I26)</f>
        <v>240</v>
      </c>
      <c r="M19" s="81">
        <f t="array" ref="M19">SUM('P&amp;L_Statement'!T14:T15*'P&amp;L_Statement'!I26)</f>
        <v>240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8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9" t="s">
        <v>65</v>
      </c>
      <c r="B21" s="82">
        <f t="shared" ref="B21:M21" si="7">SUM(B13:B19)</f>
        <v>7966.833333</v>
      </c>
      <c r="C21" s="82">
        <f t="shared" si="7"/>
        <v>10801.83333</v>
      </c>
      <c r="D21" s="82">
        <f t="shared" si="7"/>
        <v>13434.33333</v>
      </c>
      <c r="E21" s="82">
        <f t="shared" si="7"/>
        <v>15811.83333</v>
      </c>
      <c r="F21" s="82">
        <f t="shared" si="7"/>
        <v>20311.83333</v>
      </c>
      <c r="G21" s="82">
        <f t="shared" si="7"/>
        <v>24586.83333</v>
      </c>
      <c r="H21" s="82">
        <f t="shared" si="7"/>
        <v>31801.83333</v>
      </c>
      <c r="I21" s="82">
        <f t="shared" si="7"/>
        <v>35581.83333</v>
      </c>
      <c r="J21" s="82">
        <f t="shared" si="7"/>
        <v>39631.83333</v>
      </c>
      <c r="K21" s="82">
        <f t="shared" si="7"/>
        <v>36766.83333</v>
      </c>
      <c r="L21" s="82">
        <f t="shared" si="7"/>
        <v>36766.83333</v>
      </c>
      <c r="M21" s="85">
        <f t="shared" si="7"/>
        <v>59041.83333</v>
      </c>
      <c r="N21" s="8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8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8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91</v>
      </c>
      <c r="B24" s="80">
        <f t="shared" ref="B24:M24" si="8">SUM(B10-B21)</f>
        <v>-2812.833333</v>
      </c>
      <c r="C24" s="80">
        <f t="shared" si="8"/>
        <v>-1777.833333</v>
      </c>
      <c r="D24" s="80">
        <f t="shared" si="8"/>
        <v>-816.3333333</v>
      </c>
      <c r="E24" s="80">
        <f t="shared" si="8"/>
        <v>76.16666667</v>
      </c>
      <c r="F24" s="80">
        <f t="shared" si="8"/>
        <v>1756.166667</v>
      </c>
      <c r="G24" s="80">
        <f t="shared" si="8"/>
        <v>3421.166667</v>
      </c>
      <c r="H24" s="80">
        <f t="shared" si="8"/>
        <v>6022.166667</v>
      </c>
      <c r="I24" s="80">
        <f t="shared" si="8"/>
        <v>7558.166667</v>
      </c>
      <c r="J24" s="80">
        <f t="shared" si="8"/>
        <v>9358.166667</v>
      </c>
      <c r="K24" s="80">
        <f t="shared" si="8"/>
        <v>10753.16667</v>
      </c>
      <c r="L24" s="80">
        <f t="shared" si="8"/>
        <v>13213.16667</v>
      </c>
      <c r="M24" s="87">
        <f t="shared" si="8"/>
        <v>24808.16667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9" t="s">
        <v>92</v>
      </c>
      <c r="B26" s="88">
        <f t="shared" ref="B26:M26" si="9">SUM($B$14+B24)</f>
        <v>-2692.833333</v>
      </c>
      <c r="C26" s="88">
        <f t="shared" si="9"/>
        <v>-1657.833333</v>
      </c>
      <c r="D26" s="88">
        <f t="shared" si="9"/>
        <v>-696.3333333</v>
      </c>
      <c r="E26" s="88">
        <f t="shared" si="9"/>
        <v>196.1666667</v>
      </c>
      <c r="F26" s="88">
        <f t="shared" si="9"/>
        <v>1876.166667</v>
      </c>
      <c r="G26" s="88">
        <f t="shared" si="9"/>
        <v>3541.166667</v>
      </c>
      <c r="H26" s="88">
        <f t="shared" si="9"/>
        <v>6142.166667</v>
      </c>
      <c r="I26" s="88">
        <f t="shared" si="9"/>
        <v>7678.166667</v>
      </c>
      <c r="J26" s="88">
        <f t="shared" si="9"/>
        <v>9478.166667</v>
      </c>
      <c r="K26" s="88">
        <f t="shared" si="9"/>
        <v>10873.16667</v>
      </c>
      <c r="L26" s="88">
        <f t="shared" si="9"/>
        <v>13333.16667</v>
      </c>
      <c r="M26" s="88">
        <f t="shared" si="9"/>
        <v>24928.16667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9" t="s">
        <v>93</v>
      </c>
      <c r="B28" s="90">
        <f>SUM(B26:M26)</f>
        <v>72999.5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1"/>
      <c r="B29" s="9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9" t="s">
        <v>94</v>
      </c>
      <c r="B30" s="90">
        <v>50000.0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1"/>
      <c r="B31" s="9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9" t="s">
        <v>95</v>
      </c>
      <c r="B32" s="90">
        <f>SUM(B28-B30)</f>
        <v>22999.5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1"/>
      <c r="B33" s="9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1:E2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0"/>
    <col customWidth="1" min="3" max="3" width="15.0"/>
    <col customWidth="1" min="4" max="4" width="21.71"/>
    <col customWidth="1" min="5" max="5" width="15.0"/>
    <col customWidth="1" min="6" max="6" width="19.0"/>
    <col customWidth="1" min="7" max="9" width="15.0"/>
    <col customWidth="1" min="10" max="26" width="9.86"/>
  </cols>
  <sheetData>
    <row r="1" ht="33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8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2" t="s">
        <v>96</v>
      </c>
      <c r="B4" s="93"/>
      <c r="C4" s="93"/>
      <c r="D4" s="94"/>
      <c r="E4" s="4"/>
      <c r="F4" s="95" t="s">
        <v>97</v>
      </c>
      <c r="G4" s="96"/>
      <c r="H4" s="96"/>
      <c r="I4" s="9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8"/>
      <c r="B5" s="99"/>
      <c r="C5" s="99"/>
      <c r="D5" s="100"/>
      <c r="E5" s="4"/>
      <c r="F5" s="101"/>
      <c r="G5" s="102"/>
      <c r="H5" s="102"/>
      <c r="I5" s="10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8"/>
      <c r="B6" s="99"/>
      <c r="C6" s="99"/>
      <c r="D6" s="104"/>
      <c r="E6" s="4"/>
      <c r="F6" s="101"/>
      <c r="G6" s="102"/>
      <c r="H6" s="102"/>
      <c r="I6" s="10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8" t="s">
        <v>98</v>
      </c>
      <c r="B7" s="104">
        <f>'P&amp;L_Statement'!Q30</f>
        <v>7200</v>
      </c>
      <c r="C7" s="99" t="s">
        <v>99</v>
      </c>
      <c r="D7" s="104">
        <f>SUM(59894.55+Treasury_Plan!B32)</f>
        <v>82894.05</v>
      </c>
      <c r="E7" s="4"/>
      <c r="F7" s="101" t="s">
        <v>98</v>
      </c>
      <c r="G7" s="105">
        <f>SUM(B7*0.6)</f>
        <v>4320</v>
      </c>
      <c r="H7" s="102" t="s">
        <v>99</v>
      </c>
      <c r="I7" s="105">
        <v>93080.41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8" t="s">
        <v>100</v>
      </c>
      <c r="B8" s="104">
        <f>SUM('P&amp;L_Statement'!I31*'P&amp;L_Statement'!C13)</f>
        <v>80812.8</v>
      </c>
      <c r="C8" s="99" t="s">
        <v>101</v>
      </c>
      <c r="D8" s="104">
        <v>0.0</v>
      </c>
      <c r="E8" s="4"/>
      <c r="F8" s="101" t="s">
        <v>100</v>
      </c>
      <c r="G8" s="105">
        <f>'P&amp;L_Statement'!I31*'P&amp;L_Statement'!E13</f>
        <v>97783.488</v>
      </c>
      <c r="H8" s="102" t="s">
        <v>101</v>
      </c>
      <c r="I8" s="105">
        <f>D20*0.8</f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98" t="s">
        <v>102</v>
      </c>
      <c r="B9" s="106">
        <f>Treasury_Plan!B32</f>
        <v>22999.5</v>
      </c>
      <c r="C9" s="99" t="s">
        <v>103</v>
      </c>
      <c r="D9" s="104">
        <f>SUM('P&amp;L_Statement'!I29*'P&amp;L_Statement'!C15)</f>
        <v>28118.25</v>
      </c>
      <c r="E9" s="4"/>
      <c r="F9" s="101" t="s">
        <v>102</v>
      </c>
      <c r="G9" s="105">
        <v>25000.0</v>
      </c>
      <c r="H9" s="102" t="s">
        <v>103</v>
      </c>
      <c r="I9" s="105">
        <f>SUM('P&amp;L_Statement'!E15*'P&amp;L_Statement'!I32)</f>
        <v>34023.0825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8"/>
      <c r="B10" s="104"/>
      <c r="C10" s="99"/>
      <c r="D10" s="104"/>
      <c r="E10" s="4"/>
      <c r="F10" s="101"/>
      <c r="G10" s="105"/>
      <c r="H10" s="102"/>
      <c r="I10" s="10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07" t="s">
        <v>104</v>
      </c>
      <c r="B11" s="104">
        <f>SUM(B7:B9)</f>
        <v>111012.3</v>
      </c>
      <c r="C11" s="108"/>
      <c r="D11" s="104">
        <f>SUM(D7:D9)</f>
        <v>111012.3</v>
      </c>
      <c r="E11" s="4"/>
      <c r="F11" s="109" t="s">
        <v>105</v>
      </c>
      <c r="G11" s="105">
        <f>SUM(G6:G9)</f>
        <v>127103.488</v>
      </c>
      <c r="H11" s="110"/>
      <c r="I11" s="105">
        <f>SUM(I7:I9)</f>
        <v>127103.4925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9"/>
      <c r="B12" s="99"/>
      <c r="C12" s="99"/>
      <c r="D12" s="99"/>
      <c r="E12" s="4"/>
      <c r="F12" s="102"/>
      <c r="G12" s="102"/>
      <c r="H12" s="102"/>
      <c r="I12" s="10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9"/>
      <c r="B13" s="99"/>
      <c r="C13" s="99"/>
      <c r="D13" s="99"/>
      <c r="E13" s="4"/>
      <c r="F13" s="102"/>
      <c r="G13" s="102"/>
      <c r="H13" s="102"/>
      <c r="I13" s="10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99"/>
      <c r="B14" s="99"/>
      <c r="C14" s="99"/>
      <c r="D14" s="99"/>
      <c r="E14" s="4"/>
      <c r="F14" s="102"/>
      <c r="G14" s="102"/>
      <c r="H14" s="102"/>
      <c r="I14" s="10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1" t="s">
        <v>106</v>
      </c>
      <c r="B16" s="112"/>
      <c r="C16" s="112"/>
      <c r="D16" s="1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14"/>
      <c r="B17" s="115"/>
      <c r="C17" s="115"/>
      <c r="D17" s="1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4"/>
      <c r="B18" s="115"/>
      <c r="C18" s="115"/>
      <c r="D18" s="1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4" t="s">
        <v>98</v>
      </c>
      <c r="B19" s="117">
        <f>SUM(B7*0.8)</f>
        <v>5760</v>
      </c>
      <c r="C19" s="115" t="s">
        <v>99</v>
      </c>
      <c r="D19" s="118">
        <v>85724.0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4" t="s">
        <v>100</v>
      </c>
      <c r="B20" s="117">
        <f>SUM('P&amp;L_Statement'!D13*'P&amp;L_Statement'!I31)</f>
        <v>88894.08</v>
      </c>
      <c r="C20" s="115" t="s">
        <v>101</v>
      </c>
      <c r="D20" s="118">
        <f>SUM(D8*0.9)</f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4" t="s">
        <v>102</v>
      </c>
      <c r="B21" s="117">
        <v>22000.0</v>
      </c>
      <c r="C21" s="115" t="s">
        <v>103</v>
      </c>
      <c r="D21" s="118">
        <f>SUM('P&amp;L_Statement'!I32*'P&amp;L_Statement'!D15)</f>
        <v>30930.075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4"/>
      <c r="B22" s="117"/>
      <c r="C22" s="115"/>
      <c r="D22" s="1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9" t="s">
        <v>107</v>
      </c>
      <c r="B23" s="120">
        <f>SUM(B19:B21)</f>
        <v>116654.08</v>
      </c>
      <c r="C23" s="121"/>
      <c r="D23" s="118">
        <f>SUM(D19:D21)</f>
        <v>116654.075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15"/>
      <c r="B24" s="115"/>
      <c r="C24" s="115"/>
      <c r="D24" s="1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5"/>
      <c r="B25" s="115"/>
      <c r="C25" s="115"/>
      <c r="D25" s="1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15"/>
      <c r="B26" s="115"/>
      <c r="C26" s="115"/>
      <c r="D26" s="1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10.0"/>
    <col customWidth="1" min="4" max="4" width="9.71"/>
    <col customWidth="1" min="5" max="5" width="12.71"/>
    <col customWidth="1" min="6" max="6" width="11.0"/>
    <col customWidth="1" min="7" max="7" width="13.86"/>
    <col customWidth="1" min="8" max="8" width="18.57"/>
    <col customWidth="1" min="9" max="9" width="15.14"/>
    <col customWidth="1" min="10" max="10" width="15.43"/>
    <col customWidth="1" min="11" max="11" width="10.71"/>
    <col customWidth="1" min="12" max="12" width="9.86"/>
    <col customWidth="1" min="13" max="13" width="11.0"/>
    <col customWidth="1" min="14" max="25" width="15.0"/>
    <col customWidth="1" min="26" max="26" width="9.86"/>
  </cols>
  <sheetData>
    <row r="1" ht="24.0" customHeight="1">
      <c r="A1" s="122" t="s">
        <v>108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4"/>
      <c r="C2" s="4"/>
      <c r="D2" s="4" t="s">
        <v>109</v>
      </c>
      <c r="E2" s="74" t="s">
        <v>110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9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3" t="s">
        <v>111</v>
      </c>
      <c r="B4" s="124">
        <v>30.0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5" t="s">
        <v>112</v>
      </c>
      <c r="B5" s="126">
        <v>7270.4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5" t="s">
        <v>113</v>
      </c>
      <c r="B6" s="124">
        <f>B4*B5</f>
        <v>218112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5" t="s">
        <v>114</v>
      </c>
      <c r="B7" s="124">
        <v>22.5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7" t="s">
        <v>115</v>
      </c>
      <c r="B8" s="124">
        <f>B7*B5</f>
        <v>163584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5" t="s">
        <v>116</v>
      </c>
      <c r="B9" s="124">
        <f>'P&amp;L_Statement'!C26</f>
        <v>51322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5" t="s">
        <v>117</v>
      </c>
      <c r="B10" s="124">
        <f>B6-B8-B9</f>
        <v>3206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7" t="s">
        <v>118</v>
      </c>
      <c r="B13" s="127">
        <v>7270.4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7" t="s">
        <v>119</v>
      </c>
      <c r="B14" s="128">
        <f>B13*B4</f>
        <v>218112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7" t="s">
        <v>120</v>
      </c>
      <c r="B16" s="129">
        <v>2000.0</v>
      </c>
      <c r="C16" s="4"/>
      <c r="D16" s="130" t="s">
        <v>121</v>
      </c>
      <c r="E16" s="3"/>
      <c r="F16" s="131" t="s">
        <v>122</v>
      </c>
      <c r="G16" s="131" t="s">
        <v>123</v>
      </c>
      <c r="H16" s="131" t="s">
        <v>115</v>
      </c>
      <c r="I16" s="131" t="s">
        <v>124</v>
      </c>
      <c r="J16" s="131" t="s">
        <v>125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126</v>
      </c>
      <c r="B17" s="4"/>
      <c r="C17" s="4"/>
      <c r="D17" s="4"/>
      <c r="E17" s="4"/>
      <c r="F17" s="4">
        <v>0.0</v>
      </c>
      <c r="G17" s="80">
        <f>'P&amp;L_Statement'!C26</f>
        <v>51322</v>
      </c>
      <c r="H17" s="80">
        <f>F17*B7</f>
        <v>0</v>
      </c>
      <c r="I17" s="80">
        <f t="shared" ref="I17:I22" si="1">H17+G17</f>
        <v>51322</v>
      </c>
      <c r="J17" s="80">
        <f t="shared" ref="J17:J22" si="2">$B$4*F17</f>
        <v>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>
        <f t="shared" ref="F18:F22" si="3">$B$16+F17</f>
        <v>2000</v>
      </c>
      <c r="G18" s="80">
        <f>B9</f>
        <v>51322</v>
      </c>
      <c r="H18" s="80">
        <f>F18*B7</f>
        <v>45000</v>
      </c>
      <c r="I18" s="80">
        <f t="shared" si="1"/>
        <v>96322</v>
      </c>
      <c r="J18" s="80">
        <f t="shared" si="2"/>
        <v>60000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9"/>
      <c r="B19" s="4"/>
      <c r="C19" s="4"/>
      <c r="D19" s="4"/>
      <c r="E19" s="4"/>
      <c r="F19" s="4">
        <f t="shared" si="3"/>
        <v>4000</v>
      </c>
      <c r="G19" s="80">
        <f>B9</f>
        <v>51322</v>
      </c>
      <c r="H19" s="80">
        <f>F19*B7</f>
        <v>90000</v>
      </c>
      <c r="I19" s="80">
        <f t="shared" si="1"/>
        <v>141322</v>
      </c>
      <c r="J19" s="80">
        <f t="shared" si="2"/>
        <v>120000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9"/>
      <c r="B20" s="4"/>
      <c r="C20" s="4"/>
      <c r="D20" s="4"/>
      <c r="E20" s="4"/>
      <c r="F20" s="4">
        <f t="shared" si="3"/>
        <v>6000</v>
      </c>
      <c r="G20" s="80">
        <f>B9</f>
        <v>51322</v>
      </c>
      <c r="H20" s="80">
        <f>F20*B7</f>
        <v>135000</v>
      </c>
      <c r="I20" s="80">
        <f t="shared" si="1"/>
        <v>186322</v>
      </c>
      <c r="J20" s="80">
        <f t="shared" si="2"/>
        <v>180000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>
        <f t="shared" si="3"/>
        <v>8000</v>
      </c>
      <c r="G21" s="80">
        <f>B9</f>
        <v>51322</v>
      </c>
      <c r="H21" s="80">
        <f>F21*B7</f>
        <v>180000</v>
      </c>
      <c r="I21" s="80">
        <f t="shared" si="1"/>
        <v>231322</v>
      </c>
      <c r="J21" s="80">
        <f t="shared" si="2"/>
        <v>240000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>
        <f t="shared" si="3"/>
        <v>10000</v>
      </c>
      <c r="G22" s="80">
        <f>B9</f>
        <v>51322</v>
      </c>
      <c r="H22" s="80">
        <f>F22*B7</f>
        <v>225000</v>
      </c>
      <c r="I22" s="80">
        <f t="shared" si="1"/>
        <v>276322</v>
      </c>
      <c r="J22" s="80">
        <f t="shared" si="2"/>
        <v>300000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M1"/>
    <mergeCell ref="E2:K2"/>
    <mergeCell ref="D16:E1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14"/>
    <col customWidth="1" min="3" max="3" width="10.14"/>
    <col customWidth="1" min="4" max="4" width="14.14"/>
    <col customWidth="1" min="5" max="5" width="10.14"/>
    <col customWidth="1" min="6" max="6" width="20.29"/>
    <col customWidth="1" min="7" max="7" width="10.14"/>
    <col customWidth="1" min="8" max="8" width="15.86"/>
    <col customWidth="1" min="9" max="9" width="10.14"/>
    <col customWidth="1" min="10" max="10" width="13.57"/>
    <col customWidth="1" min="11" max="15" width="10.14"/>
    <col customWidth="1" min="16" max="26" width="9.86"/>
  </cols>
  <sheetData>
    <row r="1" ht="14.2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32"/>
      <c r="B2" s="133" t="s">
        <v>127</v>
      </c>
      <c r="C2" s="49"/>
      <c r="D2" s="50"/>
      <c r="E2" s="134"/>
      <c r="F2" s="134" t="s">
        <v>128</v>
      </c>
      <c r="G2" s="134"/>
      <c r="H2" s="133" t="s">
        <v>129</v>
      </c>
      <c r="I2" s="49"/>
      <c r="J2" s="50"/>
      <c r="K2" s="134"/>
      <c r="L2" s="134"/>
      <c r="M2" s="134" t="s">
        <v>130</v>
      </c>
      <c r="N2" s="132"/>
      <c r="O2" s="132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4.2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20"/>
      <c r="B4" s="135" t="s">
        <v>44</v>
      </c>
      <c r="C4" s="49"/>
      <c r="D4" s="50"/>
      <c r="E4" s="20"/>
      <c r="F4" s="136">
        <v>2000.0</v>
      </c>
      <c r="G4" s="137"/>
      <c r="H4" s="137"/>
      <c r="I4" s="138"/>
      <c r="J4" s="20"/>
      <c r="K4" s="20"/>
      <c r="L4" s="20"/>
      <c r="M4" s="20"/>
      <c r="N4" s="20"/>
      <c r="O4" s="20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0"/>
      <c r="B5" s="20"/>
      <c r="C5" s="20"/>
      <c r="D5" s="20"/>
      <c r="E5" s="20"/>
      <c r="F5" s="137"/>
      <c r="G5" s="137"/>
      <c r="H5" s="137"/>
      <c r="I5" s="138"/>
      <c r="J5" s="20"/>
      <c r="K5" s="20"/>
      <c r="L5" s="20"/>
      <c r="M5" s="20"/>
      <c r="N5" s="20"/>
      <c r="O5" s="20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6.25" customHeight="1">
      <c r="A6" s="20"/>
      <c r="B6" s="135" t="s">
        <v>49</v>
      </c>
      <c r="C6" s="49"/>
      <c r="D6" s="50"/>
      <c r="E6" s="20"/>
      <c r="F6" s="137"/>
      <c r="G6" s="137"/>
      <c r="H6" s="136">
        <v>200.0</v>
      </c>
      <c r="I6" s="138"/>
      <c r="J6" s="20"/>
      <c r="K6" s="20"/>
      <c r="L6" s="20"/>
      <c r="M6" s="20" t="s">
        <v>131</v>
      </c>
      <c r="N6" s="20"/>
      <c r="O6" s="20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0"/>
      <c r="B7" s="20"/>
      <c r="C7" s="20"/>
      <c r="D7" s="20"/>
      <c r="E7" s="20"/>
      <c r="F7" s="137"/>
      <c r="G7" s="137"/>
      <c r="H7" s="137"/>
      <c r="I7" s="138"/>
      <c r="J7" s="20"/>
      <c r="K7" s="20"/>
      <c r="L7" s="20"/>
      <c r="M7" s="20"/>
      <c r="N7" s="20"/>
      <c r="O7" s="20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0"/>
      <c r="B8" s="139" t="s">
        <v>54</v>
      </c>
      <c r="C8" s="140"/>
      <c r="D8" s="140"/>
      <c r="E8" s="141"/>
      <c r="F8" s="136">
        <v>1200.0</v>
      </c>
      <c r="G8" s="137"/>
      <c r="H8" s="137"/>
      <c r="I8" s="138"/>
      <c r="J8" s="20"/>
      <c r="K8" s="20"/>
      <c r="L8" s="20"/>
      <c r="M8" s="20" t="s">
        <v>132</v>
      </c>
      <c r="N8" s="20"/>
      <c r="O8" s="20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0"/>
      <c r="B9" s="20"/>
      <c r="C9" s="20"/>
      <c r="D9" s="20"/>
      <c r="E9" s="20"/>
      <c r="F9" s="137"/>
      <c r="G9" s="137"/>
      <c r="H9" s="137"/>
      <c r="I9" s="138"/>
      <c r="J9" s="20"/>
      <c r="K9" s="20"/>
      <c r="L9" s="20"/>
      <c r="M9" s="20"/>
      <c r="N9" s="20"/>
      <c r="O9" s="20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20"/>
      <c r="B10" s="139" t="s">
        <v>58</v>
      </c>
      <c r="C10" s="49"/>
      <c r="D10" s="50"/>
      <c r="E10" s="20"/>
      <c r="F10" s="136">
        <v>1000.0</v>
      </c>
      <c r="G10" s="137"/>
      <c r="H10" s="137"/>
      <c r="I10" s="138"/>
      <c r="J10" s="20"/>
      <c r="K10" s="20"/>
      <c r="L10" s="20"/>
      <c r="M10" s="20"/>
      <c r="N10" s="20"/>
      <c r="O10" s="20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0"/>
      <c r="B11" s="20"/>
      <c r="C11" s="20"/>
      <c r="D11" s="20"/>
      <c r="E11" s="20"/>
      <c r="F11" s="137"/>
      <c r="G11" s="137"/>
      <c r="H11" s="137"/>
      <c r="I11" s="138"/>
      <c r="J11" s="20"/>
      <c r="K11" s="20"/>
      <c r="L11" s="20"/>
      <c r="M11" s="20"/>
      <c r="N11" s="20"/>
      <c r="O11" s="20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5.5" customHeight="1">
      <c r="A12" s="20"/>
      <c r="B12" s="139" t="s">
        <v>133</v>
      </c>
      <c r="C12" s="49"/>
      <c r="D12" s="50"/>
      <c r="E12" s="20"/>
      <c r="F12" s="136">
        <v>3000.0</v>
      </c>
      <c r="G12" s="137"/>
      <c r="H12" s="137"/>
      <c r="I12" s="138"/>
      <c r="J12" s="20"/>
      <c r="K12" s="20"/>
      <c r="L12" s="20"/>
      <c r="M12" s="20"/>
      <c r="N12" s="20"/>
      <c r="O12" s="20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0"/>
      <c r="B13" s="20"/>
      <c r="C13" s="20"/>
      <c r="D13" s="20"/>
      <c r="E13" s="20"/>
      <c r="F13" s="137"/>
      <c r="G13" s="137"/>
      <c r="H13" s="137"/>
      <c r="I13" s="138"/>
      <c r="J13" s="20"/>
      <c r="K13" s="20"/>
      <c r="L13" s="20"/>
      <c r="M13" s="20"/>
      <c r="N13" s="20"/>
      <c r="O13" s="2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20"/>
      <c r="B14" s="139" t="s">
        <v>134</v>
      </c>
      <c r="C14" s="49"/>
      <c r="D14" s="50"/>
      <c r="E14" s="20"/>
      <c r="F14" s="136">
        <v>1500.0</v>
      </c>
      <c r="G14" s="137"/>
      <c r="H14" s="137"/>
      <c r="I14" s="138"/>
      <c r="J14" s="20"/>
      <c r="K14" s="20"/>
      <c r="L14" s="20"/>
      <c r="M14" s="20"/>
      <c r="N14" s="20"/>
      <c r="O14" s="2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0"/>
      <c r="B15" s="20"/>
      <c r="C15" s="20"/>
      <c r="D15" s="20"/>
      <c r="E15" s="20"/>
      <c r="F15" s="137"/>
      <c r="G15" s="137"/>
      <c r="H15" s="137"/>
      <c r="I15" s="138"/>
      <c r="J15" s="20"/>
      <c r="K15" s="20"/>
      <c r="L15" s="20"/>
      <c r="M15" s="20"/>
      <c r="N15" s="20"/>
      <c r="O15" s="2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6.25" customHeight="1">
      <c r="A16" s="20"/>
      <c r="B16" s="135" t="s">
        <v>135</v>
      </c>
      <c r="C16" s="49"/>
      <c r="D16" s="50"/>
      <c r="E16" s="20"/>
      <c r="F16" s="137"/>
      <c r="G16" s="137"/>
      <c r="H16" s="136">
        <v>4716.0</v>
      </c>
      <c r="I16" s="138"/>
      <c r="J16" s="20"/>
      <c r="K16" s="20"/>
      <c r="L16" s="20"/>
      <c r="M16" s="20"/>
      <c r="N16" s="20"/>
      <c r="O16" s="2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0"/>
      <c r="B17" s="20"/>
      <c r="C17" s="20"/>
      <c r="D17" s="20"/>
      <c r="E17" s="20"/>
      <c r="F17" s="137"/>
      <c r="G17" s="137"/>
      <c r="H17" s="137"/>
      <c r="I17" s="138"/>
      <c r="J17" s="20"/>
      <c r="K17" s="20"/>
      <c r="L17" s="20"/>
      <c r="M17" s="20"/>
      <c r="N17" s="20"/>
      <c r="O17" s="2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0"/>
      <c r="B18" s="142" t="s">
        <v>136</v>
      </c>
      <c r="C18" s="20"/>
      <c r="D18" s="20"/>
      <c r="E18" s="20"/>
      <c r="F18" s="137"/>
      <c r="G18" s="137"/>
      <c r="H18" s="137"/>
      <c r="I18" s="138"/>
      <c r="J18" s="20"/>
      <c r="K18" s="20"/>
      <c r="L18" s="20"/>
      <c r="M18" s="143" t="s">
        <v>137</v>
      </c>
      <c r="N18" s="20"/>
      <c r="O18" s="2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0"/>
      <c r="B19" s="20" t="s">
        <v>138</v>
      </c>
      <c r="C19" s="20"/>
      <c r="D19" s="20"/>
      <c r="E19" s="20"/>
      <c r="F19" s="136">
        <v>3000.0</v>
      </c>
      <c r="G19" s="137"/>
      <c r="H19" s="137"/>
      <c r="I19" s="138"/>
      <c r="J19" s="20"/>
      <c r="K19" s="20"/>
      <c r="L19" s="20"/>
      <c r="M19" s="20"/>
      <c r="N19" s="20"/>
      <c r="O19" s="2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0"/>
      <c r="B20" s="20"/>
      <c r="C20" s="20"/>
      <c r="D20" s="20"/>
      <c r="E20" s="20"/>
      <c r="F20" s="137"/>
      <c r="G20" s="137"/>
      <c r="H20" s="137"/>
      <c r="I20" s="138"/>
      <c r="J20" s="20"/>
      <c r="K20" s="20"/>
      <c r="L20" s="20"/>
      <c r="M20" s="20"/>
      <c r="N20" s="20"/>
      <c r="O20" s="2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0"/>
      <c r="B21" s="20" t="s">
        <v>139</v>
      </c>
      <c r="C21" s="20"/>
      <c r="D21" s="20"/>
      <c r="E21" s="20"/>
      <c r="F21" s="137"/>
      <c r="G21" s="137"/>
      <c r="H21" s="136">
        <v>3166.0</v>
      </c>
      <c r="I21" s="138"/>
      <c r="J21" s="20"/>
      <c r="K21" s="20"/>
      <c r="L21" s="20"/>
      <c r="M21" s="20"/>
      <c r="N21" s="20"/>
      <c r="O21" s="2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0"/>
      <c r="B22" s="20"/>
      <c r="C22" s="20"/>
      <c r="D22" s="20"/>
      <c r="E22" s="20"/>
      <c r="F22" s="137"/>
      <c r="G22" s="137"/>
      <c r="H22" s="137"/>
      <c r="I22" s="138"/>
      <c r="J22" s="20"/>
      <c r="K22" s="20"/>
      <c r="L22" s="20"/>
      <c r="M22" s="20"/>
      <c r="N22" s="20"/>
      <c r="O22" s="2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0"/>
      <c r="B23" s="142" t="s">
        <v>140</v>
      </c>
      <c r="C23" s="20"/>
      <c r="D23" s="20"/>
      <c r="E23" s="20"/>
      <c r="F23" s="136">
        <v>5000.0</v>
      </c>
      <c r="G23" s="137"/>
      <c r="H23" s="137"/>
      <c r="I23" s="138"/>
      <c r="J23" s="20"/>
      <c r="K23" s="20"/>
      <c r="L23" s="20"/>
      <c r="M23" s="20" t="s">
        <v>141</v>
      </c>
      <c r="N23" s="20"/>
      <c r="O23" s="2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0"/>
      <c r="B24" s="20"/>
      <c r="C24" s="20"/>
      <c r="D24" s="20"/>
      <c r="E24" s="20"/>
      <c r="F24" s="137"/>
      <c r="G24" s="137"/>
      <c r="H24" s="137"/>
      <c r="I24" s="138"/>
      <c r="J24" s="20"/>
      <c r="K24" s="20"/>
      <c r="L24" s="20"/>
      <c r="M24" s="20"/>
      <c r="N24" s="20"/>
      <c r="O24" s="2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0"/>
      <c r="B25" s="142" t="s">
        <v>142</v>
      </c>
      <c r="C25" s="20"/>
      <c r="D25" s="20"/>
      <c r="E25" s="20"/>
      <c r="F25" s="137"/>
      <c r="G25" s="137"/>
      <c r="H25" s="136">
        <v>4200.0</v>
      </c>
      <c r="I25" s="138"/>
      <c r="J25" s="20"/>
      <c r="K25" s="20"/>
      <c r="L25" s="20"/>
      <c r="M25" s="20"/>
      <c r="N25" s="20"/>
      <c r="O25" s="2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0"/>
      <c r="B26" s="20"/>
      <c r="C26" s="20"/>
      <c r="D26" s="20"/>
      <c r="E26" s="20"/>
      <c r="F26" s="137"/>
      <c r="G26" s="137"/>
      <c r="H26" s="137"/>
      <c r="I26" s="138"/>
      <c r="J26" s="20"/>
      <c r="K26" s="20"/>
      <c r="L26" s="20"/>
      <c r="M26" s="20"/>
      <c r="N26" s="20"/>
      <c r="O26" s="2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0"/>
      <c r="B27" s="142" t="s">
        <v>143</v>
      </c>
      <c r="C27" s="20"/>
      <c r="D27" s="20"/>
      <c r="E27" s="20"/>
      <c r="F27" s="137"/>
      <c r="G27" s="137"/>
      <c r="H27" s="136">
        <v>36000.0</v>
      </c>
      <c r="I27" s="138"/>
      <c r="J27" s="20"/>
      <c r="K27" s="20"/>
      <c r="L27" s="20"/>
      <c r="M27" s="20"/>
      <c r="N27" s="20"/>
      <c r="O27" s="2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0"/>
      <c r="B28" s="20"/>
      <c r="C28" s="20"/>
      <c r="D28" s="20"/>
      <c r="E28" s="20"/>
      <c r="F28" s="137"/>
      <c r="G28" s="137"/>
      <c r="H28" s="137"/>
      <c r="I28" s="138"/>
      <c r="J28" s="20"/>
      <c r="K28" s="20"/>
      <c r="L28" s="20"/>
      <c r="M28" s="20"/>
      <c r="N28" s="20"/>
      <c r="O28" s="2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0"/>
      <c r="B29" s="20" t="s">
        <v>144</v>
      </c>
      <c r="C29" s="20"/>
      <c r="D29" s="20"/>
      <c r="E29" s="20"/>
      <c r="F29" s="137"/>
      <c r="G29" s="137"/>
      <c r="H29" s="136">
        <v>8580.0</v>
      </c>
      <c r="I29" s="138"/>
      <c r="J29" s="20"/>
      <c r="K29" s="20"/>
      <c r="L29" s="20"/>
      <c r="M29" s="20"/>
      <c r="N29" s="20"/>
      <c r="O29" s="2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0"/>
      <c r="B30" s="20"/>
      <c r="C30" s="20"/>
      <c r="D30" s="20"/>
      <c r="E30" s="20"/>
      <c r="F30" s="137"/>
      <c r="G30" s="137"/>
      <c r="H30" s="137"/>
      <c r="I30" s="138"/>
      <c r="J30" s="20"/>
      <c r="K30" s="20"/>
      <c r="L30" s="20"/>
      <c r="M30" s="20"/>
      <c r="N30" s="20"/>
      <c r="O30" s="2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0"/>
      <c r="B31" s="20"/>
      <c r="C31" s="20"/>
      <c r="D31" s="20"/>
      <c r="E31" s="20"/>
      <c r="F31" s="136">
        <v>16700.0</v>
      </c>
      <c r="G31" s="137"/>
      <c r="H31" s="136">
        <v>56862.0</v>
      </c>
      <c r="I31" s="138"/>
      <c r="J31" s="20"/>
      <c r="K31" s="20"/>
      <c r="L31" s="20"/>
      <c r="M31" s="20"/>
      <c r="N31" s="20"/>
      <c r="O31" s="2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0"/>
      <c r="B32" s="20"/>
      <c r="C32" s="20"/>
      <c r="D32" s="20"/>
      <c r="E32" s="20"/>
      <c r="F32" s="138"/>
      <c r="G32" s="138"/>
      <c r="H32" s="138"/>
      <c r="I32" s="138"/>
      <c r="J32" s="20"/>
      <c r="K32" s="20"/>
      <c r="L32" s="20"/>
      <c r="M32" s="20"/>
      <c r="N32" s="20"/>
      <c r="O32" s="2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B2:D2"/>
    <mergeCell ref="H2:J2"/>
    <mergeCell ref="B4:D4"/>
    <mergeCell ref="B6:D6"/>
    <mergeCell ref="B10:D10"/>
    <mergeCell ref="B12:D12"/>
    <mergeCell ref="B14:D14"/>
    <mergeCell ref="B16:D16"/>
  </mergeCells>
  <hyperlinks>
    <hyperlink r:id="rId1" ref="M18"/>
  </hyperlinks>
  <printOptions/>
  <pageMargins bottom="0.3" footer="0.0" header="0.0" left="0.7" right="0.7" top="0.3"/>
  <pageSetup paperSize="9" orientation="portrait"/>
  <drawing r:id="rId2"/>
</worksheet>
</file>