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Никита\Desktop\ЯГТУ\4 семестр\Инфокоммуникационные сети и системы\Лабораторная работа №3\"/>
    </mc:Choice>
  </mc:AlternateContent>
  <xr:revisionPtr revIDLastSave="0" documentId="13_ncr:1_{DE74CCE9-54CC-447B-8A43-7E7774A20E3B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C7" i="1" l="1"/>
  <c r="B13" i="1" s="1"/>
  <c r="F17" i="2" l="1"/>
  <c r="D4" i="2"/>
  <c r="I4" i="2" l="1"/>
  <c r="C6" i="1"/>
  <c r="C14" i="2" s="1"/>
  <c r="C15" i="2" l="1"/>
  <c r="N10" i="2"/>
  <c r="N9" i="2"/>
  <c r="D5" i="2"/>
  <c r="C16" i="2"/>
  <c r="O5" i="2" s="1"/>
  <c r="O6" i="2" s="1"/>
  <c r="C17" i="2"/>
  <c r="P5" i="2" s="1"/>
  <c r="P6" i="2" s="1"/>
  <c r="C18" i="2"/>
  <c r="F14" i="2" l="1"/>
  <c r="Q5" i="2"/>
  <c r="Q6" i="2" s="1"/>
  <c r="N15" i="2" s="1"/>
  <c r="N24" i="2"/>
  <c r="N25" i="2"/>
  <c r="N19" i="2"/>
  <c r="N20" i="2"/>
  <c r="N5" i="2"/>
  <c r="D10" i="2"/>
  <c r="G10" i="2" s="1"/>
  <c r="D7" i="2"/>
  <c r="G7" i="2" s="1"/>
  <c r="D9" i="2"/>
  <c r="G9" i="2" s="1"/>
  <c r="D6" i="2"/>
  <c r="F6" i="1" s="1"/>
  <c r="D8" i="2"/>
  <c r="G8" i="2" s="1"/>
  <c r="B10" i="1" l="1"/>
  <c r="R20" i="2"/>
  <c r="L6" i="1" s="1"/>
  <c r="N14" i="2"/>
  <c r="N6" i="2"/>
  <c r="U10" i="2" s="1"/>
  <c r="U9" i="2"/>
  <c r="G11" i="2"/>
  <c r="H6" i="1" s="1"/>
  <c r="J6" i="1" l="1"/>
</calcChain>
</file>

<file path=xl/sharedStrings.xml><?xml version="1.0" encoding="utf-8"?>
<sst xmlns="http://schemas.openxmlformats.org/spreadsheetml/2006/main" count="83" uniqueCount="57">
  <si>
    <r>
      <rPr>
        <b/>
        <sz val="11"/>
        <color theme="1"/>
        <rFont val="Calibri"/>
        <family val="2"/>
        <charset val="204"/>
        <scheme val="minor"/>
      </rPr>
      <t>Пример:</t>
    </r>
    <r>
      <rPr>
        <sz val="11"/>
        <color theme="1"/>
        <rFont val="Calibri"/>
        <family val="2"/>
        <scheme val="minor"/>
      </rPr>
      <t xml:space="preserve"> 10.111.110.10/25</t>
    </r>
  </si>
  <si>
    <t>11111111.11111111.11111111.10000000</t>
  </si>
  <si>
    <r>
      <t xml:space="preserve">256 - 128 = 128 </t>
    </r>
    <r>
      <rPr>
        <b/>
        <sz val="11"/>
        <color theme="1"/>
        <rFont val="Calibri"/>
        <family val="2"/>
        <charset val="204"/>
        <scheme val="minor"/>
      </rPr>
      <t>(число в 4 актете)</t>
    </r>
  </si>
  <si>
    <r>
      <t>2^7 = 128 (</t>
    </r>
    <r>
      <rPr>
        <b/>
        <sz val="11"/>
        <color theme="1"/>
        <rFont val="Calibri"/>
        <family val="2"/>
        <charset val="204"/>
        <scheme val="minor"/>
      </rPr>
      <t>хостов</t>
    </r>
    <r>
      <rPr>
        <sz val="11"/>
        <color theme="1"/>
        <rFont val="Calibri"/>
        <family val="2"/>
        <scheme val="minor"/>
      </rPr>
      <t>)</t>
    </r>
  </si>
  <si>
    <r>
      <t xml:space="preserve">2^0 = 1 , 256 - 1 = 255 </t>
    </r>
    <r>
      <rPr>
        <b/>
        <sz val="11"/>
        <color theme="1"/>
        <rFont val="Calibri"/>
        <family val="2"/>
        <charset val="204"/>
        <scheme val="minor"/>
      </rPr>
      <t>(число в 1,2,3 актете)</t>
    </r>
  </si>
  <si>
    <r>
      <rPr>
        <b/>
        <sz val="11"/>
        <color theme="1"/>
        <rFont val="Calibri"/>
        <family val="2"/>
        <charset val="204"/>
        <scheme val="minor"/>
      </rPr>
      <t xml:space="preserve">Результат: </t>
    </r>
    <r>
      <rPr>
        <sz val="11"/>
        <color theme="1"/>
        <rFont val="Calibri"/>
        <family val="2"/>
        <charset val="204"/>
        <scheme val="minor"/>
      </rPr>
      <t>255.255.255.128</t>
    </r>
  </si>
  <si>
    <t>Ввод:</t>
  </si>
  <si>
    <t>IP адрес:</t>
  </si>
  <si>
    <t>Маска:</t>
  </si>
  <si>
    <t>Введённые данные</t>
  </si>
  <si>
    <r>
      <t xml:space="preserve">32-25= 7 </t>
    </r>
    <r>
      <rPr>
        <b/>
        <sz val="11"/>
        <color theme="1"/>
        <rFont val="Calibri"/>
        <family val="2"/>
        <charset val="204"/>
        <scheme val="minor"/>
      </rPr>
      <t xml:space="preserve">(нулей) </t>
    </r>
    <r>
      <rPr>
        <sz val="11"/>
        <color theme="1"/>
        <rFont val="Calibri"/>
        <family val="2"/>
        <charset val="204"/>
        <scheme val="minor"/>
      </rPr>
      <t xml:space="preserve">, 25 </t>
    </r>
    <r>
      <rPr>
        <b/>
        <sz val="11"/>
        <color theme="1"/>
        <rFont val="Calibri"/>
        <family val="2"/>
        <charset val="204"/>
        <scheme val="minor"/>
      </rPr>
      <t>(единиц)</t>
    </r>
  </si>
  <si>
    <t>РАСЧЁТЫ</t>
  </si>
  <si>
    <t>Полная маска</t>
  </si>
  <si>
    <t>Адрес сети</t>
  </si>
  <si>
    <t>Широковещательный адрес</t>
  </si>
  <si>
    <t>Кол-во хостов</t>
  </si>
  <si>
    <t>Результат:</t>
  </si>
  <si>
    <t>Подсчёт единиц:</t>
  </si>
  <si>
    <t>Подсчёт нулей:</t>
  </si>
  <si>
    <t>Число хостов:</t>
  </si>
  <si>
    <t>Нули в 1 октете:</t>
  </si>
  <si>
    <t>Нули в 2 октете:</t>
  </si>
  <si>
    <t>Нули в 3 октете:</t>
  </si>
  <si>
    <t>Нули в 4 октете:</t>
  </si>
  <si>
    <t>Расчёт шага</t>
  </si>
  <si>
    <t>Ручные подсчёты Хы_)</t>
  </si>
  <si>
    <t>Проверка на правильность ввода IP адреса</t>
  </si>
  <si>
    <t>Проверка на правильность ввода маски</t>
  </si>
  <si>
    <t>Расчёт адреса сети и широковещательного адреса</t>
  </si>
  <si>
    <t>Число 1 октета:</t>
  </si>
  <si>
    <t>Число 2 октета:</t>
  </si>
  <si>
    <t>Число 3 октета:</t>
  </si>
  <si>
    <t>Число 4 октета:</t>
  </si>
  <si>
    <t>Число в 1 октете:</t>
  </si>
  <si>
    <t>Число в 2 октете:</t>
  </si>
  <si>
    <t>Число в 3 октете:</t>
  </si>
  <si>
    <t>Число в 4 октете:</t>
  </si>
  <si>
    <t>Номер актета</t>
  </si>
  <si>
    <t>1 октет</t>
  </si>
  <si>
    <t>2 октет</t>
  </si>
  <si>
    <t>3 октет</t>
  </si>
  <si>
    <t>4 октет</t>
  </si>
  <si>
    <t>Расчёт полной маски</t>
  </si>
  <si>
    <t>Диапазон маски</t>
  </si>
  <si>
    <t>Если маска = 32</t>
  </si>
  <si>
    <t>Если маска &gt; 24 но &lt; 32</t>
  </si>
  <si>
    <t>Номер диапазона</t>
  </si>
  <si>
    <t xml:space="preserve">Если маска &gt; 16 но &lt;= 24 </t>
  </si>
  <si>
    <t xml:space="preserve">Если маска &gt; 8 но &lt;= 16 </t>
  </si>
  <si>
    <t xml:space="preserve">Если маска &gt; 0 но &lt;= 8 </t>
  </si>
  <si>
    <t>0.0.0.0</t>
  </si>
  <si>
    <t>255.255.255.255</t>
  </si>
  <si>
    <t>Если маска = 0</t>
  </si>
  <si>
    <t>Номер диапазона для введённых данных</t>
  </si>
  <si>
    <t>192.169.150.120/22</t>
  </si>
  <si>
    <t>КАЛЬКУЛЯТОР IP АДРЕСОВ</t>
  </si>
  <si>
    <t>Разбиение IP адреса на октеты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</si>
</sst>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3" borderId="1" xfId="0" applyFont="1" applyFill="1" applyBorder="1"/>
    <xf numFmtId="0" fontId="3" fillId="4" borderId="1" xfId="0" applyFont="1" applyFill="1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0" fillId="0" borderId="27" xfId="0" applyBorder="1"/>
    <xf numFmtId="0" fontId="0" fillId="0" borderId="29" xfId="0" applyBorder="1"/>
    <xf numFmtId="0" fontId="4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0" fillId="3" borderId="1" xfId="0" applyFill="1" applyBorder="1" applyAlignment="1"/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3" fillId="7" borderId="26" xfId="0" applyFont="1" applyFill="1" applyBorder="1" applyAlignment="1">
      <alignment horizontal="center"/>
    </xf>
    <xf numFmtId="0" fontId="3" fillId="7" borderId="28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4" xfId="0" applyFill="1" applyBorder="1" applyAlignment="1"/>
    <xf numFmtId="0" fontId="0" fillId="6" borderId="15" xfId="0" applyFill="1" applyBorder="1" applyAlignment="1"/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0" fillId="6" borderId="18" xfId="0" applyFill="1" applyBorder="1" applyAlignment="1"/>
    <xf numFmtId="0" fontId="3" fillId="8" borderId="1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0" fillId="0" borderId="12" xfId="0" applyFill="1" applyBorder="1" applyAlignme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2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zoomScaleNormal="100" workbookViewId="0">
      <selection activeCell="I14" sqref="I14"/>
    </sheetView>
  </sheetViews>
  <sheetFormatPr defaultRowHeight="14.4" x14ac:dyDescent="0.3"/>
  <cols>
    <col min="5" max="5" width="14.33203125" customWidth="1"/>
    <col min="6" max="6" width="10.109375" customWidth="1"/>
    <col min="7" max="7" width="14.33203125" customWidth="1"/>
    <col min="9" max="9" width="16.21875" customWidth="1"/>
    <col min="11" max="11" width="13.6640625" customWidth="1"/>
  </cols>
  <sheetData>
    <row r="1" spans="1:23" ht="16.2" thickBot="1" x14ac:dyDescent="0.35">
      <c r="A1" s="25" t="s">
        <v>55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7"/>
      <c r="U1" s="23"/>
      <c r="V1" s="23"/>
      <c r="W1" s="23"/>
    </row>
    <row r="3" spans="1:23" x14ac:dyDescent="0.3">
      <c r="B3" s="1" t="s">
        <v>6</v>
      </c>
      <c r="C3" s="34" t="s">
        <v>54</v>
      </c>
      <c r="D3" s="34"/>
    </row>
    <row r="5" spans="1:23" x14ac:dyDescent="0.3">
      <c r="B5" s="35" t="s">
        <v>9</v>
      </c>
      <c r="C5" s="36"/>
      <c r="D5" s="36"/>
      <c r="F5" s="37" t="s">
        <v>15</v>
      </c>
      <c r="G5" s="37"/>
      <c r="H5" s="37" t="s">
        <v>12</v>
      </c>
      <c r="I5" s="37"/>
      <c r="J5" s="37" t="s">
        <v>13</v>
      </c>
      <c r="K5" s="37"/>
      <c r="L5" s="37" t="s">
        <v>14</v>
      </c>
      <c r="M5" s="37"/>
      <c r="N5" s="37"/>
    </row>
    <row r="6" spans="1:23" x14ac:dyDescent="0.3">
      <c r="B6" s="2" t="s">
        <v>7</v>
      </c>
      <c r="C6" s="35" t="str">
        <f>LEFT(C3,(FIND("/",C3)-1))</f>
        <v>192.169.150.120</v>
      </c>
      <c r="D6" s="35"/>
      <c r="F6" s="24">
        <f>IF(OR(VALUE(C7)&lt;0, VALUE(C7)&gt;32), "Недопустимое значение",Лист2!D6)</f>
        <v>1024</v>
      </c>
      <c r="G6" s="24"/>
      <c r="H6" s="24" t="str">
        <f>IF(OR(VALUE(C7)&lt;0,VALUE(C7)&gt;32), "Недопустимое значение",Лист2!G11)</f>
        <v>255.255.252.0</v>
      </c>
      <c r="I6" s="24"/>
      <c r="J6" s="24" t="str">
        <f>IF(Лист2!F14="Неправильно. Диапазон чисел от 0 до 255","Недопустимое значение",IF(Лист2!R20=1,Лист2!N9,IF(Лист2!R20=2,Лист2!N14,IF(Лист2!R20=3,Лист2!N19,IF(Лист2!R20=4,Лист2!N24,IF(Лист2!R20=5,Лист2!U9,IF(Лист2!R20=6,Лист2!U14)))))))</f>
        <v>192.169.148.0</v>
      </c>
      <c r="K6" s="24"/>
      <c r="L6" s="24" t="str">
        <f>IF(Лист2!F14="Неправильно. Диапазон чисел от 0 до 255","Недопустимое значение",IF(Лист2!R20=1,Лист2!N10,IF(Лист2!R20=2,Лист2!N15,IF(Лист2!R20=3,Лист2!N20,IF(Лист2!R20=4,Лист2!N25,IF(Лист2!R20=5,Лист2!U10,IF(Лист2!R20=6,Лист2!U15)))))))</f>
        <v>192.169.151.255</v>
      </c>
      <c r="M6" s="24"/>
      <c r="N6" s="24"/>
    </row>
    <row r="7" spans="1:23" x14ac:dyDescent="0.3">
      <c r="B7" s="2" t="s">
        <v>8</v>
      </c>
      <c r="C7" s="35" t="str">
        <f>RIGHT(C3,LEN(C3)-FIND("/",C3))</f>
        <v>22</v>
      </c>
      <c r="D7" s="35"/>
    </row>
    <row r="8" spans="1:23" ht="15" thickBot="1" x14ac:dyDescent="0.35"/>
    <row r="9" spans="1:23" x14ac:dyDescent="0.3">
      <c r="B9" s="31" t="str">
        <f>Лист2!F13</f>
        <v>Проверка на правильность ввода IP адреса</v>
      </c>
      <c r="C9" s="32"/>
      <c r="D9" s="32"/>
      <c r="E9" s="33"/>
    </row>
    <row r="10" spans="1:23" ht="15" thickBot="1" x14ac:dyDescent="0.35">
      <c r="B10" s="28" t="str">
        <f>Лист2!F14</f>
        <v>IP адрес введён правильно</v>
      </c>
      <c r="C10" s="29"/>
      <c r="D10" s="29"/>
      <c r="E10" s="30"/>
    </row>
    <row r="11" spans="1:23" ht="15" thickBot="1" x14ac:dyDescent="0.35"/>
    <row r="12" spans="1:23" x14ac:dyDescent="0.3">
      <c r="B12" s="31" t="s">
        <v>27</v>
      </c>
      <c r="C12" s="32"/>
      <c r="D12" s="32"/>
      <c r="E12" s="33"/>
    </row>
    <row r="13" spans="1:23" ht="15" thickBot="1" x14ac:dyDescent="0.35">
      <c r="B13" s="28" t="str">
        <f>IF(OR(VALUE(Лист1!C7)&lt;0, VALUE(Лист1!C7)&gt;32), "Неправильно. Диапазон чисел от 0 до 32","Маска введена правильно")</f>
        <v>Маска введена правильно</v>
      </c>
      <c r="C13" s="29"/>
      <c r="D13" s="29"/>
      <c r="E13" s="30"/>
    </row>
  </sheetData>
  <mergeCells count="17">
    <mergeCell ref="H6:I6"/>
    <mergeCell ref="J6:K6"/>
    <mergeCell ref="L6:N6"/>
    <mergeCell ref="A1:T1"/>
    <mergeCell ref="B13:E13"/>
    <mergeCell ref="B9:E9"/>
    <mergeCell ref="B10:E10"/>
    <mergeCell ref="B12:E12"/>
    <mergeCell ref="C3:D3"/>
    <mergeCell ref="C6:D6"/>
    <mergeCell ref="C7:D7"/>
    <mergeCell ref="B5:D5"/>
    <mergeCell ref="F5:G5"/>
    <mergeCell ref="H5:I5"/>
    <mergeCell ref="J5:K5"/>
    <mergeCell ref="L5:N5"/>
    <mergeCell ref="F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DC80-DB07-41C1-9269-A4B57240DCD2}">
  <dimension ref="A1:W26"/>
  <sheetViews>
    <sheetView tabSelected="1" zoomScale="85" zoomScaleNormal="85" workbookViewId="0">
      <selection activeCell="B13" sqref="B13:D13"/>
    </sheetView>
  </sheetViews>
  <sheetFormatPr defaultRowHeight="14.4" x14ac:dyDescent="0.3"/>
  <cols>
    <col min="2" max="2" width="17.6640625" customWidth="1"/>
    <col min="6" max="6" width="17.33203125" customWidth="1"/>
    <col min="7" max="7" width="23.21875" customWidth="1"/>
    <col min="9" max="9" width="12.109375" customWidth="1"/>
    <col min="11" max="12" width="8.88671875" customWidth="1"/>
  </cols>
  <sheetData>
    <row r="1" spans="1:23" ht="15" thickBot="1" x14ac:dyDescent="0.35">
      <c r="A1" s="48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</row>
    <row r="2" spans="1:23" ht="15" thickBot="1" x14ac:dyDescent="0.35"/>
    <row r="3" spans="1:23" ht="15" thickBot="1" x14ac:dyDescent="0.35">
      <c r="B3" s="54" t="s">
        <v>42</v>
      </c>
      <c r="C3" s="55"/>
      <c r="D3" s="55"/>
      <c r="E3" s="56"/>
      <c r="F3" s="56"/>
      <c r="G3" s="57"/>
      <c r="I3" s="15" t="s">
        <v>24</v>
      </c>
      <c r="K3" s="31" t="s">
        <v>28</v>
      </c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9"/>
    </row>
    <row r="4" spans="1:23" ht="15" thickBot="1" x14ac:dyDescent="0.35">
      <c r="B4" s="49" t="s">
        <v>17</v>
      </c>
      <c r="C4" s="50"/>
      <c r="D4" s="10" t="str">
        <f>Лист1!C7</f>
        <v>22</v>
      </c>
      <c r="E4" s="3"/>
      <c r="F4" s="3"/>
      <c r="G4" s="4"/>
      <c r="I4" s="16">
        <f>2^MOD((32-D4),8)</f>
        <v>4</v>
      </c>
      <c r="K4" s="60" t="s">
        <v>37</v>
      </c>
      <c r="L4" s="61"/>
      <c r="M4" s="61"/>
      <c r="N4" s="19" t="s">
        <v>38</v>
      </c>
      <c r="O4" s="19" t="s">
        <v>39</v>
      </c>
      <c r="P4" s="19" t="s">
        <v>40</v>
      </c>
      <c r="Q4" s="19" t="s">
        <v>41</v>
      </c>
      <c r="R4" s="3"/>
      <c r="S4" s="3"/>
      <c r="T4" s="3"/>
      <c r="U4" s="3"/>
      <c r="V4" s="3"/>
      <c r="W4" s="4"/>
    </row>
    <row r="5" spans="1:23" x14ac:dyDescent="0.3">
      <c r="B5" s="51" t="s">
        <v>18</v>
      </c>
      <c r="C5" s="24"/>
      <c r="D5" s="8">
        <f>32-D4</f>
        <v>10</v>
      </c>
      <c r="E5" s="3"/>
      <c r="F5" s="3"/>
      <c r="G5" s="4"/>
      <c r="K5" s="44" t="s">
        <v>13</v>
      </c>
      <c r="L5" s="38"/>
      <c r="M5" s="38"/>
      <c r="N5" s="18">
        <f>$I$4*INT(C15/$I$4)</f>
        <v>192</v>
      </c>
      <c r="O5" s="18">
        <f>$I$4*INT(C16/$I$4)</f>
        <v>168</v>
      </c>
      <c r="P5" s="18">
        <f>$I$4*INT(C17/$I$4)</f>
        <v>148</v>
      </c>
      <c r="Q5" s="18">
        <f>$I$4*INT(C18/$I$4)</f>
        <v>120</v>
      </c>
      <c r="R5" s="3"/>
      <c r="S5" s="3"/>
      <c r="T5" s="3"/>
      <c r="U5" s="3"/>
      <c r="V5" s="3"/>
      <c r="W5" s="4"/>
    </row>
    <row r="6" spans="1:23" x14ac:dyDescent="0.3">
      <c r="B6" s="45" t="s">
        <v>19</v>
      </c>
      <c r="C6" s="37"/>
      <c r="D6" s="9">
        <f>2^D5</f>
        <v>1024</v>
      </c>
      <c r="E6" s="3"/>
      <c r="F6" s="3"/>
      <c r="G6" s="4"/>
      <c r="K6" s="44" t="s">
        <v>14</v>
      </c>
      <c r="L6" s="38"/>
      <c r="M6" s="38"/>
      <c r="N6" s="18">
        <f>N5+I4-1</f>
        <v>195</v>
      </c>
      <c r="O6" s="18">
        <f>O5+I4-1</f>
        <v>171</v>
      </c>
      <c r="P6" s="18">
        <f>P5+I4-1</f>
        <v>151</v>
      </c>
      <c r="Q6" s="18">
        <f>Q5+I4-1</f>
        <v>123</v>
      </c>
      <c r="R6" s="3"/>
      <c r="S6" s="3"/>
      <c r="T6" s="3"/>
      <c r="U6" s="3"/>
      <c r="V6" s="3"/>
      <c r="W6" s="4"/>
    </row>
    <row r="7" spans="1:23" x14ac:dyDescent="0.3">
      <c r="B7" s="52" t="s">
        <v>20</v>
      </c>
      <c r="C7" s="53"/>
      <c r="D7" s="8">
        <f>IF($D$5&gt;24,IF($D$5&lt;32,$D$5-24,8),0)</f>
        <v>0</v>
      </c>
      <c r="E7" s="3"/>
      <c r="F7" s="7" t="s">
        <v>33</v>
      </c>
      <c r="G7" s="13">
        <f>256-2^D7</f>
        <v>255</v>
      </c>
      <c r="K7" s="2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</row>
    <row r="8" spans="1:23" x14ac:dyDescent="0.3">
      <c r="B8" s="52" t="s">
        <v>21</v>
      </c>
      <c r="C8" s="53"/>
      <c r="D8" s="8">
        <f>IF($D$5&gt;16,IF($D$5&lt;24,$D$5-16,8),0)</f>
        <v>0</v>
      </c>
      <c r="E8" s="3"/>
      <c r="F8" s="7" t="s">
        <v>34</v>
      </c>
      <c r="G8" s="13">
        <f>256-2^D8</f>
        <v>255</v>
      </c>
      <c r="K8" s="44" t="s">
        <v>43</v>
      </c>
      <c r="L8" s="38"/>
      <c r="M8" s="38"/>
      <c r="N8" s="38" t="s">
        <v>44</v>
      </c>
      <c r="O8" s="38"/>
      <c r="P8" s="38"/>
      <c r="Q8" s="3"/>
      <c r="R8" s="38" t="s">
        <v>43</v>
      </c>
      <c r="S8" s="38"/>
      <c r="T8" s="38"/>
      <c r="U8" s="41" t="s">
        <v>49</v>
      </c>
      <c r="V8" s="42"/>
      <c r="W8" s="43"/>
    </row>
    <row r="9" spans="1:23" x14ac:dyDescent="0.3">
      <c r="B9" s="52" t="s">
        <v>22</v>
      </c>
      <c r="C9" s="53"/>
      <c r="D9" s="8">
        <f>IF($D$5&gt;8,IF($D$5&lt;16,$D$5-8,8),0)</f>
        <v>2</v>
      </c>
      <c r="E9" s="3"/>
      <c r="F9" s="7" t="s">
        <v>35</v>
      </c>
      <c r="G9" s="13">
        <f>256-2^D9</f>
        <v>252</v>
      </c>
      <c r="K9" s="45" t="s">
        <v>13</v>
      </c>
      <c r="L9" s="37"/>
      <c r="M9" s="37"/>
      <c r="N9" s="37" t="str">
        <f>C14</f>
        <v>192.169.150.120</v>
      </c>
      <c r="O9" s="37"/>
      <c r="P9" s="37"/>
      <c r="Q9" s="3"/>
      <c r="R9" s="37" t="s">
        <v>13</v>
      </c>
      <c r="S9" s="37"/>
      <c r="T9" s="37"/>
      <c r="U9" s="37" t="str">
        <f>$N$5 &amp; "." &amp; 0 &amp; "." &amp; 0 &amp; "." &amp; 0</f>
        <v>192.0.0.0</v>
      </c>
      <c r="V9" s="37"/>
      <c r="W9" s="40"/>
    </row>
    <row r="10" spans="1:23" x14ac:dyDescent="0.3">
      <c r="B10" s="52" t="s">
        <v>23</v>
      </c>
      <c r="C10" s="53"/>
      <c r="D10" s="8">
        <f>IF($D$5&gt;0,IF($D$5&lt;8,$D$5,8),0)</f>
        <v>8</v>
      </c>
      <c r="E10" s="3"/>
      <c r="F10" s="7" t="s">
        <v>36</v>
      </c>
      <c r="G10" s="13">
        <f>256-2^D10</f>
        <v>0</v>
      </c>
      <c r="K10" s="45" t="s">
        <v>14</v>
      </c>
      <c r="L10" s="37"/>
      <c r="M10" s="37"/>
      <c r="N10" s="37" t="str">
        <f>C14</f>
        <v>192.169.150.120</v>
      </c>
      <c r="O10" s="37"/>
      <c r="P10" s="37"/>
      <c r="Q10" s="3"/>
      <c r="R10" s="37" t="s">
        <v>14</v>
      </c>
      <c r="S10" s="37"/>
      <c r="T10" s="37"/>
      <c r="U10" s="37" t="str">
        <f>$N$6 &amp; "." &amp; 255 &amp; "." &amp; 255 &amp; "." &amp; 255</f>
        <v>195.255.255.255</v>
      </c>
      <c r="V10" s="37"/>
      <c r="W10" s="40"/>
    </row>
    <row r="11" spans="1:23" ht="15" thickBot="1" x14ac:dyDescent="0.35">
      <c r="B11" s="5"/>
      <c r="C11" s="6"/>
      <c r="D11" s="6"/>
      <c r="E11" s="6"/>
      <c r="F11" s="17" t="s">
        <v>16</v>
      </c>
      <c r="G11" s="12" t="str">
        <f>G7 &amp; "." &amp; G8 &amp; "." &amp; G9 &amp; "." &amp; G10</f>
        <v>255.255.252.0</v>
      </c>
      <c r="K11" s="44" t="s">
        <v>46</v>
      </c>
      <c r="L11" s="38"/>
      <c r="M11" s="38"/>
      <c r="N11" s="38">
        <v>1</v>
      </c>
      <c r="O11" s="38"/>
      <c r="P11" s="38"/>
      <c r="Q11" s="3"/>
      <c r="R11" s="38" t="s">
        <v>46</v>
      </c>
      <c r="S11" s="38"/>
      <c r="T11" s="38"/>
      <c r="U11" s="38">
        <v>5</v>
      </c>
      <c r="V11" s="38"/>
      <c r="W11" s="39"/>
    </row>
    <row r="12" spans="1:23" ht="15" thickBot="1" x14ac:dyDescent="0.35">
      <c r="K12" s="2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</row>
    <row r="13" spans="1:23" x14ac:dyDescent="0.3">
      <c r="B13" s="31" t="s">
        <v>56</v>
      </c>
      <c r="C13" s="58"/>
      <c r="D13" s="59"/>
      <c r="F13" s="31" t="s">
        <v>26</v>
      </c>
      <c r="G13" s="62"/>
      <c r="K13" s="44" t="s">
        <v>43</v>
      </c>
      <c r="L13" s="38"/>
      <c r="M13" s="38"/>
      <c r="N13" s="38" t="s">
        <v>45</v>
      </c>
      <c r="O13" s="38"/>
      <c r="P13" s="38"/>
      <c r="Q13" s="3"/>
      <c r="R13" s="38" t="s">
        <v>43</v>
      </c>
      <c r="S13" s="38"/>
      <c r="T13" s="38"/>
      <c r="U13" s="38" t="s">
        <v>52</v>
      </c>
      <c r="V13" s="38"/>
      <c r="W13" s="39"/>
    </row>
    <row r="14" spans="1:23" ht="15" thickBot="1" x14ac:dyDescent="0.35">
      <c r="B14" s="20" t="s">
        <v>7</v>
      </c>
      <c r="C14" s="63" t="str">
        <f>Лист1!C6</f>
        <v>192.169.150.120</v>
      </c>
      <c r="D14" s="64"/>
      <c r="F14" s="69" t="str">
        <f>IF(OR(VALUE(C15)&gt;255,VALUE(C15)&lt;0,VALUE(C16)&gt;255,VALUE(C16)&lt;0,VALUE(C17)&gt;255,VALUE(C17)&lt;0,VALUE(C18)&gt;255,VALUE(C18)&lt;0),"Неправильно. Диапазон чисел от 0 до 255","IP адрес введён правильно")</f>
        <v>IP адрес введён правильно</v>
      </c>
      <c r="G14" s="70"/>
      <c r="K14" s="45" t="s">
        <v>13</v>
      </c>
      <c r="L14" s="37"/>
      <c r="M14" s="37"/>
      <c r="N14" s="37" t="str">
        <f>$C$15 &amp; "." &amp; $C$16 &amp; "." &amp; $C$17 &amp; "." &amp; Q5</f>
        <v>192.169.150.120</v>
      </c>
      <c r="O14" s="37"/>
      <c r="P14" s="37"/>
      <c r="Q14" s="3"/>
      <c r="R14" s="37" t="s">
        <v>13</v>
      </c>
      <c r="S14" s="37"/>
      <c r="T14" s="37"/>
      <c r="U14" s="37" t="s">
        <v>50</v>
      </c>
      <c r="V14" s="37"/>
      <c r="W14" s="40"/>
    </row>
    <row r="15" spans="1:23" ht="15" thickBot="1" x14ac:dyDescent="0.35">
      <c r="B15" s="11" t="s">
        <v>29</v>
      </c>
      <c r="C15" s="24" t="str">
        <f>LEFT(C14, FIND(".", C14)-1)</f>
        <v>192</v>
      </c>
      <c r="D15" s="65"/>
      <c r="K15" s="45" t="s">
        <v>14</v>
      </c>
      <c r="L15" s="37"/>
      <c r="M15" s="37"/>
      <c r="N15" s="37" t="str">
        <f>$C$15 &amp; "." &amp; $C$16 &amp; "." &amp; $C$17 &amp; "." &amp; Q6</f>
        <v>192.169.150.123</v>
      </c>
      <c r="O15" s="37"/>
      <c r="P15" s="37"/>
      <c r="Q15" s="3"/>
      <c r="R15" s="37" t="s">
        <v>14</v>
      </c>
      <c r="S15" s="37"/>
      <c r="T15" s="37"/>
      <c r="U15" s="37" t="s">
        <v>51</v>
      </c>
      <c r="V15" s="37"/>
      <c r="W15" s="40"/>
    </row>
    <row r="16" spans="1:23" x14ac:dyDescent="0.3">
      <c r="B16" s="11" t="s">
        <v>30</v>
      </c>
      <c r="C16" s="24" t="str">
        <f>MID(C14, FIND(".", C14)+1, FIND(".", C14, FIND(".", C14)+1)-FIND(".", C14)-1)</f>
        <v>169</v>
      </c>
      <c r="D16" s="65"/>
      <c r="F16" s="31" t="s">
        <v>27</v>
      </c>
      <c r="G16" s="59"/>
      <c r="K16" s="44" t="s">
        <v>46</v>
      </c>
      <c r="L16" s="38"/>
      <c r="M16" s="38"/>
      <c r="N16" s="38">
        <v>2</v>
      </c>
      <c r="O16" s="38"/>
      <c r="P16" s="38"/>
      <c r="Q16" s="3"/>
      <c r="R16" s="38" t="s">
        <v>46</v>
      </c>
      <c r="S16" s="38"/>
      <c r="T16" s="38"/>
      <c r="U16" s="38">
        <v>6</v>
      </c>
      <c r="V16" s="38"/>
      <c r="W16" s="39"/>
    </row>
    <row r="17" spans="2:23" ht="15" thickBot="1" x14ac:dyDescent="0.35">
      <c r="B17" s="11" t="s">
        <v>31</v>
      </c>
      <c r="C17" s="24" t="str">
        <f>MID(C14, FIND(".", C14, FIND(".", C14)+1)+1, FIND(".", C14, FIND(".", C14, FIND(".", C14)+1)+1)-FIND(".", C14, FIND(".", C14)+1)-1)</f>
        <v>150</v>
      </c>
      <c r="D17" s="65"/>
      <c r="F17" s="28" t="str">
        <f>Лист1!B13</f>
        <v>Маска введена правильно</v>
      </c>
      <c r="G17" s="30"/>
      <c r="K17" s="21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"/>
    </row>
    <row r="18" spans="2:23" ht="15" thickBot="1" x14ac:dyDescent="0.35">
      <c r="B18" s="14" t="s">
        <v>32</v>
      </c>
      <c r="C18" s="29" t="str">
        <f>RIGHT(C14, LEN(C14)-FIND(".", C14, FIND(".", C14, FIND(".", C14)+1)+1))</f>
        <v>120</v>
      </c>
      <c r="D18" s="66"/>
      <c r="K18" s="44" t="s">
        <v>43</v>
      </c>
      <c r="L18" s="38"/>
      <c r="M18" s="38"/>
      <c r="N18" s="38" t="s">
        <v>47</v>
      </c>
      <c r="O18" s="38"/>
      <c r="P18" s="38"/>
      <c r="Q18" s="3"/>
      <c r="R18" s="3"/>
      <c r="S18" s="3"/>
      <c r="T18" s="3"/>
      <c r="U18" s="3"/>
      <c r="V18" s="3"/>
      <c r="W18" s="4"/>
    </row>
    <row r="19" spans="2:23" x14ac:dyDescent="0.3">
      <c r="K19" s="45" t="s">
        <v>13</v>
      </c>
      <c r="L19" s="37"/>
      <c r="M19" s="37"/>
      <c r="N19" s="37" t="str">
        <f>$C$15 &amp; "." &amp; $C$16 &amp; "." &amp; $P$5 &amp; "." &amp; 0</f>
        <v>192.169.148.0</v>
      </c>
      <c r="O19" s="37"/>
      <c r="P19" s="37"/>
      <c r="Q19" s="3"/>
      <c r="R19" s="38" t="s">
        <v>53</v>
      </c>
      <c r="S19" s="67"/>
      <c r="T19" s="67"/>
      <c r="U19" s="67"/>
      <c r="V19" s="67"/>
      <c r="W19" s="68"/>
    </row>
    <row r="20" spans="2:23" x14ac:dyDescent="0.3">
      <c r="K20" s="45" t="s">
        <v>14</v>
      </c>
      <c r="L20" s="37"/>
      <c r="M20" s="37"/>
      <c r="N20" s="37" t="str">
        <f>$C$15 &amp; "." &amp; $C$16 &amp; "." &amp; $P$6 &amp; "." &amp; 255</f>
        <v>192.169.151.255</v>
      </c>
      <c r="O20" s="37"/>
      <c r="P20" s="37"/>
      <c r="Q20" s="3"/>
      <c r="R20" s="38">
        <f>IF(VALUE(D4)=32,1,IF(VALUE(D4)=0,6,IF(G10=0,IF(G9=0,IF(G8=0,5,4),3),2)))</f>
        <v>3</v>
      </c>
      <c r="S20" s="38"/>
      <c r="T20" s="38"/>
      <c r="U20" s="38"/>
      <c r="V20" s="38"/>
      <c r="W20" s="39"/>
    </row>
    <row r="21" spans="2:23" x14ac:dyDescent="0.3">
      <c r="K21" s="44" t="s">
        <v>46</v>
      </c>
      <c r="L21" s="38"/>
      <c r="M21" s="38"/>
      <c r="N21" s="38">
        <v>3</v>
      </c>
      <c r="O21" s="38"/>
      <c r="P21" s="38"/>
      <c r="Q21" s="3"/>
      <c r="R21" s="3"/>
      <c r="S21" s="3"/>
      <c r="T21" s="3"/>
      <c r="U21" s="3"/>
      <c r="V21" s="3"/>
      <c r="W21" s="4"/>
    </row>
    <row r="22" spans="2:23" x14ac:dyDescent="0.3">
      <c r="K22" s="21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4"/>
    </row>
    <row r="23" spans="2:23" x14ac:dyDescent="0.3">
      <c r="K23" s="44" t="s">
        <v>43</v>
      </c>
      <c r="L23" s="38"/>
      <c r="M23" s="38"/>
      <c r="N23" s="38" t="s">
        <v>48</v>
      </c>
      <c r="O23" s="38"/>
      <c r="P23" s="38"/>
      <c r="Q23" s="3"/>
      <c r="R23" s="3"/>
      <c r="S23" s="3"/>
      <c r="T23" s="3"/>
      <c r="U23" s="3"/>
      <c r="V23" s="3"/>
      <c r="W23" s="4"/>
    </row>
    <row r="24" spans="2:23" x14ac:dyDescent="0.3">
      <c r="K24" s="45" t="s">
        <v>13</v>
      </c>
      <c r="L24" s="37"/>
      <c r="M24" s="37"/>
      <c r="N24" s="37" t="str">
        <f>$C$15 &amp; "." &amp; $O$5 &amp; "." &amp; 0 &amp; "." &amp; 0</f>
        <v>192.168.0.0</v>
      </c>
      <c r="O24" s="37"/>
      <c r="P24" s="37"/>
      <c r="Q24" s="3"/>
      <c r="R24" s="3"/>
      <c r="S24" s="3"/>
      <c r="T24" s="3"/>
      <c r="U24" s="3"/>
      <c r="V24" s="3"/>
      <c r="W24" s="4"/>
    </row>
    <row r="25" spans="2:23" x14ac:dyDescent="0.3">
      <c r="K25" s="45" t="s">
        <v>14</v>
      </c>
      <c r="L25" s="37"/>
      <c r="M25" s="37"/>
      <c r="N25" s="37" t="str">
        <f>$C$15 &amp; "." &amp; $O$6 &amp; "." &amp; 255 &amp; "." &amp; 255</f>
        <v>192.171.255.255</v>
      </c>
      <c r="O25" s="37"/>
      <c r="P25" s="37"/>
      <c r="Q25" s="3"/>
      <c r="R25" s="3"/>
      <c r="S25" s="3"/>
      <c r="T25" s="3"/>
      <c r="U25" s="3"/>
      <c r="V25" s="3"/>
      <c r="W25" s="4"/>
    </row>
    <row r="26" spans="2:23" ht="15" thickBot="1" x14ac:dyDescent="0.35">
      <c r="K26" s="46" t="s">
        <v>46</v>
      </c>
      <c r="L26" s="47"/>
      <c r="M26" s="47"/>
      <c r="N26" s="47">
        <v>4</v>
      </c>
      <c r="O26" s="47"/>
      <c r="P26" s="47"/>
      <c r="Q26" s="6"/>
      <c r="R26" s="6"/>
      <c r="S26" s="6"/>
      <c r="T26" s="6"/>
      <c r="U26" s="6"/>
      <c r="V26" s="6"/>
      <c r="W26" s="22"/>
    </row>
  </sheetData>
  <mergeCells count="73">
    <mergeCell ref="R19:W19"/>
    <mergeCell ref="R20:W20"/>
    <mergeCell ref="F14:G14"/>
    <mergeCell ref="F16:G16"/>
    <mergeCell ref="F17:G17"/>
    <mergeCell ref="K16:M16"/>
    <mergeCell ref="N16:P16"/>
    <mergeCell ref="K18:M18"/>
    <mergeCell ref="K19:M19"/>
    <mergeCell ref="K20:M20"/>
    <mergeCell ref="C14:D14"/>
    <mergeCell ref="C15:D15"/>
    <mergeCell ref="C16:D16"/>
    <mergeCell ref="C17:D17"/>
    <mergeCell ref="C18:D18"/>
    <mergeCell ref="B13:D13"/>
    <mergeCell ref="B8:C8"/>
    <mergeCell ref="B9:C9"/>
    <mergeCell ref="B10:C10"/>
    <mergeCell ref="F13:G13"/>
    <mergeCell ref="A1:W1"/>
    <mergeCell ref="B4:C4"/>
    <mergeCell ref="B5:C5"/>
    <mergeCell ref="B6:C6"/>
    <mergeCell ref="B7:C7"/>
    <mergeCell ref="B3:G3"/>
    <mergeCell ref="K3:W3"/>
    <mergeCell ref="K4:M4"/>
    <mergeCell ref="K5:M5"/>
    <mergeCell ref="K6:M6"/>
    <mergeCell ref="K8:M8"/>
    <mergeCell ref="K9:M9"/>
    <mergeCell ref="K10:M10"/>
    <mergeCell ref="N8:P8"/>
    <mergeCell ref="N9:P9"/>
    <mergeCell ref="N10:P10"/>
    <mergeCell ref="K11:M11"/>
    <mergeCell ref="N11:P11"/>
    <mergeCell ref="K13:M13"/>
    <mergeCell ref="K14:M14"/>
    <mergeCell ref="K15:M15"/>
    <mergeCell ref="N13:P13"/>
    <mergeCell ref="N14:P14"/>
    <mergeCell ref="N15:P15"/>
    <mergeCell ref="K21:M21"/>
    <mergeCell ref="N18:P18"/>
    <mergeCell ref="N19:P19"/>
    <mergeCell ref="N20:P20"/>
    <mergeCell ref="N21:P21"/>
    <mergeCell ref="K23:M23"/>
    <mergeCell ref="K24:M24"/>
    <mergeCell ref="K25:M25"/>
    <mergeCell ref="K26:M26"/>
    <mergeCell ref="N23:P23"/>
    <mergeCell ref="N24:P24"/>
    <mergeCell ref="N25:P25"/>
    <mergeCell ref="N26:P26"/>
    <mergeCell ref="R8:T8"/>
    <mergeCell ref="R9:T9"/>
    <mergeCell ref="R10:T10"/>
    <mergeCell ref="R11:T11"/>
    <mergeCell ref="U8:W8"/>
    <mergeCell ref="U9:W9"/>
    <mergeCell ref="U10:W10"/>
    <mergeCell ref="U11:W11"/>
    <mergeCell ref="R13:T13"/>
    <mergeCell ref="R14:T14"/>
    <mergeCell ref="R15:T15"/>
    <mergeCell ref="R16:T16"/>
    <mergeCell ref="U13:W13"/>
    <mergeCell ref="U14:W14"/>
    <mergeCell ref="U15:W15"/>
    <mergeCell ref="U16:W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B46C-78BD-41FE-8076-86F3E60248A0}">
  <dimension ref="A1:H8"/>
  <sheetViews>
    <sheetView workbookViewId="0">
      <selection activeCell="O19" sqref="O19"/>
    </sheetView>
  </sheetViews>
  <sheetFormatPr defaultRowHeight="14.4" x14ac:dyDescent="0.3"/>
  <sheetData>
    <row r="1" spans="1:8" x14ac:dyDescent="0.3">
      <c r="A1" s="24" t="s">
        <v>25</v>
      </c>
      <c r="B1" s="72"/>
      <c r="C1" s="72"/>
      <c r="D1" s="72"/>
      <c r="E1" s="72"/>
      <c r="F1" s="72"/>
      <c r="G1" s="72"/>
      <c r="H1" s="72"/>
    </row>
    <row r="2" spans="1:8" x14ac:dyDescent="0.3">
      <c r="A2" s="74" t="s">
        <v>0</v>
      </c>
      <c r="B2" s="73"/>
      <c r="C2" s="73"/>
      <c r="D2" s="73"/>
      <c r="E2" s="73"/>
      <c r="F2" s="73"/>
      <c r="G2" s="73"/>
      <c r="H2" s="73"/>
    </row>
    <row r="3" spans="1:8" x14ac:dyDescent="0.3">
      <c r="A3" s="73" t="s">
        <v>10</v>
      </c>
      <c r="B3" s="73"/>
      <c r="C3" s="73"/>
      <c r="D3" s="73"/>
      <c r="E3" s="73"/>
      <c r="F3" s="73"/>
      <c r="G3" s="73"/>
      <c r="H3" s="73"/>
    </row>
    <row r="4" spans="1:8" x14ac:dyDescent="0.3">
      <c r="A4" s="73" t="s">
        <v>3</v>
      </c>
      <c r="B4" s="73"/>
      <c r="C4" s="73"/>
      <c r="D4" s="73"/>
      <c r="E4" s="73"/>
      <c r="F4" s="73"/>
      <c r="G4" s="73"/>
      <c r="H4" s="73"/>
    </row>
    <row r="5" spans="1:8" x14ac:dyDescent="0.3">
      <c r="A5" s="73" t="s">
        <v>1</v>
      </c>
      <c r="B5" s="73"/>
      <c r="C5" s="73"/>
      <c r="D5" s="73"/>
      <c r="E5" s="73"/>
      <c r="F5" s="73"/>
      <c r="G5" s="73"/>
      <c r="H5" s="73"/>
    </row>
    <row r="6" spans="1:8" x14ac:dyDescent="0.3">
      <c r="A6" s="73" t="s">
        <v>2</v>
      </c>
      <c r="B6" s="73"/>
      <c r="C6" s="73"/>
      <c r="D6" s="73"/>
      <c r="E6" s="73"/>
      <c r="F6" s="73"/>
      <c r="G6" s="73"/>
      <c r="H6" s="73"/>
    </row>
    <row r="7" spans="1:8" x14ac:dyDescent="0.3">
      <c r="A7" s="73" t="s">
        <v>4</v>
      </c>
      <c r="B7" s="73"/>
      <c r="C7" s="73"/>
      <c r="D7" s="73"/>
      <c r="E7" s="73"/>
      <c r="F7" s="73"/>
      <c r="G7" s="73"/>
      <c r="H7" s="73"/>
    </row>
    <row r="8" spans="1:8" x14ac:dyDescent="0.3">
      <c r="A8" s="71" t="s">
        <v>5</v>
      </c>
      <c r="B8" s="72"/>
      <c r="C8" s="72"/>
      <c r="D8" s="72"/>
      <c r="E8" s="72"/>
      <c r="F8" s="72"/>
      <c r="G8" s="72"/>
      <c r="H8" s="72"/>
    </row>
  </sheetData>
  <mergeCells count="8">
    <mergeCell ref="A8:H8"/>
    <mergeCell ref="A7:H7"/>
    <mergeCell ref="A1:H1"/>
    <mergeCell ref="A2:H2"/>
    <mergeCell ref="A3:H3"/>
    <mergeCell ref="A4:H4"/>
    <mergeCell ref="A5:H5"/>
    <mergeCell ref="A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2015-06-05T18:19:34Z</dcterms:created>
  <dcterms:modified xsi:type="dcterms:W3CDTF">2024-03-17T23:25:15Z</dcterms:modified>
</cp:coreProperties>
</file>