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xr:revisionPtr revIDLastSave="0" documentId="13_ncr:1_{D5C9D62D-0069-46B9-A655-5F7AC53714FD}" xr6:coauthVersionLast="47" xr6:coauthVersionMax="47" xr10:uidLastSave="{00000000-0000-0000-0000-000000000000}"/>
  <bookViews>
    <workbookView xWindow="-108" yWindow="-108" windowWidth="23256" windowHeight="12456" firstSheet="6" activeTab="15" xr2:uid="{00000000-000D-0000-FFFF-FFFF00000000}"/>
  </bookViews>
  <sheets>
    <sheet name="взвешен ср" sheetId="9" state="hidden" r:id="rId1"/>
    <sheet name="Уорд" sheetId="10" state="hidden" r:id="rId2"/>
    <sheet name="невзвешеной ср" sheetId="11" state="hidden" r:id="rId3"/>
    <sheet name="к-средних" sheetId="14" state="hidden" r:id="rId4"/>
    <sheet name="исходные данные" sheetId="20" r:id="rId5"/>
    <sheet name="Лист2" sheetId="34" state="hidden" r:id="rId6"/>
    <sheet name="НС" sheetId="32" r:id="rId7"/>
    <sheet name="2022" sheetId="35" r:id="rId8"/>
    <sheet name="2" sheetId="33" state="hidden" r:id="rId9"/>
    <sheet name="итоги" sheetId="18" r:id="rId10"/>
    <sheet name="Лист1" sheetId="28" state="hidden" r:id="rId11"/>
    <sheet name="функционал качества" sheetId="13" r:id="rId12"/>
    <sheet name="сводная таблица" sheetId="27" r:id="rId13"/>
    <sheet name="графики" sheetId="22" r:id="rId14"/>
    <sheet name="карта" sheetId="21" r:id="rId15"/>
    <sheet name="МГК и ФА" sheetId="29" r:id="rId16"/>
    <sheet name="сводная табл 2" sheetId="31" r:id="rId17"/>
  </sheets>
  <calcPr calcId="181029"/>
  <pivotCaches>
    <pivotCache cacheId="0" r:id="rId18"/>
    <pivotCache cacheId="1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M86" i="29" l="1"/>
  <c r="DL86" i="29"/>
  <c r="CJ86" i="29"/>
  <c r="CI86" i="29"/>
  <c r="R3" i="18"/>
  <c r="T3" i="18" s="1"/>
  <c r="W3" i="18"/>
  <c r="V3" i="18" s="1"/>
  <c r="AK3" i="18"/>
  <c r="AJ3" i="18" s="1"/>
  <c r="AX3" i="18"/>
  <c r="AZ3" i="18" s="1"/>
  <c r="BC3" i="18"/>
  <c r="BB3" i="18" s="1"/>
  <c r="BK3" i="18"/>
  <c r="BJ3" i="18" s="1"/>
  <c r="BR3" i="18"/>
  <c r="BT3" i="18" s="1"/>
  <c r="BW3" i="18"/>
  <c r="BV3" i="18" s="1"/>
  <c r="CE3" i="18"/>
  <c r="CD3" i="18" s="1"/>
  <c r="R4" i="18"/>
  <c r="T4" i="18" s="1"/>
  <c r="W4" i="18"/>
  <c r="V4" i="18" s="1"/>
  <c r="AK4" i="18"/>
  <c r="AJ4" i="18" s="1"/>
  <c r="AX4" i="18"/>
  <c r="AZ4" i="18" s="1"/>
  <c r="BC4" i="18"/>
  <c r="BB4" i="18" s="1"/>
  <c r="BK4" i="18"/>
  <c r="BJ4" i="18" s="1"/>
  <c r="BR4" i="18"/>
  <c r="BT4" i="18" s="1"/>
  <c r="BW4" i="18"/>
  <c r="BV4" i="18" s="1"/>
  <c r="CE4" i="18"/>
  <c r="CD4" i="18" s="1"/>
  <c r="Q5" i="18"/>
  <c r="R5" i="18"/>
  <c r="W5" i="18"/>
  <c r="AK5" i="18"/>
  <c r="AX5" i="18"/>
  <c r="BC5" i="18"/>
  <c r="BK5" i="18"/>
  <c r="BR5" i="18"/>
  <c r="BW5" i="18"/>
  <c r="CE5" i="18"/>
  <c r="Q6" i="18"/>
  <c r="R6" i="18"/>
  <c r="W6" i="18"/>
  <c r="AK6" i="18"/>
  <c r="AX6" i="18"/>
  <c r="BC6" i="18"/>
  <c r="BK6" i="18"/>
  <c r="BR6" i="18"/>
  <c r="BW6" i="18"/>
  <c r="CE6" i="18"/>
  <c r="Q7" i="18"/>
  <c r="R7" i="18"/>
  <c r="W7" i="18"/>
  <c r="AK7" i="18"/>
  <c r="AX7" i="18"/>
  <c r="BC7" i="18"/>
  <c r="BK7" i="18"/>
  <c r="BR7" i="18"/>
  <c r="BW7" i="18"/>
  <c r="CE7" i="18"/>
  <c r="R8" i="18"/>
  <c r="T8" i="18" s="1"/>
  <c r="W8" i="18"/>
  <c r="V8" i="18" s="1"/>
  <c r="AK8" i="18"/>
  <c r="AJ8" i="18" s="1"/>
  <c r="AX8" i="18"/>
  <c r="AZ8" i="18" s="1"/>
  <c r="BC8" i="18"/>
  <c r="BB8" i="18" s="1"/>
  <c r="BK8" i="18"/>
  <c r="BJ8" i="18" s="1"/>
  <c r="BR8" i="18"/>
  <c r="BT8" i="18" s="1"/>
  <c r="BW8" i="18"/>
  <c r="BV8" i="18" s="1"/>
  <c r="CE8" i="18"/>
  <c r="CD8" i="18" s="1"/>
  <c r="R9" i="18"/>
  <c r="T9" i="18" s="1"/>
  <c r="W9" i="18"/>
  <c r="V9" i="18" s="1"/>
  <c r="AK9" i="18"/>
  <c r="AJ9" i="18" s="1"/>
  <c r="AX9" i="18"/>
  <c r="AZ9" i="18" s="1"/>
  <c r="BC9" i="18"/>
  <c r="BB9" i="18" s="1"/>
  <c r="BK9" i="18"/>
  <c r="BJ9" i="18" s="1"/>
  <c r="BR9" i="18"/>
  <c r="BT9" i="18" s="1"/>
  <c r="BW9" i="18"/>
  <c r="BV9" i="18" s="1"/>
  <c r="CE9" i="18"/>
  <c r="CD9" i="18" s="1"/>
  <c r="Q10" i="18"/>
  <c r="R10" i="18"/>
  <c r="W10" i="18"/>
  <c r="AK10" i="18"/>
  <c r="AX10" i="18"/>
  <c r="AZ10" i="18" s="1"/>
  <c r="BC10" i="18"/>
  <c r="BK10" i="18"/>
  <c r="BR10" i="18"/>
  <c r="BW10" i="18"/>
  <c r="CE10" i="18"/>
  <c r="CY10" i="18"/>
  <c r="Q11" i="18"/>
  <c r="R11" i="18"/>
  <c r="W11" i="18"/>
  <c r="AK11" i="18"/>
  <c r="AX11" i="18"/>
  <c r="AZ11" i="18" s="1"/>
  <c r="BC11" i="18"/>
  <c r="BK11" i="18"/>
  <c r="BR11" i="18"/>
  <c r="BW11" i="18"/>
  <c r="CE11" i="18"/>
  <c r="R12" i="18"/>
  <c r="T12" i="18" s="1"/>
  <c r="W12" i="18"/>
  <c r="V12" i="18" s="1"/>
  <c r="AK12" i="18"/>
  <c r="AJ12" i="18" s="1"/>
  <c r="AX12" i="18"/>
  <c r="AZ12" i="18" s="1"/>
  <c r="BC12" i="18"/>
  <c r="BB12" i="18" s="1"/>
  <c r="BK12" i="18"/>
  <c r="BJ12" i="18" s="1"/>
  <c r="BR12" i="18"/>
  <c r="BT12" i="18" s="1"/>
  <c r="BW12" i="18"/>
  <c r="BV12" i="18" s="1"/>
  <c r="CE12" i="18"/>
  <c r="CD12" i="18" s="1"/>
  <c r="R13" i="18"/>
  <c r="T13" i="18" s="1"/>
  <c r="W13" i="18"/>
  <c r="V13" i="18" s="1"/>
  <c r="AK13" i="18"/>
  <c r="AJ13" i="18" s="1"/>
  <c r="AX13" i="18"/>
  <c r="AZ13" i="18" s="1"/>
  <c r="BC13" i="18"/>
  <c r="BB13" i="18" s="1"/>
  <c r="BK13" i="18"/>
  <c r="BJ13" i="18" s="1"/>
  <c r="BR13" i="18"/>
  <c r="BT13" i="18" s="1"/>
  <c r="BW13" i="18"/>
  <c r="BV13" i="18" s="1"/>
  <c r="CE13" i="18"/>
  <c r="CD13" i="18" s="1"/>
  <c r="R14" i="18"/>
  <c r="T14" i="18" s="1"/>
  <c r="W14" i="18"/>
  <c r="V14" i="18" s="1"/>
  <c r="AK14" i="18"/>
  <c r="AJ14" i="18" s="1"/>
  <c r="AX14" i="18"/>
  <c r="AZ14" i="18" s="1"/>
  <c r="BC14" i="18"/>
  <c r="BB14" i="18" s="1"/>
  <c r="BK14" i="18"/>
  <c r="BJ14" i="18" s="1"/>
  <c r="BR14" i="18"/>
  <c r="BT14" i="18" s="1"/>
  <c r="BW14" i="18"/>
  <c r="BV14" i="18" s="1"/>
  <c r="CE14" i="18"/>
  <c r="CD14" i="18" s="1"/>
  <c r="R15" i="18"/>
  <c r="T15" i="18" s="1"/>
  <c r="W15" i="18"/>
  <c r="V15" i="18" s="1"/>
  <c r="AK15" i="18"/>
  <c r="AJ15" i="18" s="1"/>
  <c r="AX15" i="18"/>
  <c r="AZ15" i="18" s="1"/>
  <c r="BC15" i="18"/>
  <c r="BB15" i="18" s="1"/>
  <c r="BK15" i="18"/>
  <c r="BJ15" i="18" s="1"/>
  <c r="BR15" i="18"/>
  <c r="BT15" i="18" s="1"/>
  <c r="BW15" i="18"/>
  <c r="BV15" i="18" s="1"/>
  <c r="CE15" i="18"/>
  <c r="CD15" i="18" s="1"/>
  <c r="R16" i="18"/>
  <c r="T16" i="18" s="1"/>
  <c r="W16" i="18"/>
  <c r="V16" i="18" s="1"/>
  <c r="AK16" i="18"/>
  <c r="AJ16" i="18" s="1"/>
  <c r="AX16" i="18"/>
  <c r="AZ16" i="18" s="1"/>
  <c r="BC16" i="18"/>
  <c r="BB16" i="18" s="1"/>
  <c r="BK16" i="18"/>
  <c r="BJ16" i="18" s="1"/>
  <c r="BR16" i="18"/>
  <c r="BT16" i="18" s="1"/>
  <c r="BW16" i="18"/>
  <c r="BV16" i="18" s="1"/>
  <c r="CE16" i="18"/>
  <c r="CD16" i="18" s="1"/>
  <c r="R17" i="18"/>
  <c r="T17" i="18" s="1"/>
  <c r="W17" i="18"/>
  <c r="V17" i="18" s="1"/>
  <c r="AK17" i="18"/>
  <c r="AJ17" i="18" s="1"/>
  <c r="AX17" i="18"/>
  <c r="AZ17" i="18" s="1"/>
  <c r="BC17" i="18"/>
  <c r="BB17" i="18" s="1"/>
  <c r="BK17" i="18"/>
  <c r="BJ17" i="18" s="1"/>
  <c r="BR17" i="18"/>
  <c r="BT17" i="18" s="1"/>
  <c r="BW17" i="18"/>
  <c r="BV17" i="18" s="1"/>
  <c r="CE17" i="18"/>
  <c r="CD17" i="18" s="1"/>
  <c r="R18" i="18"/>
  <c r="T18" i="18" s="1"/>
  <c r="W18" i="18"/>
  <c r="V18" i="18" s="1"/>
  <c r="AK18" i="18"/>
  <c r="AJ18" i="18" s="1"/>
  <c r="AX18" i="18"/>
  <c r="AZ18" i="18" s="1"/>
  <c r="BC18" i="18"/>
  <c r="BB18" i="18" s="1"/>
  <c r="BK18" i="18"/>
  <c r="BJ18" i="18" s="1"/>
  <c r="BR18" i="18"/>
  <c r="BT18" i="18" s="1"/>
  <c r="BW18" i="18"/>
  <c r="BV18" i="18" s="1"/>
  <c r="CE18" i="18"/>
  <c r="CD18" i="18" s="1"/>
  <c r="R19" i="18"/>
  <c r="T19" i="18" s="1"/>
  <c r="W19" i="18"/>
  <c r="V19" i="18" s="1"/>
  <c r="AK19" i="18"/>
  <c r="AJ19" i="18" s="1"/>
  <c r="AX19" i="18"/>
  <c r="AZ19" i="18" s="1"/>
  <c r="BC19" i="18"/>
  <c r="BB19" i="18" s="1"/>
  <c r="BK19" i="18"/>
  <c r="BJ19" i="18" s="1"/>
  <c r="BR19" i="18"/>
  <c r="BT19" i="18" s="1"/>
  <c r="BW19" i="18"/>
  <c r="BV19" i="18" s="1"/>
  <c r="CE19" i="18"/>
  <c r="CD19" i="18" s="1"/>
  <c r="R20" i="18"/>
  <c r="T20" i="18" s="1"/>
  <c r="W20" i="18"/>
  <c r="V20" i="18" s="1"/>
  <c r="AK20" i="18"/>
  <c r="AJ20" i="18" s="1"/>
  <c r="AX20" i="18"/>
  <c r="AZ20" i="18" s="1"/>
  <c r="BC20" i="18"/>
  <c r="BB20" i="18" s="1"/>
  <c r="BK20" i="18"/>
  <c r="BJ20" i="18" s="1"/>
  <c r="BR20" i="18"/>
  <c r="BT20" i="18" s="1"/>
  <c r="BW20" i="18"/>
  <c r="BV20" i="18" s="1"/>
  <c r="CE20" i="18"/>
  <c r="CD20" i="18" s="1"/>
  <c r="R21" i="18"/>
  <c r="T21" i="18" s="1"/>
  <c r="W21" i="18"/>
  <c r="V21" i="18" s="1"/>
  <c r="AK21" i="18"/>
  <c r="AJ21" i="18" s="1"/>
  <c r="AX21" i="18"/>
  <c r="AZ21" i="18" s="1"/>
  <c r="BC21" i="18"/>
  <c r="BB21" i="18" s="1"/>
  <c r="BK21" i="18"/>
  <c r="BJ21" i="18" s="1"/>
  <c r="BR21" i="18"/>
  <c r="BT21" i="18" s="1"/>
  <c r="BW21" i="18"/>
  <c r="BV21" i="18" s="1"/>
  <c r="CE21" i="18"/>
  <c r="CD21" i="18" s="1"/>
  <c r="R22" i="18"/>
  <c r="T22" i="18" s="1"/>
  <c r="W22" i="18"/>
  <c r="V22" i="18" s="1"/>
  <c r="AK22" i="18"/>
  <c r="AJ22" i="18" s="1"/>
  <c r="AX22" i="18"/>
  <c r="AZ22" i="18" s="1"/>
  <c r="BC22" i="18"/>
  <c r="BB22" i="18" s="1"/>
  <c r="BK22" i="18"/>
  <c r="BJ22" i="18" s="1"/>
  <c r="BR22" i="18"/>
  <c r="BT22" i="18" s="1"/>
  <c r="BW22" i="18"/>
  <c r="BV22" i="18" s="1"/>
  <c r="CE22" i="18"/>
  <c r="CD22" i="18" s="1"/>
  <c r="R23" i="18"/>
  <c r="T23" i="18" s="1"/>
  <c r="W23" i="18"/>
  <c r="V23" i="18" s="1"/>
  <c r="AK23" i="18"/>
  <c r="AJ23" i="18" s="1"/>
  <c r="AX23" i="18"/>
  <c r="AZ23" i="18" s="1"/>
  <c r="BC23" i="18"/>
  <c r="BB23" i="18" s="1"/>
  <c r="BK23" i="18"/>
  <c r="BJ23" i="18" s="1"/>
  <c r="BR23" i="18"/>
  <c r="BT23" i="18" s="1"/>
  <c r="BW23" i="18"/>
  <c r="BV23" i="18" s="1"/>
  <c r="CE23" i="18"/>
  <c r="CD23" i="18" s="1"/>
  <c r="R24" i="18"/>
  <c r="T24" i="18" s="1"/>
  <c r="W24" i="18"/>
  <c r="V24" i="18" s="1"/>
  <c r="AK24" i="18"/>
  <c r="AJ24" i="18" s="1"/>
  <c r="AX24" i="18"/>
  <c r="AZ24" i="18" s="1"/>
  <c r="BC24" i="18"/>
  <c r="BB24" i="18" s="1"/>
  <c r="BK24" i="18"/>
  <c r="BJ24" i="18" s="1"/>
  <c r="BR24" i="18"/>
  <c r="BT24" i="18" s="1"/>
  <c r="BW24" i="18"/>
  <c r="BV24" i="18" s="1"/>
  <c r="CE24" i="18"/>
  <c r="CD24" i="18" s="1"/>
  <c r="R25" i="18"/>
  <c r="T25" i="18" s="1"/>
  <c r="W25" i="18"/>
  <c r="V25" i="18" s="1"/>
  <c r="AK25" i="18"/>
  <c r="AJ25" i="18" s="1"/>
  <c r="AX25" i="18"/>
  <c r="AZ25" i="18" s="1"/>
  <c r="BC25" i="18"/>
  <c r="BB25" i="18" s="1"/>
  <c r="BK25" i="18"/>
  <c r="BJ25" i="18" s="1"/>
  <c r="BR25" i="18"/>
  <c r="BT25" i="18" s="1"/>
  <c r="BW25" i="18"/>
  <c r="BV25" i="18" s="1"/>
  <c r="CE25" i="18"/>
  <c r="CD25" i="18" s="1"/>
  <c r="R26" i="18"/>
  <c r="T26" i="18" s="1"/>
  <c r="W26" i="18"/>
  <c r="V26" i="18" s="1"/>
  <c r="AK26" i="18"/>
  <c r="AJ26" i="18" s="1"/>
  <c r="AX26" i="18"/>
  <c r="AZ26" i="18" s="1"/>
  <c r="BC26" i="18"/>
  <c r="BB26" i="18" s="1"/>
  <c r="BK26" i="18"/>
  <c r="BJ26" i="18" s="1"/>
  <c r="BR26" i="18"/>
  <c r="BT26" i="18" s="1"/>
  <c r="BW26" i="18"/>
  <c r="BV26" i="18" s="1"/>
  <c r="CE26" i="18"/>
  <c r="CD26" i="18" s="1"/>
  <c r="Q27" i="18"/>
  <c r="R27" i="18"/>
  <c r="W27" i="18"/>
  <c r="AK27" i="18"/>
  <c r="AX27" i="18"/>
  <c r="BC27" i="18"/>
  <c r="BK27" i="18"/>
  <c r="BR27" i="18"/>
  <c r="BW27" i="18"/>
  <c r="CE27" i="18"/>
  <c r="Q28" i="18"/>
  <c r="R28" i="18"/>
  <c r="W28" i="18"/>
  <c r="AK28" i="18"/>
  <c r="AX28" i="18"/>
  <c r="BC28" i="18"/>
  <c r="BK28" i="18"/>
  <c r="BR28" i="18"/>
  <c r="BW28" i="18"/>
  <c r="CE28" i="18"/>
  <c r="R29" i="18"/>
  <c r="T29" i="18" s="1"/>
  <c r="W29" i="18"/>
  <c r="V29" i="18" s="1"/>
  <c r="AK29" i="18"/>
  <c r="AJ29" i="18" s="1"/>
  <c r="AX29" i="18"/>
  <c r="AZ29" i="18" s="1"/>
  <c r="BC29" i="18"/>
  <c r="BB29" i="18" s="1"/>
  <c r="BK29" i="18"/>
  <c r="BJ29" i="18" s="1"/>
  <c r="BR29" i="18"/>
  <c r="BT29" i="18" s="1"/>
  <c r="BW29" i="18"/>
  <c r="BV29" i="18" s="1"/>
  <c r="CE29" i="18"/>
  <c r="CD29" i="18" s="1"/>
  <c r="R30" i="18"/>
  <c r="T30" i="18" s="1"/>
  <c r="W30" i="18"/>
  <c r="V30" i="18" s="1"/>
  <c r="AK30" i="18"/>
  <c r="AJ30" i="18" s="1"/>
  <c r="AX30" i="18"/>
  <c r="AZ30" i="18" s="1"/>
  <c r="BC30" i="18"/>
  <c r="BB30" i="18" s="1"/>
  <c r="BK30" i="18"/>
  <c r="BJ30" i="18" s="1"/>
  <c r="BR30" i="18"/>
  <c r="BT30" i="18" s="1"/>
  <c r="BW30" i="18"/>
  <c r="BV30" i="18" s="1"/>
  <c r="CE30" i="18"/>
  <c r="CD30" i="18" s="1"/>
  <c r="Q31" i="18"/>
  <c r="R31" i="18"/>
  <c r="W31" i="18"/>
  <c r="AK31" i="18"/>
  <c r="AX31" i="18"/>
  <c r="BC31" i="18"/>
  <c r="BK31" i="18"/>
  <c r="BR31" i="18"/>
  <c r="BW31" i="18"/>
  <c r="CE31" i="18"/>
  <c r="CY31" i="18"/>
  <c r="Q32" i="18"/>
  <c r="R32" i="18"/>
  <c r="W32" i="18"/>
  <c r="AK32" i="18"/>
  <c r="AX32" i="18"/>
  <c r="BC32" i="18"/>
  <c r="BK32" i="18"/>
  <c r="BR32" i="18"/>
  <c r="BW32" i="18"/>
  <c r="BV32" i="18" s="1"/>
  <c r="CE32" i="18"/>
  <c r="CY32" i="18"/>
  <c r="Q33" i="18"/>
  <c r="R33" i="18"/>
  <c r="W33" i="18"/>
  <c r="AK33" i="18"/>
  <c r="AX33" i="18"/>
  <c r="BC33" i="18"/>
  <c r="BK33" i="18"/>
  <c r="BR33" i="18"/>
  <c r="BW33" i="18"/>
  <c r="CE33" i="18"/>
  <c r="CY33" i="18"/>
  <c r="R34" i="18"/>
  <c r="T34" i="18" s="1"/>
  <c r="W34" i="18"/>
  <c r="V34" i="18" s="1"/>
  <c r="AK34" i="18"/>
  <c r="AJ34" i="18" s="1"/>
  <c r="AX34" i="18"/>
  <c r="AZ34" i="18" s="1"/>
  <c r="BC34" i="18"/>
  <c r="BB34" i="18" s="1"/>
  <c r="BK34" i="18"/>
  <c r="BJ34" i="18" s="1"/>
  <c r="BR34" i="18"/>
  <c r="BT34" i="18" s="1"/>
  <c r="BW34" i="18"/>
  <c r="BV34" i="18" s="1"/>
  <c r="CE34" i="18"/>
  <c r="CD34" i="18" s="1"/>
  <c r="R35" i="18"/>
  <c r="T35" i="18" s="1"/>
  <c r="W35" i="18"/>
  <c r="V35" i="18" s="1"/>
  <c r="AK35" i="18"/>
  <c r="AJ35" i="18" s="1"/>
  <c r="AX35" i="18"/>
  <c r="AZ35" i="18" s="1"/>
  <c r="BC35" i="18"/>
  <c r="BB35" i="18" s="1"/>
  <c r="BK35" i="18"/>
  <c r="BJ35" i="18" s="1"/>
  <c r="BR35" i="18"/>
  <c r="BT35" i="18" s="1"/>
  <c r="BW35" i="18"/>
  <c r="BV35" i="18" s="1"/>
  <c r="CE35" i="18"/>
  <c r="CD35" i="18" s="1"/>
  <c r="R36" i="18"/>
  <c r="T36" i="18" s="1"/>
  <c r="W36" i="18"/>
  <c r="V36" i="18" s="1"/>
  <c r="AK36" i="18"/>
  <c r="AJ36" i="18" s="1"/>
  <c r="AX36" i="18"/>
  <c r="AZ36" i="18" s="1"/>
  <c r="BC36" i="18"/>
  <c r="BB36" i="18" s="1"/>
  <c r="BK36" i="18"/>
  <c r="BJ36" i="18" s="1"/>
  <c r="BR36" i="18"/>
  <c r="BT36" i="18" s="1"/>
  <c r="BW36" i="18"/>
  <c r="BV36" i="18" s="1"/>
  <c r="CE36" i="18"/>
  <c r="CD36" i="18" s="1"/>
  <c r="Q37" i="18"/>
  <c r="R37" i="18"/>
  <c r="W37" i="18"/>
  <c r="AK37" i="18"/>
  <c r="AX37" i="18"/>
  <c r="BC37" i="18"/>
  <c r="BK37" i="18"/>
  <c r="BR37" i="18"/>
  <c r="BW37" i="18"/>
  <c r="CE37" i="18"/>
  <c r="Q38" i="18"/>
  <c r="R38" i="18"/>
  <c r="W38" i="18"/>
  <c r="AK38" i="18"/>
  <c r="AX38" i="18"/>
  <c r="AZ38" i="18" s="1"/>
  <c r="BC38" i="18"/>
  <c r="BK38" i="18"/>
  <c r="BR38" i="18"/>
  <c r="BW38" i="18"/>
  <c r="BV38" i="18" s="1"/>
  <c r="CE38" i="18"/>
  <c r="R39" i="18"/>
  <c r="T39" i="18" s="1"/>
  <c r="W39" i="18"/>
  <c r="V39" i="18" s="1"/>
  <c r="AK39" i="18"/>
  <c r="AJ39" i="18" s="1"/>
  <c r="AX39" i="18"/>
  <c r="AZ39" i="18" s="1"/>
  <c r="BC39" i="18"/>
  <c r="BB39" i="18" s="1"/>
  <c r="BK39" i="18"/>
  <c r="BJ39" i="18" s="1"/>
  <c r="BR39" i="18"/>
  <c r="BT39" i="18" s="1"/>
  <c r="BW39" i="18"/>
  <c r="BV39" i="18" s="1"/>
  <c r="CE39" i="18"/>
  <c r="CD39" i="18" s="1"/>
  <c r="Q40" i="18"/>
  <c r="R40" i="18"/>
  <c r="W40" i="18"/>
  <c r="AK40" i="18"/>
  <c r="AX40" i="18"/>
  <c r="BC40" i="18"/>
  <c r="BK40" i="18"/>
  <c r="BR40" i="18"/>
  <c r="BW40" i="18"/>
  <c r="BV40" i="18" s="1"/>
  <c r="CE40" i="18"/>
  <c r="R41" i="18"/>
  <c r="T41" i="18" s="1"/>
  <c r="W41" i="18"/>
  <c r="V41" i="18" s="1"/>
  <c r="AK41" i="18"/>
  <c r="AJ41" i="18" s="1"/>
  <c r="AX41" i="18"/>
  <c r="AZ41" i="18" s="1"/>
  <c r="BC41" i="18"/>
  <c r="BB41" i="18" s="1"/>
  <c r="BK41" i="18"/>
  <c r="BJ41" i="18" s="1"/>
  <c r="BR41" i="18"/>
  <c r="BT41" i="18" s="1"/>
  <c r="BW41" i="18"/>
  <c r="BV41" i="18" s="1"/>
  <c r="CE41" i="18"/>
  <c r="CD41" i="18" s="1"/>
  <c r="R42" i="18"/>
  <c r="T42" i="18" s="1"/>
  <c r="W42" i="18"/>
  <c r="V42" i="18" s="1"/>
  <c r="AK42" i="18"/>
  <c r="AJ42" i="18" s="1"/>
  <c r="AX42" i="18"/>
  <c r="AZ42" i="18" s="1"/>
  <c r="BC42" i="18"/>
  <c r="BB42" i="18" s="1"/>
  <c r="BK42" i="18"/>
  <c r="BJ42" i="18" s="1"/>
  <c r="BR42" i="18"/>
  <c r="BT42" i="18" s="1"/>
  <c r="BW42" i="18"/>
  <c r="BV42" i="18" s="1"/>
  <c r="CE42" i="18"/>
  <c r="CD42" i="18" s="1"/>
  <c r="Q43" i="18"/>
  <c r="R43" i="18"/>
  <c r="W43" i="18"/>
  <c r="AK43" i="18"/>
  <c r="AX43" i="18"/>
  <c r="BC43" i="18"/>
  <c r="BK43" i="18"/>
  <c r="BR43" i="18"/>
  <c r="BW43" i="18"/>
  <c r="BV43" i="18" s="1"/>
  <c r="CE43" i="18"/>
  <c r="R44" i="18"/>
  <c r="T44" i="18" s="1"/>
  <c r="W44" i="18"/>
  <c r="V44" i="18" s="1"/>
  <c r="AK44" i="18"/>
  <c r="AJ44" i="18" s="1"/>
  <c r="AX44" i="18"/>
  <c r="AZ44" i="18" s="1"/>
  <c r="BC44" i="18"/>
  <c r="BB44" i="18" s="1"/>
  <c r="BK44" i="18"/>
  <c r="BJ44" i="18" s="1"/>
  <c r="BR44" i="18"/>
  <c r="BT44" i="18" s="1"/>
  <c r="BW44" i="18"/>
  <c r="BV44" i="18" s="1"/>
  <c r="CE44" i="18"/>
  <c r="CD44" i="18" s="1"/>
  <c r="R45" i="18"/>
  <c r="T45" i="18" s="1"/>
  <c r="W45" i="18"/>
  <c r="V45" i="18" s="1"/>
  <c r="AK45" i="18"/>
  <c r="AJ45" i="18" s="1"/>
  <c r="AX45" i="18"/>
  <c r="AZ45" i="18" s="1"/>
  <c r="BC45" i="18"/>
  <c r="BB45" i="18" s="1"/>
  <c r="BK45" i="18"/>
  <c r="BJ45" i="18" s="1"/>
  <c r="BR45" i="18"/>
  <c r="BT45" i="18" s="1"/>
  <c r="BW45" i="18"/>
  <c r="BV45" i="18" s="1"/>
  <c r="CE45" i="18"/>
  <c r="CD45" i="18" s="1"/>
  <c r="Q46" i="18"/>
  <c r="R46" i="18"/>
  <c r="W46" i="18"/>
  <c r="AK46" i="18"/>
  <c r="AX46" i="18"/>
  <c r="AZ46" i="18" s="1"/>
  <c r="BC46" i="18"/>
  <c r="BK46" i="18"/>
  <c r="BR46" i="18"/>
  <c r="BW46" i="18"/>
  <c r="CE46" i="18"/>
  <c r="R47" i="18"/>
  <c r="T47" i="18" s="1"/>
  <c r="W47" i="18"/>
  <c r="V47" i="18" s="1"/>
  <c r="AK47" i="18"/>
  <c r="AJ47" i="18" s="1"/>
  <c r="AX47" i="18"/>
  <c r="AZ47" i="18" s="1"/>
  <c r="BC47" i="18"/>
  <c r="BB47" i="18" s="1"/>
  <c r="BK47" i="18"/>
  <c r="BJ47" i="18" s="1"/>
  <c r="BR47" i="18"/>
  <c r="BT47" i="18" s="1"/>
  <c r="BW47" i="18"/>
  <c r="BV47" i="18" s="1"/>
  <c r="CE47" i="18"/>
  <c r="CD47" i="18" s="1"/>
  <c r="R48" i="18"/>
  <c r="T48" i="18" s="1"/>
  <c r="W48" i="18"/>
  <c r="V48" i="18" s="1"/>
  <c r="AK48" i="18"/>
  <c r="AJ48" i="18" s="1"/>
  <c r="AX48" i="18"/>
  <c r="AZ48" i="18" s="1"/>
  <c r="BC48" i="18"/>
  <c r="BB48" i="18" s="1"/>
  <c r="BK48" i="18"/>
  <c r="BJ48" i="18" s="1"/>
  <c r="BR48" i="18"/>
  <c r="BT48" i="18" s="1"/>
  <c r="BW48" i="18"/>
  <c r="BV48" i="18" s="1"/>
  <c r="CE48" i="18"/>
  <c r="CD48" i="18" s="1"/>
  <c r="Q49" i="18"/>
  <c r="R49" i="18"/>
  <c r="W49" i="18"/>
  <c r="AK49" i="18"/>
  <c r="AX49" i="18"/>
  <c r="AZ49" i="18" s="1"/>
  <c r="BC49" i="18"/>
  <c r="BK49" i="18"/>
  <c r="BR49" i="18"/>
  <c r="BW49" i="18"/>
  <c r="BV49" i="18" s="1"/>
  <c r="CE49" i="18"/>
  <c r="CY49" i="18"/>
  <c r="R50" i="18"/>
  <c r="T50" i="18" s="1"/>
  <c r="W50" i="18"/>
  <c r="V50" i="18" s="1"/>
  <c r="AK50" i="18"/>
  <c r="AJ50" i="18" s="1"/>
  <c r="AX50" i="18"/>
  <c r="AZ50" i="18" s="1"/>
  <c r="BC50" i="18"/>
  <c r="BB50" i="18" s="1"/>
  <c r="BK50" i="18"/>
  <c r="BJ50" i="18" s="1"/>
  <c r="BR50" i="18"/>
  <c r="BT50" i="18" s="1"/>
  <c r="BW50" i="18"/>
  <c r="BV50" i="18" s="1"/>
  <c r="CE50" i="18"/>
  <c r="CD50" i="18" s="1"/>
  <c r="R51" i="18"/>
  <c r="T51" i="18" s="1"/>
  <c r="W51" i="18"/>
  <c r="V51" i="18" s="1"/>
  <c r="AK51" i="18"/>
  <c r="AJ51" i="18" s="1"/>
  <c r="AX51" i="18"/>
  <c r="AZ51" i="18" s="1"/>
  <c r="BC51" i="18"/>
  <c r="BB51" i="18" s="1"/>
  <c r="BK51" i="18"/>
  <c r="BJ51" i="18" s="1"/>
  <c r="BR51" i="18"/>
  <c r="BT51" i="18" s="1"/>
  <c r="BW51" i="18"/>
  <c r="BV51" i="18" s="1"/>
  <c r="CE51" i="18"/>
  <c r="CD51" i="18" s="1"/>
  <c r="R52" i="18"/>
  <c r="T52" i="18" s="1"/>
  <c r="W52" i="18"/>
  <c r="V52" i="18" s="1"/>
  <c r="AK52" i="18"/>
  <c r="AJ52" i="18" s="1"/>
  <c r="AX52" i="18"/>
  <c r="AZ52" i="18" s="1"/>
  <c r="BC52" i="18"/>
  <c r="BB52" i="18" s="1"/>
  <c r="BK52" i="18"/>
  <c r="BJ52" i="18" s="1"/>
  <c r="BR52" i="18"/>
  <c r="BT52" i="18" s="1"/>
  <c r="BW52" i="18"/>
  <c r="BV52" i="18" s="1"/>
  <c r="CE52" i="18"/>
  <c r="CD52" i="18" s="1"/>
  <c r="R53" i="18"/>
  <c r="T53" i="18" s="1"/>
  <c r="W53" i="18"/>
  <c r="V53" i="18" s="1"/>
  <c r="AK53" i="18"/>
  <c r="AJ53" i="18" s="1"/>
  <c r="AX53" i="18"/>
  <c r="AZ53" i="18" s="1"/>
  <c r="BC53" i="18"/>
  <c r="BB53" i="18" s="1"/>
  <c r="BK53" i="18"/>
  <c r="BJ53" i="18" s="1"/>
  <c r="BR53" i="18"/>
  <c r="BT53" i="18" s="1"/>
  <c r="BW53" i="18"/>
  <c r="BV53" i="18" s="1"/>
  <c r="CE53" i="18"/>
  <c r="CD53" i="18" s="1"/>
  <c r="Q54" i="18"/>
  <c r="R54" i="18"/>
  <c r="W54" i="18"/>
  <c r="AK54" i="18"/>
  <c r="AX54" i="18"/>
  <c r="BC54" i="18"/>
  <c r="BK54" i="18"/>
  <c r="BR54" i="18"/>
  <c r="BW54" i="18"/>
  <c r="CE54" i="18"/>
  <c r="CY54" i="18"/>
  <c r="Q55" i="18"/>
  <c r="R55" i="18"/>
  <c r="W55" i="18"/>
  <c r="AK55" i="18"/>
  <c r="AX55" i="18"/>
  <c r="BC55" i="18"/>
  <c r="BK55" i="18"/>
  <c r="BR55" i="18"/>
  <c r="BW55" i="18"/>
  <c r="CE55" i="18"/>
  <c r="R56" i="18"/>
  <c r="T56" i="18" s="1"/>
  <c r="W56" i="18"/>
  <c r="V56" i="18" s="1"/>
  <c r="AK56" i="18"/>
  <c r="AJ56" i="18" s="1"/>
  <c r="AX56" i="18"/>
  <c r="AZ56" i="18" s="1"/>
  <c r="BC56" i="18"/>
  <c r="BB56" i="18" s="1"/>
  <c r="BK56" i="18"/>
  <c r="BJ56" i="18" s="1"/>
  <c r="BR56" i="18"/>
  <c r="BT56" i="18" s="1"/>
  <c r="BW56" i="18"/>
  <c r="BV56" i="18" s="1"/>
  <c r="CE56" i="18"/>
  <c r="CD56" i="18" s="1"/>
  <c r="R57" i="18"/>
  <c r="T57" i="18" s="1"/>
  <c r="W57" i="18"/>
  <c r="V57" i="18" s="1"/>
  <c r="AK57" i="18"/>
  <c r="AJ57" i="18" s="1"/>
  <c r="AX57" i="18"/>
  <c r="AZ57" i="18" s="1"/>
  <c r="BC57" i="18"/>
  <c r="BB57" i="18" s="1"/>
  <c r="BK57" i="18"/>
  <c r="BJ57" i="18" s="1"/>
  <c r="BR57" i="18"/>
  <c r="BT57" i="18" s="1"/>
  <c r="BW57" i="18"/>
  <c r="BV57" i="18" s="1"/>
  <c r="CE57" i="18"/>
  <c r="CD57" i="18" s="1"/>
  <c r="Q58" i="18"/>
  <c r="R58" i="18"/>
  <c r="W58" i="18"/>
  <c r="AK58" i="18"/>
  <c r="AX58" i="18"/>
  <c r="BC58" i="18"/>
  <c r="BK58" i="18"/>
  <c r="BR58" i="18"/>
  <c r="BW58" i="18"/>
  <c r="CE58" i="18"/>
  <c r="CY58" i="18"/>
  <c r="R59" i="18"/>
  <c r="T59" i="18" s="1"/>
  <c r="W59" i="18"/>
  <c r="V59" i="18" s="1"/>
  <c r="AK59" i="18"/>
  <c r="AJ59" i="18" s="1"/>
  <c r="AX59" i="18"/>
  <c r="AZ59" i="18" s="1"/>
  <c r="BC59" i="18"/>
  <c r="BB59" i="18" s="1"/>
  <c r="BK59" i="18"/>
  <c r="BJ59" i="18" s="1"/>
  <c r="BR59" i="18"/>
  <c r="BT59" i="18" s="1"/>
  <c r="BW59" i="18"/>
  <c r="BV59" i="18" s="1"/>
  <c r="CE59" i="18"/>
  <c r="CD59" i="18" s="1"/>
  <c r="Q60" i="18"/>
  <c r="R60" i="18"/>
  <c r="W60" i="18"/>
  <c r="AK60" i="18"/>
  <c r="AX60" i="18"/>
  <c r="BC60" i="18"/>
  <c r="BK60" i="18"/>
  <c r="BR60" i="18"/>
  <c r="BW60" i="18"/>
  <c r="CE60" i="18"/>
  <c r="CY60" i="18"/>
  <c r="R61" i="18"/>
  <c r="T61" i="18" s="1"/>
  <c r="W61" i="18"/>
  <c r="V61" i="18" s="1"/>
  <c r="AK61" i="18"/>
  <c r="AJ61" i="18" s="1"/>
  <c r="AX61" i="18"/>
  <c r="AZ61" i="18" s="1"/>
  <c r="BC61" i="18"/>
  <c r="BB61" i="18" s="1"/>
  <c r="BK61" i="18"/>
  <c r="BJ61" i="18" s="1"/>
  <c r="BR61" i="18"/>
  <c r="BT61" i="18" s="1"/>
  <c r="BW61" i="18"/>
  <c r="BV61" i="18" s="1"/>
  <c r="CE61" i="18"/>
  <c r="CD61" i="18" s="1"/>
  <c r="Q62" i="18"/>
  <c r="R62" i="18"/>
  <c r="W62" i="18"/>
  <c r="AK62" i="18"/>
  <c r="AX62" i="18"/>
  <c r="AZ62" i="18" s="1"/>
  <c r="BC62" i="18"/>
  <c r="BK62" i="18"/>
  <c r="BR62" i="18"/>
  <c r="BW62" i="18"/>
  <c r="CE62" i="18"/>
  <c r="R63" i="18"/>
  <c r="T63" i="18" s="1"/>
  <c r="W63" i="18"/>
  <c r="V63" i="18" s="1"/>
  <c r="AK63" i="18"/>
  <c r="AJ63" i="18" s="1"/>
  <c r="AX63" i="18"/>
  <c r="AZ63" i="18" s="1"/>
  <c r="BC63" i="18"/>
  <c r="BB63" i="18" s="1"/>
  <c r="BK63" i="18"/>
  <c r="BJ63" i="18" s="1"/>
  <c r="BR63" i="18"/>
  <c r="BT63" i="18" s="1"/>
  <c r="BW63" i="18"/>
  <c r="BV63" i="18" s="1"/>
  <c r="CE63" i="18"/>
  <c r="CD63" i="18" s="1"/>
  <c r="R64" i="18"/>
  <c r="T64" i="18" s="1"/>
  <c r="W64" i="18"/>
  <c r="V64" i="18" s="1"/>
  <c r="AK64" i="18"/>
  <c r="AJ64" i="18" s="1"/>
  <c r="AX64" i="18"/>
  <c r="AZ64" i="18" s="1"/>
  <c r="BC64" i="18"/>
  <c r="BB64" i="18" s="1"/>
  <c r="BK64" i="18"/>
  <c r="BJ64" i="18" s="1"/>
  <c r="BR64" i="18"/>
  <c r="BT64" i="18" s="1"/>
  <c r="BW64" i="18"/>
  <c r="BV64" i="18" s="1"/>
  <c r="CE64" i="18"/>
  <c r="CD64" i="18" s="1"/>
  <c r="R65" i="18"/>
  <c r="T65" i="18" s="1"/>
  <c r="W65" i="18"/>
  <c r="V65" i="18" s="1"/>
  <c r="AK65" i="18"/>
  <c r="AJ65" i="18" s="1"/>
  <c r="AX65" i="18"/>
  <c r="AZ65" i="18" s="1"/>
  <c r="BC65" i="18"/>
  <c r="BB65" i="18" s="1"/>
  <c r="BK65" i="18"/>
  <c r="BJ65" i="18" s="1"/>
  <c r="BR65" i="18"/>
  <c r="BT65" i="18" s="1"/>
  <c r="BW65" i="18"/>
  <c r="BV65" i="18" s="1"/>
  <c r="CE65" i="18"/>
  <c r="CD65" i="18" s="1"/>
  <c r="Q66" i="18"/>
  <c r="R66" i="18"/>
  <c r="W66" i="18"/>
  <c r="AK66" i="18"/>
  <c r="AX66" i="18"/>
  <c r="BC66" i="18"/>
  <c r="BK66" i="18"/>
  <c r="BR66" i="18"/>
  <c r="BW66" i="18"/>
  <c r="CE66" i="18"/>
  <c r="CY66" i="18"/>
  <c r="R67" i="18"/>
  <c r="T67" i="18" s="1"/>
  <c r="W67" i="18"/>
  <c r="V67" i="18" s="1"/>
  <c r="AK67" i="18"/>
  <c r="AJ67" i="18" s="1"/>
  <c r="AX67" i="18"/>
  <c r="AZ67" i="18" s="1"/>
  <c r="BC67" i="18"/>
  <c r="BB67" i="18" s="1"/>
  <c r="BK67" i="18"/>
  <c r="BJ67" i="18" s="1"/>
  <c r="BR67" i="18"/>
  <c r="BT67" i="18" s="1"/>
  <c r="BW67" i="18"/>
  <c r="BV67" i="18" s="1"/>
  <c r="CE67" i="18"/>
  <c r="CD67" i="18" s="1"/>
  <c r="R68" i="18"/>
  <c r="T68" i="18" s="1"/>
  <c r="W68" i="18"/>
  <c r="V68" i="18" s="1"/>
  <c r="AK68" i="18"/>
  <c r="AJ68" i="18" s="1"/>
  <c r="AX68" i="18"/>
  <c r="AZ68" i="18" s="1"/>
  <c r="BC68" i="18"/>
  <c r="BB68" i="18" s="1"/>
  <c r="BK68" i="18"/>
  <c r="BJ68" i="18" s="1"/>
  <c r="BR68" i="18"/>
  <c r="BT68" i="18" s="1"/>
  <c r="BW68" i="18"/>
  <c r="BV68" i="18" s="1"/>
  <c r="CE68" i="18"/>
  <c r="CD68" i="18" s="1"/>
  <c r="Q69" i="18"/>
  <c r="R69" i="18"/>
  <c r="W69" i="18"/>
  <c r="AK69" i="18"/>
  <c r="AX69" i="18"/>
  <c r="BC69" i="18"/>
  <c r="BK69" i="18"/>
  <c r="BR69" i="18"/>
  <c r="BW69" i="18"/>
  <c r="CE69" i="18"/>
  <c r="R70" i="18"/>
  <c r="T70" i="18" s="1"/>
  <c r="W70" i="18"/>
  <c r="V70" i="18" s="1"/>
  <c r="AK70" i="18"/>
  <c r="AJ70" i="18" s="1"/>
  <c r="AX70" i="18"/>
  <c r="AZ70" i="18" s="1"/>
  <c r="BC70" i="18"/>
  <c r="BB70" i="18" s="1"/>
  <c r="BK70" i="18"/>
  <c r="BJ70" i="18" s="1"/>
  <c r="BR70" i="18"/>
  <c r="BT70" i="18" s="1"/>
  <c r="BW70" i="18"/>
  <c r="BV70" i="18" s="1"/>
  <c r="CE70" i="18"/>
  <c r="CD70" i="18" s="1"/>
  <c r="R71" i="18"/>
  <c r="T71" i="18" s="1"/>
  <c r="W71" i="18"/>
  <c r="V71" i="18" s="1"/>
  <c r="AK71" i="18"/>
  <c r="AJ71" i="18" s="1"/>
  <c r="AX71" i="18"/>
  <c r="AZ71" i="18" s="1"/>
  <c r="BC71" i="18"/>
  <c r="BB71" i="18" s="1"/>
  <c r="BK71" i="18"/>
  <c r="BJ71" i="18" s="1"/>
  <c r="BR71" i="18"/>
  <c r="BT71" i="18" s="1"/>
  <c r="BW71" i="18"/>
  <c r="BV71" i="18" s="1"/>
  <c r="CE71" i="18"/>
  <c r="CD71" i="18" s="1"/>
  <c r="Q72" i="18"/>
  <c r="R72" i="18"/>
  <c r="W72" i="18"/>
  <c r="AK72" i="18"/>
  <c r="AX72" i="18"/>
  <c r="BC72" i="18"/>
  <c r="BK72" i="18"/>
  <c r="BR72" i="18"/>
  <c r="BW72" i="18"/>
  <c r="CE72" i="18"/>
  <c r="Q73" i="18"/>
  <c r="R73" i="18"/>
  <c r="W73" i="18"/>
  <c r="AK73" i="18"/>
  <c r="AX73" i="18"/>
  <c r="BC73" i="18"/>
  <c r="BK73" i="18"/>
  <c r="BR73" i="18"/>
  <c r="BW73" i="18"/>
  <c r="CE73" i="18"/>
  <c r="Q74" i="18"/>
  <c r="R74" i="18"/>
  <c r="W74" i="18"/>
  <c r="AK74" i="18"/>
  <c r="AX74" i="18"/>
  <c r="BC74" i="18"/>
  <c r="BK74" i="18"/>
  <c r="BR74" i="18"/>
  <c r="BW74" i="18"/>
  <c r="CE74" i="18"/>
  <c r="R75" i="18"/>
  <c r="T75" i="18" s="1"/>
  <c r="W75" i="18"/>
  <c r="V75" i="18" s="1"/>
  <c r="AK75" i="18"/>
  <c r="AJ75" i="18" s="1"/>
  <c r="AX75" i="18"/>
  <c r="AZ75" i="18" s="1"/>
  <c r="BC75" i="18"/>
  <c r="BB75" i="18" s="1"/>
  <c r="BK75" i="18"/>
  <c r="BJ75" i="18" s="1"/>
  <c r="BR75" i="18"/>
  <c r="BT75" i="18" s="1"/>
  <c r="BW75" i="18"/>
  <c r="BV75" i="18" s="1"/>
  <c r="CE75" i="18"/>
  <c r="CD75" i="18" s="1"/>
  <c r="Q76" i="18"/>
  <c r="R76" i="18"/>
  <c r="W76" i="18"/>
  <c r="AK76" i="18"/>
  <c r="AX76" i="18"/>
  <c r="BC76" i="18"/>
  <c r="BK76" i="18"/>
  <c r="BR76" i="18"/>
  <c r="BW76" i="18"/>
  <c r="CE76" i="18"/>
  <c r="Q77" i="18"/>
  <c r="R77" i="18"/>
  <c r="W77" i="18"/>
  <c r="AK77" i="18"/>
  <c r="AX77" i="18"/>
  <c r="BC77" i="18"/>
  <c r="BK77" i="18"/>
  <c r="BR77" i="18"/>
  <c r="BW77" i="18"/>
  <c r="BV77" i="18" s="1"/>
  <c r="CE77" i="18"/>
  <c r="R78" i="18"/>
  <c r="T78" i="18" s="1"/>
  <c r="W78" i="18"/>
  <c r="V78" i="18" s="1"/>
  <c r="AK78" i="18"/>
  <c r="AJ78" i="18" s="1"/>
  <c r="AX78" i="18"/>
  <c r="AZ78" i="18" s="1"/>
  <c r="BC78" i="18"/>
  <c r="BB78" i="18" s="1"/>
  <c r="BK78" i="18"/>
  <c r="BJ78" i="18" s="1"/>
  <c r="BR78" i="18"/>
  <c r="BT78" i="18" s="1"/>
  <c r="BW78" i="18"/>
  <c r="BV78" i="18" s="1"/>
  <c r="CE78" i="18"/>
  <c r="CD78" i="18" s="1"/>
  <c r="R79" i="18"/>
  <c r="T79" i="18" s="1"/>
  <c r="W79" i="18"/>
  <c r="V79" i="18" s="1"/>
  <c r="AK79" i="18"/>
  <c r="AJ79" i="18" s="1"/>
  <c r="AX79" i="18"/>
  <c r="AZ79" i="18" s="1"/>
  <c r="BC79" i="18"/>
  <c r="BB79" i="18" s="1"/>
  <c r="BK79" i="18"/>
  <c r="BJ79" i="18" s="1"/>
  <c r="BR79" i="18"/>
  <c r="BT79" i="18" s="1"/>
  <c r="BW79" i="18"/>
  <c r="BV79" i="18" s="1"/>
  <c r="CE79" i="18"/>
  <c r="CD79" i="18" s="1"/>
  <c r="R80" i="18"/>
  <c r="T80" i="18" s="1"/>
  <c r="W80" i="18"/>
  <c r="V80" i="18" s="1"/>
  <c r="AK80" i="18"/>
  <c r="AJ80" i="18" s="1"/>
  <c r="AX80" i="18"/>
  <c r="AZ80" i="18" s="1"/>
  <c r="BC80" i="18"/>
  <c r="BB80" i="18" s="1"/>
  <c r="BK80" i="18"/>
  <c r="BJ80" i="18" s="1"/>
  <c r="BR80" i="18"/>
  <c r="BT80" i="18" s="1"/>
  <c r="BW80" i="18"/>
  <c r="BV80" i="18" s="1"/>
  <c r="CE80" i="18"/>
  <c r="CD80" i="18" s="1"/>
  <c r="Q81" i="18"/>
  <c r="R81" i="18"/>
  <c r="W81" i="18"/>
  <c r="AK81" i="18"/>
  <c r="AX81" i="18"/>
  <c r="BC81" i="18"/>
  <c r="BK81" i="18"/>
  <c r="BR81" i="18"/>
  <c r="BW81" i="18"/>
  <c r="CE81" i="18"/>
  <c r="CY81" i="18"/>
  <c r="Q82" i="18"/>
  <c r="R82" i="18"/>
  <c r="W82" i="18"/>
  <c r="AK82" i="18"/>
  <c r="AX82" i="18"/>
  <c r="BC82" i="18"/>
  <c r="BK82" i="18"/>
  <c r="BR82" i="18"/>
  <c r="BW82" i="18"/>
  <c r="CE82" i="18"/>
  <c r="R83" i="18"/>
  <c r="T83" i="18" s="1"/>
  <c r="W83" i="18"/>
  <c r="V83" i="18" s="1"/>
  <c r="AK83" i="18"/>
  <c r="AJ83" i="18" s="1"/>
  <c r="AX83" i="18"/>
  <c r="AZ83" i="18" s="1"/>
  <c r="BC83" i="18"/>
  <c r="BB83" i="18" s="1"/>
  <c r="BK83" i="18"/>
  <c r="BJ83" i="18" s="1"/>
  <c r="BR83" i="18"/>
  <c r="BT83" i="18" s="1"/>
  <c r="BW83" i="18"/>
  <c r="BV83" i="18" s="1"/>
  <c r="CE83" i="18"/>
  <c r="CD83" i="18" s="1"/>
  <c r="R84" i="18"/>
  <c r="T84" i="18" s="1"/>
  <c r="W84" i="18"/>
  <c r="V84" i="18" s="1"/>
  <c r="AK84" i="18"/>
  <c r="AJ84" i="18" s="1"/>
  <c r="AX84" i="18"/>
  <c r="AZ84" i="18" s="1"/>
  <c r="BC84" i="18"/>
  <c r="BB84" i="18" s="1"/>
  <c r="BK84" i="18"/>
  <c r="BJ84" i="18" s="1"/>
  <c r="BR84" i="18"/>
  <c r="BT84" i="18" s="1"/>
  <c r="BW84" i="18"/>
  <c r="BV84" i="18" s="1"/>
  <c r="CE84" i="18"/>
  <c r="CD84" i="18" s="1"/>
  <c r="R85" i="18"/>
  <c r="T85" i="18" s="1"/>
  <c r="W85" i="18"/>
  <c r="V85" i="18" s="1"/>
  <c r="AK85" i="18"/>
  <c r="AJ85" i="18" s="1"/>
  <c r="AX85" i="18"/>
  <c r="AZ85" i="18" s="1"/>
  <c r="BC85" i="18"/>
  <c r="BB85" i="18" s="1"/>
  <c r="BK85" i="18"/>
  <c r="BJ85" i="18" s="1"/>
  <c r="BR85" i="18"/>
  <c r="BT85" i="18" s="1"/>
  <c r="BW85" i="18"/>
  <c r="BV85" i="18" s="1"/>
  <c r="CE85" i="18"/>
  <c r="CD85" i="18" s="1"/>
  <c r="R2" i="18"/>
  <c r="T2" i="18" s="1"/>
  <c r="W2" i="18"/>
  <c r="V2" i="18" s="1"/>
  <c r="AK2" i="18"/>
  <c r="AJ2" i="18" s="1"/>
  <c r="AX2" i="18"/>
  <c r="AZ2" i="18" s="1"/>
  <c r="BC2" i="18"/>
  <c r="BB2" i="18" s="1"/>
  <c r="BK2" i="18"/>
  <c r="BJ2" i="18" s="1"/>
  <c r="BR2" i="18"/>
  <c r="BT2" i="18" s="1"/>
  <c r="BW2" i="18"/>
  <c r="BV2" i="18" s="1"/>
  <c r="CE2" i="18"/>
  <c r="CD2" i="18" s="1"/>
  <c r="T13" i="13"/>
  <c r="S13" i="13"/>
  <c r="R13" i="13"/>
  <c r="Q13" i="13"/>
  <c r="N8" i="13"/>
  <c r="R24" i="13"/>
  <c r="Q24" i="13"/>
  <c r="P24" i="13"/>
  <c r="O24" i="13"/>
  <c r="N24" i="13"/>
  <c r="M24" i="13"/>
  <c r="L24" i="13"/>
  <c r="M8" i="13"/>
  <c r="E24" i="13"/>
  <c r="F24" i="13"/>
  <c r="G24" i="13"/>
  <c r="H24" i="13"/>
  <c r="I24" i="13"/>
  <c r="D24" i="13"/>
  <c r="M3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2" i="32"/>
  <c r="I9" i="13"/>
  <c r="J9" i="13"/>
  <c r="H9" i="13"/>
  <c r="G9" i="13"/>
  <c r="F9" i="13"/>
  <c r="BT10" i="18" l="1"/>
  <c r="AJ69" i="18"/>
  <c r="T66" i="18"/>
  <c r="BJ46" i="18"/>
  <c r="V82" i="18"/>
  <c r="BJ40" i="18"/>
  <c r="BT62" i="18"/>
  <c r="BT58" i="18"/>
  <c r="AJ58" i="18"/>
  <c r="T10" i="18"/>
  <c r="CD62" i="18"/>
  <c r="T62" i="18"/>
  <c r="CD58" i="18"/>
  <c r="BB11" i="18"/>
  <c r="AZ74" i="18"/>
  <c r="BJ62" i="18"/>
  <c r="BJ58" i="18"/>
  <c r="V49" i="18"/>
  <c r="T28" i="18"/>
  <c r="AJ32" i="18"/>
  <c r="T37" i="18"/>
  <c r="BJ82" i="18"/>
  <c r="AJ77" i="18"/>
  <c r="T58" i="18"/>
  <c r="BT49" i="18"/>
  <c r="AJ49" i="18"/>
  <c r="BJ43" i="18"/>
  <c r="T31" i="18"/>
  <c r="AZ7" i="18"/>
  <c r="BJ77" i="18"/>
  <c r="BJ49" i="18"/>
  <c r="CD33" i="18"/>
  <c r="BB33" i="18"/>
  <c r="T49" i="18"/>
  <c r="V62" i="18"/>
  <c r="CD54" i="18"/>
  <c r="BJ55" i="18"/>
  <c r="V46" i="18"/>
  <c r="M32" i="32"/>
  <c r="M33" i="32" s="1"/>
  <c r="BV82" i="18"/>
  <c r="BB82" i="18"/>
  <c r="AJ66" i="18"/>
  <c r="BT38" i="18"/>
  <c r="CD11" i="18"/>
  <c r="BJ11" i="18"/>
  <c r="AJ11" i="18"/>
  <c r="AJ82" i="18"/>
  <c r="BT82" i="18"/>
  <c r="AZ82" i="18"/>
  <c r="BB58" i="18"/>
  <c r="V58" i="18"/>
  <c r="BJ38" i="18"/>
  <c r="V38" i="18"/>
  <c r="BJ37" i="18"/>
  <c r="T33" i="18"/>
  <c r="BT28" i="18"/>
  <c r="AZ28" i="18"/>
  <c r="BV11" i="18"/>
  <c r="V11" i="18"/>
  <c r="CD82" i="18"/>
  <c r="CD77" i="18"/>
  <c r="CD66" i="18"/>
  <c r="BB66" i="18"/>
  <c r="BV62" i="18"/>
  <c r="BB62" i="18"/>
  <c r="BV58" i="18"/>
  <c r="AZ58" i="18"/>
  <c r="CD49" i="18"/>
  <c r="BB49" i="18"/>
  <c r="T38" i="18"/>
  <c r="BV37" i="18"/>
  <c r="AJ33" i="18"/>
  <c r="BJ32" i="18"/>
  <c r="BT31" i="18"/>
  <c r="AZ31" i="18"/>
  <c r="BT11" i="18"/>
  <c r="T11" i="18"/>
  <c r="T76" i="18"/>
  <c r="BJ76" i="18"/>
  <c r="V76" i="18"/>
  <c r="CD76" i="18"/>
  <c r="T82" i="18"/>
  <c r="BB77" i="18"/>
  <c r="AJ76" i="18"/>
  <c r="CD69" i="18"/>
  <c r="BJ81" i="18"/>
  <c r="T60" i="18"/>
  <c r="V60" i="18"/>
  <c r="BT60" i="18"/>
  <c r="BT81" i="18"/>
  <c r="AZ81" i="18"/>
  <c r="V81" i="18"/>
  <c r="BV76" i="18"/>
  <c r="BB76" i="18"/>
  <c r="V69" i="18"/>
  <c r="T69" i="18"/>
  <c r="AZ69" i="18"/>
  <c r="BT69" i="18"/>
  <c r="BJ60" i="18"/>
  <c r="T77" i="18"/>
  <c r="V77" i="18"/>
  <c r="BV60" i="18"/>
  <c r="AZ77" i="18"/>
  <c r="AZ76" i="18"/>
  <c r="AZ72" i="18"/>
  <c r="BB69" i="18"/>
  <c r="BV66" i="18"/>
  <c r="AZ66" i="18"/>
  <c r="AJ62" i="18"/>
  <c r="BB60" i="18"/>
  <c r="BT43" i="18"/>
  <c r="BB43" i="18"/>
  <c r="V43" i="18"/>
  <c r="BT37" i="18"/>
  <c r="V37" i="18"/>
  <c r="AZ33" i="18"/>
  <c r="BT32" i="18"/>
  <c r="BB32" i="18"/>
  <c r="AZ5" i="18"/>
  <c r="BT66" i="18"/>
  <c r="CD60" i="18"/>
  <c r="AZ60" i="18"/>
  <c r="CD43" i="18"/>
  <c r="AZ43" i="18"/>
  <c r="T43" i="18"/>
  <c r="AZ37" i="18"/>
  <c r="BT33" i="18"/>
  <c r="CD32" i="18"/>
  <c r="AZ32" i="18"/>
  <c r="V32" i="18"/>
  <c r="AJ60" i="18"/>
  <c r="AJ43" i="18"/>
  <c r="T32" i="18"/>
  <c r="V10" i="18"/>
  <c r="AJ73" i="18"/>
  <c r="BB73" i="18"/>
  <c r="CD73" i="18"/>
  <c r="T73" i="18"/>
  <c r="BT73" i="18"/>
  <c r="V73" i="18"/>
  <c r="BJ73" i="18"/>
  <c r="BV73" i="18"/>
  <c r="T81" i="18"/>
  <c r="AJ74" i="18"/>
  <c r="BB74" i="18"/>
  <c r="CD74" i="18"/>
  <c r="T74" i="18"/>
  <c r="BT74" i="18"/>
  <c r="V74" i="18"/>
  <c r="BJ74" i="18"/>
  <c r="BV74" i="18"/>
  <c r="AJ55" i="18"/>
  <c r="BB55" i="18"/>
  <c r="CD55" i="18"/>
  <c r="T55" i="18"/>
  <c r="BT55" i="18"/>
  <c r="V55" i="18"/>
  <c r="AZ55" i="18"/>
  <c r="BV55" i="18"/>
  <c r="T54" i="18"/>
  <c r="BT54" i="18"/>
  <c r="V54" i="18"/>
  <c r="BJ54" i="18"/>
  <c r="BV54" i="18"/>
  <c r="AZ54" i="18"/>
  <c r="AJ54" i="18"/>
  <c r="BB54" i="18"/>
  <c r="AJ27" i="18"/>
  <c r="BB27" i="18"/>
  <c r="CD27" i="18"/>
  <c r="V27" i="18"/>
  <c r="BJ27" i="18"/>
  <c r="BV27" i="18"/>
  <c r="T27" i="18"/>
  <c r="AZ27" i="18"/>
  <c r="BT27" i="18"/>
  <c r="BV81" i="18"/>
  <c r="AJ81" i="18"/>
  <c r="BB81" i="18"/>
  <c r="CD81" i="18"/>
  <c r="AZ73" i="18"/>
  <c r="AJ72" i="18"/>
  <c r="BB72" i="18"/>
  <c r="CD72" i="18"/>
  <c r="T72" i="18"/>
  <c r="BT72" i="18"/>
  <c r="V72" i="18"/>
  <c r="BJ72" i="18"/>
  <c r="BV72" i="18"/>
  <c r="AJ40" i="18"/>
  <c r="BB40" i="18"/>
  <c r="CD40" i="18"/>
  <c r="T40" i="18"/>
  <c r="BT40" i="18"/>
  <c r="AJ6" i="18"/>
  <c r="BB6" i="18"/>
  <c r="CD6" i="18"/>
  <c r="T6" i="18"/>
  <c r="BT6" i="18"/>
  <c r="V6" i="18"/>
  <c r="BJ6" i="18"/>
  <c r="BV6" i="18"/>
  <c r="AZ6" i="18"/>
  <c r="AJ46" i="18"/>
  <c r="BB46" i="18"/>
  <c r="CD46" i="18"/>
  <c r="T46" i="18"/>
  <c r="BT46" i="18"/>
  <c r="AJ38" i="18"/>
  <c r="AJ37" i="18"/>
  <c r="BT77" i="18"/>
  <c r="BT76" i="18"/>
  <c r="BV69" i="18"/>
  <c r="BJ69" i="18"/>
  <c r="V66" i="18"/>
  <c r="BJ66" i="18"/>
  <c r="BV46" i="18"/>
  <c r="AZ40" i="18"/>
  <c r="V40" i="18"/>
  <c r="AJ7" i="18"/>
  <c r="BB7" i="18"/>
  <c r="CD7" i="18"/>
  <c r="T7" i="18"/>
  <c r="BT7" i="18"/>
  <c r="V7" i="18"/>
  <c r="BJ7" i="18"/>
  <c r="BV7" i="18"/>
  <c r="CD38" i="18"/>
  <c r="BB38" i="18"/>
  <c r="CD37" i="18"/>
  <c r="BB37" i="18"/>
  <c r="V33" i="18"/>
  <c r="BJ33" i="18"/>
  <c r="BV33" i="18"/>
  <c r="V31" i="18"/>
  <c r="BJ31" i="18"/>
  <c r="BV31" i="18"/>
  <c r="AJ31" i="18"/>
  <c r="BB31" i="18"/>
  <c r="CD31" i="18"/>
  <c r="AJ28" i="18"/>
  <c r="BB28" i="18"/>
  <c r="CD28" i="18"/>
  <c r="V28" i="18"/>
  <c r="BJ28" i="18"/>
  <c r="BV28" i="18"/>
  <c r="AJ5" i="18"/>
  <c r="BB5" i="18"/>
  <c r="CD5" i="18"/>
  <c r="T5" i="18"/>
  <c r="BT5" i="18"/>
  <c r="V5" i="18"/>
  <c r="BJ5" i="18"/>
  <c r="BV5" i="18"/>
  <c r="CD10" i="18"/>
  <c r="BB10" i="18"/>
  <c r="AJ10" i="18"/>
  <c r="BV10" i="18"/>
  <c r="BJ10" i="18"/>
  <c r="J46" i="31"/>
  <c r="J45" i="31"/>
  <c r="J44" i="31"/>
  <c r="J42" i="31" s="1"/>
  <c r="D34" i="31"/>
  <c r="C34" i="31"/>
  <c r="B34" i="31"/>
  <c r="I12" i="31"/>
  <c r="AR86" i="29"/>
  <c r="AQ86" i="29"/>
  <c r="AP86" i="29"/>
  <c r="AM86" i="29"/>
  <c r="AL86" i="29"/>
  <c r="AK86" i="29"/>
  <c r="AH86" i="29"/>
  <c r="AG86" i="29"/>
  <c r="AF86" i="29"/>
  <c r="G86" i="29"/>
  <c r="F86" i="29"/>
  <c r="E86" i="29"/>
  <c r="D86" i="29"/>
  <c r="C86" i="29"/>
  <c r="B86" i="29"/>
  <c r="L8" i="13"/>
  <c r="K8" i="13"/>
  <c r="J8" i="13"/>
  <c r="I8" i="13"/>
  <c r="H8" i="13"/>
  <c r="G8" i="13"/>
  <c r="F8" i="13"/>
  <c r="E8" i="13"/>
  <c r="D8" i="13"/>
  <c r="C8" i="13"/>
  <c r="B8" i="13"/>
  <c r="I8" i="28"/>
  <c r="H8" i="28"/>
  <c r="G8" i="28"/>
  <c r="F8" i="28"/>
  <c r="E8" i="28"/>
  <c r="D8" i="28"/>
  <c r="C8" i="28"/>
  <c r="B8" i="28"/>
  <c r="A8" i="28"/>
  <c r="I7" i="28"/>
  <c r="H7" i="28"/>
  <c r="G7" i="28"/>
  <c r="F7" i="28"/>
  <c r="E7" i="28"/>
  <c r="D7" i="28"/>
  <c r="C7" i="28"/>
  <c r="B7" i="28"/>
  <c r="A7" i="28"/>
  <c r="P86" i="18"/>
  <c r="N86" i="18"/>
  <c r="M86" i="18"/>
  <c r="L86" i="18"/>
  <c r="K86" i="18"/>
  <c r="J86" i="18"/>
  <c r="I86" i="18"/>
  <c r="H86" i="18"/>
  <c r="G86" i="18"/>
  <c r="F86" i="18"/>
  <c r="E86" i="18"/>
  <c r="D86" i="18"/>
  <c r="I1000" i="20"/>
  <c r="H1000" i="20"/>
  <c r="E1000" i="20"/>
  <c r="D1000" i="20"/>
  <c r="C1000" i="20"/>
  <c r="K86" i="14"/>
  <c r="J86" i="14"/>
  <c r="I86" i="14"/>
  <c r="H86" i="14"/>
  <c r="G86" i="14"/>
  <c r="F86" i="14"/>
  <c r="E86" i="14"/>
  <c r="D86" i="14"/>
  <c r="C86" i="14"/>
  <c r="B86" i="14"/>
  <c r="L33" i="14" s="1"/>
  <c r="W42" i="14"/>
  <c r="V42" i="14"/>
  <c r="W41" i="14"/>
  <c r="V41" i="14"/>
  <c r="W40" i="14"/>
  <c r="V40" i="14"/>
  <c r="W39" i="14"/>
  <c r="V39" i="14"/>
  <c r="W38" i="14"/>
  <c r="V38" i="14"/>
  <c r="W37" i="14"/>
  <c r="V37" i="14"/>
  <c r="W36" i="14"/>
  <c r="V36" i="14"/>
  <c r="W35" i="14"/>
  <c r="V35" i="14"/>
  <c r="W34" i="14"/>
  <c r="V34" i="14"/>
  <c r="K86" i="11"/>
  <c r="J86" i="11"/>
  <c r="I86" i="11"/>
  <c r="H86" i="11"/>
  <c r="G86" i="11"/>
  <c r="F86" i="11"/>
  <c r="E86" i="11"/>
  <c r="D86" i="11"/>
  <c r="C86" i="11"/>
  <c r="L28" i="11" s="1"/>
  <c r="B86" i="11"/>
  <c r="K86" i="10"/>
  <c r="J86" i="10"/>
  <c r="I86" i="10"/>
  <c r="H86" i="10"/>
  <c r="G86" i="10"/>
  <c r="F86" i="10"/>
  <c r="E86" i="10"/>
  <c r="D86" i="10"/>
  <c r="C86" i="10"/>
  <c r="B86" i="10"/>
  <c r="K86" i="9"/>
  <c r="J86" i="9"/>
  <c r="I86" i="9"/>
  <c r="H86" i="9"/>
  <c r="G86" i="9"/>
  <c r="F86" i="9"/>
  <c r="E86" i="9"/>
  <c r="D86" i="9"/>
  <c r="C86" i="9"/>
  <c r="L49" i="9" s="1"/>
  <c r="B86" i="9"/>
  <c r="L13" i="14" l="1"/>
  <c r="L65" i="9"/>
  <c r="L43" i="10"/>
  <c r="L11" i="10"/>
  <c r="L32" i="11"/>
  <c r="L17" i="9"/>
  <c r="L69" i="9"/>
  <c r="L27" i="10"/>
  <c r="L33" i="9"/>
  <c r="L16" i="10"/>
  <c r="L60" i="11"/>
  <c r="L67" i="14"/>
  <c r="J35" i="31"/>
  <c r="L35" i="10"/>
  <c r="L71" i="14"/>
  <c r="N37" i="31"/>
  <c r="J40" i="31"/>
  <c r="O3" i="18"/>
  <c r="O10" i="18"/>
  <c r="O13" i="18"/>
  <c r="O17" i="18"/>
  <c r="O21" i="18"/>
  <c r="O25" i="18"/>
  <c r="O31" i="18"/>
  <c r="O9" i="18"/>
  <c r="O11" i="18"/>
  <c r="O12" i="18"/>
  <c r="O16" i="18"/>
  <c r="O20" i="18"/>
  <c r="O24" i="18"/>
  <c r="O5" i="18"/>
  <c r="O6" i="18"/>
  <c r="O7" i="18"/>
  <c r="O8" i="18"/>
  <c r="O15" i="18"/>
  <c r="O19" i="18"/>
  <c r="O23" i="18"/>
  <c r="O27" i="18"/>
  <c r="O28" i="18"/>
  <c r="O29" i="18"/>
  <c r="O33" i="18"/>
  <c r="O18" i="18"/>
  <c r="O30" i="18"/>
  <c r="O36" i="18"/>
  <c r="O43" i="18"/>
  <c r="O44" i="18"/>
  <c r="O49" i="18"/>
  <c r="O51" i="18"/>
  <c r="O58" i="18"/>
  <c r="O60" i="18"/>
  <c r="O14" i="18"/>
  <c r="O35" i="18"/>
  <c r="O42" i="18"/>
  <c r="O48" i="18"/>
  <c r="O50" i="18"/>
  <c r="O54" i="18"/>
  <c r="O57" i="18"/>
  <c r="O59" i="18"/>
  <c r="O61" i="18"/>
  <c r="O66" i="18"/>
  <c r="O37" i="18"/>
  <c r="O38" i="18"/>
  <c r="O39" i="18"/>
  <c r="O41" i="18"/>
  <c r="O46" i="18"/>
  <c r="O52" i="18"/>
  <c r="O62" i="18"/>
  <c r="O65" i="18"/>
  <c r="O69" i="18"/>
  <c r="O70" i="18"/>
  <c r="O79" i="18"/>
  <c r="O40" i="18"/>
  <c r="O53" i="18"/>
  <c r="O56" i="18"/>
  <c r="O68" i="18"/>
  <c r="O76" i="18"/>
  <c r="O77" i="18"/>
  <c r="O78" i="18"/>
  <c r="O26" i="18"/>
  <c r="O55" i="18"/>
  <c r="O67" i="18"/>
  <c r="O72" i="18"/>
  <c r="O73" i="18"/>
  <c r="O74" i="18"/>
  <c r="O75" i="18"/>
  <c r="O47" i="18"/>
  <c r="O64" i="18"/>
  <c r="O83" i="18"/>
  <c r="O84" i="18"/>
  <c r="O71" i="18"/>
  <c r="O80" i="18"/>
  <c r="O82" i="18"/>
  <c r="O85" i="18"/>
  <c r="O22" i="18"/>
  <c r="O63" i="18"/>
  <c r="O32" i="18"/>
  <c r="O34" i="18"/>
  <c r="O45" i="18"/>
  <c r="O2" i="18"/>
  <c r="O4" i="18"/>
  <c r="O81" i="18"/>
  <c r="L76" i="11"/>
  <c r="L39" i="14"/>
  <c r="L83" i="14"/>
  <c r="L5" i="9"/>
  <c r="L37" i="9"/>
  <c r="L83" i="9"/>
  <c r="L43" i="14"/>
  <c r="L9" i="9"/>
  <c r="L41" i="9"/>
  <c r="L73" i="9"/>
  <c r="L19" i="10"/>
  <c r="L56" i="10"/>
  <c r="L12" i="11"/>
  <c r="L44" i="11"/>
  <c r="L21" i="14"/>
  <c r="L51" i="14"/>
  <c r="L13" i="9"/>
  <c r="L29" i="9"/>
  <c r="L45" i="9"/>
  <c r="L61" i="9"/>
  <c r="L77" i="9"/>
  <c r="L8" i="10"/>
  <c r="L24" i="10"/>
  <c r="L40" i="10"/>
  <c r="L71" i="10"/>
  <c r="L16" i="11"/>
  <c r="L5" i="14"/>
  <c r="L29" i="14"/>
  <c r="L35" i="14"/>
  <c r="L55" i="14"/>
  <c r="L75" i="14"/>
  <c r="O34" i="31"/>
  <c r="L37" i="31"/>
  <c r="O39" i="31"/>
  <c r="L42" i="31"/>
  <c r="L59" i="14"/>
  <c r="O35" i="31"/>
  <c r="L38" i="31"/>
  <c r="O40" i="31"/>
  <c r="L21" i="9"/>
  <c r="L53" i="9"/>
  <c r="L32" i="10"/>
  <c r="L48" i="10"/>
  <c r="L17" i="14"/>
  <c r="L25" i="9"/>
  <c r="L57" i="9"/>
  <c r="L3" i="10"/>
  <c r="J34" i="31"/>
  <c r="J36" i="31"/>
  <c r="J39" i="31"/>
  <c r="J41" i="31"/>
  <c r="L82" i="9"/>
  <c r="L2" i="9"/>
  <c r="L14" i="9"/>
  <c r="L26" i="9"/>
  <c r="L38" i="9"/>
  <c r="L54" i="9"/>
  <c r="L66" i="9"/>
  <c r="L83" i="11"/>
  <c r="L79" i="11"/>
  <c r="L75" i="11"/>
  <c r="L71" i="11"/>
  <c r="L67" i="11"/>
  <c r="L63" i="11"/>
  <c r="L59" i="11"/>
  <c r="L55" i="11"/>
  <c r="L51" i="11"/>
  <c r="L47" i="11"/>
  <c r="L43" i="11"/>
  <c r="L39" i="11"/>
  <c r="L35" i="11"/>
  <c r="L31" i="11"/>
  <c r="L27" i="11"/>
  <c r="L23" i="11"/>
  <c r="L19" i="11"/>
  <c r="L15" i="11"/>
  <c r="L11" i="11"/>
  <c r="L7" i="11"/>
  <c r="L3" i="11"/>
  <c r="L82" i="11"/>
  <c r="L78" i="11"/>
  <c r="L74" i="11"/>
  <c r="L70" i="11"/>
  <c r="L66" i="11"/>
  <c r="L62" i="11"/>
  <c r="L58" i="11"/>
  <c r="L54" i="11"/>
  <c r="L50" i="11"/>
  <c r="L46" i="11"/>
  <c r="L42" i="11"/>
  <c r="L38" i="11"/>
  <c r="L34" i="11"/>
  <c r="L30" i="11"/>
  <c r="L26" i="11"/>
  <c r="L22" i="11"/>
  <c r="L18" i="11"/>
  <c r="L14" i="11"/>
  <c r="L10" i="11"/>
  <c r="L6" i="11"/>
  <c r="L2" i="11"/>
  <c r="L85" i="11"/>
  <c r="L81" i="11"/>
  <c r="L77" i="11"/>
  <c r="L73" i="11"/>
  <c r="L69" i="11"/>
  <c r="L65" i="11"/>
  <c r="L61" i="11"/>
  <c r="L57" i="11"/>
  <c r="L53" i="11"/>
  <c r="L49" i="11"/>
  <c r="L45" i="11"/>
  <c r="L41" i="11"/>
  <c r="L37" i="11"/>
  <c r="L33" i="11"/>
  <c r="L29" i="11"/>
  <c r="L25" i="11"/>
  <c r="L21" i="11"/>
  <c r="L17" i="11"/>
  <c r="L13" i="11"/>
  <c r="L9" i="11"/>
  <c r="L5" i="11"/>
  <c r="L85" i="9"/>
  <c r="L81" i="9"/>
  <c r="L10" i="9"/>
  <c r="L22" i="9"/>
  <c r="L34" i="9"/>
  <c r="L46" i="9"/>
  <c r="L58" i="9"/>
  <c r="L70" i="9"/>
  <c r="L78" i="9"/>
  <c r="L82" i="10"/>
  <c r="L78" i="10"/>
  <c r="L74" i="10"/>
  <c r="L70" i="10"/>
  <c r="L66" i="10"/>
  <c r="L62" i="10"/>
  <c r="L58" i="10"/>
  <c r="L54" i="10"/>
  <c r="L50" i="10"/>
  <c r="L46" i="10"/>
  <c r="L42" i="10"/>
  <c r="L38" i="10"/>
  <c r="L34" i="10"/>
  <c r="L30" i="10"/>
  <c r="L26" i="10"/>
  <c r="L22" i="10"/>
  <c r="L18" i="10"/>
  <c r="L14" i="10"/>
  <c r="L10" i="10"/>
  <c r="L6" i="10"/>
  <c r="L2" i="10"/>
  <c r="L85" i="10"/>
  <c r="L81" i="10"/>
  <c r="L77" i="10"/>
  <c r="L73" i="10"/>
  <c r="L69" i="10"/>
  <c r="L65" i="10"/>
  <c r="L61" i="10"/>
  <c r="L57" i="10"/>
  <c r="L53" i="10"/>
  <c r="L49" i="10"/>
  <c r="L45" i="10"/>
  <c r="L41" i="10"/>
  <c r="L37" i="10"/>
  <c r="L33" i="10"/>
  <c r="L29" i="10"/>
  <c r="L25" i="10"/>
  <c r="L21" i="10"/>
  <c r="L17" i="10"/>
  <c r="L13" i="10"/>
  <c r="L9" i="10"/>
  <c r="L5" i="10"/>
  <c r="L84" i="10"/>
  <c r="L80" i="10"/>
  <c r="L76" i="10"/>
  <c r="L72" i="10"/>
  <c r="L68" i="10"/>
  <c r="L64" i="10"/>
  <c r="L60" i="10"/>
  <c r="L64" i="11"/>
  <c r="L3" i="9"/>
  <c r="L11" i="9"/>
  <c r="L19" i="9"/>
  <c r="L27" i="9"/>
  <c r="L35" i="9"/>
  <c r="L43" i="9"/>
  <c r="L51" i="9"/>
  <c r="L59" i="9"/>
  <c r="L67" i="9"/>
  <c r="L75" i="9"/>
  <c r="L84" i="9"/>
  <c r="L12" i="10"/>
  <c r="L28" i="10"/>
  <c r="L44" i="10"/>
  <c r="L63" i="10"/>
  <c r="L4" i="11"/>
  <c r="L36" i="11"/>
  <c r="L68" i="11"/>
  <c r="L82" i="14"/>
  <c r="L78" i="14"/>
  <c r="L74" i="14"/>
  <c r="L70" i="14"/>
  <c r="L66" i="14"/>
  <c r="L62" i="14"/>
  <c r="L58" i="14"/>
  <c r="L54" i="14"/>
  <c r="L50" i="14"/>
  <c r="L46" i="14"/>
  <c r="L40" i="14"/>
  <c r="L36" i="14"/>
  <c r="L32" i="14"/>
  <c r="L28" i="14"/>
  <c r="L24" i="14"/>
  <c r="L20" i="14"/>
  <c r="L16" i="14"/>
  <c r="L12" i="14"/>
  <c r="L8" i="14"/>
  <c r="L4" i="14"/>
  <c r="L85" i="14"/>
  <c r="L81" i="14"/>
  <c r="L77" i="14"/>
  <c r="L73" i="14"/>
  <c r="L69" i="14"/>
  <c r="L65" i="14"/>
  <c r="L61" i="14"/>
  <c r="L57" i="14"/>
  <c r="L53" i="14"/>
  <c r="L49" i="14"/>
  <c r="L45" i="14"/>
  <c r="L41" i="14"/>
  <c r="L37" i="14"/>
  <c r="L31" i="14"/>
  <c r="L27" i="14"/>
  <c r="L23" i="14"/>
  <c r="L19" i="14"/>
  <c r="L15" i="14"/>
  <c r="L11" i="14"/>
  <c r="L7" i="14"/>
  <c r="L3" i="14"/>
  <c r="L84" i="14"/>
  <c r="L80" i="14"/>
  <c r="L76" i="14"/>
  <c r="L72" i="14"/>
  <c r="L68" i="14"/>
  <c r="L64" i="14"/>
  <c r="L60" i="14"/>
  <c r="L56" i="14"/>
  <c r="L52" i="14"/>
  <c r="L48" i="14"/>
  <c r="L44" i="14"/>
  <c r="L42" i="14"/>
  <c r="L38" i="14"/>
  <c r="L34" i="14"/>
  <c r="L30" i="14"/>
  <c r="L26" i="14"/>
  <c r="L22" i="14"/>
  <c r="L18" i="14"/>
  <c r="L14" i="14"/>
  <c r="L10" i="14"/>
  <c r="L6" i="14"/>
  <c r="L2" i="14"/>
  <c r="L6" i="9"/>
  <c r="L18" i="9"/>
  <c r="L30" i="9"/>
  <c r="L42" i="9"/>
  <c r="L50" i="9"/>
  <c r="L62" i="9"/>
  <c r="L74" i="9"/>
  <c r="L51" i="10"/>
  <c r="L59" i="10"/>
  <c r="L75" i="10"/>
  <c r="L48" i="11"/>
  <c r="L80" i="11"/>
  <c r="L7" i="9"/>
  <c r="L15" i="9"/>
  <c r="L23" i="9"/>
  <c r="L31" i="9"/>
  <c r="L39" i="9"/>
  <c r="L47" i="9"/>
  <c r="L55" i="9"/>
  <c r="L63" i="9"/>
  <c r="L71" i="9"/>
  <c r="L79" i="9"/>
  <c r="L4" i="10"/>
  <c r="L20" i="10"/>
  <c r="L36" i="10"/>
  <c r="L52" i="10"/>
  <c r="L79" i="10"/>
  <c r="L20" i="11"/>
  <c r="L52" i="11"/>
  <c r="L84" i="11"/>
  <c r="L4" i="9"/>
  <c r="L8" i="9"/>
  <c r="L12" i="9"/>
  <c r="L16" i="9"/>
  <c r="L20" i="9"/>
  <c r="L24" i="9"/>
  <c r="L28" i="9"/>
  <c r="L32" i="9"/>
  <c r="L36" i="9"/>
  <c r="L40" i="9"/>
  <c r="L44" i="9"/>
  <c r="L48" i="9"/>
  <c r="L52" i="9"/>
  <c r="L56" i="9"/>
  <c r="L60" i="9"/>
  <c r="L64" i="9"/>
  <c r="L68" i="9"/>
  <c r="L72" i="9"/>
  <c r="L76" i="9"/>
  <c r="L80" i="9"/>
  <c r="L7" i="10"/>
  <c r="L15" i="10"/>
  <c r="L23" i="10"/>
  <c r="L31" i="10"/>
  <c r="L39" i="10"/>
  <c r="L47" i="10"/>
  <c r="L55" i="10"/>
  <c r="L67" i="10"/>
  <c r="L83" i="10"/>
  <c r="L8" i="11"/>
  <c r="L24" i="11"/>
  <c r="L40" i="11"/>
  <c r="L56" i="11"/>
  <c r="L72" i="11"/>
  <c r="L9" i="14"/>
  <c r="L25" i="14"/>
  <c r="L47" i="14"/>
  <c r="L63" i="14"/>
  <c r="L79" i="14"/>
  <c r="L34" i="31"/>
  <c r="L35" i="31"/>
  <c r="L36" i="31"/>
  <c r="O37" i="31"/>
  <c r="L39" i="31"/>
  <c r="L40" i="31"/>
  <c r="L41" i="31"/>
  <c r="N34" i="31"/>
  <c r="N35" i="31"/>
  <c r="J37" i="31"/>
  <c r="J38" i="31"/>
  <c r="N39" i="31"/>
  <c r="N40" i="31"/>
  <c r="CD86" i="18" l="1"/>
  <c r="CH87" i="18" s="1"/>
  <c r="BJ86" i="18"/>
  <c r="BO87" i="18" s="1"/>
  <c r="AJ86" i="18"/>
  <c r="AP87" i="18" s="1"/>
  <c r="V86" i="18"/>
  <c r="W87" i="18" s="1"/>
  <c r="BV86" i="18"/>
  <c r="BZ87" i="18" s="1"/>
  <c r="T86" i="18"/>
  <c r="R87" i="18" s="1"/>
  <c r="BT86" i="18"/>
  <c r="BV87" i="18" s="1"/>
  <c r="AZ86" i="18"/>
  <c r="BC87" i="18" s="1"/>
  <c r="BB86" i="18"/>
  <c r="BG87" i="18" s="1"/>
  <c r="O86" i="18"/>
  <c r="L86" i="9"/>
  <c r="L86" i="14"/>
  <c r="L86" i="10"/>
  <c r="L86" i="11"/>
</calcChain>
</file>

<file path=xl/sharedStrings.xml><?xml version="1.0" encoding="utf-8"?>
<sst xmlns="http://schemas.openxmlformats.org/spreadsheetml/2006/main" count="2750" uniqueCount="354">
  <si>
    <t>Cluster Membership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</si>
  <si>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</si>
  <si>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</si>
  <si>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</si>
  <si>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</si>
  <si>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</si>
  <si>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</si>
  <si>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</si>
  <si>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</si>
  <si>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</si>
  <si>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</si>
  <si>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</si>
  <si>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</si>
  <si>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</si>
  <si>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</si>
  <si>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</si>
  <si>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</si>
  <si>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</si>
  <si>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</si>
  <si>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</si>
  <si>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</si>
  <si>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</si>
  <si>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</si>
  <si>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</si>
  <si>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</si>
  <si>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</si>
  <si>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</si>
  <si>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</si>
  <si>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</si>
  <si>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</si>
  <si>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</si>
  <si>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</si>
  <si>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</si>
  <si>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</si>
  <si>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</si>
  <si>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</si>
  <si>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</si>
  <si>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</si>
  <si>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</si>
  <si>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</si>
  <si>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</si>
  <si>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</si>
  <si>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</si>
  <si>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</si>
  <si>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</si>
  <si>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</si>
  <si>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</si>
  <si>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</si>
  <si>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</si>
  <si>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</si>
  <si>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</si>
  <si>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</si>
  <si>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</si>
  <si>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</si>
  <si>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</si>
  <si>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</si>
  <si>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</si>
  <si>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</si>
  <si>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</si>
  <si>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</si>
  <si>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</si>
  <si>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</si>
  <si>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</si>
  <si>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</si>
  <si>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</si>
  <si>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</si>
  <si>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</si>
  <si>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</si>
  <si>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</si>
  <si>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</si>
  <si>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</si>
  <si>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</si>
  <si>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</si>
  <si>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</si>
  <si>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</si>
  <si>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</si>
  <si>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</si>
  <si>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</si>
  <si>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</si>
  <si>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</si>
  <si>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</si>
  <si>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</si>
  <si>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</si>
  <si>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</si>
  <si>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</si>
  <si>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</si>
  <si>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</si>
  <si>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</si>
  <si>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</si>
  <si>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</si>
  <si>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</si>
  <si>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</si>
  <si>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</si>
  <si>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</si>
  <si>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х1</t>
  </si>
  <si>
    <t>х2</t>
  </si>
  <si>
    <t>х3</t>
  </si>
  <si>
    <t>х4</t>
  </si>
  <si>
    <t>х5</t>
  </si>
  <si>
    <t>х6</t>
  </si>
  <si>
    <t>х7</t>
  </si>
  <si>
    <t>х8</t>
  </si>
  <si>
    <t>х9</t>
  </si>
  <si>
    <t>Столбец1</t>
  </si>
  <si>
    <t>расстояния</t>
  </si>
  <si>
    <t>Уорд</t>
  </si>
  <si>
    <t>невзвеш ср</t>
  </si>
  <si>
    <t>k-средних</t>
  </si>
  <si>
    <t>Расстояние</t>
  </si>
  <si>
    <t>расстояние</t>
  </si>
  <si>
    <t xml:space="preserve">CLUSTER </t>
  </si>
  <si>
    <t xml:space="preserve">Алтайский край                          </t>
  </si>
  <si>
    <t xml:space="preserve">Амурская область                        </t>
  </si>
  <si>
    <t>Архангельская область без автономного ок</t>
  </si>
  <si>
    <t xml:space="preserve">Астраханская область                    </t>
  </si>
  <si>
    <t xml:space="preserve">Белгородская область                    </t>
  </si>
  <si>
    <t xml:space="preserve">Брянская область                        </t>
  </si>
  <si>
    <t xml:space="preserve">Владимирская область                    </t>
  </si>
  <si>
    <t xml:space="preserve">Вологодская область                     </t>
  </si>
  <si>
    <t xml:space="preserve">Воронежская область                     </t>
  </si>
  <si>
    <t xml:space="preserve">г. Москва                               </t>
  </si>
  <si>
    <t xml:space="preserve">Забайкальский край                      </t>
  </si>
  <si>
    <t xml:space="preserve">Ивановская область                      </t>
  </si>
  <si>
    <t xml:space="preserve">Иркутская область                       </t>
  </si>
  <si>
    <t xml:space="preserve">Калужская область                       </t>
  </si>
  <si>
    <t xml:space="preserve">Камчатский край                         </t>
  </si>
  <si>
    <t xml:space="preserve">Кировская область                       </t>
  </si>
  <si>
    <t xml:space="preserve">Костромская область                     </t>
  </si>
  <si>
    <t xml:space="preserve">Краснодарский край                      </t>
  </si>
  <si>
    <t xml:space="preserve">Красноярский край                       </t>
  </si>
  <si>
    <t xml:space="preserve">Курганская область                      </t>
  </si>
  <si>
    <t xml:space="preserve">Курская область                         </t>
  </si>
  <si>
    <t xml:space="preserve">Липецкая область                        </t>
  </si>
  <si>
    <t xml:space="preserve">Магаданская область                     </t>
  </si>
  <si>
    <t xml:space="preserve">Московская область                      </t>
  </si>
  <si>
    <t xml:space="preserve">Мурманская область                      </t>
  </si>
  <si>
    <t xml:space="preserve">Новгородская область                    </t>
  </si>
  <si>
    <t xml:space="preserve">Омская область                          </t>
  </si>
  <si>
    <t xml:space="preserve">Оренбургская область                    </t>
  </si>
  <si>
    <t xml:space="preserve">Орловская область                       </t>
  </si>
  <si>
    <t xml:space="preserve">Пензенская область                      </t>
  </si>
  <si>
    <t xml:space="preserve">Пермский край                           </t>
  </si>
  <si>
    <t xml:space="preserve">Приморский край                         </t>
  </si>
  <si>
    <t xml:space="preserve">Псковская область                       </t>
  </si>
  <si>
    <t xml:space="preserve">Республика Алтай                        </t>
  </si>
  <si>
    <t xml:space="preserve">Республика Бурятия                      </t>
  </si>
  <si>
    <t xml:space="preserve">Республика Дагестан                     </t>
  </si>
  <si>
    <t xml:space="preserve">Республика Ингушетия                    </t>
  </si>
  <si>
    <t xml:space="preserve">Республика Калмыкия                     </t>
  </si>
  <si>
    <t xml:space="preserve">Республика Карелия                      </t>
  </si>
  <si>
    <t xml:space="preserve">Республика Коми                         </t>
  </si>
  <si>
    <t xml:space="preserve">Республика Крым                         </t>
  </si>
  <si>
    <t xml:space="preserve">Республика Марий Эл                     </t>
  </si>
  <si>
    <t xml:space="preserve">Республика Мордовия                     </t>
  </si>
  <si>
    <t xml:space="preserve">Республика Тыва                         </t>
  </si>
  <si>
    <t xml:space="preserve">Республика Хакасия                      </t>
  </si>
  <si>
    <t xml:space="preserve">Ростовская область                      </t>
  </si>
  <si>
    <t xml:space="preserve">Рязанская область                       </t>
  </si>
  <si>
    <t xml:space="preserve">Самарская область                       </t>
  </si>
  <si>
    <t xml:space="preserve">Санкт-Петербург                         </t>
  </si>
  <si>
    <t xml:space="preserve">Саратовская область                     </t>
  </si>
  <si>
    <t xml:space="preserve">Сахалинская область                     </t>
  </si>
  <si>
    <t xml:space="preserve">Свердловская область                    </t>
  </si>
  <si>
    <t xml:space="preserve">Севастополь                             </t>
  </si>
  <si>
    <t xml:space="preserve">Смоленская область                      </t>
  </si>
  <si>
    <t xml:space="preserve">Ставропольский край                     </t>
  </si>
  <si>
    <t xml:space="preserve">Тамбовская область                      </t>
  </si>
  <si>
    <t xml:space="preserve">Тверская область                        </t>
  </si>
  <si>
    <t xml:space="preserve">Томская область                         </t>
  </si>
  <si>
    <t xml:space="preserve">Тульская область                        </t>
  </si>
  <si>
    <t xml:space="preserve">Ульяновская область                     </t>
  </si>
  <si>
    <t xml:space="preserve">Хабаровский край                        </t>
  </si>
  <si>
    <t xml:space="preserve">Челябинская область                     </t>
  </si>
  <si>
    <t xml:space="preserve">Чеченская Республика                    </t>
  </si>
  <si>
    <t xml:space="preserve">Ярославская область                     </t>
  </si>
  <si>
    <t>Среднее по полю x2</t>
  </si>
  <si>
    <t>Среднее по полю x4</t>
  </si>
  <si>
    <t>Среднее по полю x5</t>
  </si>
  <si>
    <t>Среднее по полю x6</t>
  </si>
  <si>
    <t>Среднее по полю x7</t>
  </si>
  <si>
    <t>Среднее по полю x8</t>
  </si>
  <si>
    <t>Среднее по полю x9</t>
  </si>
  <si>
    <t>Среднее по полю x3</t>
  </si>
  <si>
    <t>Названия столбцов</t>
  </si>
  <si>
    <t>Значения</t>
  </si>
  <si>
    <t>№ признака</t>
  </si>
  <si>
    <t>Наименование</t>
  </si>
  <si>
    <t>Численность населения на одну больничную койку</t>
  </si>
  <si>
    <t>Среднедуше-вые доходы населения</t>
  </si>
  <si>
    <t>невзвешенной средней связи</t>
  </si>
  <si>
    <t xml:space="preserve"> </t>
  </si>
  <si>
    <t>Результаты голосования по поправкам в Конституцию, % за</t>
  </si>
  <si>
    <t>Численность инвалидов по группе инвалидности на 100тыс.</t>
  </si>
  <si>
    <t>Задолженность по кредитам в Р, предоставленных кредитными организациями ф/л(сред)</t>
  </si>
  <si>
    <t>Кол-во преступлений экономической направленности, на 100тыс.</t>
  </si>
  <si>
    <t>Кол-во преступлений по ст. 290 (Дача взятки), на 100тыс.</t>
  </si>
  <si>
    <t>Уровень бедности, %</t>
  </si>
  <si>
    <t>Число мигрантов из-за пределов РФ,  на 100тыс.</t>
  </si>
  <si>
    <t xml:space="preserve"> Variable</t>
  </si>
  <si>
    <t>Analysis of Variance (Sheet1 in данные)</t>
  </si>
  <si>
    <t>Between</t>
  </si>
  <si>
    <t>df</t>
  </si>
  <si>
    <t>Within</t>
  </si>
  <si>
    <t>F</t>
  </si>
  <si>
    <t>signif.</t>
  </si>
  <si>
    <t>межгрупп</t>
  </si>
  <si>
    <t>внутригрупп</t>
  </si>
  <si>
    <t>взвеш ср</t>
  </si>
  <si>
    <t>взвешенной средней связи</t>
  </si>
  <si>
    <t>Невзвеш ср</t>
  </si>
  <si>
    <t>к-средних</t>
  </si>
  <si>
    <t>Среднее по полю х1</t>
  </si>
  <si>
    <t>О3_5</t>
  </si>
  <si>
    <t>О3_1</t>
  </si>
  <si>
    <t>О3_2</t>
  </si>
  <si>
    <t>О3_3</t>
  </si>
  <si>
    <t>О3_4</t>
  </si>
  <si>
    <t>О3_6</t>
  </si>
  <si>
    <t>max</t>
  </si>
  <si>
    <t>min</t>
  </si>
  <si>
    <t>ДА</t>
  </si>
  <si>
    <t>вкл</t>
  </si>
  <si>
    <t>искл</t>
  </si>
  <si>
    <t>Классиф ДА</t>
  </si>
  <si>
    <t>Классиф ДА2</t>
  </si>
  <si>
    <t>Класиф вкл</t>
  </si>
  <si>
    <t>Класиф вкл2</t>
  </si>
  <si>
    <t>Класиф искл</t>
  </si>
  <si>
    <t>Класиф искл2</t>
  </si>
  <si>
    <t>расстояние Махаланобиса</t>
  </si>
  <si>
    <t>1 класс</t>
  </si>
  <si>
    <t>2 класс</t>
  </si>
  <si>
    <t>3 класс</t>
  </si>
  <si>
    <t>4 класс</t>
  </si>
  <si>
    <t>5 класс</t>
  </si>
  <si>
    <t>6 класс</t>
  </si>
  <si>
    <t>Апосториорная вероятность</t>
  </si>
  <si>
    <t>1 класс.</t>
  </si>
  <si>
    <t>2 класс.</t>
  </si>
  <si>
    <t>3 класс.</t>
  </si>
  <si>
    <t>4 класс.</t>
  </si>
  <si>
    <t>5 класс.</t>
  </si>
  <si>
    <t>6 класс.</t>
  </si>
  <si>
    <t xml:space="preserve">Расстояние Махаланобиса вкл
</t>
  </si>
  <si>
    <t>1 класс вкл</t>
  </si>
  <si>
    <t>2 класс вкл</t>
  </si>
  <si>
    <t>3 класс вкл</t>
  </si>
  <si>
    <t>4 класс вкл</t>
  </si>
  <si>
    <t>5 класс вкл</t>
  </si>
  <si>
    <t>6 класс вкл</t>
  </si>
  <si>
    <t>Апосториорная вероятность вкл</t>
  </si>
  <si>
    <t>1 класс вкл.</t>
  </si>
  <si>
    <t>2 класс вкл.</t>
  </si>
  <si>
    <t>3 класс вкл.</t>
  </si>
  <si>
    <t>4 класс вкл.</t>
  </si>
  <si>
    <t>5 класс вкл.</t>
  </si>
  <si>
    <t>6 класс вкл.</t>
  </si>
  <si>
    <t>Расстояние Махаланобиса искл</t>
  </si>
  <si>
    <t>1 класс искл</t>
  </si>
  <si>
    <t>2 класс искл</t>
  </si>
  <si>
    <t>3 класс искл</t>
  </si>
  <si>
    <t>4 класс искл</t>
  </si>
  <si>
    <t>5 класс искл</t>
  </si>
  <si>
    <t>6 класс искл</t>
  </si>
  <si>
    <t>Апосториорная вероятность искл</t>
  </si>
  <si>
    <t>1 класс искл.</t>
  </si>
  <si>
    <t>2 класс искл.</t>
  </si>
  <si>
    <t>3 класс искл.</t>
  </si>
  <si>
    <t>4 класс искл.</t>
  </si>
  <si>
    <t>5 класс искл.</t>
  </si>
  <si>
    <t>6 класс искл.</t>
  </si>
  <si>
    <t>Обуч выборка</t>
  </si>
  <si>
    <t>Точность:</t>
  </si>
  <si>
    <t>обуч выборка2</t>
  </si>
  <si>
    <t>значения оценок собст чисел</t>
  </si>
  <si>
    <t>кр1</t>
  </si>
  <si>
    <t>кр2</t>
  </si>
  <si>
    <t>ɑ</t>
  </si>
  <si>
    <t>k</t>
  </si>
  <si>
    <t>соответствие ДА</t>
  </si>
  <si>
    <t>соотв расс М</t>
  </si>
  <si>
    <t>соотв ап вер</t>
  </si>
  <si>
    <t xml:space="preserve">Соотв ДА вкл </t>
  </si>
  <si>
    <t>Соотв расс М вкл</t>
  </si>
  <si>
    <t>Соотв ап вер вкл</t>
  </si>
  <si>
    <t>соотв ДА искл</t>
  </si>
  <si>
    <t>соотв расс М искл</t>
  </si>
  <si>
    <t>Соотв ап вер искл</t>
  </si>
  <si>
    <t>набл. значение</t>
  </si>
  <si>
    <t>левая граница</t>
  </si>
  <si>
    <t>значение оценок собств чисел</t>
  </si>
  <si>
    <t>правая граница</t>
  </si>
  <si>
    <t>u=</t>
  </si>
  <si>
    <t>5;7</t>
  </si>
  <si>
    <t>I3=</t>
  </si>
  <si>
    <t>I2=</t>
  </si>
  <si>
    <t>5;6</t>
  </si>
  <si>
    <t>Главная компонента 1 (Экономическая устойчивость и преступность)</t>
  </si>
  <si>
    <t>Главная компонента 2 (Здравоохранение и борьба с коррупцией)</t>
  </si>
  <si>
    <t>Количество</t>
  </si>
  <si>
    <t>Среднее по полю Главная компонента 1 (Экономическая устойчивость и преступность)</t>
  </si>
  <si>
    <t>Среднее по полю Главная компонента 2 (Здравоохранение и борьба с коррупцией)</t>
  </si>
  <si>
    <t>пересчитанная левая граница</t>
  </si>
  <si>
    <t>пересчитанная правая граница</t>
  </si>
  <si>
    <t>область попадания</t>
  </si>
  <si>
    <t>Главная компонента 1 (Социально-экономическая устойчивость)</t>
  </si>
  <si>
    <t>Главная компонента 3 (число инвалидов)</t>
  </si>
  <si>
    <t>Суммарная общность</t>
  </si>
  <si>
    <t>итого:</t>
  </si>
  <si>
    <t>Фактор 1 (Экономическое состояние населения)</t>
  </si>
  <si>
    <t>Фактор 2 (Преступность)</t>
  </si>
  <si>
    <t>Уорд 3</t>
  </si>
  <si>
    <t>к-средних3</t>
  </si>
  <si>
    <t>Уорд 2</t>
  </si>
  <si>
    <t>к-средних 2</t>
  </si>
  <si>
    <t xml:space="preserve"> Уорд 2</t>
  </si>
  <si>
    <t>к-средних 3</t>
  </si>
  <si>
    <t xml:space="preserve"> Уорд 3</t>
  </si>
  <si>
    <t>1 класс py</t>
  </si>
  <si>
    <t>2 класс py</t>
  </si>
  <si>
    <t>3 класс  py</t>
  </si>
  <si>
    <t>4 класс py</t>
  </si>
  <si>
    <t>5 класс py</t>
  </si>
  <si>
    <t>6 класс  py</t>
  </si>
  <si>
    <t>1 класс py2</t>
  </si>
  <si>
    <t>2 класс py3</t>
  </si>
  <si>
    <t>3 класс  py4</t>
  </si>
  <si>
    <t>4 класс py5</t>
  </si>
  <si>
    <t>5 класс py6</t>
  </si>
  <si>
    <t>6 класс  py7</t>
  </si>
  <si>
    <t>Фактор 1</t>
  </si>
  <si>
    <t>Фактор 2</t>
  </si>
  <si>
    <t>PY</t>
  </si>
  <si>
    <t>ДА py</t>
  </si>
  <si>
    <t xml:space="preserve">вкл py </t>
  </si>
  <si>
    <t>искл py</t>
  </si>
  <si>
    <t>уорд py</t>
  </si>
  <si>
    <t>k py</t>
  </si>
  <si>
    <t>обуч выб</t>
  </si>
  <si>
    <t>2</t>
  </si>
  <si>
    <t>3</t>
  </si>
  <si>
    <t>1</t>
  </si>
  <si>
    <t>6</t>
  </si>
  <si>
    <t>4</t>
  </si>
  <si>
    <t>5</t>
  </si>
  <si>
    <t>обуч</t>
  </si>
  <si>
    <t>НС</t>
  </si>
  <si>
    <t>классификация НС</t>
  </si>
  <si>
    <t>точность НС</t>
  </si>
  <si>
    <t>точность:</t>
  </si>
  <si>
    <t>Кахонен</t>
  </si>
  <si>
    <t>Среднедушевые доходы населения</t>
  </si>
  <si>
    <t>ГК 1</t>
  </si>
  <si>
    <t>ГК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</si>
</sst>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"/>
    <numFmt numFmtId="166" formatCode="#,##0.00000"/>
    <numFmt numFmtId="167" formatCode="[=0]&quot;-    &quot;;#,##0.00000&quot;    &quot;"/>
    <numFmt numFmtId="168" formatCode="0.00000"/>
    <numFmt numFmtId="169" formatCode="0.000000"/>
    <numFmt numFmtId="170" formatCode="0.0000"/>
    <numFmt numFmtId="171" formatCode="0.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8"/>
      <name val="Calibri"/>
      <family val="2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0"/>
      <color indexed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1"/>
      <color theme="1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0"/>
      <color indexed="10"/>
      <name val="Arial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/>
      </top>
      <bottom/>
      <diagonal/>
    </border>
  </borders>
  <cellStyleXfs count="1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9" fontId="19" fillId="0" borderId="0" applyFont="0" applyFill="0" applyBorder="0" applyAlignment="0" applyProtection="0"/>
    <xf numFmtId="0" fontId="20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</cellStyleXfs>
  <cellXfs count="286">
    <xf numFmtId="0" fontId="0" fillId="0" borderId="0" xfId="0"/>
    <xf numFmtId="0" fontId="3" fillId="0" borderId="0" xfId="0" applyFont="1"/>
    <xf numFmtId="0" fontId="0" fillId="0" borderId="1" xfId="0" applyBorder="1"/>
    <xf numFmtId="0" fontId="5" fillId="0" borderId="1" xfId="2" applyNumberFormat="1" applyFont="1" applyFill="1" applyBorder="1" applyAlignment="1">
      <alignment horizontal="right" vertical="center"/>
    </xf>
    <xf numFmtId="0" fontId="0" fillId="0" borderId="7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3" applyNumberFormat="1" applyFont="1" applyFill="1" applyBorder="1" applyAlignment="1">
      <alignment horizontal="right" vertical="center"/>
    </xf>
    <xf numFmtId="0" fontId="2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5" fillId="2" borderId="1" xfId="2" applyNumberFormat="1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5" fillId="0" borderId="1" xfId="3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3" fillId="0" borderId="1" xfId="0" applyNumberFormat="1" applyFont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5" fillId="0" borderId="1" xfId="2" applyNumberFormat="1" applyFont="1" applyFill="1" applyBorder="1" applyAlignment="1">
      <alignment horizontal="center" vertical="center"/>
    </xf>
    <xf numFmtId="164" fontId="2" fillId="0" borderId="1" xfId="0" applyNumberFormat="1" applyFont="1" applyBorder="1"/>
    <xf numFmtId="0" fontId="5" fillId="0" borderId="1" xfId="0" applyNumberFormat="1" applyFont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lef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0" borderId="1" xfId="2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64" fontId="12" fillId="0" borderId="1" xfId="0" applyNumberFormat="1" applyFont="1" applyBorder="1" applyAlignment="1">
      <alignment horizontal="center"/>
    </xf>
    <xf numFmtId="166" fontId="13" fillId="0" borderId="1" xfId="0" applyNumberFormat="1" applyFont="1" applyBorder="1" applyAlignment="1">
      <alignment horizontal="center"/>
    </xf>
    <xf numFmtId="0" fontId="15" fillId="0" borderId="1" xfId="0" applyNumberFormat="1" applyFont="1" applyBorder="1" applyAlignment="1">
      <alignment horizontal="center" vertical="center"/>
    </xf>
    <xf numFmtId="0" fontId="15" fillId="5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 applyProtection="1">
      <alignment horizontal="center" vertical="center"/>
    </xf>
    <xf numFmtId="0" fontId="15" fillId="5" borderId="1" xfId="0" applyNumberFormat="1" applyFont="1" applyFill="1" applyBorder="1" applyAlignment="1" applyProtection="1">
      <alignment horizontal="center" vertical="center"/>
    </xf>
    <xf numFmtId="0" fontId="12" fillId="5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5" fillId="0" borderId="1" xfId="0" applyNumberFormat="1" applyFont="1" applyBorder="1" applyAlignment="1">
      <alignment horizontal="left" vertical="center"/>
    </xf>
    <xf numFmtId="0" fontId="15" fillId="0" borderId="1" xfId="0" applyNumberFormat="1" applyFont="1" applyFill="1" applyBorder="1" applyAlignment="1" applyProtection="1">
      <alignment horizontal="left" vertical="center"/>
    </xf>
    <xf numFmtId="0" fontId="9" fillId="6" borderId="1" xfId="2" applyFont="1" applyFill="1" applyBorder="1" applyAlignment="1">
      <alignment horizontal="left" vertical="center"/>
    </xf>
    <xf numFmtId="0" fontId="9" fillId="6" borderId="1" xfId="2" applyFont="1" applyFill="1" applyBorder="1" applyAlignment="1">
      <alignment horizontal="center" vertical="center"/>
    </xf>
    <xf numFmtId="0" fontId="10" fillId="6" borderId="1" xfId="2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 wrapText="1"/>
    </xf>
    <xf numFmtId="165" fontId="14" fillId="0" borderId="1" xfId="0" applyNumberFormat="1" applyFont="1" applyFill="1" applyBorder="1" applyAlignment="1">
      <alignment horizontal="center"/>
    </xf>
    <xf numFmtId="167" fontId="14" fillId="0" borderId="1" xfId="5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2" fontId="12" fillId="0" borderId="1" xfId="0" applyNumberFormat="1" applyFont="1" applyBorder="1" applyAlignment="1">
      <alignment horizontal="center" wrapText="1"/>
    </xf>
    <xf numFmtId="4" fontId="13" fillId="0" borderId="1" xfId="0" applyNumberFormat="1" applyFont="1" applyBorder="1" applyAlignment="1">
      <alignment horizontal="center"/>
    </xf>
    <xf numFmtId="166" fontId="14" fillId="0" borderId="1" xfId="0" applyNumberFormat="1" applyFont="1" applyFill="1" applyBorder="1" applyAlignment="1">
      <alignment horizontal="center" wrapText="1"/>
    </xf>
    <xf numFmtId="2" fontId="14" fillId="0" borderId="1" xfId="0" applyNumberFormat="1" applyFont="1" applyFill="1" applyBorder="1" applyAlignment="1">
      <alignment horizontal="center"/>
    </xf>
    <xf numFmtId="0" fontId="5" fillId="0" borderId="1" xfId="7" applyNumberFormat="1" applyFont="1" applyBorder="1" applyAlignment="1">
      <alignment horizontal="left" vertical="center"/>
    </xf>
    <xf numFmtId="0" fontId="5" fillId="0" borderId="1" xfId="7" applyNumberFormat="1" applyFont="1" applyBorder="1" applyAlignment="1">
      <alignment horizontal="right" vertical="center"/>
    </xf>
    <xf numFmtId="0" fontId="5" fillId="0" borderId="1" xfId="0" applyNumberFormat="1" applyFont="1" applyFill="1" applyBorder="1" applyAlignment="1">
      <alignment horizontal="right" vertical="center"/>
    </xf>
    <xf numFmtId="0" fontId="0" fillId="0" borderId="0" xfId="0" applyFill="1"/>
    <xf numFmtId="0" fontId="0" fillId="0" borderId="1" xfId="0" applyFill="1" applyBorder="1"/>
    <xf numFmtId="0" fontId="6" fillId="0" borderId="1" xfId="3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right" vertical="center"/>
    </xf>
    <xf numFmtId="0" fontId="4" fillId="0" borderId="1" xfId="7" applyBorder="1"/>
    <xf numFmtId="0" fontId="5" fillId="0" borderId="1" xfId="7" applyNumberFormat="1" applyFont="1" applyBorder="1" applyAlignment="1">
      <alignment horizontal="center" vertical="top" wrapText="1"/>
    </xf>
    <xf numFmtId="0" fontId="4" fillId="0" borderId="1" xfId="8" applyBorder="1"/>
    <xf numFmtId="0" fontId="5" fillId="0" borderId="1" xfId="8" applyNumberFormat="1" applyFont="1" applyBorder="1" applyAlignment="1">
      <alignment horizontal="center" vertical="top" wrapText="1"/>
    </xf>
    <xf numFmtId="0" fontId="5" fillId="0" borderId="1" xfId="8" applyNumberFormat="1" applyFont="1" applyBorder="1" applyAlignment="1">
      <alignment horizontal="left" vertical="center"/>
    </xf>
    <xf numFmtId="0" fontId="5" fillId="0" borderId="1" xfId="8" applyNumberFormat="1" applyFont="1" applyBorder="1" applyAlignment="1">
      <alignment horizontal="right" vertical="center"/>
    </xf>
    <xf numFmtId="0" fontId="5" fillId="0" borderId="2" xfId="4" applyNumberFormat="1" applyFont="1" applyFill="1" applyBorder="1" applyAlignment="1">
      <alignment horizontal="right" vertical="center"/>
    </xf>
    <xf numFmtId="0" fontId="5" fillId="0" borderId="6" xfId="4" applyNumberFormat="1" applyFont="1" applyFill="1" applyBorder="1" applyAlignment="1">
      <alignment horizontal="right" vertical="center"/>
    </xf>
    <xf numFmtId="0" fontId="5" fillId="0" borderId="2" xfId="0" applyNumberFormat="1" applyFont="1" applyFill="1" applyBorder="1" applyAlignment="1">
      <alignment horizontal="right" vertical="center"/>
    </xf>
    <xf numFmtId="0" fontId="5" fillId="0" borderId="6" xfId="0" applyNumberFormat="1" applyFont="1" applyFill="1" applyBorder="1" applyAlignment="1" applyProtection="1">
      <alignment horizontal="right" vertical="center"/>
    </xf>
    <xf numFmtId="0" fontId="5" fillId="0" borderId="1" xfId="6" applyNumberFormat="1" applyFont="1" applyBorder="1" applyAlignment="1">
      <alignment horizontal="left" vertical="center"/>
    </xf>
    <xf numFmtId="0" fontId="5" fillId="0" borderId="1" xfId="6" applyNumberFormat="1" applyFont="1" applyBorder="1" applyAlignment="1">
      <alignment horizontal="right" vertical="center"/>
    </xf>
    <xf numFmtId="0" fontId="4" fillId="0" borderId="1" xfId="6" applyBorder="1" applyAlignment="1">
      <alignment horizontal="center" vertical="center"/>
    </xf>
    <xf numFmtId="0" fontId="6" fillId="0" borderId="5" xfId="6" applyNumberFormat="1" applyFont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5" fillId="0" borderId="4" xfId="1" applyNumberFormat="1" applyFont="1" applyFill="1" applyBorder="1" applyAlignment="1">
      <alignment horizontal="center" vertical="center" wrapText="1"/>
    </xf>
    <xf numFmtId="164" fontId="5" fillId="0" borderId="4" xfId="1" applyNumberFormat="1" applyFont="1" applyFill="1" applyBorder="1" applyAlignment="1">
      <alignment horizontal="right" vertical="center"/>
    </xf>
    <xf numFmtId="164" fontId="5" fillId="0" borderId="2" xfId="1" applyNumberFormat="1" applyFont="1" applyFill="1" applyBorder="1" applyAlignment="1">
      <alignment horizontal="right" vertical="center"/>
    </xf>
    <xf numFmtId="164" fontId="5" fillId="0" borderId="6" xfId="1" applyNumberFormat="1" applyFont="1" applyFill="1" applyBorder="1" applyAlignment="1">
      <alignment horizontal="right" vertical="center"/>
    </xf>
    <xf numFmtId="164" fontId="5" fillId="0" borderId="6" xfId="0" applyNumberFormat="1" applyFont="1" applyFill="1" applyBorder="1" applyAlignment="1" applyProtection="1">
      <alignment horizontal="right" vertical="center"/>
    </xf>
    <xf numFmtId="0" fontId="4" fillId="0" borderId="1" xfId="1" applyBorder="1"/>
    <xf numFmtId="0" fontId="5" fillId="0" borderId="1" xfId="1" applyNumberFormat="1" applyFont="1" applyBorder="1" applyAlignment="1">
      <alignment horizontal="center" vertical="center" wrapText="1"/>
    </xf>
    <xf numFmtId="0" fontId="5" fillId="0" borderId="1" xfId="1" applyNumberFormat="1" applyFont="1" applyBorder="1" applyAlignment="1">
      <alignment horizontal="left" vertical="center"/>
    </xf>
    <xf numFmtId="0" fontId="5" fillId="0" borderId="1" xfId="9" applyNumberFormat="1" applyFont="1" applyBorder="1" applyAlignment="1">
      <alignment horizontal="right" vertical="center"/>
    </xf>
    <xf numFmtId="1" fontId="5" fillId="0" borderId="1" xfId="9" applyNumberFormat="1" applyFont="1" applyBorder="1" applyAlignment="1">
      <alignment horizontal="right" vertical="center"/>
    </xf>
    <xf numFmtId="1" fontId="5" fillId="0" borderId="1" xfId="0" applyNumberFormat="1" applyFont="1" applyFill="1" applyBorder="1" applyAlignment="1" applyProtection="1">
      <alignment horizontal="right" vertical="center"/>
    </xf>
    <xf numFmtId="0" fontId="5" fillId="0" borderId="1" xfId="9" applyNumberFormat="1" applyFont="1" applyBorder="1" applyAlignment="1">
      <alignment horizontal="center" vertical="top" wrapText="1"/>
    </xf>
    <xf numFmtId="0" fontId="5" fillId="0" borderId="1" xfId="9" applyNumberFormat="1" applyFont="1" applyFill="1" applyBorder="1" applyAlignment="1">
      <alignment horizontal="center" vertical="top" wrapText="1"/>
    </xf>
    <xf numFmtId="0" fontId="5" fillId="0" borderId="1" xfId="9" applyNumberFormat="1" applyFont="1" applyBorder="1" applyAlignment="1">
      <alignment horizontal="left" vertical="center"/>
    </xf>
    <xf numFmtId="168" fontId="5" fillId="0" borderId="1" xfId="9" applyNumberFormat="1" applyFont="1" applyBorder="1" applyAlignment="1">
      <alignment horizontal="right" vertical="center"/>
    </xf>
    <xf numFmtId="169" fontId="5" fillId="0" borderId="1" xfId="9" applyNumberFormat="1" applyFont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center"/>
    </xf>
    <xf numFmtId="0" fontId="4" fillId="0" borderId="1" xfId="7" applyBorder="1" applyAlignment="1">
      <alignment horizontal="center" vertical="center"/>
    </xf>
    <xf numFmtId="0" fontId="4" fillId="0" borderId="1" xfId="7" applyFill="1" applyBorder="1" applyAlignment="1">
      <alignment horizontal="center" vertical="center"/>
    </xf>
    <xf numFmtId="0" fontId="5" fillId="0" borderId="1" xfId="7" applyNumberFormat="1" applyFont="1" applyFill="1" applyBorder="1" applyAlignment="1">
      <alignment horizontal="center" vertical="center" wrapText="1"/>
    </xf>
    <xf numFmtId="168" fontId="17" fillId="0" borderId="0" xfId="10" applyNumberFormat="1" applyFont="1" applyAlignment="1">
      <alignment horizontal="right" vertical="center"/>
    </xf>
    <xf numFmtId="170" fontId="17" fillId="0" borderId="0" xfId="10" applyNumberFormat="1" applyFont="1" applyAlignment="1">
      <alignment horizontal="right" vertical="center"/>
    </xf>
    <xf numFmtId="169" fontId="17" fillId="0" borderId="0" xfId="10" applyNumberFormat="1" applyFont="1" applyAlignment="1">
      <alignment horizontal="right" vertical="center"/>
    </xf>
    <xf numFmtId="2" fontId="17" fillId="0" borderId="0" xfId="10" applyNumberFormat="1" applyFont="1" applyAlignment="1">
      <alignment horizontal="right" vertical="center"/>
    </xf>
    <xf numFmtId="168" fontId="0" fillId="2" borderId="0" xfId="0" applyNumberFormat="1" applyFill="1"/>
    <xf numFmtId="168" fontId="0" fillId="7" borderId="0" xfId="0" applyNumberFormat="1" applyFill="1"/>
    <xf numFmtId="168" fontId="17" fillId="7" borderId="0" xfId="10" applyNumberFormat="1" applyFont="1" applyFill="1" applyAlignment="1">
      <alignment horizontal="right" vertical="center"/>
    </xf>
    <xf numFmtId="170" fontId="17" fillId="7" borderId="0" xfId="10" applyNumberFormat="1" applyFont="1" applyFill="1" applyAlignment="1">
      <alignment horizontal="right" vertical="center"/>
    </xf>
    <xf numFmtId="169" fontId="17" fillId="7" borderId="0" xfId="10" applyNumberFormat="1" applyFont="1" applyFill="1" applyAlignment="1">
      <alignment horizontal="right" vertical="center"/>
    </xf>
    <xf numFmtId="2" fontId="17" fillId="7" borderId="0" xfId="10" applyNumberFormat="1" applyFont="1" applyFill="1" applyAlignment="1">
      <alignment horizontal="right" vertical="center"/>
    </xf>
    <xf numFmtId="168" fontId="17" fillId="2" borderId="0" xfId="10" applyNumberFormat="1" applyFont="1" applyFill="1" applyAlignment="1">
      <alignment horizontal="right" vertical="center"/>
    </xf>
    <xf numFmtId="170" fontId="17" fillId="2" borderId="0" xfId="10" applyNumberFormat="1" applyFont="1" applyFill="1" applyAlignment="1">
      <alignment horizontal="right" vertical="center"/>
    </xf>
    <xf numFmtId="169" fontId="17" fillId="2" borderId="0" xfId="10" applyNumberFormat="1" applyFont="1" applyFill="1" applyAlignment="1">
      <alignment horizontal="right" vertical="center"/>
    </xf>
    <xf numFmtId="2" fontId="17" fillId="2" borderId="0" xfId="10" applyNumberFormat="1" applyFont="1" applyFill="1" applyAlignment="1">
      <alignment horizontal="right" vertical="center"/>
    </xf>
    <xf numFmtId="0" fontId="6" fillId="0" borderId="10" xfId="2" applyNumberFormat="1" applyFont="1" applyFill="1" applyBorder="1" applyAlignment="1">
      <alignment horizontal="center" vertical="center" wrapText="1"/>
    </xf>
    <xf numFmtId="0" fontId="5" fillId="0" borderId="3" xfId="2" applyNumberFormat="1" applyFont="1" applyFill="1" applyBorder="1" applyAlignment="1">
      <alignment horizontal="right" vertical="center"/>
    </xf>
    <xf numFmtId="0" fontId="5" fillId="0" borderId="3" xfId="0" applyNumberFormat="1" applyFont="1" applyBorder="1" applyAlignment="1">
      <alignment horizontal="right" vertical="center"/>
    </xf>
    <xf numFmtId="0" fontId="5" fillId="0" borderId="3" xfId="0" applyNumberFormat="1" applyFont="1" applyFill="1" applyBorder="1" applyAlignment="1" applyProtection="1">
      <alignment horizontal="right" vertical="center"/>
    </xf>
    <xf numFmtId="1" fontId="5" fillId="0" borderId="1" xfId="11" applyNumberFormat="1" applyFont="1" applyBorder="1" applyAlignment="1">
      <alignment horizontal="right" vertical="center"/>
    </xf>
    <xf numFmtId="164" fontId="5" fillId="0" borderId="1" xfId="11" applyNumberFormat="1" applyFont="1" applyBorder="1" applyAlignment="1">
      <alignment horizontal="right" vertical="center"/>
    </xf>
    <xf numFmtId="169" fontId="5" fillId="0" borderId="1" xfId="11" applyNumberFormat="1" applyFont="1" applyBorder="1" applyAlignment="1">
      <alignment horizontal="right" vertical="center"/>
    </xf>
    <xf numFmtId="170" fontId="5" fillId="0" borderId="1" xfId="11" applyNumberFormat="1" applyFont="1" applyBorder="1" applyAlignment="1">
      <alignment horizontal="right" vertical="center"/>
    </xf>
    <xf numFmtId="1" fontId="5" fillId="0" borderId="1" xfId="11" applyNumberFormat="1" applyFont="1" applyFill="1" applyBorder="1" applyAlignment="1">
      <alignment horizontal="right" vertical="center"/>
    </xf>
    <xf numFmtId="0" fontId="5" fillId="0" borderId="1" xfId="11" applyNumberFormat="1" applyFont="1" applyBorder="1" applyAlignment="1">
      <alignment horizontal="center" vertical="center" wrapText="1"/>
    </xf>
    <xf numFmtId="169" fontId="5" fillId="0" borderId="3" xfId="11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center" vertical="center"/>
    </xf>
    <xf numFmtId="164" fontId="18" fillId="0" borderId="1" xfId="3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right" vertical="center"/>
    </xf>
    <xf numFmtId="0" fontId="6" fillId="0" borderId="5" xfId="0" applyNumberFormat="1" applyFont="1" applyBorder="1" applyAlignment="1">
      <alignment horizontal="center" vertical="center" wrapText="1"/>
    </xf>
    <xf numFmtId="168" fontId="5" fillId="0" borderId="1" xfId="2" applyNumberFormat="1" applyFont="1" applyFill="1" applyBorder="1" applyAlignment="1">
      <alignment horizontal="right" vertical="center"/>
    </xf>
    <xf numFmtId="168" fontId="5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5" fillId="0" borderId="9" xfId="0" applyNumberFormat="1" applyFont="1" applyFill="1" applyBorder="1" applyAlignment="1" applyProtection="1">
      <alignment horizontal="left" vertical="center"/>
    </xf>
    <xf numFmtId="0" fontId="5" fillId="0" borderId="9" xfId="0" applyNumberFormat="1" applyFont="1" applyFill="1" applyBorder="1" applyAlignment="1" applyProtection="1">
      <alignment horizontal="right" vertical="center"/>
    </xf>
    <xf numFmtId="168" fontId="5" fillId="0" borderId="9" xfId="0" applyNumberFormat="1" applyFont="1" applyFill="1" applyBorder="1" applyAlignment="1" applyProtection="1">
      <alignment horizontal="right" vertical="center"/>
    </xf>
    <xf numFmtId="0" fontId="5" fillId="0" borderId="11" xfId="0" applyNumberFormat="1" applyFont="1" applyFill="1" applyBorder="1" applyAlignment="1" applyProtection="1">
      <alignment horizontal="right" vertical="center"/>
    </xf>
    <xf numFmtId="0" fontId="5" fillId="0" borderId="9" xfId="0" applyFont="1" applyFill="1" applyBorder="1" applyAlignment="1" applyProtection="1">
      <alignment horizontal="right" vertical="center"/>
    </xf>
    <xf numFmtId="0" fontId="5" fillId="0" borderId="11" xfId="0" applyFont="1" applyFill="1" applyBorder="1" applyAlignment="1" applyProtection="1">
      <alignment horizontal="right" vertical="center"/>
    </xf>
    <xf numFmtId="0" fontId="0" fillId="0" borderId="9" xfId="0" applyBorder="1"/>
    <xf numFmtId="0" fontId="0" fillId="0" borderId="5" xfId="0" applyBorder="1"/>
    <xf numFmtId="0" fontId="3" fillId="0" borderId="1" xfId="0" applyFont="1" applyBorder="1"/>
    <xf numFmtId="0" fontId="0" fillId="6" borderId="1" xfId="0" applyFill="1" applyBorder="1"/>
    <xf numFmtId="0" fontId="5" fillId="0" borderId="1" xfId="0" applyFont="1" applyFill="1" applyBorder="1" applyAlignment="1" applyProtection="1">
      <alignment horizontal="right" vertical="center"/>
    </xf>
    <xf numFmtId="0" fontId="5" fillId="0" borderId="2" xfId="7" applyNumberFormat="1" applyFont="1" applyBorder="1" applyAlignment="1">
      <alignment horizontal="left" vertical="center"/>
    </xf>
    <xf numFmtId="0" fontId="0" fillId="0" borderId="0" xfId="0" applyAlignment="1">
      <alignment wrapText="1"/>
    </xf>
    <xf numFmtId="0" fontId="6" fillId="8" borderId="1" xfId="2" applyNumberFormat="1" applyFont="1" applyFill="1" applyBorder="1" applyAlignment="1">
      <alignment horizontal="center" vertical="center" wrapText="1"/>
    </xf>
    <xf numFmtId="1" fontId="5" fillId="8" borderId="1" xfId="11" applyNumberFormat="1" applyFont="1" applyFill="1" applyBorder="1" applyAlignment="1">
      <alignment horizontal="right" vertical="center"/>
    </xf>
    <xf numFmtId="1" fontId="5" fillId="8" borderId="11" xfId="0" applyNumberFormat="1" applyFont="1" applyFill="1" applyBorder="1" applyAlignment="1" applyProtection="1">
      <alignment horizontal="right" vertical="center"/>
    </xf>
    <xf numFmtId="0" fontId="0" fillId="8" borderId="0" xfId="0" applyFill="1"/>
    <xf numFmtId="1" fontId="5" fillId="8" borderId="9" xfId="0" applyNumberFormat="1" applyFont="1" applyFill="1" applyBorder="1" applyAlignment="1" applyProtection="1">
      <alignment horizontal="right" vertical="center"/>
    </xf>
    <xf numFmtId="0" fontId="0" fillId="8" borderId="1" xfId="0" applyFill="1" applyBorder="1"/>
    <xf numFmtId="0" fontId="5" fillId="8" borderId="1" xfId="11" applyNumberFormat="1" applyFont="1" applyFill="1" applyBorder="1" applyAlignment="1">
      <alignment horizontal="center" vertical="center" wrapText="1"/>
    </xf>
    <xf numFmtId="0" fontId="3" fillId="8" borderId="1" xfId="0" applyFont="1" applyFill="1" applyBorder="1"/>
    <xf numFmtId="171" fontId="3" fillId="8" borderId="1" xfId="12" applyNumberFormat="1" applyFont="1" applyFill="1" applyBorder="1"/>
    <xf numFmtId="0" fontId="3" fillId="0" borderId="1" xfId="0" applyFont="1" applyFill="1" applyBorder="1"/>
    <xf numFmtId="9" fontId="3" fillId="8" borderId="1" xfId="12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169" fontId="21" fillId="0" borderId="1" xfId="1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3" xfId="0" applyFill="1" applyBorder="1" applyAlignment="1">
      <alignment horizontal="right"/>
    </xf>
    <xf numFmtId="0" fontId="0" fillId="0" borderId="10" xfId="0" applyBorder="1" applyAlignment="1">
      <alignment horizontal="right"/>
    </xf>
    <xf numFmtId="171" fontId="0" fillId="0" borderId="4" xfId="12" applyNumberFormat="1" applyFont="1" applyBorder="1" applyAlignment="1">
      <alignment horizontal="left"/>
    </xf>
    <xf numFmtId="0" fontId="0" fillId="0" borderId="3" xfId="0" applyBorder="1" applyAlignment="1">
      <alignment horizontal="right"/>
    </xf>
    <xf numFmtId="171" fontId="0" fillId="0" borderId="2" xfId="12" applyNumberFormat="1" applyFont="1" applyBorder="1" applyAlignment="1">
      <alignment horizontal="left"/>
    </xf>
    <xf numFmtId="0" fontId="0" fillId="6" borderId="2" xfId="0" applyFill="1" applyBorder="1" applyAlignment="1">
      <alignment horizontal="left"/>
    </xf>
    <xf numFmtId="0" fontId="4" fillId="0" borderId="4" xfId="7" applyBorder="1" applyAlignment="1">
      <alignment horizontal="center" vertical="center" wrapText="1"/>
    </xf>
    <xf numFmtId="0" fontId="4" fillId="0" borderId="5" xfId="7" applyFill="1" applyBorder="1" applyAlignment="1">
      <alignment horizontal="center" vertical="center" wrapText="1"/>
    </xf>
    <xf numFmtId="0" fontId="4" fillId="0" borderId="10" xfId="7" applyFill="1" applyBorder="1" applyAlignment="1">
      <alignment horizontal="center" vertical="center" wrapText="1"/>
    </xf>
    <xf numFmtId="0" fontId="5" fillId="0" borderId="0" xfId="14" applyNumberFormat="1" applyFont="1" applyAlignment="1">
      <alignment horizontal="right" vertical="center"/>
    </xf>
    <xf numFmtId="1" fontId="5" fillId="0" borderId="0" xfId="14" applyNumberFormat="1" applyFont="1" applyAlignment="1">
      <alignment horizontal="right" vertical="center"/>
    </xf>
    <xf numFmtId="0" fontId="5" fillId="0" borderId="6" xfId="0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center"/>
    </xf>
    <xf numFmtId="0" fontId="0" fillId="0" borderId="11" xfId="0" applyNumberFormat="1" applyBorder="1"/>
    <xf numFmtId="1" fontId="0" fillId="0" borderId="0" xfId="0" applyNumberFormat="1"/>
    <xf numFmtId="0" fontId="0" fillId="0" borderId="4" xfId="0" applyBorder="1"/>
    <xf numFmtId="0" fontId="3" fillId="4" borderId="1" xfId="0" applyFont="1" applyFill="1" applyBorder="1"/>
    <xf numFmtId="168" fontId="0" fillId="0" borderId="1" xfId="0" applyNumberFormat="1" applyBorder="1"/>
    <xf numFmtId="0" fontId="4" fillId="0" borderId="4" xfId="7" applyFill="1" applyBorder="1" applyAlignment="1">
      <alignment horizontal="center" vertical="center" wrapText="1"/>
    </xf>
    <xf numFmtId="0" fontId="0" fillId="0" borderId="6" xfId="0" applyNumberFormat="1" applyBorder="1"/>
    <xf numFmtId="0" fontId="0" fillId="0" borderId="2" xfId="0" applyBorder="1"/>
    <xf numFmtId="0" fontId="4" fillId="0" borderId="1" xfId="7" applyFill="1" applyBorder="1" applyAlignment="1">
      <alignment horizontal="center" vertical="center" wrapText="1"/>
    </xf>
    <xf numFmtId="168" fontId="5" fillId="0" borderId="1" xfId="14" applyNumberFormat="1" applyFont="1" applyBorder="1" applyAlignment="1">
      <alignment horizontal="right" vertical="center"/>
    </xf>
    <xf numFmtId="0" fontId="0" fillId="0" borderId="0" xfId="0" applyAlignment="1">
      <alignment horizontal="left" wrapText="1"/>
    </xf>
    <xf numFmtId="0" fontId="0" fillId="0" borderId="0" xfId="0" pivotButton="1" applyAlignment="1">
      <alignment wrapText="1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25" fillId="9" borderId="1" xfId="0" applyFont="1" applyFill="1" applyBorder="1" applyAlignment="1">
      <alignment horizontal="right" vertical="center"/>
    </xf>
    <xf numFmtId="0" fontId="4" fillId="0" borderId="1" xfId="7" applyBorder="1" applyAlignment="1">
      <alignment horizontal="center" vertical="center" wrapText="1"/>
    </xf>
    <xf numFmtId="0" fontId="5" fillId="0" borderId="1" xfId="14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NumberFormat="1" applyBorder="1"/>
    <xf numFmtId="1" fontId="5" fillId="0" borderId="1" xfId="14" applyNumberFormat="1" applyFont="1" applyBorder="1" applyAlignment="1">
      <alignment horizontal="right" vertical="center"/>
    </xf>
    <xf numFmtId="0" fontId="26" fillId="10" borderId="4" xfId="7" applyNumberFormat="1" applyFont="1" applyFill="1" applyBorder="1" applyAlignment="1">
      <alignment horizontal="center" vertical="center" wrapText="1"/>
    </xf>
    <xf numFmtId="0" fontId="5" fillId="0" borderId="6" xfId="7" applyNumberFormat="1" applyFont="1" applyBorder="1" applyAlignment="1">
      <alignment horizontal="left" vertical="center"/>
    </xf>
    <xf numFmtId="168" fontId="5" fillId="0" borderId="1" xfId="11" applyNumberFormat="1" applyFont="1" applyBorder="1" applyAlignment="1">
      <alignment horizontal="right" vertical="center"/>
    </xf>
    <xf numFmtId="168" fontId="24" fillId="0" borderId="1" xfId="15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164" fontId="0" fillId="0" borderId="1" xfId="0" applyNumberFormat="1" applyBorder="1"/>
    <xf numFmtId="164" fontId="3" fillId="0" borderId="1" xfId="0" applyNumberFormat="1" applyFont="1" applyBorder="1"/>
    <xf numFmtId="0" fontId="4" fillId="0" borderId="0" xfId="7" applyFill="1" applyBorder="1" applyAlignment="1">
      <alignment horizontal="center" vertical="center" wrapText="1"/>
    </xf>
    <xf numFmtId="1" fontId="5" fillId="0" borderId="0" xfId="14" applyNumberFormat="1" applyFont="1" applyBorder="1" applyAlignment="1">
      <alignment horizontal="right" vertical="center"/>
    </xf>
    <xf numFmtId="0" fontId="0" fillId="0" borderId="0" xfId="0" applyNumberFormat="1" applyBorder="1"/>
    <xf numFmtId="0" fontId="5" fillId="0" borderId="13" xfId="0" applyFont="1" applyBorder="1" applyAlignment="1">
      <alignment horizontal="left" vertical="center"/>
    </xf>
    <xf numFmtId="0" fontId="5" fillId="0" borderId="14" xfId="0" applyNumberFormat="1" applyFont="1" applyBorder="1" applyAlignment="1">
      <alignment horizontal="left" vertical="center"/>
    </xf>
    <xf numFmtId="0" fontId="0" fillId="0" borderId="12" xfId="0" applyNumberFormat="1" applyBorder="1"/>
    <xf numFmtId="0" fontId="5" fillId="0" borderId="0" xfId="16" applyNumberFormat="1" applyFont="1" applyAlignment="1">
      <alignment horizontal="right" vertical="center"/>
    </xf>
    <xf numFmtId="1" fontId="5" fillId="0" borderId="0" xfId="16" applyNumberFormat="1" applyFont="1" applyAlignment="1">
      <alignment horizontal="right" vertical="center"/>
    </xf>
    <xf numFmtId="0" fontId="6" fillId="4" borderId="1" xfId="2" applyNumberFormat="1" applyFont="1" applyFill="1" applyBorder="1" applyAlignment="1">
      <alignment horizontal="center" vertical="center" wrapText="1"/>
    </xf>
    <xf numFmtId="164" fontId="5" fillId="4" borderId="1" xfId="11" applyNumberFormat="1" applyFont="1" applyFill="1" applyBorder="1" applyAlignment="1">
      <alignment horizontal="right" vertical="center"/>
    </xf>
    <xf numFmtId="0" fontId="5" fillId="4" borderId="9" xfId="0" applyNumberFormat="1" applyFont="1" applyFill="1" applyBorder="1" applyAlignment="1" applyProtection="1">
      <alignment horizontal="right" vertical="center"/>
    </xf>
    <xf numFmtId="0" fontId="5" fillId="4" borderId="9" xfId="0" applyFont="1" applyFill="1" applyBorder="1" applyAlignment="1" applyProtection="1">
      <alignment horizontal="right" vertical="center"/>
    </xf>
    <xf numFmtId="0" fontId="0" fillId="4" borderId="1" xfId="0" applyFill="1" applyBorder="1"/>
    <xf numFmtId="170" fontId="5" fillId="4" borderId="1" xfId="11" applyNumberFormat="1" applyFont="1" applyFill="1" applyBorder="1" applyAlignment="1">
      <alignment horizontal="right" vertical="center"/>
    </xf>
    <xf numFmtId="0" fontId="27" fillId="0" borderId="1" xfId="0" applyFont="1" applyBorder="1"/>
    <xf numFmtId="164" fontId="28" fillId="0" borderId="1" xfId="0" applyNumberFormat="1" applyFont="1" applyFill="1" applyBorder="1" applyAlignment="1">
      <alignment horizontal="center" vertical="center"/>
    </xf>
    <xf numFmtId="164" fontId="27" fillId="0" borderId="1" xfId="0" applyNumberFormat="1" applyFont="1" applyFill="1" applyBorder="1" applyAlignment="1">
      <alignment horizontal="center" vertical="center"/>
    </xf>
    <xf numFmtId="164" fontId="27" fillId="0" borderId="1" xfId="0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5" fillId="0" borderId="3" xfId="2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0" fontId="6" fillId="6" borderId="12" xfId="2" applyNumberFormat="1" applyFont="1" applyFill="1" applyBorder="1" applyAlignment="1">
      <alignment horizontal="center" vertical="center" wrapText="1"/>
    </xf>
    <xf numFmtId="0" fontId="10" fillId="6" borderId="14" xfId="2" applyNumberFormat="1" applyFont="1" applyFill="1" applyBorder="1" applyAlignment="1">
      <alignment horizontal="center" vertical="center" wrapText="1"/>
    </xf>
    <xf numFmtId="0" fontId="10" fillId="6" borderId="3" xfId="2" applyNumberFormat="1" applyFont="1" applyFill="1" applyBorder="1" applyAlignment="1">
      <alignment horizontal="center" vertical="center" wrapText="1"/>
    </xf>
    <xf numFmtId="0" fontId="5" fillId="0" borderId="3" xfId="7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5" fillId="0" borderId="0" xfId="17" applyNumberFormat="1" applyFont="1" applyFill="1" applyBorder="1" applyAlignment="1" applyProtection="1">
      <alignment horizontal="right" vertical="center"/>
    </xf>
    <xf numFmtId="0" fontId="10" fillId="6" borderId="1" xfId="2" applyNumberFormat="1" applyFont="1" applyFill="1" applyBorder="1" applyAlignment="1">
      <alignment horizontal="center" vertical="center"/>
    </xf>
    <xf numFmtId="1" fontId="5" fillId="0" borderId="1" xfId="18" applyNumberFormat="1" applyFont="1" applyFill="1" applyBorder="1" applyAlignment="1" applyProtection="1">
      <alignment horizontal="right" vertical="center"/>
    </xf>
    <xf numFmtId="1" fontId="29" fillId="0" borderId="1" xfId="18" applyNumberFormat="1" applyFont="1" applyFill="1" applyBorder="1" applyAlignment="1" applyProtection="1">
      <alignment horizontal="right" vertical="center"/>
    </xf>
    <xf numFmtId="1" fontId="6" fillId="6" borderId="1" xfId="18" applyNumberFormat="1" applyFont="1" applyFill="1" applyBorder="1" applyAlignment="1" applyProtection="1">
      <alignment horizontal="right" vertical="center"/>
    </xf>
    <xf numFmtId="9" fontId="3" fillId="6" borderId="1" xfId="12" applyFont="1" applyFill="1" applyBorder="1"/>
    <xf numFmtId="164" fontId="0" fillId="0" borderId="1" xfId="0" applyNumberFormat="1" applyBorder="1" applyAlignment="1">
      <alignment horizontal="center"/>
    </xf>
    <xf numFmtId="1" fontId="5" fillId="0" borderId="0" xfId="11" applyNumberFormat="1" applyFont="1" applyFill="1" applyBorder="1" applyAlignment="1" applyProtection="1">
      <alignment horizontal="right" vertical="center"/>
    </xf>
    <xf numFmtId="1" fontId="5" fillId="0" borderId="3" xfId="11" applyNumberFormat="1" applyFont="1" applyFill="1" applyBorder="1" applyAlignment="1" applyProtection="1">
      <alignment horizontal="right" vertical="center"/>
    </xf>
    <xf numFmtId="0" fontId="12" fillId="0" borderId="1" xfId="0" applyNumberFormat="1" applyFont="1" applyBorder="1" applyAlignment="1">
      <alignment horizontal="center" wrapText="1"/>
    </xf>
    <xf numFmtId="0" fontId="12" fillId="0" borderId="1" xfId="0" applyNumberFormat="1" applyFont="1" applyBorder="1" applyAlignment="1">
      <alignment horizontal="center"/>
    </xf>
    <xf numFmtId="0" fontId="13" fillId="0" borderId="1" xfId="0" applyNumberFormat="1" applyFont="1" applyBorder="1" applyAlignment="1">
      <alignment horizontal="center"/>
    </xf>
    <xf numFmtId="0" fontId="14" fillId="0" borderId="1" xfId="0" applyNumberFormat="1" applyFont="1" applyFill="1" applyBorder="1" applyAlignment="1">
      <alignment horizontal="center" wrapText="1"/>
    </xf>
    <xf numFmtId="0" fontId="14" fillId="0" borderId="1" xfId="0" applyNumberFormat="1" applyFont="1" applyFill="1" applyBorder="1" applyAlignment="1">
      <alignment horizontal="center"/>
    </xf>
    <xf numFmtId="0" fontId="14" fillId="0" borderId="1" xfId="5" applyNumberFormat="1" applyFont="1" applyFill="1" applyBorder="1" applyAlignment="1">
      <alignment horizontal="center"/>
    </xf>
    <xf numFmtId="0" fontId="5" fillId="0" borderId="1" xfId="7" applyNumberFormat="1" applyFont="1" applyBorder="1" applyAlignment="1">
      <alignment horizontal="center" vertical="center"/>
    </xf>
    <xf numFmtId="2" fontId="9" fillId="6" borderId="1" xfId="2" applyNumberFormat="1" applyFont="1" applyFill="1" applyBorder="1" applyAlignment="1">
      <alignment horizontal="left" vertical="center"/>
    </xf>
    <xf numFmtId="2" fontId="9" fillId="6" borderId="1" xfId="2" applyNumberFormat="1" applyFont="1" applyFill="1" applyBorder="1" applyAlignment="1">
      <alignment horizontal="center" vertical="center"/>
    </xf>
    <xf numFmtId="2" fontId="10" fillId="6" borderId="1" xfId="2" applyNumberFormat="1" applyFont="1" applyFill="1" applyBorder="1" applyAlignment="1">
      <alignment horizontal="center" vertical="center" wrapText="1"/>
    </xf>
    <xf numFmtId="2" fontId="11" fillId="6" borderId="1" xfId="0" applyNumberFormat="1" applyFont="1" applyFill="1" applyBorder="1" applyAlignment="1">
      <alignment horizontal="center"/>
    </xf>
    <xf numFmtId="2" fontId="12" fillId="0" borderId="1" xfId="0" applyNumberFormat="1" applyFont="1" applyBorder="1" applyAlignment="1">
      <alignment horizontal="left"/>
    </xf>
    <xf numFmtId="2" fontId="12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4" fillId="0" borderId="1" xfId="0" applyNumberFormat="1" applyFont="1" applyFill="1" applyBorder="1" applyAlignment="1">
      <alignment horizontal="center" wrapText="1"/>
    </xf>
    <xf numFmtId="2" fontId="14" fillId="0" borderId="1" xfId="5" applyNumberFormat="1" applyFont="1" applyFill="1" applyBorder="1" applyAlignment="1">
      <alignment horizontal="center"/>
    </xf>
    <xf numFmtId="2" fontId="5" fillId="0" borderId="1" xfId="7" applyNumberFormat="1" applyFont="1" applyBorder="1" applyAlignment="1">
      <alignment horizontal="center" vertical="center"/>
    </xf>
    <xf numFmtId="0" fontId="5" fillId="0" borderId="14" xfId="0" applyFont="1" applyFill="1" applyBorder="1" applyAlignment="1" applyProtection="1">
      <alignment horizontal="right" vertical="center"/>
    </xf>
    <xf numFmtId="0" fontId="26" fillId="10" borderId="1" xfId="7" applyNumberFormat="1" applyFont="1" applyFill="1" applyBorder="1" applyAlignment="1">
      <alignment horizontal="center" vertical="center" wrapText="1"/>
    </xf>
    <xf numFmtId="0" fontId="5" fillId="0" borderId="1" xfId="16" applyNumberFormat="1" applyFont="1" applyBorder="1" applyAlignment="1">
      <alignment horizontal="right" vertical="center"/>
    </xf>
    <xf numFmtId="1" fontId="5" fillId="0" borderId="1" xfId="11" applyNumberFormat="1" applyFont="1" applyFill="1" applyBorder="1" applyAlignment="1" applyProtection="1">
      <alignment horizontal="right" vertical="center"/>
    </xf>
    <xf numFmtId="0" fontId="6" fillId="0" borderId="1" xfId="0" applyFont="1" applyBorder="1" applyAlignment="1">
      <alignment horizontal="left" vertical="center"/>
    </xf>
    <xf numFmtId="168" fontId="31" fillId="0" borderId="1" xfId="0" applyNumberFormat="1" applyFont="1" applyBorder="1"/>
    <xf numFmtId="0" fontId="12" fillId="0" borderId="15" xfId="0" applyFont="1" applyBorder="1" applyAlignment="1">
      <alignment horizontal="right" wrapText="1"/>
    </xf>
    <xf numFmtId="3" fontId="12" fillId="0" borderId="15" xfId="0" applyNumberFormat="1" applyFont="1" applyBorder="1" applyAlignment="1">
      <alignment horizontal="right" wrapText="1"/>
    </xf>
    <xf numFmtId="165" fontId="30" fillId="0" borderId="0" xfId="0" applyNumberFormat="1" applyFont="1" applyAlignment="1">
      <alignment horizontal="center"/>
    </xf>
    <xf numFmtId="0" fontId="5" fillId="0" borderId="16" xfId="2" applyNumberFormat="1" applyFont="1" applyBorder="1" applyAlignment="1">
      <alignment horizontal="right" vertical="center"/>
    </xf>
    <xf numFmtId="2" fontId="6" fillId="0" borderId="5" xfId="0" applyNumberFormat="1" applyFont="1" applyBorder="1" applyAlignment="1">
      <alignment horizontal="center" vertical="center" wrapText="1"/>
    </xf>
    <xf numFmtId="2" fontId="5" fillId="0" borderId="3" xfId="0" applyNumberFormat="1" applyFont="1" applyFill="1" applyBorder="1" applyAlignment="1" applyProtection="1">
      <alignment horizontal="right" vertical="center"/>
    </xf>
    <xf numFmtId="2" fontId="3" fillId="0" borderId="1" xfId="0" applyNumberFormat="1" applyFont="1" applyBorder="1"/>
    <xf numFmtId="2" fontId="0" fillId="0" borderId="1" xfId="0" applyNumberFormat="1" applyBorder="1"/>
    <xf numFmtId="1" fontId="5" fillId="0" borderId="0" xfId="2" applyNumberFormat="1" applyFont="1" applyFill="1" applyBorder="1" applyAlignment="1">
      <alignment horizontal="right" vertical="center"/>
    </xf>
    <xf numFmtId="1" fontId="5" fillId="0" borderId="3" xfId="2" applyNumberFormat="1" applyFont="1" applyFill="1" applyBorder="1" applyAlignment="1">
      <alignment horizontal="right" vertical="center"/>
    </xf>
    <xf numFmtId="1" fontId="5" fillId="0" borderId="3" xfId="0" applyNumberFormat="1" applyFont="1" applyBorder="1" applyAlignment="1">
      <alignment horizontal="right" vertical="center"/>
    </xf>
    <xf numFmtId="1" fontId="5" fillId="0" borderId="11" xfId="0" applyNumberFormat="1" applyFont="1" applyBorder="1" applyAlignment="1">
      <alignment horizontal="right" vertical="center"/>
    </xf>
    <xf numFmtId="0" fontId="6" fillId="10" borderId="1" xfId="0" applyNumberFormat="1" applyFont="1" applyFill="1" applyBorder="1" applyAlignment="1">
      <alignment horizontal="center" vertical="center" wrapText="1"/>
    </xf>
    <xf numFmtId="0" fontId="5" fillId="0" borderId="16" xfId="16" applyNumberFormat="1" applyFont="1" applyBorder="1" applyAlignment="1">
      <alignment horizontal="right" vertical="center"/>
    </xf>
    <xf numFmtId="0" fontId="31" fillId="0" borderId="1" xfId="0" applyNumberFormat="1" applyFont="1" applyBorder="1"/>
    <xf numFmtId="0" fontId="5" fillId="0" borderId="3" xfId="11" applyNumberFormat="1" applyFont="1" applyBorder="1" applyAlignment="1">
      <alignment horizontal="right" vertical="center"/>
    </xf>
    <xf numFmtId="0" fontId="5" fillId="0" borderId="16" xfId="11" applyNumberFormat="1" applyFont="1" applyBorder="1" applyAlignment="1">
      <alignment horizontal="right" vertical="center"/>
    </xf>
    <xf numFmtId="0" fontId="5" fillId="0" borderId="1" xfId="9" applyNumberFormat="1" applyFont="1" applyBorder="1" applyAlignment="1">
      <alignment horizontal="left"/>
    </xf>
    <xf numFmtId="0" fontId="4" fillId="0" borderId="1" xfId="9" applyBorder="1"/>
    <xf numFmtId="0" fontId="5" fillId="0" borderId="1" xfId="9" applyNumberFormat="1" applyFont="1" applyBorder="1" applyAlignment="1">
      <alignment horizontal="left" vertical="top"/>
    </xf>
    <xf numFmtId="0" fontId="6" fillId="0" borderId="12" xfId="2" applyNumberFormat="1" applyFont="1" applyFill="1" applyBorder="1" applyAlignment="1">
      <alignment horizontal="center" vertical="center" wrapText="1"/>
    </xf>
    <xf numFmtId="0" fontId="6" fillId="0" borderId="10" xfId="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</cellXfs>
  <cellStyles count="19">
    <cellStyle name="Обычный" xfId="0" builtinId="0"/>
    <cellStyle name="Обычный 2" xfId="5" xr:uid="{27F4D250-B4D1-462B-8168-5D61874F48F6}"/>
    <cellStyle name="Обычный_1" xfId="18" xr:uid="{ABC816BB-BC88-4C73-AB62-73861C4607AE}"/>
    <cellStyle name="Обычный_2" xfId="17" xr:uid="{C206EDAA-494A-474A-BF82-7C634D30F489}"/>
    <cellStyle name="Обычный_взвешен ср" xfId="7" xr:uid="{AB7F7303-4EF0-4D4A-A6D2-CBA15E07E144}"/>
    <cellStyle name="Обычный_Гл.компоненты" xfId="14" xr:uid="{ECA1AC6F-5595-4FFB-8BE0-540645815E91}"/>
    <cellStyle name="Обычный_итоги" xfId="11" xr:uid="{2086850F-B69E-48A4-99EB-9457613305A1}"/>
    <cellStyle name="Обычный_итоги_1" xfId="15" xr:uid="{50444BDE-FC60-4616-A4E0-36B750F042CE}"/>
    <cellStyle name="Обычный_к-средних" xfId="9" xr:uid="{85ED9E3E-E4A7-4F8E-A50F-09EB42BB2857}"/>
    <cellStyle name="Обычный_Лист1" xfId="10" xr:uid="{9F584C47-3C60-43B4-A7DD-9BDE3B0F8796}"/>
    <cellStyle name="Обычный_Лист3" xfId="1" xr:uid="{0A302E96-5E0B-48FC-B0F5-003B62D0070F}"/>
    <cellStyle name="Обычный_Лист3_1" xfId="13" xr:uid="{785C9857-BD2C-4167-A4F4-356A796DEC23}"/>
    <cellStyle name="Обычный_МГК и ФА" xfId="16" xr:uid="{16D40FA8-FFDF-4F93-ABB7-700FFDEA357C}"/>
    <cellStyle name="Обычный_невзвешеной ср" xfId="6" xr:uid="{5C956D8D-EE1C-4503-A90A-D634C938914A}"/>
    <cellStyle name="Обычный_невзвешеной ср2" xfId="4" xr:uid="{E2855DC2-3690-4B99-991E-42DD6F0CBEFD}"/>
    <cellStyle name="Обычный_полной2" xfId="2" xr:uid="{6E40254A-FC8A-413A-9E4B-68DB277CA104}"/>
    <cellStyle name="Обычный_Уорд" xfId="8" xr:uid="{E638D999-2AD2-4986-AA53-05B264625FC1}"/>
    <cellStyle name="Обычный_Уорд2" xfId="3" xr:uid="{DD12F1D6-47D8-47A7-B6DC-53FAE2072022}"/>
    <cellStyle name="Процентный" xfId="12" builtinId="5"/>
  </cellStyles>
  <dxfs count="429"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8" formatCode="0.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0.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9" formatCode="0.0000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9" formatCode="0.0000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9" formatCode="0.0000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9" formatCode="0.0000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9" formatCode="0.0000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70" formatCode="0.00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9" formatCode="0.0000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9" formatCode="0.0000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9" formatCode="0.0000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9" formatCode="0.0000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9" formatCode="0.0000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9" formatCode="0.000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4" formatCode="0.0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4" formatCode="0.0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4" formatCode="0.0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4" formatCode="0.0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4" formatCode="0.0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70" formatCode="0.0000"/>
      <fill>
        <patternFill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70" formatCode="0.0000"/>
      <fill>
        <patternFill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70" formatCode="0.0000"/>
      <fill>
        <patternFill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70" formatCode="0.0000"/>
      <fill>
        <patternFill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70" formatCode="0.0000"/>
      <fill>
        <patternFill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70" formatCode="0.0000"/>
      <fill>
        <patternFill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9" formatCode="0.0000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4" formatCode="0.0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4" formatCode="0.0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4" formatCode="0.0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4" formatCode="0.0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4" formatCode="0.0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4" formatCode="0.0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4" formatCode="0.0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none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8" formatCode="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8" formatCode="0.000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4" formatCode="0.0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средних значений по методу </a:t>
            </a:r>
          </a:p>
          <a:p>
            <a:pPr>
              <a:defRPr/>
            </a:pPr>
            <a:r>
              <a:rPr lang="ru-RU" sz="1800" b="0" i="0" baseline="0">
                <a:effectLst/>
              </a:rPr>
              <a:t>"взвешенной полной связи"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'взвешен ср'!$N$3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'взвешен ср'!$O$2:$W$2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'взвешен ср'!$O$3:$W$3</c:f>
              <c:numCache>
                <c:formatCode>0.000</c:formatCode>
                <c:ptCount val="9"/>
                <c:pt idx="0">
                  <c:v>-1.2545451999999999</c:v>
                </c:pt>
                <c:pt idx="1">
                  <c:v>1.7259112700000001</c:v>
                </c:pt>
                <c:pt idx="2">
                  <c:v>-0.71721293799999997</c:v>
                </c:pt>
                <c:pt idx="3">
                  <c:v>0.92777866700000011</c:v>
                </c:pt>
                <c:pt idx="4">
                  <c:v>6.8915327899999994</c:v>
                </c:pt>
                <c:pt idx="5">
                  <c:v>3.8590870500000003</c:v>
                </c:pt>
                <c:pt idx="6">
                  <c:v>3.06948211</c:v>
                </c:pt>
                <c:pt idx="7">
                  <c:v>-0.18112886799999997</c:v>
                </c:pt>
                <c:pt idx="8">
                  <c:v>1.3464929300000001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9-48AE-8797-191BD3D74937}"/>
            </c:ext>
          </c:extLst>
        </c:ser>
        <c:ser>
          <c:idx val="1"/>
          <c:order val="1"/>
          <c:tx>
            <c:strRef>
              <c:f>'взвешен ср'!$N$4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'взвешен ср'!$O$2:$W$2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'взвешен ср'!$O$4:$W$4</c:f>
              <c:numCache>
                <c:formatCode>0.000</c:formatCode>
                <c:ptCount val="9"/>
                <c:pt idx="0">
                  <c:v>0.28368628000000007</c:v>
                </c:pt>
                <c:pt idx="1">
                  <c:v>0.80494057800000007</c:v>
                </c:pt>
                <c:pt idx="2">
                  <c:v>-0.75382880100000016</c:v>
                </c:pt>
                <c:pt idx="3">
                  <c:v>1.1635767800000001</c:v>
                </c:pt>
                <c:pt idx="4">
                  <c:v>1.8638811200000001</c:v>
                </c:pt>
                <c:pt idx="5">
                  <c:v>3.1448461999999999</c:v>
                </c:pt>
                <c:pt idx="6">
                  <c:v>0.726178981</c:v>
                </c:pt>
                <c:pt idx="7">
                  <c:v>-1.10912528</c:v>
                </c:pt>
                <c:pt idx="8">
                  <c:v>6.3217913000000001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9-48AE-8797-191BD3D74937}"/>
            </c:ext>
          </c:extLst>
        </c:ser>
        <c:ser>
          <c:idx val="2"/>
          <c:order val="2"/>
          <c:tx>
            <c:strRef>
              <c:f>'взвешен ср'!$N$5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'взвешен ср'!$O$2:$W$2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'взвешен ср'!$O$5:$W$5</c:f>
              <c:numCache>
                <c:formatCode>0.000</c:formatCode>
                <c:ptCount val="9"/>
                <c:pt idx="0">
                  <c:v>1.0634920000000001</c:v>
                </c:pt>
                <c:pt idx="1">
                  <c:v>4.7301472100000002</c:v>
                </c:pt>
                <c:pt idx="2">
                  <c:v>0.27651410200000004</c:v>
                </c:pt>
                <c:pt idx="3">
                  <c:v>-2.2608627800000001</c:v>
                </c:pt>
                <c:pt idx="4">
                  <c:v>-0.7142291930000001</c:v>
                </c:pt>
                <c:pt idx="5">
                  <c:v>-0.69164751800000013</c:v>
                </c:pt>
                <c:pt idx="6">
                  <c:v>-0.8456277310000001</c:v>
                </c:pt>
                <c:pt idx="7">
                  <c:v>3.46611285</c:v>
                </c:pt>
                <c:pt idx="8">
                  <c:v>-0.77969863700000019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9-48AE-8797-191BD3D74937}"/>
            </c:ext>
          </c:extLst>
        </c:ser>
        <c:ser>
          <c:idx val="3"/>
          <c:order val="3"/>
          <c:tx>
            <c:strRef>
              <c:f>'взвешен ср'!$N$6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'взвешен ср'!$O$2:$W$2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'взвешен ср'!$O$6:$W$6</c:f>
              <c:numCache>
                <c:formatCode>0.000</c:formatCode>
                <c:ptCount val="9"/>
                <c:pt idx="0">
                  <c:v>0.5473188052857143</c:v>
                </c:pt>
                <c:pt idx="1">
                  <c:v>8.3783239571428567E-2</c:v>
                </c:pt>
                <c:pt idx="2">
                  <c:v>-0.56878774642857155</c:v>
                </c:pt>
                <c:pt idx="3">
                  <c:v>0.19701326628571428</c:v>
                </c:pt>
                <c:pt idx="4">
                  <c:v>0.79657614368571428</c:v>
                </c:pt>
                <c:pt idx="5">
                  <c:v>1.9087722337142858</c:v>
                </c:pt>
                <c:pt idx="6">
                  <c:v>2.4857748428571507E-2</c:v>
                </c:pt>
                <c:pt idx="7">
                  <c:v>-0.68366513157142861</c:v>
                </c:pt>
                <c:pt idx="8">
                  <c:v>0.89750111046857139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9-48AE-8797-191BD3D74937}"/>
            </c:ext>
          </c:extLst>
        </c:ser>
        <c:ser>
          <c:idx val="4"/>
          <c:order val="4"/>
          <c:tx>
            <c:strRef>
              <c:f>'взвешен ср'!$N$7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'взвешен ср'!$O$2:$W$2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'взвешен ср'!$O$7:$W$7</c:f>
              <c:numCache>
                <c:formatCode>0.000</c:formatCode>
                <c:ptCount val="9"/>
                <c:pt idx="0">
                  <c:v>-0.75310087162500006</c:v>
                </c:pt>
                <c:pt idx="1">
                  <c:v>-0.88247965000000006</c:v>
                </c:pt>
                <c:pt idx="2">
                  <c:v>0.17515717187500002</c:v>
                </c:pt>
                <c:pt idx="3">
                  <c:v>2.12604318125</c:v>
                </c:pt>
                <c:pt idx="4">
                  <c:v>-0.54678664943749999</c:v>
                </c:pt>
                <c:pt idx="5">
                  <c:v>-0.53349418662500014</c:v>
                </c:pt>
                <c:pt idx="6">
                  <c:v>2.4241274725000004</c:v>
                </c:pt>
                <c:pt idx="7">
                  <c:v>-0.78540560083750011</c:v>
                </c:pt>
                <c:pt idx="8">
                  <c:v>-0.14656659775000003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9-48AE-8797-191BD3D74937}"/>
            </c:ext>
          </c:extLst>
        </c:ser>
        <c:ser>
          <c:idx val="5"/>
          <c:order val="5"/>
          <c:tx>
            <c:strRef>
              <c:f>'взвешен ср'!$N$8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'взвешен ср'!$O$2:$W$2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'взвешен ср'!$O$8:$W$8</c:f>
              <c:numCache>
                <c:formatCode>0.000</c:formatCode>
                <c:ptCount val="9"/>
                <c:pt idx="0">
                  <c:v>3.183245867575759E-2</c:v>
                </c:pt>
                <c:pt idx="1">
                  <c:v>-1.1934007888030274E-2</c:v>
                </c:pt>
                <c:pt idx="2">
                  <c:v>5.7193704383333294E-2</c:v>
                </c:pt>
                <c:pt idx="3">
                  <c:v>-0.2760292572521213</c:v>
                </c:pt>
                <c:pt idx="4">
                  <c:v>-0.14004431116439398</c:v>
                </c:pt>
                <c:pt idx="5">
                  <c:v>-0.23342027065424231</c:v>
                </c:pt>
                <c:pt idx="6">
                  <c:v>-0.34116753603651506</c:v>
                </c:pt>
                <c:pt idx="7">
                  <c:v>0.13474306115545454</c:v>
                </c:pt>
                <c:pt idx="8">
                  <c:v>-0.18179637235331819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9-48AE-8797-191BD3D7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03823"/>
        <c:axId val="872405487"/>
      </c:lineChart>
      <c:catAx>
        <c:axId val="87240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405487"/>
        <c:crosses val="autoZero"/>
        <c:auto val="1"/>
        <c:lblAlgn val="ctr"/>
        <c:lblOffset val="100"/>
        <c:noMultiLvlLbl val="0"/>
      </c:catAx>
      <c:valAx>
        <c:axId val="87240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4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средних значений</a:t>
            </a:r>
            <a:r>
              <a:rPr lang="ru-RU" baseline="0"/>
              <a:t> (НС)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графики!$W$3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графики!$X$2:$AF$2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графики!$X$3:$AF$3</c:f>
              <c:numCache>
                <c:formatCode>General</c:formatCode>
                <c:ptCount val="9"/>
                <c:pt idx="0">
                  <c:v>-0.45394662293043486</c:v>
                </c:pt>
                <c:pt idx="1">
                  <c:v>-0.20018297882608693</c:v>
                </c:pt>
                <c:pt idx="2">
                  <c:v>0.2853986448956522</c:v>
                </c:pt>
                <c:pt idx="3">
                  <c:v>7.7525384102608674E-2</c:v>
                </c:pt>
                <c:pt idx="4">
                  <c:v>-2.1396800954347841E-2</c:v>
                </c:pt>
                <c:pt idx="5">
                  <c:v>1.1059008893913022E-2</c:v>
                </c:pt>
                <c:pt idx="6">
                  <c:v>-0.18449272031173911</c:v>
                </c:pt>
                <c:pt idx="7">
                  <c:v>5.0635655989565188E-2</c:v>
                </c:pt>
                <c:pt idx="8">
                  <c:v>8.3465571218260856E-2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2-481F-9863-3A147C2D84B4}"/>
            </c:ext>
          </c:extLst>
        </c:ser>
        <c:ser>
          <c:idx val="1"/>
          <c:order val="1"/>
          <c:tx>
            <c:strRef>
              <c:f>графики!$W$4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графики!$X$2:$AF$2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графики!$X$4:$AF$4</c:f>
              <c:numCache>
                <c:formatCode>General</c:formatCode>
                <c:ptCount val="9"/>
                <c:pt idx="0">
                  <c:v>0.49581236361538461</c:v>
                </c:pt>
                <c:pt idx="1">
                  <c:v>0.19954725772051282</c:v>
                </c:pt>
                <c:pt idx="2">
                  <c:v>-0.22397550533333335</c:v>
                </c:pt>
                <c:pt idx="3">
                  <c:v>-0.25912216123589754</c:v>
                </c:pt>
                <c:pt idx="4">
                  <c:v>0.14469215396153839</c:v>
                </c:pt>
                <c:pt idx="5">
                  <c:v>5.8492252630769426E-3</c:v>
                </c:pt>
                <c:pt idx="6">
                  <c:v>-0.14488332491897438</c:v>
                </c:pt>
                <c:pt idx="7">
                  <c:v>5.4052095289743585E-2</c:v>
                </c:pt>
                <c:pt idx="8">
                  <c:v>-7.8232825745102555E-2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2-481F-9863-3A147C2D84B4}"/>
            </c:ext>
          </c:extLst>
        </c:ser>
        <c:ser>
          <c:idx val="2"/>
          <c:order val="2"/>
          <c:tx>
            <c:strRef>
              <c:f>графики!$W$5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графики!$X$2:$AF$2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графики!$X$5:$AF$5</c:f>
              <c:numCache>
                <c:formatCode>General</c:formatCode>
                <c:ptCount val="9"/>
                <c:pt idx="0">
                  <c:v>-0.45378150303749992</c:v>
                </c:pt>
                <c:pt idx="1">
                  <c:v>-3.2305502974999997E-2</c:v>
                </c:pt>
                <c:pt idx="2">
                  <c:v>0.33406554881250006</c:v>
                </c:pt>
                <c:pt idx="3">
                  <c:v>-0.19713116110000001</c:v>
                </c:pt>
                <c:pt idx="4">
                  <c:v>-0.40854137395000001</c:v>
                </c:pt>
                <c:pt idx="5">
                  <c:v>-0.451866661</c:v>
                </c:pt>
                <c:pt idx="6">
                  <c:v>-0.270045971025</c:v>
                </c:pt>
                <c:pt idx="7">
                  <c:v>9.9428187712500005E-2</c:v>
                </c:pt>
                <c:pt idx="8">
                  <c:v>-0.58422496350000008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2-481F-9863-3A147C2D84B4}"/>
            </c:ext>
          </c:extLst>
        </c:ser>
        <c:ser>
          <c:idx val="3"/>
          <c:order val="3"/>
          <c:tx>
            <c:strRef>
              <c:f>графики!$W$6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графики!$X$2:$AF$2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графики!$X$6:$AF$6</c:f>
              <c:numCache>
                <c:formatCode>General</c:formatCode>
                <c:ptCount val="9"/>
                <c:pt idx="0">
                  <c:v>-1.0526734208000001</c:v>
                </c:pt>
                <c:pt idx="1">
                  <c:v>-0.90993639718200003</c:v>
                </c:pt>
                <c:pt idx="2">
                  <c:v>-0.2092697744</c:v>
                </c:pt>
                <c:pt idx="3">
                  <c:v>0.90058795160000005</c:v>
                </c:pt>
                <c:pt idx="4">
                  <c:v>-0.41172194080000002</c:v>
                </c:pt>
                <c:pt idx="5">
                  <c:v>-0.4386021878000001</c:v>
                </c:pt>
                <c:pt idx="6">
                  <c:v>1.1396788346000002</c:v>
                </c:pt>
                <c:pt idx="7">
                  <c:v>-0.61707136624000003</c:v>
                </c:pt>
                <c:pt idx="8">
                  <c:v>-0.40037029280000003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2-481F-9863-3A147C2D84B4}"/>
            </c:ext>
          </c:extLst>
        </c:ser>
        <c:ser>
          <c:idx val="4"/>
          <c:order val="4"/>
          <c:tx>
            <c:strRef>
              <c:f>графики!$W$7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графики!$X$2:$AF$2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графики!$X$7:$AF$7</c:f>
              <c:numCache>
                <c:formatCode>General</c:formatCode>
                <c:ptCount val="9"/>
                <c:pt idx="0">
                  <c:v>0.71691168000000005</c:v>
                </c:pt>
                <c:pt idx="1">
                  <c:v>1.6668115500000003</c:v>
                </c:pt>
                <c:pt idx="2">
                  <c:v>-0.62574745100000018</c:v>
                </c:pt>
                <c:pt idx="3">
                  <c:v>0.10582420100000002</c:v>
                </c:pt>
                <c:pt idx="4">
                  <c:v>1.0938137000000001</c:v>
                </c:pt>
                <c:pt idx="5">
                  <c:v>4.5733278999999998</c:v>
                </c:pt>
                <c:pt idx="6">
                  <c:v>-0.18025893800000001</c:v>
                </c:pt>
                <c:pt idx="7">
                  <c:v>-1.51917021</c:v>
                </c:pt>
                <c:pt idx="8">
                  <c:v>0.29759871200000004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02-481F-9863-3A147C2D84B4}"/>
            </c:ext>
          </c:extLst>
        </c:ser>
        <c:ser>
          <c:idx val="5"/>
          <c:order val="5"/>
          <c:tx>
            <c:strRef>
              <c:f>графики!$W$8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графики!$X$2:$AF$2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графики!$X$8:$AF$8</c:f>
              <c:numCache>
                <c:formatCode>General</c:formatCode>
                <c:ptCount val="9"/>
                <c:pt idx="0">
                  <c:v>-8.9900298587499997E-2</c:v>
                </c:pt>
                <c:pt idx="1">
                  <c:v>-4.6025080000000052E-3</c:v>
                </c:pt>
                <c:pt idx="2">
                  <c:v>0.14630597627499997</c:v>
                </c:pt>
                <c:pt idx="3">
                  <c:v>0.66137072325000001</c:v>
                </c:pt>
                <c:pt idx="4">
                  <c:v>-0.11471757456250006</c:v>
                </c:pt>
                <c:pt idx="5">
                  <c:v>9.401741862499996E-2</c:v>
                </c:pt>
                <c:pt idx="6">
                  <c:v>0.81700184659999997</c:v>
                </c:pt>
                <c:pt idx="7">
                  <c:v>6.7056218250000049E-2</c:v>
                </c:pt>
                <c:pt idx="8">
                  <c:v>0.93867806687499999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02-481F-9863-3A147C2D8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383327"/>
        <c:axId val="1988390815"/>
      </c:lineChart>
      <c:catAx>
        <c:axId val="19883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8390815"/>
        <c:crosses val="autoZero"/>
        <c:auto val="1"/>
        <c:lblAlgn val="ctr"/>
        <c:lblOffset val="100"/>
        <c:noMultiLvlLbl val="0"/>
      </c:catAx>
      <c:valAx>
        <c:axId val="19883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83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средних значений (Кахонен)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графики!$W$32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графики!$X$31:$AF$31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графики!$X$32:$AF$32</c:f>
              <c:numCache>
                <c:formatCode>General</c:formatCode>
                <c:ptCount val="9"/>
                <c:pt idx="0">
                  <c:v>0.95148166708333326</c:v>
                </c:pt>
                <c:pt idx="1">
                  <c:v>0.57449269854166662</c:v>
                </c:pt>
                <c:pt idx="2">
                  <c:v>-5.017868741666663E-3</c:v>
                </c:pt>
                <c:pt idx="3">
                  <c:v>-0.79573339529166687</c:v>
                </c:pt>
                <c:pt idx="4">
                  <c:v>-0.36905073745833344</c:v>
                </c:pt>
                <c:pt idx="5">
                  <c:v>-0.4042506041308333</c:v>
                </c:pt>
                <c:pt idx="6">
                  <c:v>-0.59667110750000008</c:v>
                </c:pt>
                <c:pt idx="7">
                  <c:v>0.54544196654166666</c:v>
                </c:pt>
                <c:pt idx="8">
                  <c:v>-0.37658393531250017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2-4AFC-9970-7B6EE6286DFF}"/>
            </c:ext>
          </c:extLst>
        </c:ser>
        <c:ser>
          <c:idx val="1"/>
          <c:order val="1"/>
          <c:tx>
            <c:strRef>
              <c:f>графики!$W$33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графики!$X$31:$AF$31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графики!$X$33:$AF$33</c:f>
              <c:numCache>
                <c:formatCode>General</c:formatCode>
                <c:ptCount val="9"/>
                <c:pt idx="0">
                  <c:v>-0.26971697107999998</c:v>
                </c:pt>
                <c:pt idx="1">
                  <c:v>-0.92175634080000002</c:v>
                </c:pt>
                <c:pt idx="2">
                  <c:v>0.43354306779999996</c:v>
                </c:pt>
                <c:pt idx="3">
                  <c:v>-0.32334532994000009</c:v>
                </c:pt>
                <c:pt idx="4">
                  <c:v>-0.45359099080000009</c:v>
                </c:pt>
                <c:pt idx="5">
                  <c:v>-0.44676494064000005</c:v>
                </c:pt>
                <c:pt idx="6">
                  <c:v>-0.22673069514000002</c:v>
                </c:pt>
                <c:pt idx="7">
                  <c:v>-1.1997667891999999</c:v>
                </c:pt>
                <c:pt idx="8">
                  <c:v>-0.56031731160000009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2-4AFC-9970-7B6EE6286DFF}"/>
            </c:ext>
          </c:extLst>
        </c:ser>
        <c:ser>
          <c:idx val="2"/>
          <c:order val="2"/>
          <c:tx>
            <c:strRef>
              <c:f>графики!$W$34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графики!$X$31:$AF$31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графики!$X$34:$AF$34</c:f>
              <c:numCache>
                <c:formatCode>General</c:formatCode>
                <c:ptCount val="9"/>
                <c:pt idx="0">
                  <c:v>-0.75310087162500006</c:v>
                </c:pt>
                <c:pt idx="1">
                  <c:v>-0.88247965000000006</c:v>
                </c:pt>
                <c:pt idx="2">
                  <c:v>0.17515717187500002</c:v>
                </c:pt>
                <c:pt idx="3">
                  <c:v>2.12604318125</c:v>
                </c:pt>
                <c:pt idx="4">
                  <c:v>-0.54678664943749999</c:v>
                </c:pt>
                <c:pt idx="5">
                  <c:v>-0.53349418662500014</c:v>
                </c:pt>
                <c:pt idx="6">
                  <c:v>2.4241274725000004</c:v>
                </c:pt>
                <c:pt idx="7">
                  <c:v>-0.78540560083750011</c:v>
                </c:pt>
                <c:pt idx="8">
                  <c:v>-0.14656659775000003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2-4AFC-9970-7B6EE6286DFF}"/>
            </c:ext>
          </c:extLst>
        </c:ser>
        <c:ser>
          <c:idx val="3"/>
          <c:order val="3"/>
          <c:tx>
            <c:strRef>
              <c:f>графики!$W$35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графики!$X$31:$AF$31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графики!$X$35:$AF$35</c:f>
              <c:numCache>
                <c:formatCode>General</c:formatCode>
                <c:ptCount val="9"/>
                <c:pt idx="0">
                  <c:v>0.72718906186666676</c:v>
                </c:pt>
                <c:pt idx="1">
                  <c:v>0.10165386983999999</c:v>
                </c:pt>
                <c:pt idx="2">
                  <c:v>-0.61795696833333336</c:v>
                </c:pt>
                <c:pt idx="3">
                  <c:v>4.7214456073333314E-2</c:v>
                </c:pt>
                <c:pt idx="4">
                  <c:v>0.87226225782666644</c:v>
                </c:pt>
                <c:pt idx="5">
                  <c:v>1.1041580506919999</c:v>
                </c:pt>
                <c:pt idx="6">
                  <c:v>-6.3178177589333348E-2</c:v>
                </c:pt>
                <c:pt idx="7">
                  <c:v>-0.54513366202666658</c:v>
                </c:pt>
                <c:pt idx="8">
                  <c:v>1.0882906253360667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12-4AFC-9970-7B6EE6286DFF}"/>
            </c:ext>
          </c:extLst>
        </c:ser>
        <c:ser>
          <c:idx val="4"/>
          <c:order val="4"/>
          <c:tx>
            <c:strRef>
              <c:f>графики!$W$36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графики!$X$31:$AF$31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графики!$X$36:$AF$36</c:f>
              <c:numCache>
                <c:formatCode>General</c:formatCode>
                <c:ptCount val="9"/>
                <c:pt idx="0">
                  <c:v>-0.81017609332258078</c:v>
                </c:pt>
                <c:pt idx="1">
                  <c:v>-0.17322339239387094</c:v>
                </c:pt>
                <c:pt idx="2">
                  <c:v>0.21090398713225805</c:v>
                </c:pt>
                <c:pt idx="3">
                  <c:v>6.6773780030967747E-2</c:v>
                </c:pt>
                <c:pt idx="4">
                  <c:v>-0.14438712317580649</c:v>
                </c:pt>
                <c:pt idx="5">
                  <c:v>-0.13605371300709679</c:v>
                </c:pt>
                <c:pt idx="6">
                  <c:v>-0.19551836031838712</c:v>
                </c:pt>
                <c:pt idx="7">
                  <c:v>0.24353565692451615</c:v>
                </c:pt>
                <c:pt idx="8">
                  <c:v>-0.15028124237354842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2-4AFC-9970-7B6EE6286DFF}"/>
            </c:ext>
          </c:extLst>
        </c:ser>
        <c:ser>
          <c:idx val="5"/>
          <c:order val="5"/>
          <c:tx>
            <c:strRef>
              <c:f>графики!$W$37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графики!$X$31:$AF$31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графики!$X$37:$AF$37</c:f>
              <c:numCache>
                <c:formatCode>General</c:formatCode>
                <c:ptCount val="9"/>
                <c:pt idx="0">
                  <c:v>-1.2545451999999999</c:v>
                </c:pt>
                <c:pt idx="1">
                  <c:v>1.7259112700000001</c:v>
                </c:pt>
                <c:pt idx="2">
                  <c:v>-0.71721293799999997</c:v>
                </c:pt>
                <c:pt idx="3">
                  <c:v>0.92777866700000011</c:v>
                </c:pt>
                <c:pt idx="4">
                  <c:v>6.8915327899999994</c:v>
                </c:pt>
                <c:pt idx="5">
                  <c:v>3.8590870500000003</c:v>
                </c:pt>
                <c:pt idx="6">
                  <c:v>3.06948211</c:v>
                </c:pt>
                <c:pt idx="7">
                  <c:v>-0.18112886799999997</c:v>
                </c:pt>
                <c:pt idx="8">
                  <c:v>1.3464929300000001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12-4AFC-9970-7B6EE6286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483167"/>
        <c:axId val="337487327"/>
      </c:lineChart>
      <c:catAx>
        <c:axId val="3374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87327"/>
        <c:crosses val="autoZero"/>
        <c:auto val="1"/>
        <c:lblAlgn val="ctr"/>
        <c:lblOffset val="100"/>
        <c:noMultiLvlLbl val="0"/>
      </c:catAx>
      <c:valAx>
        <c:axId val="3374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Метод Уорда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класс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4DC-4015-ADF4-882A648F9F98}"/>
              </c:ext>
            </c:extLst>
          </c:dPt>
          <c:xVal>
            <c:numRef>
              <c:f>'МГК и ФА'!$D$2:$D$9</c:f>
              <c:numCache>
                <c:formatCode>0.00000</c:formatCode>
                <c:ptCount val="8"/>
                <c:pt idx="0">
                  <c:v>0.31487910497791727</c:v>
                </c:pt>
                <c:pt idx="1">
                  <c:v>-0.13614383828314655</c:v>
                </c:pt>
                <c:pt idx="2">
                  <c:v>0.2353977000536992</c:v>
                </c:pt>
                <c:pt idx="3">
                  <c:v>-0.45381752488339855</c:v>
                </c:pt>
                <c:pt idx="4">
                  <c:v>-0.24660909801096273</c:v>
                </c:pt>
                <c:pt idx="5">
                  <c:v>-0.71286734834126664</c:v>
                </c:pt>
                <c:pt idx="6">
                  <c:v>-0.12373275751270651</c:v>
                </c:pt>
                <c:pt idx="7">
                  <c:v>0.54956734188769396</c:v>
                </c:pt>
              </c:numCache>
            </c:numRef>
          </c:xVal>
          <c:yVal>
            <c:numRef>
              <c:f>'МГК и ФА'!$E$2:$E$9</c:f>
              <c:numCache>
                <c:formatCode>0.00000</c:formatCode>
                <c:ptCount val="8"/>
                <c:pt idx="0">
                  <c:v>0.27717479857018701</c:v>
                </c:pt>
                <c:pt idx="1">
                  <c:v>-1.0318367031366553</c:v>
                </c:pt>
                <c:pt idx="2">
                  <c:v>-0.7437048566733222</c:v>
                </c:pt>
                <c:pt idx="3">
                  <c:v>0.1406067175712564</c:v>
                </c:pt>
                <c:pt idx="4">
                  <c:v>0.55887832602816589</c:v>
                </c:pt>
                <c:pt idx="5">
                  <c:v>0.74803718606105185</c:v>
                </c:pt>
                <c:pt idx="6">
                  <c:v>-0.37419270560537177</c:v>
                </c:pt>
                <c:pt idx="7">
                  <c:v>1.345013006803121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0-4365-9052-2CF7B2B07B37}"/>
            </c:ext>
          </c:extLst>
        </c:ser>
        <c:ser>
          <c:idx val="1"/>
          <c:order val="1"/>
          <c:tx>
            <c:v>2 класс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ФА'!$D$10:$D$25</c:f>
              <c:numCache>
                <c:formatCode>0.00000</c:formatCode>
                <c:ptCount val="16"/>
                <c:pt idx="0">
                  <c:v>-0.44316822585800819</c:v>
                </c:pt>
                <c:pt idx="1">
                  <c:v>9.2910548556283681E-2</c:v>
                </c:pt>
                <c:pt idx="2">
                  <c:v>3.8561089628134808</c:v>
                </c:pt>
                <c:pt idx="3">
                  <c:v>-0.37087827546333718</c:v>
                </c:pt>
                <c:pt idx="4">
                  <c:v>0.25347253807895676</c:v>
                </c:pt>
                <c:pt idx="5">
                  <c:v>-1.0337243333738841</c:v>
                </c:pt>
                <c:pt idx="6">
                  <c:v>0.13029648603905444</c:v>
                </c:pt>
                <c:pt idx="7">
                  <c:v>-1.1236311727474124</c:v>
                </c:pt>
                <c:pt idx="8">
                  <c:v>-0.82992785060055119</c:v>
                </c:pt>
                <c:pt idx="9">
                  <c:v>5.6630355757247952E-2</c:v>
                </c:pt>
                <c:pt idx="10">
                  <c:v>0.83515241087902459</c:v>
                </c:pt>
                <c:pt idx="11">
                  <c:v>-0.95306631457546787</c:v>
                </c:pt>
                <c:pt idx="12">
                  <c:v>2.1114207833418847E-2</c:v>
                </c:pt>
                <c:pt idx="13">
                  <c:v>-0.83243682646702744</c:v>
                </c:pt>
                <c:pt idx="14">
                  <c:v>-0.53732615886278245</c:v>
                </c:pt>
                <c:pt idx="15">
                  <c:v>0.99117733961336074</c:v>
                </c:pt>
              </c:numCache>
            </c:numRef>
          </c:xVal>
          <c:yVal>
            <c:numRef>
              <c:f>'МГК и ФА'!$E$10:$E$25</c:f>
              <c:numCache>
                <c:formatCode>0.00000</c:formatCode>
                <c:ptCount val="16"/>
                <c:pt idx="0">
                  <c:v>-0.57811526202185071</c:v>
                </c:pt>
                <c:pt idx="1">
                  <c:v>0.61711236088415244</c:v>
                </c:pt>
                <c:pt idx="2">
                  <c:v>2.4828261942325693</c:v>
                </c:pt>
                <c:pt idx="3">
                  <c:v>-1.5215214439673252</c:v>
                </c:pt>
                <c:pt idx="4">
                  <c:v>-0.74512044153099644</c:v>
                </c:pt>
                <c:pt idx="5">
                  <c:v>0.19895696132898522</c:v>
                </c:pt>
                <c:pt idx="6">
                  <c:v>-0.45858727837088781</c:v>
                </c:pt>
                <c:pt idx="7">
                  <c:v>0.7756887293156608</c:v>
                </c:pt>
                <c:pt idx="8">
                  <c:v>-0.72568069932029255</c:v>
                </c:pt>
                <c:pt idx="9">
                  <c:v>0.11045861529005846</c:v>
                </c:pt>
                <c:pt idx="10">
                  <c:v>-2.0048492791874573</c:v>
                </c:pt>
                <c:pt idx="11">
                  <c:v>0.19932319917675709</c:v>
                </c:pt>
                <c:pt idx="12">
                  <c:v>0.33185936800214466</c:v>
                </c:pt>
                <c:pt idx="13">
                  <c:v>-0.37899252472610234</c:v>
                </c:pt>
                <c:pt idx="14">
                  <c:v>-0.70069206906462911</c:v>
                </c:pt>
                <c:pt idx="15">
                  <c:v>2.0882362408117352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0-4365-9052-2CF7B2B07B37}"/>
            </c:ext>
          </c:extLst>
        </c:ser>
        <c:ser>
          <c:idx val="2"/>
          <c:order val="2"/>
          <c:tx>
            <c:v>3 класс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ФА'!$D$26:$D$27</c:f>
              <c:numCache>
                <c:formatCode>0.00000</c:formatCode>
                <c:ptCount val="2"/>
                <c:pt idx="0">
                  <c:v>0.744261293994261</c:v>
                </c:pt>
                <c:pt idx="1">
                  <c:v>-5.9127238767861384E-2</c:v>
                </c:pt>
              </c:numCache>
            </c:numRef>
          </c:xVal>
          <c:yVal>
            <c:numRef>
              <c:f>'МГК и ФА'!$E$26:$E$27</c:f>
              <c:numCache>
                <c:formatCode>0.00000</c:formatCode>
                <c:ptCount val="2"/>
                <c:pt idx="0">
                  <c:v>-4.292699226516633E-2</c:v>
                </c:pt>
                <c:pt idx="1">
                  <c:v>-0.49287047364693615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A0-4365-9052-2CF7B2B07B37}"/>
            </c:ext>
          </c:extLst>
        </c:ser>
        <c:ser>
          <c:idx val="3"/>
          <c:order val="3"/>
          <c:tx>
            <c:v>4 класс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8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4DC-4015-ADF4-882A648F9F98}"/>
              </c:ext>
            </c:extLst>
          </c:dPt>
          <c:xVal>
            <c:numRef>
              <c:f>'МГК и ФА'!$D$28:$D$44</c:f>
              <c:numCache>
                <c:formatCode>0.00000</c:formatCode>
                <c:ptCount val="17"/>
                <c:pt idx="0">
                  <c:v>-0.43793553770023014</c:v>
                </c:pt>
                <c:pt idx="1">
                  <c:v>-0.12212939757241779</c:v>
                </c:pt>
                <c:pt idx="2">
                  <c:v>-0.51279440621154393</c:v>
                </c:pt>
                <c:pt idx="3">
                  <c:v>1.3427118487526655</c:v>
                </c:pt>
                <c:pt idx="4">
                  <c:v>3.2488353767908791</c:v>
                </c:pt>
                <c:pt idx="5">
                  <c:v>0.77969586727480056</c:v>
                </c:pt>
                <c:pt idx="6">
                  <c:v>0.3625082007930116</c:v>
                </c:pt>
                <c:pt idx="7">
                  <c:v>-0.47224168753713147</c:v>
                </c:pt>
                <c:pt idx="8">
                  <c:v>0.59186605717887009</c:v>
                </c:pt>
                <c:pt idx="9">
                  <c:v>0.11784038726282435</c:v>
                </c:pt>
                <c:pt idx="10">
                  <c:v>-4.8555712137070377E-2</c:v>
                </c:pt>
                <c:pt idx="11">
                  <c:v>-0.63228597945242293</c:v>
                </c:pt>
                <c:pt idx="12">
                  <c:v>-0.53558584549118027</c:v>
                </c:pt>
                <c:pt idx="13">
                  <c:v>0.30561908669063659</c:v>
                </c:pt>
                <c:pt idx="14">
                  <c:v>0.75087772297068511</c:v>
                </c:pt>
                <c:pt idx="15">
                  <c:v>-0.84963960583490516</c:v>
                </c:pt>
                <c:pt idx="16">
                  <c:v>-0.99743975160533349</c:v>
                </c:pt>
              </c:numCache>
            </c:numRef>
          </c:xVal>
          <c:yVal>
            <c:numRef>
              <c:f>'МГК и ФА'!$E$28:$E$44</c:f>
              <c:numCache>
                <c:formatCode>0.00000</c:formatCode>
                <c:ptCount val="17"/>
                <c:pt idx="0">
                  <c:v>-0.12976085990879424</c:v>
                </c:pt>
                <c:pt idx="1">
                  <c:v>0.67138208743299133</c:v>
                </c:pt>
                <c:pt idx="2">
                  <c:v>-0.3777045991724946</c:v>
                </c:pt>
                <c:pt idx="3">
                  <c:v>-2.5000966528853699</c:v>
                </c:pt>
                <c:pt idx="4">
                  <c:v>2.4658023062022982</c:v>
                </c:pt>
                <c:pt idx="5">
                  <c:v>-1.7895749805900687</c:v>
                </c:pt>
                <c:pt idx="6">
                  <c:v>0.32542452430306057</c:v>
                </c:pt>
                <c:pt idx="7">
                  <c:v>-0.35353861553225002</c:v>
                </c:pt>
                <c:pt idx="8">
                  <c:v>-0.27484254626323917</c:v>
                </c:pt>
                <c:pt idx="9">
                  <c:v>-0.19242814979095843</c:v>
                </c:pt>
                <c:pt idx="10">
                  <c:v>0.21406479878870677</c:v>
                </c:pt>
                <c:pt idx="11">
                  <c:v>-3.6711754820950154E-2</c:v>
                </c:pt>
                <c:pt idx="12">
                  <c:v>0.26146422268170821</c:v>
                </c:pt>
                <c:pt idx="13">
                  <c:v>0.29554761095456156</c:v>
                </c:pt>
                <c:pt idx="14">
                  <c:v>0.284518146266525</c:v>
                </c:pt>
                <c:pt idx="15">
                  <c:v>-0.4126141810854681</c:v>
                </c:pt>
                <c:pt idx="16">
                  <c:v>0.22426554636965412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A0-4365-9052-2CF7B2B07B37}"/>
            </c:ext>
          </c:extLst>
        </c:ser>
        <c:ser>
          <c:idx val="4"/>
          <c:order val="4"/>
          <c:tx>
            <c:v>5 класс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ФА'!$D$45:$D$71</c:f>
              <c:numCache>
                <c:formatCode>0.00000</c:formatCode>
                <c:ptCount val="27"/>
                <c:pt idx="0">
                  <c:v>-1.5241183555249409</c:v>
                </c:pt>
                <c:pt idx="1">
                  <c:v>0.16969776162509348</c:v>
                </c:pt>
                <c:pt idx="2">
                  <c:v>-0.65128035231628534</c:v>
                </c:pt>
                <c:pt idx="3">
                  <c:v>-1.1292697822017885</c:v>
                </c:pt>
                <c:pt idx="4">
                  <c:v>-2.5785742851848039</c:v>
                </c:pt>
                <c:pt idx="5">
                  <c:v>-1.2487648064820194</c:v>
                </c:pt>
                <c:pt idx="6">
                  <c:v>-0.29788161391669776</c:v>
                </c:pt>
                <c:pt idx="7">
                  <c:v>0.32014076197858876</c:v>
                </c:pt>
                <c:pt idx="8">
                  <c:v>-0.82072510041306823</c:v>
                </c:pt>
                <c:pt idx="9">
                  <c:v>-1.0254524028729568</c:v>
                </c:pt>
                <c:pt idx="10">
                  <c:v>-0.76122623184126581</c:v>
                </c:pt>
                <c:pt idx="11">
                  <c:v>1.0516483442580258</c:v>
                </c:pt>
                <c:pt idx="12">
                  <c:v>-0.9378004994331991</c:v>
                </c:pt>
                <c:pt idx="13">
                  <c:v>1.4341881059576949</c:v>
                </c:pt>
                <c:pt idx="14">
                  <c:v>-1.4139507965015217</c:v>
                </c:pt>
                <c:pt idx="15">
                  <c:v>-0.99674455503673365</c:v>
                </c:pt>
                <c:pt idx="16">
                  <c:v>0.50471224770224676</c:v>
                </c:pt>
                <c:pt idx="17">
                  <c:v>-0.33210730506777397</c:v>
                </c:pt>
                <c:pt idx="18">
                  <c:v>0.38192584864448798</c:v>
                </c:pt>
                <c:pt idx="19">
                  <c:v>1.9225482032011199</c:v>
                </c:pt>
                <c:pt idx="20">
                  <c:v>-0.20559813238350497</c:v>
                </c:pt>
                <c:pt idx="21">
                  <c:v>1.2630330246509991</c:v>
                </c:pt>
                <c:pt idx="22">
                  <c:v>1.1610158884903476</c:v>
                </c:pt>
                <c:pt idx="23">
                  <c:v>-0.91516875736297776</c:v>
                </c:pt>
                <c:pt idx="24">
                  <c:v>-0.2674957311388067</c:v>
                </c:pt>
                <c:pt idx="25">
                  <c:v>7.0736769437563504E-2</c:v>
                </c:pt>
                <c:pt idx="26">
                  <c:v>-0.7251936889102516</c:v>
                </c:pt>
              </c:numCache>
            </c:numRef>
          </c:xVal>
          <c:yVal>
            <c:numRef>
              <c:f>'МГК и ФА'!$E$45:$E$71</c:f>
              <c:numCache>
                <c:formatCode>0.00000</c:formatCode>
                <c:ptCount val="27"/>
                <c:pt idx="0">
                  <c:v>-0.83005765926504826</c:v>
                </c:pt>
                <c:pt idx="1">
                  <c:v>0.80167679796189062</c:v>
                </c:pt>
                <c:pt idx="2">
                  <c:v>-0.14495052678642351</c:v>
                </c:pt>
                <c:pt idx="3">
                  <c:v>1.5028990490382081</c:v>
                </c:pt>
                <c:pt idx="4">
                  <c:v>1.9739397164118095</c:v>
                </c:pt>
                <c:pt idx="5">
                  <c:v>-0.19687682640737933</c:v>
                </c:pt>
                <c:pt idx="6">
                  <c:v>-0.75593902469895136</c:v>
                </c:pt>
                <c:pt idx="7">
                  <c:v>-1.1190718715909549</c:v>
                </c:pt>
                <c:pt idx="8">
                  <c:v>1.0096285474269118</c:v>
                </c:pt>
                <c:pt idx="9">
                  <c:v>-0.28548174574471535</c:v>
                </c:pt>
                <c:pt idx="10">
                  <c:v>0.47200246922534045</c:v>
                </c:pt>
                <c:pt idx="11">
                  <c:v>-1.2563485133534897</c:v>
                </c:pt>
                <c:pt idx="12">
                  <c:v>0.17086698406252218</c:v>
                </c:pt>
                <c:pt idx="13">
                  <c:v>2.161038063750881</c:v>
                </c:pt>
                <c:pt idx="14">
                  <c:v>-0.29572258336795737</c:v>
                </c:pt>
                <c:pt idx="15">
                  <c:v>-0.62645314821502851</c:v>
                </c:pt>
                <c:pt idx="16">
                  <c:v>1.1791100835715962</c:v>
                </c:pt>
                <c:pt idx="17">
                  <c:v>0.12552322826749052</c:v>
                </c:pt>
                <c:pt idx="18">
                  <c:v>0.95067573213328405</c:v>
                </c:pt>
                <c:pt idx="19">
                  <c:v>0.19540940161061801</c:v>
                </c:pt>
                <c:pt idx="20">
                  <c:v>0.24229698766122199</c:v>
                </c:pt>
                <c:pt idx="21">
                  <c:v>-1.6117585949491351</c:v>
                </c:pt>
                <c:pt idx="22">
                  <c:v>0.21047329433474243</c:v>
                </c:pt>
                <c:pt idx="23">
                  <c:v>0.81195283894267822</c:v>
                </c:pt>
                <c:pt idx="24">
                  <c:v>-0.27727710951001838</c:v>
                </c:pt>
                <c:pt idx="25">
                  <c:v>1.0526493771490244</c:v>
                </c:pt>
                <c:pt idx="26">
                  <c:v>0.3238663271064936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A0-4365-9052-2CF7B2B07B37}"/>
            </c:ext>
          </c:extLst>
        </c:ser>
        <c:ser>
          <c:idx val="5"/>
          <c:order val="5"/>
          <c:tx>
            <c:v>6 класс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"/>
            <c:marker>
              <c:symbol val="circle"/>
              <c:size val="6"/>
              <c:spPr>
                <a:gradFill rotWithShape="1">
                  <a:gsLst>
                    <a:gs pos="0">
                      <a:schemeClr val="accent6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6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6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6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4DC-4015-ADF4-882A648F9F98}"/>
              </c:ext>
            </c:extLst>
          </c:dPt>
          <c:xVal>
            <c:numRef>
              <c:f>'МГК и ФА'!$D$72:$D$85</c:f>
              <c:numCache>
                <c:formatCode>0.00000</c:formatCode>
                <c:ptCount val="14"/>
                <c:pt idx="0">
                  <c:v>-0.12413653824004578</c:v>
                </c:pt>
                <c:pt idx="1">
                  <c:v>0.22775094727323869</c:v>
                </c:pt>
                <c:pt idx="2">
                  <c:v>0.15076936481568043</c:v>
                </c:pt>
                <c:pt idx="3">
                  <c:v>0.95017992838704834</c:v>
                </c:pt>
                <c:pt idx="4">
                  <c:v>-0.16351862231155986</c:v>
                </c:pt>
                <c:pt idx="5">
                  <c:v>-0.14824621074977959</c:v>
                </c:pt>
                <c:pt idx="6">
                  <c:v>0.54814525741938513</c:v>
                </c:pt>
                <c:pt idx="7">
                  <c:v>1.4547738298003259</c:v>
                </c:pt>
                <c:pt idx="8">
                  <c:v>0.605509288233405</c:v>
                </c:pt>
                <c:pt idx="9">
                  <c:v>-1.6596365580984691</c:v>
                </c:pt>
                <c:pt idx="10">
                  <c:v>-0.42598939160003141</c:v>
                </c:pt>
                <c:pt idx="11">
                  <c:v>1.207500458842643</c:v>
                </c:pt>
                <c:pt idx="12">
                  <c:v>1.8519577028092515</c:v>
                </c:pt>
                <c:pt idx="13">
                  <c:v>-3.9211966847335744E-2</c:v>
                </c:pt>
              </c:numCache>
            </c:numRef>
          </c:xVal>
          <c:yVal>
            <c:numRef>
              <c:f>'МГК и ФА'!$E$72:$E$85</c:f>
              <c:numCache>
                <c:formatCode>0.00000</c:formatCode>
                <c:ptCount val="14"/>
                <c:pt idx="0">
                  <c:v>-0.52790350300205502</c:v>
                </c:pt>
                <c:pt idx="1">
                  <c:v>-0.69642572319985852</c:v>
                </c:pt>
                <c:pt idx="2">
                  <c:v>0.25267007267107311</c:v>
                </c:pt>
                <c:pt idx="3">
                  <c:v>0.75903846068162117</c:v>
                </c:pt>
                <c:pt idx="4">
                  <c:v>-0.23159466896528591</c:v>
                </c:pt>
                <c:pt idx="5">
                  <c:v>1.6283985682877478E-2</c:v>
                </c:pt>
                <c:pt idx="6">
                  <c:v>-0.732693321291644</c:v>
                </c:pt>
                <c:pt idx="7">
                  <c:v>-0.9229060546623441</c:v>
                </c:pt>
                <c:pt idx="8">
                  <c:v>0.57568127794030155</c:v>
                </c:pt>
                <c:pt idx="9">
                  <c:v>1.7836887138566841</c:v>
                </c:pt>
                <c:pt idx="10">
                  <c:v>-6.9064857570127342E-2</c:v>
                </c:pt>
                <c:pt idx="11">
                  <c:v>-2.7419796543657977</c:v>
                </c:pt>
                <c:pt idx="12">
                  <c:v>-1.5444107482984073</c:v>
                </c:pt>
                <c:pt idx="13">
                  <c:v>-0.45473315175147266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A0-4365-9052-2CF7B2B07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542608"/>
        <c:axId val="1657535952"/>
      </c:scatterChart>
      <c:valAx>
        <c:axId val="16575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535952"/>
        <c:crosses val="autoZero"/>
        <c:crossBetween val="midCat"/>
      </c:valAx>
      <c:valAx>
        <c:axId val="1657535952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54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к-средних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класс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ФА'!$AG$2:$AG$32</c:f>
              <c:numCache>
                <c:formatCode>0.00000</c:formatCode>
                <c:ptCount val="31"/>
                <c:pt idx="0">
                  <c:v>0.31487910497791727</c:v>
                </c:pt>
                <c:pt idx="1">
                  <c:v>5.6630355757247952E-2</c:v>
                </c:pt>
                <c:pt idx="2">
                  <c:v>0.744261293994261</c:v>
                </c:pt>
                <c:pt idx="3">
                  <c:v>-4.8555712137070377E-2</c:v>
                </c:pt>
                <c:pt idx="4">
                  <c:v>0.30561908669063659</c:v>
                </c:pt>
                <c:pt idx="5">
                  <c:v>0.75087772297068511</c:v>
                </c:pt>
                <c:pt idx="6">
                  <c:v>1.1610158884903476</c:v>
                </c:pt>
                <c:pt idx="7">
                  <c:v>0.605509288233405</c:v>
                </c:pt>
                <c:pt idx="8">
                  <c:v>-0.83243682646702744</c:v>
                </c:pt>
                <c:pt idx="9">
                  <c:v>-0.14824621074977959</c:v>
                </c:pt>
                <c:pt idx="10">
                  <c:v>-0.43793553770023014</c:v>
                </c:pt>
                <c:pt idx="11">
                  <c:v>-0.47224168753713147</c:v>
                </c:pt>
                <c:pt idx="12">
                  <c:v>-0.65128035231628534</c:v>
                </c:pt>
                <c:pt idx="13">
                  <c:v>-0.42598939160003141</c:v>
                </c:pt>
                <c:pt idx="14">
                  <c:v>-1.0337243333738841</c:v>
                </c:pt>
                <c:pt idx="15">
                  <c:v>0.59186605717887009</c:v>
                </c:pt>
                <c:pt idx="16">
                  <c:v>-0.13614383828314655</c:v>
                </c:pt>
                <c:pt idx="17">
                  <c:v>0.235397700053699</c:v>
                </c:pt>
                <c:pt idx="18">
                  <c:v>-0.12373275751270651</c:v>
                </c:pt>
                <c:pt idx="19">
                  <c:v>0.25347253807895676</c:v>
                </c:pt>
                <c:pt idx="20">
                  <c:v>0.13029648603905444</c:v>
                </c:pt>
                <c:pt idx="21">
                  <c:v>-0.53732615886278245</c:v>
                </c:pt>
                <c:pt idx="22">
                  <c:v>-5.9127238767861384E-2</c:v>
                </c:pt>
                <c:pt idx="23">
                  <c:v>0.11784038726282435</c:v>
                </c:pt>
                <c:pt idx="24">
                  <c:v>0.32014076197858876</c:v>
                </c:pt>
                <c:pt idx="25">
                  <c:v>-0.2674957311388067</c:v>
                </c:pt>
                <c:pt idx="26">
                  <c:v>-0.12413653824004578</c:v>
                </c:pt>
                <c:pt idx="27">
                  <c:v>0.22775094727323869</c:v>
                </c:pt>
                <c:pt idx="28">
                  <c:v>-0.16351862231155986</c:v>
                </c:pt>
                <c:pt idx="29">
                  <c:v>0.54814525741938513</c:v>
                </c:pt>
                <c:pt idx="30">
                  <c:v>-3.9211966847335744E-2</c:v>
                </c:pt>
              </c:numCache>
            </c:numRef>
          </c:xVal>
          <c:yVal>
            <c:numRef>
              <c:f>'МГК и ФА'!$AH$2:$AH$32</c:f>
              <c:numCache>
                <c:formatCode>0.00000</c:formatCode>
                <c:ptCount val="31"/>
                <c:pt idx="0">
                  <c:v>0.27717479857018701</c:v>
                </c:pt>
                <c:pt idx="1">
                  <c:v>0.11045861529005846</c:v>
                </c:pt>
                <c:pt idx="2">
                  <c:v>-4.292699226516633E-2</c:v>
                </c:pt>
                <c:pt idx="3">
                  <c:v>0.21406479878870677</c:v>
                </c:pt>
                <c:pt idx="4">
                  <c:v>0.29554761095456156</c:v>
                </c:pt>
                <c:pt idx="5">
                  <c:v>0.284518146266525</c:v>
                </c:pt>
                <c:pt idx="6">
                  <c:v>0.21047329433474243</c:v>
                </c:pt>
                <c:pt idx="7">
                  <c:v>0.57568127794030155</c:v>
                </c:pt>
                <c:pt idx="8">
                  <c:v>-0.37899252472610234</c:v>
                </c:pt>
                <c:pt idx="9">
                  <c:v>1.6283985682877478E-2</c:v>
                </c:pt>
                <c:pt idx="10">
                  <c:v>-0.12976085990879424</c:v>
                </c:pt>
                <c:pt idx="11">
                  <c:v>-0.35353861553225002</c:v>
                </c:pt>
                <c:pt idx="12">
                  <c:v>-0.14495052678642351</c:v>
                </c:pt>
                <c:pt idx="13">
                  <c:v>-6.9064857570127342E-2</c:v>
                </c:pt>
                <c:pt idx="14">
                  <c:v>0.19895696132898522</c:v>
                </c:pt>
                <c:pt idx="15">
                  <c:v>-0.27484254626323917</c:v>
                </c:pt>
                <c:pt idx="16">
                  <c:v>-1.0318367031366553</c:v>
                </c:pt>
                <c:pt idx="17">
                  <c:v>-0.7437048566733222</c:v>
                </c:pt>
                <c:pt idx="18">
                  <c:v>-0.37419270560537177</c:v>
                </c:pt>
                <c:pt idx="19">
                  <c:v>-0.74512044153099644</c:v>
                </c:pt>
                <c:pt idx="20">
                  <c:v>-0.45858727837088781</c:v>
                </c:pt>
                <c:pt idx="21">
                  <c:v>-0.70069206906462911</c:v>
                </c:pt>
                <c:pt idx="22">
                  <c:v>-0.49287047364693615</c:v>
                </c:pt>
                <c:pt idx="23">
                  <c:v>-0.19242814979095843</c:v>
                </c:pt>
                <c:pt idx="24">
                  <c:v>-1.1190718715909549</c:v>
                </c:pt>
                <c:pt idx="25">
                  <c:v>-0.27727710951001838</c:v>
                </c:pt>
                <c:pt idx="26">
                  <c:v>-0.52790350300205502</c:v>
                </c:pt>
                <c:pt idx="27">
                  <c:v>-0.69642572319985852</c:v>
                </c:pt>
                <c:pt idx="28">
                  <c:v>-0.23159466896528591</c:v>
                </c:pt>
                <c:pt idx="29">
                  <c:v>-0.732693321291644</c:v>
                </c:pt>
                <c:pt idx="30">
                  <c:v>-0.45473315175147266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7-4227-8EE2-F665DAE84145}"/>
            </c:ext>
          </c:extLst>
        </c:ser>
        <c:ser>
          <c:idx val="1"/>
          <c:order val="1"/>
          <c:tx>
            <c:v>класс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ФА'!$AG$33:$AG$59</c:f>
              <c:numCache>
                <c:formatCode>0.00000</c:formatCode>
                <c:ptCount val="27"/>
                <c:pt idx="0">
                  <c:v>0.99117733961336074</c:v>
                </c:pt>
                <c:pt idx="1">
                  <c:v>-0.24660909801096273</c:v>
                </c:pt>
                <c:pt idx="2">
                  <c:v>0.54956734188769396</c:v>
                </c:pt>
                <c:pt idx="3">
                  <c:v>9.2910548556283681E-2</c:v>
                </c:pt>
                <c:pt idx="4">
                  <c:v>2.1114207833418847E-2</c:v>
                </c:pt>
                <c:pt idx="5">
                  <c:v>-0.12212939757241779</c:v>
                </c:pt>
                <c:pt idx="6">
                  <c:v>0.3625082007930116</c:v>
                </c:pt>
                <c:pt idx="7">
                  <c:v>0.16969776162509348</c:v>
                </c:pt>
                <c:pt idx="8">
                  <c:v>0.50471224770224676</c:v>
                </c:pt>
                <c:pt idx="9">
                  <c:v>0.38192584864448798</c:v>
                </c:pt>
                <c:pt idx="10">
                  <c:v>7.0736769437563504E-2</c:v>
                </c:pt>
                <c:pt idx="11">
                  <c:v>0.15076936481568043</c:v>
                </c:pt>
                <c:pt idx="12">
                  <c:v>0.95017992838704834</c:v>
                </c:pt>
                <c:pt idx="13">
                  <c:v>-0.20559813238350497</c:v>
                </c:pt>
                <c:pt idx="14">
                  <c:v>-0.45381752488339855</c:v>
                </c:pt>
                <c:pt idx="15">
                  <c:v>-0.63228597945242293</c:v>
                </c:pt>
                <c:pt idx="16">
                  <c:v>-0.53558584549118027</c:v>
                </c:pt>
                <c:pt idx="17">
                  <c:v>-0.33210730506777397</c:v>
                </c:pt>
                <c:pt idx="18">
                  <c:v>-0.95306631457546787</c:v>
                </c:pt>
                <c:pt idx="19">
                  <c:v>-0.76122623184126581</c:v>
                </c:pt>
                <c:pt idx="20">
                  <c:v>-0.9378004994331991</c:v>
                </c:pt>
                <c:pt idx="21">
                  <c:v>-0.7251936889102516</c:v>
                </c:pt>
                <c:pt idx="22">
                  <c:v>-0.71286734834126664</c:v>
                </c:pt>
                <c:pt idx="23">
                  <c:v>-1.1236311727474124</c:v>
                </c:pt>
                <c:pt idx="24">
                  <c:v>-1.1292697822017885</c:v>
                </c:pt>
                <c:pt idx="25">
                  <c:v>-0.82072510041306823</c:v>
                </c:pt>
                <c:pt idx="26">
                  <c:v>-0.91516875736297776</c:v>
                </c:pt>
              </c:numCache>
            </c:numRef>
          </c:xVal>
          <c:yVal>
            <c:numRef>
              <c:f>'МГК и ФА'!$AH$33:$AH$59</c:f>
              <c:numCache>
                <c:formatCode>0.00000</c:formatCode>
                <c:ptCount val="27"/>
                <c:pt idx="0">
                  <c:v>2.0882362408117352</c:v>
                </c:pt>
                <c:pt idx="1">
                  <c:v>0.55887832602816589</c:v>
                </c:pt>
                <c:pt idx="2">
                  <c:v>1.345013006803121</c:v>
                </c:pt>
                <c:pt idx="3">
                  <c:v>0.61711236088415244</c:v>
                </c:pt>
                <c:pt idx="4">
                  <c:v>0.33185936800214466</c:v>
                </c:pt>
                <c:pt idx="5">
                  <c:v>0.67138208743299133</c:v>
                </c:pt>
                <c:pt idx="6">
                  <c:v>0.32542452430306057</c:v>
                </c:pt>
                <c:pt idx="7">
                  <c:v>0.80167679796189062</c:v>
                </c:pt>
                <c:pt idx="8">
                  <c:v>1.1791100835715962</c:v>
                </c:pt>
                <c:pt idx="9">
                  <c:v>0.95067573213328405</c:v>
                </c:pt>
                <c:pt idx="10">
                  <c:v>1.0526493771490244</c:v>
                </c:pt>
                <c:pt idx="11">
                  <c:v>0.25267007267107311</c:v>
                </c:pt>
                <c:pt idx="12">
                  <c:v>0.75903846068162117</c:v>
                </c:pt>
                <c:pt idx="13">
                  <c:v>0.24229698766122199</c:v>
                </c:pt>
                <c:pt idx="14">
                  <c:v>0.1406067175712564</c:v>
                </c:pt>
                <c:pt idx="15">
                  <c:v>-3.6711754820950154E-2</c:v>
                </c:pt>
                <c:pt idx="16">
                  <c:v>0.26146422268170821</c:v>
                </c:pt>
                <c:pt idx="17">
                  <c:v>0.12552322826749052</c:v>
                </c:pt>
                <c:pt idx="18">
                  <c:v>0.19932319917675709</c:v>
                </c:pt>
                <c:pt idx="19">
                  <c:v>0.47200246922534045</c:v>
                </c:pt>
                <c:pt idx="20">
                  <c:v>0.17086698406252218</c:v>
                </c:pt>
                <c:pt idx="21">
                  <c:v>0.3238663271064936</c:v>
                </c:pt>
                <c:pt idx="22">
                  <c:v>0.74803718606105185</c:v>
                </c:pt>
                <c:pt idx="23">
                  <c:v>0.7756887293156608</c:v>
                </c:pt>
                <c:pt idx="24">
                  <c:v>1.5028990490382081</c:v>
                </c:pt>
                <c:pt idx="25">
                  <c:v>1.0096285474269118</c:v>
                </c:pt>
                <c:pt idx="26">
                  <c:v>0.81195283894267822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C7-4227-8EE2-F665DAE84145}"/>
            </c:ext>
          </c:extLst>
        </c:ser>
        <c:ser>
          <c:idx val="2"/>
          <c:order val="2"/>
          <c:tx>
            <c:v>класс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ФА'!$AG$60:$AG$71</c:f>
              <c:numCache>
                <c:formatCode>0.00000</c:formatCode>
                <c:ptCount val="12"/>
                <c:pt idx="0">
                  <c:v>-0.82992785060055119</c:v>
                </c:pt>
                <c:pt idx="1">
                  <c:v>-0.84963960583490516</c:v>
                </c:pt>
                <c:pt idx="2">
                  <c:v>-1.5241183555249409</c:v>
                </c:pt>
                <c:pt idx="3">
                  <c:v>-1.2487648064820194</c:v>
                </c:pt>
                <c:pt idx="4">
                  <c:v>-1.0254524028729568</c:v>
                </c:pt>
                <c:pt idx="5">
                  <c:v>-1.4139507965015217</c:v>
                </c:pt>
                <c:pt idx="6">
                  <c:v>-0.99674455503673365</c:v>
                </c:pt>
                <c:pt idx="7">
                  <c:v>-0.51279440621154393</c:v>
                </c:pt>
                <c:pt idx="8">
                  <c:v>-0.99743975160533349</c:v>
                </c:pt>
                <c:pt idx="9">
                  <c:v>-0.44316822585800819</c:v>
                </c:pt>
                <c:pt idx="10">
                  <c:v>-0.37087827546333718</c:v>
                </c:pt>
                <c:pt idx="11">
                  <c:v>-0.29788161391669776</c:v>
                </c:pt>
              </c:numCache>
            </c:numRef>
          </c:xVal>
          <c:yVal>
            <c:numRef>
              <c:f>'МГК и ФА'!$AH$60:$AH$71</c:f>
              <c:numCache>
                <c:formatCode>0.00000</c:formatCode>
                <c:ptCount val="12"/>
                <c:pt idx="0">
                  <c:v>-0.72568069932029255</c:v>
                </c:pt>
                <c:pt idx="1">
                  <c:v>-0.4126141810854681</c:v>
                </c:pt>
                <c:pt idx="2">
                  <c:v>-0.83005765926504826</c:v>
                </c:pt>
                <c:pt idx="3">
                  <c:v>-0.19687682640737933</c:v>
                </c:pt>
                <c:pt idx="4">
                  <c:v>-0.28548174574471535</c:v>
                </c:pt>
                <c:pt idx="5">
                  <c:v>-0.29572258336795737</c:v>
                </c:pt>
                <c:pt idx="6">
                  <c:v>-0.62645314821502851</c:v>
                </c:pt>
                <c:pt idx="7">
                  <c:v>-0.3777045991724946</c:v>
                </c:pt>
                <c:pt idx="8">
                  <c:v>0.22426554636965412</c:v>
                </c:pt>
                <c:pt idx="9">
                  <c:v>-0.57811526202185071</c:v>
                </c:pt>
                <c:pt idx="10">
                  <c:v>-1.5215214439673252</c:v>
                </c:pt>
                <c:pt idx="11">
                  <c:v>-0.75593902469895136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C7-4227-8EE2-F665DAE84145}"/>
            </c:ext>
          </c:extLst>
        </c:ser>
        <c:ser>
          <c:idx val="3"/>
          <c:order val="3"/>
          <c:tx>
            <c:v>класс 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ФА'!$AG$72:$AG$74</c:f>
              <c:numCache>
                <c:formatCode>0.00000</c:formatCode>
                <c:ptCount val="3"/>
                <c:pt idx="0">
                  <c:v>3.8561089628134808</c:v>
                </c:pt>
                <c:pt idx="1">
                  <c:v>3.2488353767908791</c:v>
                </c:pt>
                <c:pt idx="2">
                  <c:v>1.4341881059576949</c:v>
                </c:pt>
              </c:numCache>
            </c:numRef>
          </c:xVal>
          <c:yVal>
            <c:numRef>
              <c:f>'МГК и ФА'!$AH$72:$AH$74</c:f>
              <c:numCache>
                <c:formatCode>0.00000</c:formatCode>
                <c:ptCount val="3"/>
                <c:pt idx="0">
                  <c:v>2.4828261942325693</c:v>
                </c:pt>
                <c:pt idx="1">
                  <c:v>2.4658023062022982</c:v>
                </c:pt>
                <c:pt idx="2">
                  <c:v>2.161038063750881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C7-4227-8EE2-F665DAE84145}"/>
            </c:ext>
          </c:extLst>
        </c:ser>
        <c:ser>
          <c:idx val="4"/>
          <c:order val="4"/>
          <c:tx>
            <c:v>класс 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ФА'!$AG$75:$AG$76</c:f>
              <c:numCache>
                <c:formatCode>0.00000</c:formatCode>
                <c:ptCount val="2"/>
                <c:pt idx="0">
                  <c:v>-2.5785742851848039</c:v>
                </c:pt>
                <c:pt idx="1">
                  <c:v>-1.6596365580984691</c:v>
                </c:pt>
              </c:numCache>
            </c:numRef>
          </c:xVal>
          <c:yVal>
            <c:numRef>
              <c:f>'МГК и ФА'!$AH$75:$AH$76</c:f>
              <c:numCache>
                <c:formatCode>0.00000</c:formatCode>
                <c:ptCount val="2"/>
                <c:pt idx="0">
                  <c:v>1.9739397164118095</c:v>
                </c:pt>
                <c:pt idx="1">
                  <c:v>1.7836887138566841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C7-4227-8EE2-F665DAE84145}"/>
            </c:ext>
          </c:extLst>
        </c:ser>
        <c:ser>
          <c:idx val="5"/>
          <c:order val="5"/>
          <c:tx>
            <c:v>класс 6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ФА'!$AG$77:$AG$85</c:f>
              <c:numCache>
                <c:formatCode>0.00000</c:formatCode>
                <c:ptCount val="9"/>
                <c:pt idx="0">
                  <c:v>0.83515241087902459</c:v>
                </c:pt>
                <c:pt idx="1">
                  <c:v>1.3427118487526655</c:v>
                </c:pt>
                <c:pt idx="2">
                  <c:v>0.77969586727480056</c:v>
                </c:pt>
                <c:pt idx="3">
                  <c:v>1.0516483442580258</c:v>
                </c:pt>
                <c:pt idx="4">
                  <c:v>1.2630330246509991</c:v>
                </c:pt>
                <c:pt idx="5">
                  <c:v>1.4547738298003259</c:v>
                </c:pt>
                <c:pt idx="6">
                  <c:v>1.207500458842643</c:v>
                </c:pt>
                <c:pt idx="7">
                  <c:v>1.8519577028092515</c:v>
                </c:pt>
                <c:pt idx="8">
                  <c:v>1.9225482032011199</c:v>
                </c:pt>
              </c:numCache>
            </c:numRef>
          </c:xVal>
          <c:yVal>
            <c:numRef>
              <c:f>'МГК и ФА'!$AH$77:$AH$85</c:f>
              <c:numCache>
                <c:formatCode>0.00000</c:formatCode>
                <c:ptCount val="9"/>
                <c:pt idx="0">
                  <c:v>-2.0048492791874573</c:v>
                </c:pt>
                <c:pt idx="1">
                  <c:v>-2.5000966528853699</c:v>
                </c:pt>
                <c:pt idx="2">
                  <c:v>-1.7895749805900687</c:v>
                </c:pt>
                <c:pt idx="3">
                  <c:v>-1.2563485133534897</c:v>
                </c:pt>
                <c:pt idx="4">
                  <c:v>-1.6117585949491351</c:v>
                </c:pt>
                <c:pt idx="5">
                  <c:v>-0.9229060546623441</c:v>
                </c:pt>
                <c:pt idx="6">
                  <c:v>-2.7419796543657977</c:v>
                </c:pt>
                <c:pt idx="7">
                  <c:v>-1.5444107482984073</c:v>
                </c:pt>
                <c:pt idx="8">
                  <c:v>0.19540940161061801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C7-4227-8EE2-F665DAE84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25856"/>
        <c:axId val="1794729184"/>
      </c:scatterChart>
      <c:valAx>
        <c:axId val="179472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729184"/>
        <c:crosses val="autoZero"/>
        <c:crossBetween val="midCat"/>
      </c:valAx>
      <c:valAx>
        <c:axId val="17947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72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Метод Уорда 2</a:t>
            </a:r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класс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ФА'!$AK$2:$AK$9</c:f>
              <c:numCache>
                <c:formatCode>0.00000</c:formatCode>
                <c:ptCount val="8"/>
                <c:pt idx="0">
                  <c:v>-0.82992785060055119</c:v>
                </c:pt>
                <c:pt idx="1">
                  <c:v>-0.83243682646702744</c:v>
                </c:pt>
                <c:pt idx="2">
                  <c:v>-0.84963960583490516</c:v>
                </c:pt>
                <c:pt idx="3">
                  <c:v>-1.5241183555249409</c:v>
                </c:pt>
                <c:pt idx="4">
                  <c:v>-1.2487648064820194</c:v>
                </c:pt>
                <c:pt idx="5">
                  <c:v>-1.0254524028729568</c:v>
                </c:pt>
                <c:pt idx="6">
                  <c:v>-1.4139507965015217</c:v>
                </c:pt>
                <c:pt idx="7">
                  <c:v>-0.99674455503673365</c:v>
                </c:pt>
              </c:numCache>
            </c:numRef>
          </c:xVal>
          <c:yVal>
            <c:numRef>
              <c:f>'МГК и ФА'!$AL$2:$AL$9</c:f>
              <c:numCache>
                <c:formatCode>0.00000</c:formatCode>
                <c:ptCount val="8"/>
                <c:pt idx="0">
                  <c:v>-0.72568069932029255</c:v>
                </c:pt>
                <c:pt idx="1">
                  <c:v>-0.37899252472610234</c:v>
                </c:pt>
                <c:pt idx="2">
                  <c:v>-0.4126141810854681</c:v>
                </c:pt>
                <c:pt idx="3">
                  <c:v>-0.83005765926504826</c:v>
                </c:pt>
                <c:pt idx="4">
                  <c:v>-0.19687682640737933</c:v>
                </c:pt>
                <c:pt idx="5">
                  <c:v>-0.28548174574471535</c:v>
                </c:pt>
                <c:pt idx="6">
                  <c:v>-0.29572258336795737</c:v>
                </c:pt>
                <c:pt idx="7">
                  <c:v>-0.62645314821502851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3-4CA6-91B0-B915D2B1DC29}"/>
            </c:ext>
          </c:extLst>
        </c:ser>
        <c:ser>
          <c:idx val="1"/>
          <c:order val="1"/>
          <c:tx>
            <c:v>класс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F4E-4583-A197-061A04A5E0C5}"/>
              </c:ext>
            </c:extLst>
          </c:dPt>
          <c:xVal>
            <c:numRef>
              <c:f>'МГК и ФА'!$AK$10:$AK$17</c:f>
              <c:numCache>
                <c:formatCode>0.00000</c:formatCode>
                <c:ptCount val="8"/>
                <c:pt idx="0">
                  <c:v>0.83515241087902459</c:v>
                </c:pt>
                <c:pt idx="1">
                  <c:v>1.3427118487526655</c:v>
                </c:pt>
                <c:pt idx="2">
                  <c:v>0.77969586727480056</c:v>
                </c:pt>
                <c:pt idx="3">
                  <c:v>1.0516483442580258</c:v>
                </c:pt>
                <c:pt idx="4">
                  <c:v>1.2630330246509991</c:v>
                </c:pt>
                <c:pt idx="5">
                  <c:v>1.4547738298003259</c:v>
                </c:pt>
                <c:pt idx="6">
                  <c:v>1.207500458842643</c:v>
                </c:pt>
                <c:pt idx="7">
                  <c:v>1.8519577028092515</c:v>
                </c:pt>
              </c:numCache>
            </c:numRef>
          </c:xVal>
          <c:yVal>
            <c:numRef>
              <c:f>'МГК и ФА'!$AL$10:$AL$17</c:f>
              <c:numCache>
                <c:formatCode>0.00000</c:formatCode>
                <c:ptCount val="8"/>
                <c:pt idx="0">
                  <c:v>-2.0048492791874573</c:v>
                </c:pt>
                <c:pt idx="1">
                  <c:v>-2.5000966528853699</c:v>
                </c:pt>
                <c:pt idx="2">
                  <c:v>-1.7895749805900687</c:v>
                </c:pt>
                <c:pt idx="3">
                  <c:v>-1.2563485133534897</c:v>
                </c:pt>
                <c:pt idx="4">
                  <c:v>-1.6117585949491351</c:v>
                </c:pt>
                <c:pt idx="5">
                  <c:v>-0.9229060546623441</c:v>
                </c:pt>
                <c:pt idx="6">
                  <c:v>-2.7419796543657977</c:v>
                </c:pt>
                <c:pt idx="7">
                  <c:v>-1.5444107482984073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3-4CA6-91B0-B915D2B1DC29}"/>
            </c:ext>
          </c:extLst>
        </c:ser>
        <c:ser>
          <c:idx val="2"/>
          <c:order val="2"/>
          <c:tx>
            <c:v>класс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ФА'!$AK$18:$AK$21</c:f>
              <c:numCache>
                <c:formatCode>0.00000</c:formatCode>
                <c:ptCount val="4"/>
                <c:pt idx="0">
                  <c:v>3.8561089628134808</c:v>
                </c:pt>
                <c:pt idx="1">
                  <c:v>0.99117733961336074</c:v>
                </c:pt>
                <c:pt idx="2">
                  <c:v>3.2488353767908791</c:v>
                </c:pt>
                <c:pt idx="3">
                  <c:v>1.4341881059576949</c:v>
                </c:pt>
              </c:numCache>
            </c:numRef>
          </c:xVal>
          <c:yVal>
            <c:numRef>
              <c:f>'МГК и ФА'!$AL$18:$AL$21</c:f>
              <c:numCache>
                <c:formatCode>0.00000</c:formatCode>
                <c:ptCount val="4"/>
                <c:pt idx="0">
                  <c:v>2.4828261942325693</c:v>
                </c:pt>
                <c:pt idx="1">
                  <c:v>2.0882362408117401</c:v>
                </c:pt>
                <c:pt idx="2">
                  <c:v>2.4658023062022982</c:v>
                </c:pt>
                <c:pt idx="3">
                  <c:v>2.161038063750881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63-4CA6-91B0-B915D2B1DC29}"/>
            </c:ext>
          </c:extLst>
        </c:ser>
        <c:ser>
          <c:idx val="3"/>
          <c:order val="3"/>
          <c:tx>
            <c:v>класс 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ФА'!$AK$22:$AK$45</c:f>
              <c:numCache>
                <c:formatCode>0.00000</c:formatCode>
                <c:ptCount val="24"/>
                <c:pt idx="0">
                  <c:v>0.31487910497791727</c:v>
                </c:pt>
                <c:pt idx="1">
                  <c:v>-0.24660909801096273</c:v>
                </c:pt>
                <c:pt idx="2">
                  <c:v>0.54956734188769396</c:v>
                </c:pt>
                <c:pt idx="3">
                  <c:v>9.2910548556283681E-2</c:v>
                </c:pt>
                <c:pt idx="4">
                  <c:v>5.6630355757247952E-2</c:v>
                </c:pt>
                <c:pt idx="5">
                  <c:v>2.1114207833418847E-2</c:v>
                </c:pt>
                <c:pt idx="6">
                  <c:v>0.744261293994261</c:v>
                </c:pt>
                <c:pt idx="7">
                  <c:v>-0.12212939757241779</c:v>
                </c:pt>
                <c:pt idx="8">
                  <c:v>0.3625082007930116</c:v>
                </c:pt>
                <c:pt idx="9">
                  <c:v>-4.8555712137070377E-2</c:v>
                </c:pt>
                <c:pt idx="10">
                  <c:v>0.30561908669063659</c:v>
                </c:pt>
                <c:pt idx="11">
                  <c:v>0.75087772297068511</c:v>
                </c:pt>
                <c:pt idx="12">
                  <c:v>0.16969776162509348</c:v>
                </c:pt>
                <c:pt idx="13">
                  <c:v>0.50471224770224676</c:v>
                </c:pt>
                <c:pt idx="14">
                  <c:v>0.38192584864448798</c:v>
                </c:pt>
                <c:pt idx="15">
                  <c:v>1.9225482032011199</c:v>
                </c:pt>
                <c:pt idx="16">
                  <c:v>1.1610158884903476</c:v>
                </c:pt>
                <c:pt idx="17">
                  <c:v>7.0736769437563504E-2</c:v>
                </c:pt>
                <c:pt idx="18">
                  <c:v>0.15076936481568043</c:v>
                </c:pt>
                <c:pt idx="19">
                  <c:v>0.95017992838704834</c:v>
                </c:pt>
                <c:pt idx="20">
                  <c:v>0.605509288233405</c:v>
                </c:pt>
                <c:pt idx="21">
                  <c:v>-0.20559813238350497</c:v>
                </c:pt>
                <c:pt idx="22">
                  <c:v>-0.14824621074977959</c:v>
                </c:pt>
                <c:pt idx="23">
                  <c:v>0.59186605717887009</c:v>
                </c:pt>
              </c:numCache>
            </c:numRef>
          </c:xVal>
          <c:yVal>
            <c:numRef>
              <c:f>'МГК и ФА'!$AL$22:$AL$45</c:f>
              <c:numCache>
                <c:formatCode>0.00000</c:formatCode>
                <c:ptCount val="24"/>
                <c:pt idx="0">
                  <c:v>0.27717479857018701</c:v>
                </c:pt>
                <c:pt idx="1">
                  <c:v>0.55887832602816589</c:v>
                </c:pt>
                <c:pt idx="2">
                  <c:v>1.345013006803121</c:v>
                </c:pt>
                <c:pt idx="3">
                  <c:v>0.61711236088415244</c:v>
                </c:pt>
                <c:pt idx="4">
                  <c:v>0.11045861529005846</c:v>
                </c:pt>
                <c:pt idx="5">
                  <c:v>0.33185936800214466</c:v>
                </c:pt>
                <c:pt idx="6">
                  <c:v>-4.292699226516633E-2</c:v>
                </c:pt>
                <c:pt idx="7">
                  <c:v>0.67138208743299133</c:v>
                </c:pt>
                <c:pt idx="8">
                  <c:v>0.32542452430306057</c:v>
                </c:pt>
                <c:pt idx="9">
                  <c:v>0.21406479878870677</c:v>
                </c:pt>
                <c:pt idx="10">
                  <c:v>0.29554761095456156</c:v>
                </c:pt>
                <c:pt idx="11">
                  <c:v>0.284518146266525</c:v>
                </c:pt>
                <c:pt idx="12">
                  <c:v>0.80167679796189062</c:v>
                </c:pt>
                <c:pt idx="13">
                  <c:v>1.1791100835715962</c:v>
                </c:pt>
                <c:pt idx="14">
                  <c:v>0.95067573213328405</c:v>
                </c:pt>
                <c:pt idx="15">
                  <c:v>0.19540940161061801</c:v>
                </c:pt>
                <c:pt idx="16">
                  <c:v>0.21047329433474243</c:v>
                </c:pt>
                <c:pt idx="17">
                  <c:v>1.0526493771490244</c:v>
                </c:pt>
                <c:pt idx="18">
                  <c:v>0.25267007267107311</c:v>
                </c:pt>
                <c:pt idx="19">
                  <c:v>0.75903846068162117</c:v>
                </c:pt>
                <c:pt idx="20">
                  <c:v>0.57568127794030155</c:v>
                </c:pt>
                <c:pt idx="21">
                  <c:v>0.24229698766122199</c:v>
                </c:pt>
                <c:pt idx="22">
                  <c:v>1.6283985682877478E-2</c:v>
                </c:pt>
                <c:pt idx="23">
                  <c:v>-0.27484254626323917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63-4CA6-91B0-B915D2B1DC29}"/>
            </c:ext>
          </c:extLst>
        </c:ser>
        <c:ser>
          <c:idx val="4"/>
          <c:order val="4"/>
          <c:tx>
            <c:v>класс 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ФА'!$AK$46:$AK$72</c:f>
              <c:numCache>
                <c:formatCode>0.00000</c:formatCode>
                <c:ptCount val="27"/>
                <c:pt idx="0">
                  <c:v>-0.45381752488339855</c:v>
                </c:pt>
                <c:pt idx="1">
                  <c:v>-0.43793553770023014</c:v>
                </c:pt>
                <c:pt idx="2">
                  <c:v>-0.51279440621154393</c:v>
                </c:pt>
                <c:pt idx="3">
                  <c:v>-0.47224168753713147</c:v>
                </c:pt>
                <c:pt idx="4">
                  <c:v>-0.63228597945242293</c:v>
                </c:pt>
                <c:pt idx="5">
                  <c:v>-0.53558584549118027</c:v>
                </c:pt>
                <c:pt idx="6">
                  <c:v>-0.65128035231628534</c:v>
                </c:pt>
                <c:pt idx="7">
                  <c:v>-0.33210730506777397</c:v>
                </c:pt>
                <c:pt idx="8">
                  <c:v>-0.42598939160003141</c:v>
                </c:pt>
                <c:pt idx="9">
                  <c:v>-0.13614383828314655</c:v>
                </c:pt>
                <c:pt idx="10">
                  <c:v>0.2353977000536992</c:v>
                </c:pt>
                <c:pt idx="11">
                  <c:v>-0.12373275751270651</c:v>
                </c:pt>
                <c:pt idx="12">
                  <c:v>-0.44316822585800819</c:v>
                </c:pt>
                <c:pt idx="13">
                  <c:v>-0.37087827546333718</c:v>
                </c:pt>
                <c:pt idx="14">
                  <c:v>0.25347253807895676</c:v>
                </c:pt>
                <c:pt idx="15">
                  <c:v>0.13029648603905444</c:v>
                </c:pt>
                <c:pt idx="16">
                  <c:v>-0.53732615886278245</c:v>
                </c:pt>
                <c:pt idx="17">
                  <c:v>-5.9127238767861384E-2</c:v>
                </c:pt>
                <c:pt idx="18">
                  <c:v>0.11784038726282435</c:v>
                </c:pt>
                <c:pt idx="19">
                  <c:v>-0.29788161391669776</c:v>
                </c:pt>
                <c:pt idx="20">
                  <c:v>0.32014076197858876</c:v>
                </c:pt>
                <c:pt idx="21">
                  <c:v>-0.2674957311388067</c:v>
                </c:pt>
                <c:pt idx="22">
                  <c:v>-0.12413653824004578</c:v>
                </c:pt>
                <c:pt idx="23">
                  <c:v>0.22775094727323869</c:v>
                </c:pt>
                <c:pt idx="24">
                  <c:v>-0.16351862231155986</c:v>
                </c:pt>
                <c:pt idx="25">
                  <c:v>0.54814525741938513</c:v>
                </c:pt>
                <c:pt idx="26">
                  <c:v>-3.9211966847335744E-2</c:v>
                </c:pt>
              </c:numCache>
            </c:numRef>
          </c:xVal>
          <c:yVal>
            <c:numRef>
              <c:f>'МГК и ФА'!$AL$46:$AL$72</c:f>
              <c:numCache>
                <c:formatCode>0.00000</c:formatCode>
                <c:ptCount val="27"/>
                <c:pt idx="0">
                  <c:v>0.1406067175712564</c:v>
                </c:pt>
                <c:pt idx="1">
                  <c:v>-0.12976085990879424</c:v>
                </c:pt>
                <c:pt idx="2">
                  <c:v>-0.3777045991724946</c:v>
                </c:pt>
                <c:pt idx="3">
                  <c:v>-0.35353861553225002</c:v>
                </c:pt>
                <c:pt idx="4">
                  <c:v>-3.6711754820950154E-2</c:v>
                </c:pt>
                <c:pt idx="5">
                  <c:v>0.26146422268170821</c:v>
                </c:pt>
                <c:pt idx="6">
                  <c:v>-0.14495052678642351</c:v>
                </c:pt>
                <c:pt idx="7">
                  <c:v>0.12552322826749052</c:v>
                </c:pt>
                <c:pt idx="8">
                  <c:v>-6.9064857570127342E-2</c:v>
                </c:pt>
                <c:pt idx="9">
                  <c:v>-1.0318367031366553</c:v>
                </c:pt>
                <c:pt idx="10">
                  <c:v>-0.7437048566733222</c:v>
                </c:pt>
                <c:pt idx="11">
                  <c:v>-0.37419270560537177</c:v>
                </c:pt>
                <c:pt idx="12">
                  <c:v>-0.57811526202185071</c:v>
                </c:pt>
                <c:pt idx="13">
                  <c:v>-1.5215214439673252</c:v>
                </c:pt>
                <c:pt idx="14">
                  <c:v>-0.74512044153099644</c:v>
                </c:pt>
                <c:pt idx="15">
                  <c:v>-0.45858727837088781</c:v>
                </c:pt>
                <c:pt idx="16">
                  <c:v>-0.70069206906462911</c:v>
                </c:pt>
                <c:pt idx="17">
                  <c:v>-0.49287047364693615</c:v>
                </c:pt>
                <c:pt idx="18">
                  <c:v>-0.19242814979095843</c:v>
                </c:pt>
                <c:pt idx="19">
                  <c:v>-0.75593902469895136</c:v>
                </c:pt>
                <c:pt idx="20">
                  <c:v>-1.1190718715909549</c:v>
                </c:pt>
                <c:pt idx="21">
                  <c:v>-0.27727710951001838</c:v>
                </c:pt>
                <c:pt idx="22">
                  <c:v>-0.52790350300205502</c:v>
                </c:pt>
                <c:pt idx="23">
                  <c:v>-0.69642572319985852</c:v>
                </c:pt>
                <c:pt idx="24">
                  <c:v>-0.23159466896528591</c:v>
                </c:pt>
                <c:pt idx="25">
                  <c:v>-0.732693321291644</c:v>
                </c:pt>
                <c:pt idx="26">
                  <c:v>-0.45473315175147266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63-4CA6-91B0-B915D2B1DC29}"/>
            </c:ext>
          </c:extLst>
        </c:ser>
        <c:ser>
          <c:idx val="5"/>
          <c:order val="5"/>
          <c:tx>
            <c:v>класс 6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ФА'!$AK$73:$AK$85</c:f>
              <c:numCache>
                <c:formatCode>0.00000</c:formatCode>
                <c:ptCount val="13"/>
                <c:pt idx="0">
                  <c:v>-1.0337243333738841</c:v>
                </c:pt>
                <c:pt idx="1">
                  <c:v>-0.95306631457546787</c:v>
                </c:pt>
                <c:pt idx="2">
                  <c:v>-0.99743975160533349</c:v>
                </c:pt>
                <c:pt idx="3">
                  <c:v>-0.76122623184126581</c:v>
                </c:pt>
                <c:pt idx="4">
                  <c:v>-0.9378004994331991</c:v>
                </c:pt>
                <c:pt idx="5">
                  <c:v>-0.7251936889102516</c:v>
                </c:pt>
                <c:pt idx="6">
                  <c:v>-0.71286734834126664</c:v>
                </c:pt>
                <c:pt idx="7">
                  <c:v>-1.1236311727474124</c:v>
                </c:pt>
                <c:pt idx="8">
                  <c:v>-1.1292697822017885</c:v>
                </c:pt>
                <c:pt idx="9">
                  <c:v>-2.5785742851848039</c:v>
                </c:pt>
                <c:pt idx="10">
                  <c:v>-0.82072510041306823</c:v>
                </c:pt>
                <c:pt idx="11">
                  <c:v>-0.91516875736297776</c:v>
                </c:pt>
                <c:pt idx="12">
                  <c:v>-1.6596365580984691</c:v>
                </c:pt>
              </c:numCache>
            </c:numRef>
          </c:xVal>
          <c:yVal>
            <c:numRef>
              <c:f>'МГК и ФА'!$AL$73:$AL$85</c:f>
              <c:numCache>
                <c:formatCode>0.00000</c:formatCode>
                <c:ptCount val="13"/>
                <c:pt idx="0">
                  <c:v>0.19895696132898522</c:v>
                </c:pt>
                <c:pt idx="1">
                  <c:v>0.19932319917675709</c:v>
                </c:pt>
                <c:pt idx="2">
                  <c:v>0.22426554636965412</c:v>
                </c:pt>
                <c:pt idx="3">
                  <c:v>0.47200246922534045</c:v>
                </c:pt>
                <c:pt idx="4">
                  <c:v>0.17086698406252218</c:v>
                </c:pt>
                <c:pt idx="5">
                  <c:v>0.3238663271064936</c:v>
                </c:pt>
                <c:pt idx="6">
                  <c:v>0.74803718606105185</c:v>
                </c:pt>
                <c:pt idx="7">
                  <c:v>0.7756887293156608</c:v>
                </c:pt>
                <c:pt idx="8">
                  <c:v>1.5028990490382081</c:v>
                </c:pt>
                <c:pt idx="9">
                  <c:v>1.9739397164118095</c:v>
                </c:pt>
                <c:pt idx="10">
                  <c:v>1.0096285474269118</c:v>
                </c:pt>
                <c:pt idx="11">
                  <c:v>0.81195283894267822</c:v>
                </c:pt>
                <c:pt idx="12">
                  <c:v>1.7836887138566841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63-4CA6-91B0-B915D2B1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598592"/>
        <c:axId val="1661595264"/>
      </c:scatterChart>
      <c:valAx>
        <c:axId val="166159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595264"/>
        <c:crosses val="autoZero"/>
        <c:crossBetween val="midCat"/>
      </c:valAx>
      <c:valAx>
        <c:axId val="16615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59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Метод к-средних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класс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ФА'!$AP$2:$AP$5</c:f>
              <c:numCache>
                <c:formatCode>0.00000</c:formatCode>
                <c:ptCount val="4"/>
                <c:pt idx="0">
                  <c:v>0.31487910497791727</c:v>
                </c:pt>
                <c:pt idx="1">
                  <c:v>-0.13614383828314655</c:v>
                </c:pt>
                <c:pt idx="2">
                  <c:v>0.2353977000536992</c:v>
                </c:pt>
                <c:pt idx="3">
                  <c:v>-0.45381752488339855</c:v>
                </c:pt>
              </c:numCache>
            </c:numRef>
          </c:xVal>
          <c:yVal>
            <c:numRef>
              <c:f>'МГК и ФА'!$AQ$2:$AQ$5</c:f>
              <c:numCache>
                <c:formatCode>0.00000</c:formatCode>
                <c:ptCount val="4"/>
                <c:pt idx="0">
                  <c:v>0.27717479857018701</c:v>
                </c:pt>
                <c:pt idx="1">
                  <c:v>-1.0318367031366553</c:v>
                </c:pt>
                <c:pt idx="2">
                  <c:v>-0.7437048566733222</c:v>
                </c:pt>
                <c:pt idx="3">
                  <c:v>0.1406067175712564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6-46BC-8C6D-080F27A8C7F6}"/>
            </c:ext>
          </c:extLst>
        </c:ser>
        <c:ser>
          <c:idx val="1"/>
          <c:order val="1"/>
          <c:tx>
            <c:v>класс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ФА'!$AP$6:$AP$13</c:f>
              <c:numCache>
                <c:formatCode>0.00000</c:formatCode>
                <c:ptCount val="8"/>
                <c:pt idx="0">
                  <c:v>-0.24660909801096273</c:v>
                </c:pt>
                <c:pt idx="1">
                  <c:v>-0.71286734834126664</c:v>
                </c:pt>
                <c:pt idx="2">
                  <c:v>-0.12373275751270651</c:v>
                </c:pt>
                <c:pt idx="3">
                  <c:v>0.54956734188769396</c:v>
                </c:pt>
                <c:pt idx="4">
                  <c:v>-0.44316822585800819</c:v>
                </c:pt>
                <c:pt idx="5">
                  <c:v>9.2910548556283681E-2</c:v>
                </c:pt>
                <c:pt idx="6">
                  <c:v>3.8561089628134808</c:v>
                </c:pt>
                <c:pt idx="7">
                  <c:v>-0.37087827546333718</c:v>
                </c:pt>
              </c:numCache>
            </c:numRef>
          </c:xVal>
          <c:yVal>
            <c:numRef>
              <c:f>'МГК и ФА'!$AQ$6:$AQ$13</c:f>
              <c:numCache>
                <c:formatCode>0.00000</c:formatCode>
                <c:ptCount val="8"/>
                <c:pt idx="0">
                  <c:v>0.55887832602816589</c:v>
                </c:pt>
                <c:pt idx="1">
                  <c:v>0.74803718606105185</c:v>
                </c:pt>
                <c:pt idx="2">
                  <c:v>-0.37419270560537177</c:v>
                </c:pt>
                <c:pt idx="3">
                  <c:v>1.345013006803121</c:v>
                </c:pt>
                <c:pt idx="4">
                  <c:v>-0.57811526202185071</c:v>
                </c:pt>
                <c:pt idx="5">
                  <c:v>0.61711236088415244</c:v>
                </c:pt>
                <c:pt idx="6">
                  <c:v>2.4828261942325693</c:v>
                </c:pt>
                <c:pt idx="7">
                  <c:v>-1.5215214439673252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A6-46BC-8C6D-080F27A8C7F6}"/>
            </c:ext>
          </c:extLst>
        </c:ser>
        <c:ser>
          <c:idx val="2"/>
          <c:order val="2"/>
          <c:tx>
            <c:v>класс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ФА'!$AP$14:$AP$34</c:f>
              <c:numCache>
                <c:formatCode>0.00000</c:formatCode>
                <c:ptCount val="21"/>
                <c:pt idx="0">
                  <c:v>0.25347253807895676</c:v>
                </c:pt>
                <c:pt idx="1">
                  <c:v>-1.0337243333738841</c:v>
                </c:pt>
                <c:pt idx="2">
                  <c:v>0.13029648603905444</c:v>
                </c:pt>
                <c:pt idx="3">
                  <c:v>-1.1236311727474124</c:v>
                </c:pt>
                <c:pt idx="4">
                  <c:v>-0.82992785060055119</c:v>
                </c:pt>
                <c:pt idx="5">
                  <c:v>5.6630355757248001E-2</c:v>
                </c:pt>
                <c:pt idx="6">
                  <c:v>0.83515241087902459</c:v>
                </c:pt>
                <c:pt idx="7">
                  <c:v>-0.95306631457546787</c:v>
                </c:pt>
                <c:pt idx="8">
                  <c:v>2.1114207833418847E-2</c:v>
                </c:pt>
                <c:pt idx="9">
                  <c:v>-0.83243682646702744</c:v>
                </c:pt>
                <c:pt idx="10">
                  <c:v>-0.53732615886278245</c:v>
                </c:pt>
                <c:pt idx="11">
                  <c:v>0.99117733961336074</c:v>
                </c:pt>
                <c:pt idx="12">
                  <c:v>0.744261293994261</c:v>
                </c:pt>
                <c:pt idx="13">
                  <c:v>-5.9127238767861384E-2</c:v>
                </c:pt>
                <c:pt idx="14">
                  <c:v>-0.43793553770023014</c:v>
                </c:pt>
                <c:pt idx="15">
                  <c:v>-0.12212939757241779</c:v>
                </c:pt>
                <c:pt idx="16">
                  <c:v>-0.51279440621154393</c:v>
                </c:pt>
                <c:pt idx="17">
                  <c:v>1.3427118487526655</c:v>
                </c:pt>
                <c:pt idx="18">
                  <c:v>3.2488353767908791</c:v>
                </c:pt>
                <c:pt idx="19">
                  <c:v>0.77969586727480056</c:v>
                </c:pt>
                <c:pt idx="20">
                  <c:v>0.3625082007930116</c:v>
                </c:pt>
              </c:numCache>
            </c:numRef>
          </c:xVal>
          <c:yVal>
            <c:numRef>
              <c:f>'МГК и ФА'!$AQ$14:$AQ$34</c:f>
              <c:numCache>
                <c:formatCode>0.00000</c:formatCode>
                <c:ptCount val="21"/>
                <c:pt idx="0">
                  <c:v>-0.74512044153099644</c:v>
                </c:pt>
                <c:pt idx="1">
                  <c:v>0.19895696132898522</c:v>
                </c:pt>
                <c:pt idx="2">
                  <c:v>-0.45858727837088781</c:v>
                </c:pt>
                <c:pt idx="3">
                  <c:v>0.7756887293156608</c:v>
                </c:pt>
                <c:pt idx="4">
                  <c:v>-0.72568069932029255</c:v>
                </c:pt>
                <c:pt idx="5">
                  <c:v>0.11045861529005846</c:v>
                </c:pt>
                <c:pt idx="6">
                  <c:v>-2.0048492791874573</c:v>
                </c:pt>
                <c:pt idx="7">
                  <c:v>0.19932319917675709</c:v>
                </c:pt>
                <c:pt idx="8">
                  <c:v>0.33185936800214466</c:v>
                </c:pt>
                <c:pt idx="9">
                  <c:v>-0.37899252472610234</c:v>
                </c:pt>
                <c:pt idx="10">
                  <c:v>-0.70069206906462911</c:v>
                </c:pt>
                <c:pt idx="11">
                  <c:v>2.0882362408117352</c:v>
                </c:pt>
                <c:pt idx="12">
                  <c:v>-4.292699226516633E-2</c:v>
                </c:pt>
                <c:pt idx="13">
                  <c:v>-0.49287047364693615</c:v>
                </c:pt>
                <c:pt idx="14">
                  <c:v>-0.12976085990879424</c:v>
                </c:pt>
                <c:pt idx="15">
                  <c:v>0.67138208743299133</c:v>
                </c:pt>
                <c:pt idx="16">
                  <c:v>-0.3777045991724946</c:v>
                </c:pt>
                <c:pt idx="17">
                  <c:v>-2.5000966528853699</c:v>
                </c:pt>
                <c:pt idx="18">
                  <c:v>2.4658023062022982</c:v>
                </c:pt>
                <c:pt idx="19">
                  <c:v>-1.7895749805900687</c:v>
                </c:pt>
                <c:pt idx="20">
                  <c:v>0.32542452430306057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A6-46BC-8C6D-080F27A8C7F6}"/>
            </c:ext>
          </c:extLst>
        </c:ser>
        <c:ser>
          <c:idx val="3"/>
          <c:order val="3"/>
          <c:tx>
            <c:v>класс 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ФА'!$AP$35:$AP$59</c:f>
              <c:numCache>
                <c:formatCode>0.00000</c:formatCode>
                <c:ptCount val="25"/>
                <c:pt idx="0">
                  <c:v>-0.47224168753713147</c:v>
                </c:pt>
                <c:pt idx="1">
                  <c:v>0.59186605717887009</c:v>
                </c:pt>
                <c:pt idx="2">
                  <c:v>0.11784038726282435</c:v>
                </c:pt>
                <c:pt idx="3">
                  <c:v>-4.8555712137070377E-2</c:v>
                </c:pt>
                <c:pt idx="4">
                  <c:v>-0.63228597945242293</c:v>
                </c:pt>
                <c:pt idx="5">
                  <c:v>-0.53558584549118027</c:v>
                </c:pt>
                <c:pt idx="6">
                  <c:v>0.30561908669063659</c:v>
                </c:pt>
                <c:pt idx="7">
                  <c:v>0.75087772297068511</c:v>
                </c:pt>
                <c:pt idx="8">
                  <c:v>-0.84963960583490516</c:v>
                </c:pt>
                <c:pt idx="9">
                  <c:v>-0.99743975160533349</c:v>
                </c:pt>
                <c:pt idx="10">
                  <c:v>-1.5241183555249409</c:v>
                </c:pt>
                <c:pt idx="11">
                  <c:v>0.16969776162509348</c:v>
                </c:pt>
                <c:pt idx="12">
                  <c:v>-0.65128035231628534</c:v>
                </c:pt>
                <c:pt idx="13">
                  <c:v>-1.1292697822017885</c:v>
                </c:pt>
                <c:pt idx="14">
                  <c:v>-2.5785742851848039</c:v>
                </c:pt>
                <c:pt idx="15">
                  <c:v>-1.2487648064820194</c:v>
                </c:pt>
                <c:pt idx="16">
                  <c:v>-0.29788161391669776</c:v>
                </c:pt>
                <c:pt idx="17">
                  <c:v>0.32014076197858876</c:v>
                </c:pt>
                <c:pt idx="18">
                  <c:v>-0.82072510041306823</c:v>
                </c:pt>
                <c:pt idx="19">
                  <c:v>-1.0254524028729568</c:v>
                </c:pt>
                <c:pt idx="20">
                  <c:v>-0.76122623184126581</c:v>
                </c:pt>
                <c:pt idx="21">
                  <c:v>1.0516483442580258</c:v>
                </c:pt>
                <c:pt idx="22">
                  <c:v>-0.9378004994331991</c:v>
                </c:pt>
                <c:pt idx="23">
                  <c:v>1.4341881059576949</c:v>
                </c:pt>
                <c:pt idx="24">
                  <c:v>-1.4139507965015217</c:v>
                </c:pt>
              </c:numCache>
            </c:numRef>
          </c:xVal>
          <c:yVal>
            <c:numRef>
              <c:f>'МГК и ФА'!$AQ$35:$AQ$59</c:f>
              <c:numCache>
                <c:formatCode>0.00000</c:formatCode>
                <c:ptCount val="25"/>
                <c:pt idx="0">
                  <c:v>-0.35353861553225002</c:v>
                </c:pt>
                <c:pt idx="1">
                  <c:v>-0.27484254626323917</c:v>
                </c:pt>
                <c:pt idx="2">
                  <c:v>-0.19242814979095843</c:v>
                </c:pt>
                <c:pt idx="3">
                  <c:v>0.21406479878870677</c:v>
                </c:pt>
                <c:pt idx="4">
                  <c:v>-3.6711754820950154E-2</c:v>
                </c:pt>
                <c:pt idx="5">
                  <c:v>0.26146422268170821</c:v>
                </c:pt>
                <c:pt idx="6">
                  <c:v>0.29554761095456156</c:v>
                </c:pt>
                <c:pt idx="7">
                  <c:v>0.284518146266525</c:v>
                </c:pt>
                <c:pt idx="8">
                  <c:v>-0.4126141810854681</c:v>
                </c:pt>
                <c:pt idx="9">
                  <c:v>0.22426554636965412</c:v>
                </c:pt>
                <c:pt idx="10">
                  <c:v>-0.83005765926504826</c:v>
                </c:pt>
                <c:pt idx="11">
                  <c:v>0.80167679796189062</c:v>
                </c:pt>
                <c:pt idx="12">
                  <c:v>-0.14495052678642351</c:v>
                </c:pt>
                <c:pt idx="13">
                  <c:v>1.5028990490382081</c:v>
                </c:pt>
                <c:pt idx="14">
                  <c:v>1.9739397164118095</c:v>
                </c:pt>
                <c:pt idx="15">
                  <c:v>-0.19687682640737933</c:v>
                </c:pt>
                <c:pt idx="16">
                  <c:v>-0.75593902469895136</c:v>
                </c:pt>
                <c:pt idx="17">
                  <c:v>-1.1190718715909549</c:v>
                </c:pt>
                <c:pt idx="18">
                  <c:v>1.0096285474269118</c:v>
                </c:pt>
                <c:pt idx="19">
                  <c:v>-0.28548174574471535</c:v>
                </c:pt>
                <c:pt idx="20">
                  <c:v>0.47200246922534045</c:v>
                </c:pt>
                <c:pt idx="21">
                  <c:v>-1.2563485133534897</c:v>
                </c:pt>
                <c:pt idx="22">
                  <c:v>0.17086698406252218</c:v>
                </c:pt>
                <c:pt idx="23">
                  <c:v>2.161038063750881</c:v>
                </c:pt>
                <c:pt idx="24">
                  <c:v>-0.29572258336795737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A6-46BC-8C6D-080F27A8C7F6}"/>
            </c:ext>
          </c:extLst>
        </c:ser>
        <c:ser>
          <c:idx val="4"/>
          <c:order val="4"/>
          <c:tx>
            <c:v>класс 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ФА'!$AP$60:$AP$78</c:f>
              <c:numCache>
                <c:formatCode>0.00000</c:formatCode>
                <c:ptCount val="19"/>
                <c:pt idx="0">
                  <c:v>-0.99674455503673365</c:v>
                </c:pt>
                <c:pt idx="1">
                  <c:v>0.50471224770224676</c:v>
                </c:pt>
                <c:pt idx="2">
                  <c:v>-0.33210730506777397</c:v>
                </c:pt>
                <c:pt idx="3">
                  <c:v>0.38192584864448798</c:v>
                </c:pt>
                <c:pt idx="4">
                  <c:v>1.9225482032011199</c:v>
                </c:pt>
                <c:pt idx="5">
                  <c:v>-0.20559813238350497</c:v>
                </c:pt>
                <c:pt idx="6">
                  <c:v>1.2630330246509991</c:v>
                </c:pt>
                <c:pt idx="7">
                  <c:v>1.1610158884903476</c:v>
                </c:pt>
                <c:pt idx="8">
                  <c:v>-0.91516875736297776</c:v>
                </c:pt>
                <c:pt idx="9">
                  <c:v>-0.2674957311388067</c:v>
                </c:pt>
                <c:pt idx="10">
                  <c:v>7.0736769437563504E-2</c:v>
                </c:pt>
                <c:pt idx="11">
                  <c:v>-0.7251936889102516</c:v>
                </c:pt>
                <c:pt idx="12">
                  <c:v>-0.12413653824004578</c:v>
                </c:pt>
                <c:pt idx="13">
                  <c:v>0.22775094727323869</c:v>
                </c:pt>
                <c:pt idx="14">
                  <c:v>0.15076936481568043</c:v>
                </c:pt>
                <c:pt idx="15">
                  <c:v>0.95017992838704834</c:v>
                </c:pt>
                <c:pt idx="16">
                  <c:v>-0.16351862231155986</c:v>
                </c:pt>
                <c:pt idx="17">
                  <c:v>-0.14824621074977959</c:v>
                </c:pt>
                <c:pt idx="18">
                  <c:v>0.54814525741938513</c:v>
                </c:pt>
              </c:numCache>
            </c:numRef>
          </c:xVal>
          <c:yVal>
            <c:numRef>
              <c:f>'МГК и ФА'!$AQ$60:$AQ$78</c:f>
              <c:numCache>
                <c:formatCode>0.00000</c:formatCode>
                <c:ptCount val="19"/>
                <c:pt idx="0">
                  <c:v>-0.62645314821502851</c:v>
                </c:pt>
                <c:pt idx="1">
                  <c:v>1.1791100835715962</c:v>
                </c:pt>
                <c:pt idx="2">
                  <c:v>0.12552322826749052</c:v>
                </c:pt>
                <c:pt idx="3">
                  <c:v>0.95067573213328405</c:v>
                </c:pt>
                <c:pt idx="4">
                  <c:v>0.19540940161061801</c:v>
                </c:pt>
                <c:pt idx="5">
                  <c:v>0.24229698766122199</c:v>
                </c:pt>
                <c:pt idx="6">
                  <c:v>-1.6117585949491351</c:v>
                </c:pt>
                <c:pt idx="7">
                  <c:v>0.21047329433474243</c:v>
                </c:pt>
                <c:pt idx="8">
                  <c:v>0.81195283894267822</c:v>
                </c:pt>
                <c:pt idx="9">
                  <c:v>-0.27727710951001838</c:v>
                </c:pt>
                <c:pt idx="10">
                  <c:v>1.0526493771490244</c:v>
                </c:pt>
                <c:pt idx="11">
                  <c:v>0.3238663271064936</c:v>
                </c:pt>
                <c:pt idx="12">
                  <c:v>-0.52790350300205502</c:v>
                </c:pt>
                <c:pt idx="13">
                  <c:v>-0.69642572319985852</c:v>
                </c:pt>
                <c:pt idx="14">
                  <c:v>0.25267007267107311</c:v>
                </c:pt>
                <c:pt idx="15">
                  <c:v>0.75903846068162117</c:v>
                </c:pt>
                <c:pt idx="16">
                  <c:v>-0.23159466896528591</c:v>
                </c:pt>
                <c:pt idx="17">
                  <c:v>1.6283985682877478E-2</c:v>
                </c:pt>
                <c:pt idx="18">
                  <c:v>-0.732693321291644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A6-46BC-8C6D-080F27A8C7F6}"/>
            </c:ext>
          </c:extLst>
        </c:ser>
        <c:ser>
          <c:idx val="5"/>
          <c:order val="5"/>
          <c:tx>
            <c:v>класс 6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ФА'!$AP$79:$AP$85</c:f>
              <c:numCache>
                <c:formatCode>0.00000</c:formatCode>
                <c:ptCount val="7"/>
                <c:pt idx="0">
                  <c:v>1.4547738298003259</c:v>
                </c:pt>
                <c:pt idx="1">
                  <c:v>0.605509288233405</c:v>
                </c:pt>
                <c:pt idx="2">
                  <c:v>-1.6596365580984691</c:v>
                </c:pt>
                <c:pt idx="3">
                  <c:v>-0.42598939160003141</c:v>
                </c:pt>
                <c:pt idx="4">
                  <c:v>1.207500458842643</c:v>
                </c:pt>
                <c:pt idx="5">
                  <c:v>1.8519577028092515</c:v>
                </c:pt>
                <c:pt idx="6">
                  <c:v>-3.9211966847335744E-2</c:v>
                </c:pt>
              </c:numCache>
            </c:numRef>
          </c:xVal>
          <c:yVal>
            <c:numRef>
              <c:f>'МГК и ФА'!$AQ$79:$AQ$85</c:f>
              <c:numCache>
                <c:formatCode>0.00000</c:formatCode>
                <c:ptCount val="7"/>
                <c:pt idx="0">
                  <c:v>-0.9229060546623441</c:v>
                </c:pt>
                <c:pt idx="1">
                  <c:v>0.57568127794030155</c:v>
                </c:pt>
                <c:pt idx="2">
                  <c:v>1.7836887138566841</c:v>
                </c:pt>
                <c:pt idx="3">
                  <c:v>-6.9064857570127342E-2</c:v>
                </c:pt>
                <c:pt idx="4">
                  <c:v>-2.7419796543657977</c:v>
                </c:pt>
                <c:pt idx="5">
                  <c:v>-1.5444107482984073</c:v>
                </c:pt>
                <c:pt idx="6">
                  <c:v>-0.45473315175147266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A6-46BC-8C6D-080F27A8C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96880"/>
        <c:axId val="1810086064"/>
      </c:scatterChart>
      <c:valAx>
        <c:axId val="181009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086064"/>
        <c:crosses val="autoZero"/>
        <c:crossBetween val="midCat"/>
      </c:valAx>
      <c:valAx>
        <c:axId val="18100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09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Метод Уорда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класс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ФА'!$AV$2:$AV$9</c:f>
              <c:numCache>
                <c:formatCode>General</c:formatCode>
                <c:ptCount val="8"/>
                <c:pt idx="0">
                  <c:v>1.7328400000000002</c:v>
                </c:pt>
                <c:pt idx="1">
                  <c:v>2.4770400000000001</c:v>
                </c:pt>
                <c:pt idx="2">
                  <c:v>1.4858899999999999</c:v>
                </c:pt>
                <c:pt idx="3">
                  <c:v>1.57186</c:v>
                </c:pt>
                <c:pt idx="4">
                  <c:v>1.8784200000000002</c:v>
                </c:pt>
                <c:pt idx="5">
                  <c:v>2.0257999999999998</c:v>
                </c:pt>
                <c:pt idx="6">
                  <c:v>2.6389500000000004</c:v>
                </c:pt>
                <c:pt idx="7">
                  <c:v>3.1473</c:v>
                </c:pt>
              </c:numCache>
            </c:numRef>
          </c:xVal>
          <c:yVal>
            <c:numRef>
              <c:f>'МГК и ФА'!$AW$2:$AW$9</c:f>
              <c:numCache>
                <c:formatCode>General</c:formatCode>
                <c:ptCount val="8"/>
                <c:pt idx="0">
                  <c:v>-0.8220400000000001</c:v>
                </c:pt>
                <c:pt idx="1">
                  <c:v>-0.89207999999999998</c:v>
                </c:pt>
                <c:pt idx="2">
                  <c:v>-0.73268000000000011</c:v>
                </c:pt>
                <c:pt idx="3">
                  <c:v>-0.24538000000000001</c:v>
                </c:pt>
                <c:pt idx="4">
                  <c:v>-0.41471000000000002</c:v>
                </c:pt>
                <c:pt idx="5">
                  <c:v>0.10603000000000001</c:v>
                </c:pt>
                <c:pt idx="6">
                  <c:v>-1.01142</c:v>
                </c:pt>
                <c:pt idx="7">
                  <c:v>-0.16088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3-473F-9DB4-E60AA1B0A083}"/>
            </c:ext>
          </c:extLst>
        </c:ser>
        <c:ser>
          <c:idx val="1"/>
          <c:order val="1"/>
          <c:tx>
            <c:v>класс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ФА'!$AV$10:$AV$25</c:f>
              <c:numCache>
                <c:formatCode>General</c:formatCode>
                <c:ptCount val="16"/>
                <c:pt idx="0">
                  <c:v>-0.27215</c:v>
                </c:pt>
                <c:pt idx="1">
                  <c:v>-0.77102999999999999</c:v>
                </c:pt>
                <c:pt idx="2">
                  <c:v>-1.2376800000000001</c:v>
                </c:pt>
                <c:pt idx="3">
                  <c:v>-0.88119999999999998</c:v>
                </c:pt>
                <c:pt idx="4">
                  <c:v>-0.30683000000000005</c:v>
                </c:pt>
                <c:pt idx="5">
                  <c:v>-0.39466000000000001</c:v>
                </c:pt>
                <c:pt idx="6">
                  <c:v>-0.48174</c:v>
                </c:pt>
                <c:pt idx="7">
                  <c:v>-0.76722000000000001</c:v>
                </c:pt>
                <c:pt idx="8">
                  <c:v>-1.7160299999999999</c:v>
                </c:pt>
                <c:pt idx="9">
                  <c:v>-1.3916299999999999</c:v>
                </c:pt>
                <c:pt idx="10">
                  <c:v>-0.68134000000000006</c:v>
                </c:pt>
                <c:pt idx="11">
                  <c:v>-0.77271000000000001</c:v>
                </c:pt>
                <c:pt idx="12">
                  <c:v>-0.26587000000000005</c:v>
                </c:pt>
                <c:pt idx="13">
                  <c:v>-1.3698000000000001</c:v>
                </c:pt>
                <c:pt idx="14">
                  <c:v>-0.65169000000000021</c:v>
                </c:pt>
                <c:pt idx="15">
                  <c:v>-1.9755199999999999</c:v>
                </c:pt>
              </c:numCache>
            </c:numRef>
          </c:xVal>
          <c:yVal>
            <c:numRef>
              <c:f>'МГК и ФА'!$AW$10:$AW$25</c:f>
              <c:numCache>
                <c:formatCode>General</c:formatCode>
                <c:ptCount val="16"/>
                <c:pt idx="0">
                  <c:v>-0.18746000000000002</c:v>
                </c:pt>
                <c:pt idx="1">
                  <c:v>2.7200000000000002E-3</c:v>
                </c:pt>
                <c:pt idx="2">
                  <c:v>-0.23866000000000001</c:v>
                </c:pt>
                <c:pt idx="3">
                  <c:v>-0.50312000000000001</c:v>
                </c:pt>
                <c:pt idx="4">
                  <c:v>-0.45441000000000004</c:v>
                </c:pt>
                <c:pt idx="5">
                  <c:v>-0.45457000000000003</c:v>
                </c:pt>
                <c:pt idx="6">
                  <c:v>-0.21878000000000003</c:v>
                </c:pt>
                <c:pt idx="7">
                  <c:v>-0.45534000000000002</c:v>
                </c:pt>
                <c:pt idx="8">
                  <c:v>0.33411000000000007</c:v>
                </c:pt>
                <c:pt idx="9">
                  <c:v>0.14761000000000002</c:v>
                </c:pt>
                <c:pt idx="10">
                  <c:v>-0.15080000000000002</c:v>
                </c:pt>
                <c:pt idx="11">
                  <c:v>-0.41152000000000005</c:v>
                </c:pt>
                <c:pt idx="12">
                  <c:v>-0.19420000000000001</c:v>
                </c:pt>
                <c:pt idx="13">
                  <c:v>-0.22654000000000002</c:v>
                </c:pt>
                <c:pt idx="14">
                  <c:v>-0.25786000000000003</c:v>
                </c:pt>
                <c:pt idx="15">
                  <c:v>4.0479999999999995E-2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53-473F-9DB4-E60AA1B0A083}"/>
            </c:ext>
          </c:extLst>
        </c:ser>
        <c:ser>
          <c:idx val="2"/>
          <c:order val="2"/>
          <c:tx>
            <c:v>класс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ФА'!$AV$26:$AV$27</c:f>
              <c:numCache>
                <c:formatCode>General</c:formatCode>
                <c:ptCount val="2"/>
                <c:pt idx="0">
                  <c:v>1.2853300000000001</c:v>
                </c:pt>
                <c:pt idx="1">
                  <c:v>0.66459000000000013</c:v>
                </c:pt>
              </c:numCache>
            </c:numRef>
          </c:xVal>
          <c:yVal>
            <c:numRef>
              <c:f>'МГК и ФА'!$AW$26:$AW$27</c:f>
              <c:numCache>
                <c:formatCode>General</c:formatCode>
                <c:ptCount val="2"/>
                <c:pt idx="0">
                  <c:v>4.5312900000000003</c:v>
                </c:pt>
                <c:pt idx="1">
                  <c:v>3.3225899999999999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53-473F-9DB4-E60AA1B0A083}"/>
            </c:ext>
          </c:extLst>
        </c:ser>
        <c:ser>
          <c:idx val="3"/>
          <c:order val="3"/>
          <c:tx>
            <c:v>класс  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ФА'!$AV$28:$AV$44</c:f>
              <c:numCache>
                <c:formatCode>General</c:formatCode>
                <c:ptCount val="17"/>
                <c:pt idx="0">
                  <c:v>-0.22970000000000002</c:v>
                </c:pt>
                <c:pt idx="1">
                  <c:v>-0.49475999999999998</c:v>
                </c:pt>
                <c:pt idx="2">
                  <c:v>-0.49468999999999996</c:v>
                </c:pt>
                <c:pt idx="3">
                  <c:v>-0.39745000000000003</c:v>
                </c:pt>
                <c:pt idx="4">
                  <c:v>-0.10676000000000002</c:v>
                </c:pt>
                <c:pt idx="5">
                  <c:v>-0.47765000000000002</c:v>
                </c:pt>
                <c:pt idx="6">
                  <c:v>-0.11483</c:v>
                </c:pt>
                <c:pt idx="7">
                  <c:v>0.33506000000000008</c:v>
                </c:pt>
                <c:pt idx="8">
                  <c:v>-0.18694000000000002</c:v>
                </c:pt>
                <c:pt idx="9">
                  <c:v>-0.20050000000000001</c:v>
                </c:pt>
                <c:pt idx="10">
                  <c:v>-0.42329</c:v>
                </c:pt>
                <c:pt idx="11">
                  <c:v>-0.27778999999999998</c:v>
                </c:pt>
                <c:pt idx="12">
                  <c:v>1.2181299999999999</c:v>
                </c:pt>
                <c:pt idx="13">
                  <c:v>-0.38332000000000011</c:v>
                </c:pt>
                <c:pt idx="14">
                  <c:v>-0.60492000000000012</c:v>
                </c:pt>
                <c:pt idx="15">
                  <c:v>-0.10286000000000001</c:v>
                </c:pt>
                <c:pt idx="16">
                  <c:v>0.42163</c:v>
                </c:pt>
              </c:numCache>
            </c:numRef>
          </c:xVal>
          <c:yVal>
            <c:numRef>
              <c:f>'МГК и ФА'!$AW$28:$AW$44</c:f>
              <c:numCache>
                <c:formatCode>General</c:formatCode>
                <c:ptCount val="17"/>
                <c:pt idx="0">
                  <c:v>0.34366000000000002</c:v>
                </c:pt>
                <c:pt idx="1">
                  <c:v>4.2800000000000005E-2</c:v>
                </c:pt>
                <c:pt idx="2">
                  <c:v>1.2204999999999999</c:v>
                </c:pt>
                <c:pt idx="3">
                  <c:v>0.37058000000000008</c:v>
                </c:pt>
                <c:pt idx="4">
                  <c:v>0.21414000000000002</c:v>
                </c:pt>
                <c:pt idx="5">
                  <c:v>2.1166700000000001</c:v>
                </c:pt>
                <c:pt idx="6">
                  <c:v>0.50266</c:v>
                </c:pt>
                <c:pt idx="7">
                  <c:v>0.61020000000000008</c:v>
                </c:pt>
                <c:pt idx="8">
                  <c:v>0.65442000000000011</c:v>
                </c:pt>
                <c:pt idx="9">
                  <c:v>2.1512799999999999</c:v>
                </c:pt>
                <c:pt idx="10">
                  <c:v>1.1356200000000001</c:v>
                </c:pt>
                <c:pt idx="11">
                  <c:v>0.94073000000000007</c:v>
                </c:pt>
                <c:pt idx="12">
                  <c:v>1.2356400000000001</c:v>
                </c:pt>
                <c:pt idx="13">
                  <c:v>0.13881000000000002</c:v>
                </c:pt>
                <c:pt idx="14">
                  <c:v>0.82543</c:v>
                </c:pt>
                <c:pt idx="15">
                  <c:v>0.18959000000000001</c:v>
                </c:pt>
                <c:pt idx="16">
                  <c:v>0.8761000000000001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53-473F-9DB4-E60AA1B0A083}"/>
            </c:ext>
          </c:extLst>
        </c:ser>
        <c:ser>
          <c:idx val="4"/>
          <c:order val="4"/>
          <c:tx>
            <c:v>класс  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ФА'!$AV$45:$AV$71</c:f>
              <c:numCache>
                <c:formatCode>General</c:formatCode>
                <c:ptCount val="27"/>
                <c:pt idx="0">
                  <c:v>0.54157</c:v>
                </c:pt>
                <c:pt idx="1">
                  <c:v>0.66937000000000013</c:v>
                </c:pt>
                <c:pt idx="2">
                  <c:v>-0.20889000000000002</c:v>
                </c:pt>
                <c:pt idx="3">
                  <c:v>0.34099000000000002</c:v>
                </c:pt>
                <c:pt idx="4">
                  <c:v>0.35738000000000009</c:v>
                </c:pt>
                <c:pt idx="5">
                  <c:v>0.32751000000000008</c:v>
                </c:pt>
                <c:pt idx="6">
                  <c:v>-3.0219999999999997E-2</c:v>
                </c:pt>
                <c:pt idx="7">
                  <c:v>-0.23275000000000001</c:v>
                </c:pt>
                <c:pt idx="8">
                  <c:v>0.45074999999999998</c:v>
                </c:pt>
                <c:pt idx="9">
                  <c:v>-2.2209999999999997E-2</c:v>
                </c:pt>
                <c:pt idx="10">
                  <c:v>-0.33123000000000002</c:v>
                </c:pt>
                <c:pt idx="11">
                  <c:v>-4.2010000000000006E-2</c:v>
                </c:pt>
                <c:pt idx="12">
                  <c:v>0.41580000000000006</c:v>
                </c:pt>
                <c:pt idx="13">
                  <c:v>-3.7600000000000001E-2</c:v>
                </c:pt>
                <c:pt idx="14">
                  <c:v>-0.13754000000000002</c:v>
                </c:pt>
                <c:pt idx="15">
                  <c:v>5.679E-2</c:v>
                </c:pt>
                <c:pt idx="16">
                  <c:v>1.02027</c:v>
                </c:pt>
                <c:pt idx="17">
                  <c:v>0.39494000000000001</c:v>
                </c:pt>
                <c:pt idx="18">
                  <c:v>-0.20149000000000003</c:v>
                </c:pt>
                <c:pt idx="19">
                  <c:v>2.5940000000000001E-2</c:v>
                </c:pt>
                <c:pt idx="20">
                  <c:v>0.28377000000000002</c:v>
                </c:pt>
                <c:pt idx="21">
                  <c:v>3.0859999999999999E-2</c:v>
                </c:pt>
                <c:pt idx="22">
                  <c:v>-0.26457000000000003</c:v>
                </c:pt>
                <c:pt idx="23">
                  <c:v>0.65083000000000013</c:v>
                </c:pt>
                <c:pt idx="24">
                  <c:v>-9.597E-2</c:v>
                </c:pt>
                <c:pt idx="25">
                  <c:v>-0.23470000000000002</c:v>
                </c:pt>
                <c:pt idx="26">
                  <c:v>-8.9029999999999998E-2</c:v>
                </c:pt>
              </c:numCache>
            </c:numRef>
          </c:xVal>
          <c:yVal>
            <c:numRef>
              <c:f>'МГК и ФА'!$AW$45:$AW$71</c:f>
              <c:numCache>
                <c:formatCode>General</c:formatCode>
                <c:ptCount val="27"/>
                <c:pt idx="0">
                  <c:v>-0.73274000000000017</c:v>
                </c:pt>
                <c:pt idx="1">
                  <c:v>-0.32400000000000007</c:v>
                </c:pt>
                <c:pt idx="2">
                  <c:v>-0.36255000000000004</c:v>
                </c:pt>
                <c:pt idx="3">
                  <c:v>-1.0431300000000001</c:v>
                </c:pt>
                <c:pt idx="4">
                  <c:v>-0.37621000000000004</c:v>
                </c:pt>
                <c:pt idx="5">
                  <c:v>-0.18464</c:v>
                </c:pt>
                <c:pt idx="6">
                  <c:v>-3.8620000000000002E-2</c:v>
                </c:pt>
                <c:pt idx="7">
                  <c:v>-0.75420000000000009</c:v>
                </c:pt>
                <c:pt idx="8">
                  <c:v>0.34032000000000007</c:v>
                </c:pt>
                <c:pt idx="9">
                  <c:v>-0.39037000000000005</c:v>
                </c:pt>
                <c:pt idx="10">
                  <c:v>-0.37042000000000008</c:v>
                </c:pt>
                <c:pt idx="11">
                  <c:v>0.17597000000000002</c:v>
                </c:pt>
                <c:pt idx="12">
                  <c:v>0.25735000000000002</c:v>
                </c:pt>
                <c:pt idx="13">
                  <c:v>-6.7860000000000004E-2</c:v>
                </c:pt>
                <c:pt idx="14">
                  <c:v>0.10106000000000001</c:v>
                </c:pt>
                <c:pt idx="15">
                  <c:v>0.35210000000000002</c:v>
                </c:pt>
                <c:pt idx="16">
                  <c:v>-0.52498</c:v>
                </c:pt>
                <c:pt idx="17">
                  <c:v>0.85702000000000012</c:v>
                </c:pt>
                <c:pt idx="18">
                  <c:v>-0.30217000000000005</c:v>
                </c:pt>
                <c:pt idx="19">
                  <c:v>-0.40831000000000006</c:v>
                </c:pt>
                <c:pt idx="20">
                  <c:v>-0.29338000000000009</c:v>
                </c:pt>
                <c:pt idx="21">
                  <c:v>-0.26472999999999997</c:v>
                </c:pt>
                <c:pt idx="22">
                  <c:v>-0.13340000000000002</c:v>
                </c:pt>
                <c:pt idx="23">
                  <c:v>-0.24948000000000004</c:v>
                </c:pt>
                <c:pt idx="24">
                  <c:v>0.78450999999999993</c:v>
                </c:pt>
                <c:pt idx="25">
                  <c:v>-0.33383000000000007</c:v>
                </c:pt>
                <c:pt idx="26">
                  <c:v>-0.38491000000000009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53-473F-9DB4-E60AA1B0A083}"/>
            </c:ext>
          </c:extLst>
        </c:ser>
        <c:ser>
          <c:idx val="5"/>
          <c:order val="5"/>
          <c:tx>
            <c:v>класс 6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ФА'!$AV$72:$AV$85</c:f>
              <c:numCache>
                <c:formatCode>General</c:formatCode>
                <c:ptCount val="14"/>
                <c:pt idx="0">
                  <c:v>-1.193E-2</c:v>
                </c:pt>
                <c:pt idx="1">
                  <c:v>-0.77775000000000005</c:v>
                </c:pt>
                <c:pt idx="2">
                  <c:v>-0.12827</c:v>
                </c:pt>
                <c:pt idx="3">
                  <c:v>-0.26874999999999999</c:v>
                </c:pt>
                <c:pt idx="4">
                  <c:v>-0.21897000000000003</c:v>
                </c:pt>
                <c:pt idx="5">
                  <c:v>-0.40191000000000004</c:v>
                </c:pt>
                <c:pt idx="6">
                  <c:v>-0.55001</c:v>
                </c:pt>
                <c:pt idx="7">
                  <c:v>-0.30474000000000001</c:v>
                </c:pt>
                <c:pt idx="8">
                  <c:v>-2.4865599999999999</c:v>
                </c:pt>
                <c:pt idx="9">
                  <c:v>-0.28801000000000004</c:v>
                </c:pt>
                <c:pt idx="10">
                  <c:v>0.41909000000000002</c:v>
                </c:pt>
                <c:pt idx="11">
                  <c:v>-0.53047999999999995</c:v>
                </c:pt>
                <c:pt idx="12">
                  <c:v>-0.27686000000000005</c:v>
                </c:pt>
                <c:pt idx="13">
                  <c:v>-0.26371</c:v>
                </c:pt>
              </c:numCache>
            </c:numRef>
          </c:xVal>
          <c:yVal>
            <c:numRef>
              <c:f>'МГК и ФА'!$AW$72:$AW$85</c:f>
              <c:numCache>
                <c:formatCode>General</c:formatCode>
                <c:ptCount val="14"/>
                <c:pt idx="0">
                  <c:v>-0.53752</c:v>
                </c:pt>
                <c:pt idx="1">
                  <c:v>-0.46984000000000004</c:v>
                </c:pt>
                <c:pt idx="2">
                  <c:v>-0.65498000000000012</c:v>
                </c:pt>
                <c:pt idx="3">
                  <c:v>-0.66684000000000021</c:v>
                </c:pt>
                <c:pt idx="4">
                  <c:v>-0.49012999999999995</c:v>
                </c:pt>
                <c:pt idx="5">
                  <c:v>-0.67977000000000021</c:v>
                </c:pt>
                <c:pt idx="6">
                  <c:v>-1.0174700000000001</c:v>
                </c:pt>
                <c:pt idx="7">
                  <c:v>-0.48752000000000006</c:v>
                </c:pt>
                <c:pt idx="8">
                  <c:v>-0.43007000000000006</c:v>
                </c:pt>
                <c:pt idx="9">
                  <c:v>-0.7896200000000001</c:v>
                </c:pt>
                <c:pt idx="10">
                  <c:v>-0.62668000000000013</c:v>
                </c:pt>
                <c:pt idx="11">
                  <c:v>-0.73325000000000007</c:v>
                </c:pt>
                <c:pt idx="12">
                  <c:v>-0.86673000000000011</c:v>
                </c:pt>
                <c:pt idx="13">
                  <c:v>-0.89917999999999998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53-473F-9DB4-E60AA1B0A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29664"/>
        <c:axId val="600928832"/>
      </c:scatterChart>
      <c:valAx>
        <c:axId val="60092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928832"/>
        <c:crosses val="autoZero"/>
        <c:crossBetween val="midCat"/>
      </c:valAx>
      <c:valAx>
        <c:axId val="6009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92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Метод к-средних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класс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ФА'!$BA$2:$BA$32</c:f>
              <c:numCache>
                <c:formatCode>General</c:formatCode>
                <c:ptCount val="31"/>
                <c:pt idx="0">
                  <c:v>-0.22970000000000002</c:v>
                </c:pt>
                <c:pt idx="1">
                  <c:v>0.54157</c:v>
                </c:pt>
                <c:pt idx="2">
                  <c:v>0.66937000000000013</c:v>
                </c:pt>
                <c:pt idx="3">
                  <c:v>-0.20889000000000002</c:v>
                </c:pt>
                <c:pt idx="4">
                  <c:v>0.35738000000000009</c:v>
                </c:pt>
                <c:pt idx="5">
                  <c:v>-0.77775000000000005</c:v>
                </c:pt>
                <c:pt idx="6">
                  <c:v>0.32751000000000008</c:v>
                </c:pt>
                <c:pt idx="7">
                  <c:v>-3.0219999999999997E-2</c:v>
                </c:pt>
                <c:pt idx="8">
                  <c:v>-0.26874999999999999</c:v>
                </c:pt>
                <c:pt idx="9">
                  <c:v>-0.23275000000000001</c:v>
                </c:pt>
                <c:pt idx="10">
                  <c:v>0.45074999999999998</c:v>
                </c:pt>
                <c:pt idx="11">
                  <c:v>-2.2209999999999997E-2</c:v>
                </c:pt>
                <c:pt idx="12">
                  <c:v>-0.33123000000000002</c:v>
                </c:pt>
                <c:pt idx="13">
                  <c:v>-0.21897000000000003</c:v>
                </c:pt>
                <c:pt idx="14">
                  <c:v>0.41580000000000006</c:v>
                </c:pt>
                <c:pt idx="15">
                  <c:v>-3.7600000000000001E-2</c:v>
                </c:pt>
                <c:pt idx="16">
                  <c:v>-0.13754000000000002</c:v>
                </c:pt>
                <c:pt idx="17">
                  <c:v>5.679E-2</c:v>
                </c:pt>
                <c:pt idx="18">
                  <c:v>0.33506000000000008</c:v>
                </c:pt>
                <c:pt idx="19">
                  <c:v>-0.30474000000000001</c:v>
                </c:pt>
                <c:pt idx="20">
                  <c:v>1.02027</c:v>
                </c:pt>
                <c:pt idx="21">
                  <c:v>0.39494000000000001</c:v>
                </c:pt>
                <c:pt idx="22">
                  <c:v>-0.20149000000000003</c:v>
                </c:pt>
                <c:pt idx="23">
                  <c:v>2.5940000000000001E-2</c:v>
                </c:pt>
                <c:pt idx="24">
                  <c:v>0.28377000000000002</c:v>
                </c:pt>
                <c:pt idx="25">
                  <c:v>3.0859999999999999E-2</c:v>
                </c:pt>
                <c:pt idx="26">
                  <c:v>-0.26457000000000003</c:v>
                </c:pt>
                <c:pt idx="27">
                  <c:v>0.65083000000000013</c:v>
                </c:pt>
                <c:pt idx="28">
                  <c:v>-9.597E-2</c:v>
                </c:pt>
                <c:pt idx="29">
                  <c:v>-0.23470000000000002</c:v>
                </c:pt>
                <c:pt idx="30">
                  <c:v>-8.9029999999999998E-2</c:v>
                </c:pt>
              </c:numCache>
            </c:numRef>
          </c:xVal>
          <c:yVal>
            <c:numRef>
              <c:f>'МГК и ФА'!$BB$2:$BB$32</c:f>
              <c:numCache>
                <c:formatCode>General</c:formatCode>
                <c:ptCount val="31"/>
                <c:pt idx="0">
                  <c:v>0.34366000000000002</c:v>
                </c:pt>
                <c:pt idx="1">
                  <c:v>-0.73274000000000017</c:v>
                </c:pt>
                <c:pt idx="2">
                  <c:v>-0.32400000000000007</c:v>
                </c:pt>
                <c:pt idx="3">
                  <c:v>-0.36255000000000004</c:v>
                </c:pt>
                <c:pt idx="4">
                  <c:v>-0.37621000000000004</c:v>
                </c:pt>
                <c:pt idx="5">
                  <c:v>-0.46984000000000004</c:v>
                </c:pt>
                <c:pt idx="6">
                  <c:v>-0.18464</c:v>
                </c:pt>
                <c:pt idx="7">
                  <c:v>-3.8620000000000002E-2</c:v>
                </c:pt>
                <c:pt idx="8">
                  <c:v>-0.66684000000000021</c:v>
                </c:pt>
                <c:pt idx="9">
                  <c:v>-0.75420000000000009</c:v>
                </c:pt>
                <c:pt idx="10">
                  <c:v>0.34032000000000007</c:v>
                </c:pt>
                <c:pt idx="11">
                  <c:v>-0.39037000000000005</c:v>
                </c:pt>
                <c:pt idx="12">
                  <c:v>-0.37042000000000008</c:v>
                </c:pt>
                <c:pt idx="13">
                  <c:v>-0.49012999999999995</c:v>
                </c:pt>
                <c:pt idx="14">
                  <c:v>0.25735000000000002</c:v>
                </c:pt>
                <c:pt idx="15">
                  <c:v>-6.7860000000000004E-2</c:v>
                </c:pt>
                <c:pt idx="16">
                  <c:v>0.10106000000000001</c:v>
                </c:pt>
                <c:pt idx="17">
                  <c:v>0.35210000000000002</c:v>
                </c:pt>
                <c:pt idx="18">
                  <c:v>0.61020000000000008</c:v>
                </c:pt>
                <c:pt idx="19">
                  <c:v>-0.48752000000000006</c:v>
                </c:pt>
                <c:pt idx="20">
                  <c:v>-0.52498</c:v>
                </c:pt>
                <c:pt idx="21">
                  <c:v>0.85702000000000012</c:v>
                </c:pt>
                <c:pt idx="22">
                  <c:v>-0.30217000000000005</c:v>
                </c:pt>
                <c:pt idx="23">
                  <c:v>-0.40831000000000006</c:v>
                </c:pt>
                <c:pt idx="24">
                  <c:v>-0.29338000000000009</c:v>
                </c:pt>
                <c:pt idx="25">
                  <c:v>-0.26472999999999997</c:v>
                </c:pt>
                <c:pt idx="26">
                  <c:v>-0.13340000000000002</c:v>
                </c:pt>
                <c:pt idx="27">
                  <c:v>-0.24948000000000004</c:v>
                </c:pt>
                <c:pt idx="28">
                  <c:v>0.78450999999999993</c:v>
                </c:pt>
                <c:pt idx="29">
                  <c:v>-0.33383000000000007</c:v>
                </c:pt>
                <c:pt idx="30">
                  <c:v>-0.38491000000000009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A-4CB0-B2DA-6D64C72997B2}"/>
            </c:ext>
          </c:extLst>
        </c:ser>
        <c:ser>
          <c:idx val="1"/>
          <c:order val="1"/>
          <c:tx>
            <c:v>класс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ФА'!$BA$33:$BA$59</c:f>
              <c:numCache>
                <c:formatCode>General</c:formatCode>
                <c:ptCount val="27"/>
                <c:pt idx="0">
                  <c:v>-0.27215</c:v>
                </c:pt>
                <c:pt idx="1">
                  <c:v>-0.49475999999999998</c:v>
                </c:pt>
                <c:pt idx="2">
                  <c:v>-0.77102999999999999</c:v>
                </c:pt>
                <c:pt idx="3">
                  <c:v>-0.49468999999999996</c:v>
                </c:pt>
                <c:pt idx="4">
                  <c:v>-0.39745000000000003</c:v>
                </c:pt>
                <c:pt idx="5">
                  <c:v>-1.2376800000000001</c:v>
                </c:pt>
                <c:pt idx="6">
                  <c:v>-0.88119999999999998</c:v>
                </c:pt>
                <c:pt idx="7">
                  <c:v>-0.10676000000000002</c:v>
                </c:pt>
                <c:pt idx="8">
                  <c:v>-0.47765000000000002</c:v>
                </c:pt>
                <c:pt idx="9">
                  <c:v>-4.2010000000000006E-2</c:v>
                </c:pt>
                <c:pt idx="10">
                  <c:v>-0.11483</c:v>
                </c:pt>
                <c:pt idx="11">
                  <c:v>-0.39466000000000001</c:v>
                </c:pt>
                <c:pt idx="12">
                  <c:v>-0.48174</c:v>
                </c:pt>
                <c:pt idx="13">
                  <c:v>-0.18694000000000002</c:v>
                </c:pt>
                <c:pt idx="14">
                  <c:v>-1.7160299999999999</c:v>
                </c:pt>
                <c:pt idx="15">
                  <c:v>-1.3916299999999999</c:v>
                </c:pt>
                <c:pt idx="16">
                  <c:v>-0.68134000000000006</c:v>
                </c:pt>
                <c:pt idx="17">
                  <c:v>-0.77271000000000001</c:v>
                </c:pt>
                <c:pt idx="18">
                  <c:v>-0.42329</c:v>
                </c:pt>
                <c:pt idx="19">
                  <c:v>-0.26587000000000005</c:v>
                </c:pt>
                <c:pt idx="20">
                  <c:v>-0.27778999999999998</c:v>
                </c:pt>
                <c:pt idx="21">
                  <c:v>-0.38332000000000011</c:v>
                </c:pt>
                <c:pt idx="22">
                  <c:v>-1.3698000000000001</c:v>
                </c:pt>
                <c:pt idx="23">
                  <c:v>-0.60492000000000012</c:v>
                </c:pt>
                <c:pt idx="24">
                  <c:v>-0.65169000000000021</c:v>
                </c:pt>
                <c:pt idx="25">
                  <c:v>-0.10286000000000001</c:v>
                </c:pt>
                <c:pt idx="26">
                  <c:v>0.42163</c:v>
                </c:pt>
              </c:numCache>
            </c:numRef>
          </c:xVal>
          <c:yVal>
            <c:numRef>
              <c:f>'МГК и ФА'!$BB$33:$BB$59</c:f>
              <c:numCache>
                <c:formatCode>General</c:formatCode>
                <c:ptCount val="27"/>
                <c:pt idx="0">
                  <c:v>-0.18746000000000002</c:v>
                </c:pt>
                <c:pt idx="1">
                  <c:v>4.2800000000000005E-2</c:v>
                </c:pt>
                <c:pt idx="2">
                  <c:v>2.7200000000000002E-3</c:v>
                </c:pt>
                <c:pt idx="3">
                  <c:v>1.2204999999999999</c:v>
                </c:pt>
                <c:pt idx="4">
                  <c:v>0.37058000000000008</c:v>
                </c:pt>
                <c:pt idx="5">
                  <c:v>-0.23866000000000001</c:v>
                </c:pt>
                <c:pt idx="6">
                  <c:v>-0.50312000000000001</c:v>
                </c:pt>
                <c:pt idx="7">
                  <c:v>0.21414000000000002</c:v>
                </c:pt>
                <c:pt idx="8">
                  <c:v>2.1166700000000001</c:v>
                </c:pt>
                <c:pt idx="9">
                  <c:v>0.17597000000000002</c:v>
                </c:pt>
                <c:pt idx="10">
                  <c:v>0.50266</c:v>
                </c:pt>
                <c:pt idx="11">
                  <c:v>-0.45457000000000003</c:v>
                </c:pt>
                <c:pt idx="12">
                  <c:v>-0.21878000000000003</c:v>
                </c:pt>
                <c:pt idx="13">
                  <c:v>0.65442000000000011</c:v>
                </c:pt>
                <c:pt idx="14">
                  <c:v>0.33411000000000007</c:v>
                </c:pt>
                <c:pt idx="15">
                  <c:v>0.14761000000000002</c:v>
                </c:pt>
                <c:pt idx="16">
                  <c:v>-0.15080000000000002</c:v>
                </c:pt>
                <c:pt idx="17">
                  <c:v>-0.41152000000000005</c:v>
                </c:pt>
                <c:pt idx="18">
                  <c:v>1.1356200000000001</c:v>
                </c:pt>
                <c:pt idx="19">
                  <c:v>-0.19420000000000001</c:v>
                </c:pt>
                <c:pt idx="20">
                  <c:v>0.94073000000000007</c:v>
                </c:pt>
                <c:pt idx="21">
                  <c:v>0.13881000000000002</c:v>
                </c:pt>
                <c:pt idx="22">
                  <c:v>-0.22654000000000002</c:v>
                </c:pt>
                <c:pt idx="23">
                  <c:v>0.82543</c:v>
                </c:pt>
                <c:pt idx="24">
                  <c:v>-0.25786000000000003</c:v>
                </c:pt>
                <c:pt idx="25">
                  <c:v>0.18959000000000001</c:v>
                </c:pt>
                <c:pt idx="26">
                  <c:v>0.8761000000000001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DA-4CB0-B2DA-6D64C72997B2}"/>
            </c:ext>
          </c:extLst>
        </c:ser>
        <c:ser>
          <c:idx val="2"/>
          <c:order val="2"/>
          <c:tx>
            <c:v>класс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ФА'!$BA$60:$BA$71</c:f>
              <c:numCache>
                <c:formatCode>General</c:formatCode>
                <c:ptCount val="12"/>
                <c:pt idx="0">
                  <c:v>-1.193E-2</c:v>
                </c:pt>
                <c:pt idx="1">
                  <c:v>0.34099000000000002</c:v>
                </c:pt>
                <c:pt idx="2">
                  <c:v>-0.12827</c:v>
                </c:pt>
                <c:pt idx="3">
                  <c:v>-0.30683000000000005</c:v>
                </c:pt>
                <c:pt idx="4">
                  <c:v>-0.40191000000000004</c:v>
                </c:pt>
                <c:pt idx="5">
                  <c:v>-0.76722000000000001</c:v>
                </c:pt>
                <c:pt idx="6">
                  <c:v>-0.55001</c:v>
                </c:pt>
                <c:pt idx="7">
                  <c:v>-0.28801000000000004</c:v>
                </c:pt>
                <c:pt idx="8">
                  <c:v>0.41909000000000002</c:v>
                </c:pt>
                <c:pt idx="9">
                  <c:v>-0.53047999999999995</c:v>
                </c:pt>
                <c:pt idx="10">
                  <c:v>-0.27686000000000005</c:v>
                </c:pt>
                <c:pt idx="11">
                  <c:v>-0.26371</c:v>
                </c:pt>
              </c:numCache>
            </c:numRef>
          </c:xVal>
          <c:yVal>
            <c:numRef>
              <c:f>'МГК и ФА'!$BB$60:$BB$71</c:f>
              <c:numCache>
                <c:formatCode>General</c:formatCode>
                <c:ptCount val="12"/>
                <c:pt idx="0">
                  <c:v>-0.53752</c:v>
                </c:pt>
                <c:pt idx="1">
                  <c:v>-1.0431300000000001</c:v>
                </c:pt>
                <c:pt idx="2">
                  <c:v>-0.65498000000000012</c:v>
                </c:pt>
                <c:pt idx="3">
                  <c:v>-0.45441000000000004</c:v>
                </c:pt>
                <c:pt idx="4">
                  <c:v>-0.67977000000000021</c:v>
                </c:pt>
                <c:pt idx="5">
                  <c:v>-0.45534000000000002</c:v>
                </c:pt>
                <c:pt idx="6">
                  <c:v>-1.0174700000000001</c:v>
                </c:pt>
                <c:pt idx="7">
                  <c:v>-0.7896200000000001</c:v>
                </c:pt>
                <c:pt idx="8">
                  <c:v>-0.62668000000000013</c:v>
                </c:pt>
                <c:pt idx="9">
                  <c:v>-0.73325000000000007</c:v>
                </c:pt>
                <c:pt idx="10">
                  <c:v>-0.86673000000000011</c:v>
                </c:pt>
                <c:pt idx="11">
                  <c:v>-0.89917999999999998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DA-4CB0-B2DA-6D64C72997B2}"/>
            </c:ext>
          </c:extLst>
        </c:ser>
        <c:ser>
          <c:idx val="3"/>
          <c:order val="3"/>
          <c:tx>
            <c:v>класс 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ФА'!$BA$72:$BA$74</c:f>
              <c:numCache>
                <c:formatCode>General</c:formatCode>
                <c:ptCount val="3"/>
                <c:pt idx="0">
                  <c:v>1.2853300000000001</c:v>
                </c:pt>
                <c:pt idx="1">
                  <c:v>0.66459000000000013</c:v>
                </c:pt>
                <c:pt idx="2">
                  <c:v>-0.20050000000000001</c:v>
                </c:pt>
              </c:numCache>
            </c:numRef>
          </c:xVal>
          <c:yVal>
            <c:numRef>
              <c:f>'МГК и ФА'!$BB$72:$BB$74</c:f>
              <c:numCache>
                <c:formatCode>General</c:formatCode>
                <c:ptCount val="3"/>
                <c:pt idx="0">
                  <c:v>4.5312900000000003</c:v>
                </c:pt>
                <c:pt idx="1">
                  <c:v>3.3225899999999999</c:v>
                </c:pt>
                <c:pt idx="2">
                  <c:v>2.1512799999999999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DA-4CB0-B2DA-6D64C72997B2}"/>
            </c:ext>
          </c:extLst>
        </c:ser>
        <c:ser>
          <c:idx val="4"/>
          <c:order val="4"/>
          <c:tx>
            <c:v>класс 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ФА'!$BA$75:$BA$76</c:f>
              <c:numCache>
                <c:formatCode>General</c:formatCode>
                <c:ptCount val="2"/>
                <c:pt idx="0">
                  <c:v>-2.4865599999999999</c:v>
                </c:pt>
                <c:pt idx="1">
                  <c:v>-1.9755199999999999</c:v>
                </c:pt>
              </c:numCache>
            </c:numRef>
          </c:xVal>
          <c:yVal>
            <c:numRef>
              <c:f>'МГК и ФА'!$BB$75:$BB$76</c:f>
              <c:numCache>
                <c:formatCode>General</c:formatCode>
                <c:ptCount val="2"/>
                <c:pt idx="0">
                  <c:v>-0.43007000000000006</c:v>
                </c:pt>
                <c:pt idx="1">
                  <c:v>4.0479999999999995E-2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DA-4CB0-B2DA-6D64C72997B2}"/>
            </c:ext>
          </c:extLst>
        </c:ser>
        <c:ser>
          <c:idx val="5"/>
          <c:order val="5"/>
          <c:tx>
            <c:v>класс 6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ФА'!$BA$77:$BA$85</c:f>
              <c:numCache>
                <c:formatCode>General</c:formatCode>
                <c:ptCount val="9"/>
                <c:pt idx="0">
                  <c:v>1.7328400000000002</c:v>
                </c:pt>
                <c:pt idx="1">
                  <c:v>2.4770400000000001</c:v>
                </c:pt>
                <c:pt idx="2">
                  <c:v>1.4858899999999999</c:v>
                </c:pt>
                <c:pt idx="3">
                  <c:v>1.57186</c:v>
                </c:pt>
                <c:pt idx="4">
                  <c:v>1.2181299999999999</c:v>
                </c:pt>
                <c:pt idx="5">
                  <c:v>1.8784200000000002</c:v>
                </c:pt>
                <c:pt idx="6">
                  <c:v>2.0257999999999998</c:v>
                </c:pt>
                <c:pt idx="7">
                  <c:v>2.6389500000000004</c:v>
                </c:pt>
                <c:pt idx="8">
                  <c:v>3.1473</c:v>
                </c:pt>
              </c:numCache>
            </c:numRef>
          </c:xVal>
          <c:yVal>
            <c:numRef>
              <c:f>'МГК и ФА'!$BB$77:$BB$85</c:f>
              <c:numCache>
                <c:formatCode>General</c:formatCode>
                <c:ptCount val="9"/>
                <c:pt idx="0">
                  <c:v>-0.8220400000000001</c:v>
                </c:pt>
                <c:pt idx="1">
                  <c:v>-0.89207999999999998</c:v>
                </c:pt>
                <c:pt idx="2">
                  <c:v>-0.73268000000000011</c:v>
                </c:pt>
                <c:pt idx="3">
                  <c:v>-0.24538000000000001</c:v>
                </c:pt>
                <c:pt idx="4">
                  <c:v>1.2356400000000001</c:v>
                </c:pt>
                <c:pt idx="5">
                  <c:v>-0.41471000000000002</c:v>
                </c:pt>
                <c:pt idx="6">
                  <c:v>0.10603000000000001</c:v>
                </c:pt>
                <c:pt idx="7">
                  <c:v>-1.01142</c:v>
                </c:pt>
                <c:pt idx="8">
                  <c:v>-0.16088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DA-4CB0-B2DA-6D64C7299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80000"/>
        <c:axId val="632282496"/>
      </c:scatterChart>
      <c:valAx>
        <c:axId val="63228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282496"/>
        <c:crosses val="autoZero"/>
        <c:crossBetween val="midCat"/>
      </c:valAx>
      <c:valAx>
        <c:axId val="6322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28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Метод</a:t>
            </a:r>
            <a:r>
              <a:rPr lang="ru-RU" baseline="0"/>
              <a:t> Уорда 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класс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ФА'!$BY$2:$BY$10</c:f>
              <c:numCache>
                <c:formatCode>General</c:formatCode>
                <c:ptCount val="9"/>
                <c:pt idx="0">
                  <c:v>-0.22970000000000002</c:v>
                </c:pt>
                <c:pt idx="1">
                  <c:v>0.54157</c:v>
                </c:pt>
                <c:pt idx="2">
                  <c:v>0.66937000000000013</c:v>
                </c:pt>
                <c:pt idx="3">
                  <c:v>-0.27215</c:v>
                </c:pt>
                <c:pt idx="4">
                  <c:v>-0.49475999999999998</c:v>
                </c:pt>
                <c:pt idx="5">
                  <c:v>-0.77102999999999999</c:v>
                </c:pt>
                <c:pt idx="6">
                  <c:v>-0.20889000000000002</c:v>
                </c:pt>
                <c:pt idx="7">
                  <c:v>-0.49468999999999996</c:v>
                </c:pt>
                <c:pt idx="8">
                  <c:v>-1.193E-2</c:v>
                </c:pt>
              </c:numCache>
            </c:numRef>
          </c:xVal>
          <c:yVal>
            <c:numRef>
              <c:f>'МГК и ФА'!$BZ$2:$BZ$10</c:f>
              <c:numCache>
                <c:formatCode>General</c:formatCode>
                <c:ptCount val="9"/>
                <c:pt idx="0">
                  <c:v>0.34366000000000002</c:v>
                </c:pt>
                <c:pt idx="1">
                  <c:v>-0.73274000000000017</c:v>
                </c:pt>
                <c:pt idx="2">
                  <c:v>-0.32400000000000007</c:v>
                </c:pt>
                <c:pt idx="3">
                  <c:v>-0.18746000000000002</c:v>
                </c:pt>
                <c:pt idx="4">
                  <c:v>4.2800000000000005E-2</c:v>
                </c:pt>
                <c:pt idx="5">
                  <c:v>2.7200000000000002E-3</c:v>
                </c:pt>
                <c:pt idx="6">
                  <c:v>-0.36255000000000004</c:v>
                </c:pt>
                <c:pt idx="7">
                  <c:v>1.2204999999999999</c:v>
                </c:pt>
                <c:pt idx="8">
                  <c:v>-0.53752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4-481C-87DE-FEDFB1AA6240}"/>
            </c:ext>
          </c:extLst>
        </c:ser>
        <c:ser>
          <c:idx val="1"/>
          <c:order val="1"/>
          <c:tx>
            <c:v>класс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ФА'!$BY$11:$BY$12</c:f>
              <c:numCache>
                <c:formatCode>General</c:formatCode>
                <c:ptCount val="2"/>
                <c:pt idx="0">
                  <c:v>-0.39745000000000003</c:v>
                </c:pt>
                <c:pt idx="1">
                  <c:v>1.2853300000000001</c:v>
                </c:pt>
              </c:numCache>
            </c:numRef>
          </c:xVal>
          <c:yVal>
            <c:numRef>
              <c:f>'МГК и ФА'!$BZ$11:$BZ$12</c:f>
              <c:numCache>
                <c:formatCode>General</c:formatCode>
                <c:ptCount val="2"/>
                <c:pt idx="0">
                  <c:v>0.37058000000000008</c:v>
                </c:pt>
                <c:pt idx="1">
                  <c:v>4.5312900000000003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4-481C-87DE-FEDFB1AA6240}"/>
            </c:ext>
          </c:extLst>
        </c:ser>
        <c:ser>
          <c:idx val="2"/>
          <c:order val="2"/>
          <c:tx>
            <c:v>класс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ФА'!$BY$13:$BY$18</c:f>
              <c:numCache>
                <c:formatCode>General</c:formatCode>
                <c:ptCount val="6"/>
                <c:pt idx="0">
                  <c:v>0.34099000000000002</c:v>
                </c:pt>
                <c:pt idx="1">
                  <c:v>0.35738000000000009</c:v>
                </c:pt>
                <c:pt idx="2">
                  <c:v>-0.77775000000000005</c:v>
                </c:pt>
                <c:pt idx="3">
                  <c:v>0.32751000000000008</c:v>
                </c:pt>
                <c:pt idx="4">
                  <c:v>-1.2376800000000001</c:v>
                </c:pt>
                <c:pt idx="5">
                  <c:v>-0.12827</c:v>
                </c:pt>
              </c:numCache>
            </c:numRef>
          </c:xVal>
          <c:yVal>
            <c:numRef>
              <c:f>'МГК и ФА'!$BZ$13:$BZ$18</c:f>
              <c:numCache>
                <c:formatCode>General</c:formatCode>
                <c:ptCount val="6"/>
                <c:pt idx="0">
                  <c:v>-1.0431300000000001</c:v>
                </c:pt>
                <c:pt idx="1">
                  <c:v>-0.37621000000000004</c:v>
                </c:pt>
                <c:pt idx="2">
                  <c:v>-0.46984000000000004</c:v>
                </c:pt>
                <c:pt idx="3">
                  <c:v>-0.18464</c:v>
                </c:pt>
                <c:pt idx="4">
                  <c:v>-0.23866000000000001</c:v>
                </c:pt>
                <c:pt idx="5">
                  <c:v>-0.65498000000000012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74-481C-87DE-FEDFB1AA6240}"/>
            </c:ext>
          </c:extLst>
        </c:ser>
        <c:ser>
          <c:idx val="3"/>
          <c:order val="3"/>
          <c:tx>
            <c:v>класс 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ФА'!$BY$19:$BY$26</c:f>
              <c:numCache>
                <c:formatCode>General</c:formatCode>
                <c:ptCount val="8"/>
                <c:pt idx="0">
                  <c:v>-3.0219999999999997E-2</c:v>
                </c:pt>
                <c:pt idx="1">
                  <c:v>1.7328400000000002</c:v>
                </c:pt>
                <c:pt idx="2">
                  <c:v>-0.88119999999999998</c:v>
                </c:pt>
                <c:pt idx="3">
                  <c:v>-0.10676000000000002</c:v>
                </c:pt>
                <c:pt idx="4">
                  <c:v>-0.26874999999999999</c:v>
                </c:pt>
                <c:pt idx="5">
                  <c:v>-0.23275000000000001</c:v>
                </c:pt>
                <c:pt idx="6">
                  <c:v>-0.47765000000000002</c:v>
                </c:pt>
                <c:pt idx="7">
                  <c:v>0.45074999999999998</c:v>
                </c:pt>
              </c:numCache>
            </c:numRef>
          </c:xVal>
          <c:yVal>
            <c:numRef>
              <c:f>'МГК и ФА'!$BZ$19:$BZ$26</c:f>
              <c:numCache>
                <c:formatCode>General</c:formatCode>
                <c:ptCount val="8"/>
                <c:pt idx="0">
                  <c:v>-3.8620000000000002E-2</c:v>
                </c:pt>
                <c:pt idx="1">
                  <c:v>-0.8220400000000001</c:v>
                </c:pt>
                <c:pt idx="2">
                  <c:v>-0.50312000000000001</c:v>
                </c:pt>
                <c:pt idx="3">
                  <c:v>0.21414000000000002</c:v>
                </c:pt>
                <c:pt idx="4">
                  <c:v>-0.66684000000000021</c:v>
                </c:pt>
                <c:pt idx="5">
                  <c:v>-0.75420000000000009</c:v>
                </c:pt>
                <c:pt idx="6">
                  <c:v>2.1166700000000001</c:v>
                </c:pt>
                <c:pt idx="7">
                  <c:v>0.34032000000000007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74-481C-87DE-FEDFB1AA6240}"/>
            </c:ext>
          </c:extLst>
        </c:ser>
        <c:ser>
          <c:idx val="4"/>
          <c:order val="4"/>
          <c:tx>
            <c:v>класс 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ФА'!$BY$27:$BY$61</c:f>
              <c:numCache>
                <c:formatCode>General</c:formatCode>
                <c:ptCount val="35"/>
                <c:pt idx="0">
                  <c:v>-2.2209999999999997E-2</c:v>
                </c:pt>
                <c:pt idx="1">
                  <c:v>-0.33123000000000002</c:v>
                </c:pt>
                <c:pt idx="2">
                  <c:v>-4.2010000000000006E-2</c:v>
                </c:pt>
                <c:pt idx="3">
                  <c:v>-0.30683000000000005</c:v>
                </c:pt>
                <c:pt idx="4">
                  <c:v>2.4770400000000001</c:v>
                </c:pt>
                <c:pt idx="5">
                  <c:v>0.66459000000000013</c:v>
                </c:pt>
                <c:pt idx="6">
                  <c:v>1.4858899999999999</c:v>
                </c:pt>
                <c:pt idx="7">
                  <c:v>-0.11483</c:v>
                </c:pt>
                <c:pt idx="8">
                  <c:v>-0.21897000000000003</c:v>
                </c:pt>
                <c:pt idx="9">
                  <c:v>0.41580000000000006</c:v>
                </c:pt>
                <c:pt idx="10">
                  <c:v>-3.7600000000000001E-2</c:v>
                </c:pt>
                <c:pt idx="11">
                  <c:v>-0.13754000000000002</c:v>
                </c:pt>
                <c:pt idx="12">
                  <c:v>-0.39466000000000001</c:v>
                </c:pt>
                <c:pt idx="13">
                  <c:v>-0.48174</c:v>
                </c:pt>
                <c:pt idx="14">
                  <c:v>5.679E-2</c:v>
                </c:pt>
                <c:pt idx="15">
                  <c:v>0.33506000000000008</c:v>
                </c:pt>
                <c:pt idx="16">
                  <c:v>-0.40191000000000004</c:v>
                </c:pt>
                <c:pt idx="17">
                  <c:v>-0.76722000000000001</c:v>
                </c:pt>
                <c:pt idx="18">
                  <c:v>-0.55001</c:v>
                </c:pt>
                <c:pt idx="19">
                  <c:v>-0.18694000000000002</c:v>
                </c:pt>
                <c:pt idx="20">
                  <c:v>-0.30474000000000001</c:v>
                </c:pt>
                <c:pt idx="21">
                  <c:v>-1.7160299999999999</c:v>
                </c:pt>
                <c:pt idx="22">
                  <c:v>-2.4865599999999999</c:v>
                </c:pt>
                <c:pt idx="23">
                  <c:v>-0.28801000000000004</c:v>
                </c:pt>
                <c:pt idx="24">
                  <c:v>0.41909000000000002</c:v>
                </c:pt>
                <c:pt idx="25">
                  <c:v>1.02027</c:v>
                </c:pt>
                <c:pt idx="26">
                  <c:v>-1.3916299999999999</c:v>
                </c:pt>
                <c:pt idx="27">
                  <c:v>-0.53047999999999995</c:v>
                </c:pt>
                <c:pt idx="28">
                  <c:v>-0.68134000000000006</c:v>
                </c:pt>
                <c:pt idx="29">
                  <c:v>1.57186</c:v>
                </c:pt>
                <c:pt idx="30">
                  <c:v>-0.77271000000000001</c:v>
                </c:pt>
                <c:pt idx="31">
                  <c:v>-0.20050000000000001</c:v>
                </c:pt>
                <c:pt idx="32">
                  <c:v>-0.27686000000000005</c:v>
                </c:pt>
                <c:pt idx="33">
                  <c:v>-0.26371</c:v>
                </c:pt>
                <c:pt idx="34">
                  <c:v>-0.42329</c:v>
                </c:pt>
              </c:numCache>
            </c:numRef>
          </c:xVal>
          <c:yVal>
            <c:numRef>
              <c:f>'МГК и ФА'!$BZ$27:$BZ$61</c:f>
              <c:numCache>
                <c:formatCode>General</c:formatCode>
                <c:ptCount val="35"/>
                <c:pt idx="0">
                  <c:v>-0.39037000000000005</c:v>
                </c:pt>
                <c:pt idx="1">
                  <c:v>-0.37042000000000008</c:v>
                </c:pt>
                <c:pt idx="2">
                  <c:v>0.17597000000000002</c:v>
                </c:pt>
                <c:pt idx="3">
                  <c:v>-0.45441000000000004</c:v>
                </c:pt>
                <c:pt idx="4">
                  <c:v>-0.89207999999999998</c:v>
                </c:pt>
                <c:pt idx="5">
                  <c:v>3.3225899999999999</c:v>
                </c:pt>
                <c:pt idx="6">
                  <c:v>-0.73268000000000011</c:v>
                </c:pt>
                <c:pt idx="7">
                  <c:v>0.50266</c:v>
                </c:pt>
                <c:pt idx="8">
                  <c:v>-0.49012999999999995</c:v>
                </c:pt>
                <c:pt idx="9">
                  <c:v>0.25735000000000002</c:v>
                </c:pt>
                <c:pt idx="10">
                  <c:v>-6.7860000000000004E-2</c:v>
                </c:pt>
                <c:pt idx="11">
                  <c:v>0.10106000000000001</c:v>
                </c:pt>
                <c:pt idx="12">
                  <c:v>-0.45457000000000003</c:v>
                </c:pt>
                <c:pt idx="13">
                  <c:v>-0.21878000000000003</c:v>
                </c:pt>
                <c:pt idx="14">
                  <c:v>0.35210000000000002</c:v>
                </c:pt>
                <c:pt idx="15">
                  <c:v>0.61020000000000008</c:v>
                </c:pt>
                <c:pt idx="16">
                  <c:v>-0.67977000000000021</c:v>
                </c:pt>
                <c:pt idx="17">
                  <c:v>-0.45534000000000002</c:v>
                </c:pt>
                <c:pt idx="18">
                  <c:v>-1.0174700000000001</c:v>
                </c:pt>
                <c:pt idx="19">
                  <c:v>0.65442000000000011</c:v>
                </c:pt>
                <c:pt idx="20">
                  <c:v>-0.48752000000000006</c:v>
                </c:pt>
                <c:pt idx="21">
                  <c:v>0.33411000000000007</c:v>
                </c:pt>
                <c:pt idx="22">
                  <c:v>-0.43007000000000006</c:v>
                </c:pt>
                <c:pt idx="23">
                  <c:v>-0.7896200000000001</c:v>
                </c:pt>
                <c:pt idx="24">
                  <c:v>-0.62668000000000013</c:v>
                </c:pt>
                <c:pt idx="25">
                  <c:v>-0.52498</c:v>
                </c:pt>
                <c:pt idx="26">
                  <c:v>0.14761000000000002</c:v>
                </c:pt>
                <c:pt idx="27">
                  <c:v>-0.73325000000000007</c:v>
                </c:pt>
                <c:pt idx="28">
                  <c:v>-0.15080000000000002</c:v>
                </c:pt>
                <c:pt idx="29">
                  <c:v>-0.24538000000000001</c:v>
                </c:pt>
                <c:pt idx="30">
                  <c:v>-0.41152000000000005</c:v>
                </c:pt>
                <c:pt idx="31">
                  <c:v>2.1512799999999999</c:v>
                </c:pt>
                <c:pt idx="32">
                  <c:v>-0.86673000000000011</c:v>
                </c:pt>
                <c:pt idx="33">
                  <c:v>-0.89917999999999998</c:v>
                </c:pt>
                <c:pt idx="34">
                  <c:v>1.1356200000000001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74-481C-87DE-FEDFB1AA6240}"/>
            </c:ext>
          </c:extLst>
        </c:ser>
        <c:ser>
          <c:idx val="5"/>
          <c:order val="5"/>
          <c:tx>
            <c:v>класс 6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ФА'!$BY$62:$BY$85</c:f>
              <c:numCache>
                <c:formatCode>General</c:formatCode>
                <c:ptCount val="24"/>
                <c:pt idx="0">
                  <c:v>-0.26587000000000005</c:v>
                </c:pt>
                <c:pt idx="1">
                  <c:v>-0.27778999999999998</c:v>
                </c:pt>
                <c:pt idx="2">
                  <c:v>1.2181299999999999</c:v>
                </c:pt>
                <c:pt idx="3">
                  <c:v>-0.38332000000000011</c:v>
                </c:pt>
                <c:pt idx="4">
                  <c:v>1.8784200000000002</c:v>
                </c:pt>
                <c:pt idx="5">
                  <c:v>0.39494000000000001</c:v>
                </c:pt>
                <c:pt idx="6">
                  <c:v>-1.3698000000000001</c:v>
                </c:pt>
                <c:pt idx="7">
                  <c:v>-0.20149000000000003</c:v>
                </c:pt>
                <c:pt idx="8">
                  <c:v>-0.60492000000000012</c:v>
                </c:pt>
                <c:pt idx="9">
                  <c:v>-0.65169000000000021</c:v>
                </c:pt>
                <c:pt idx="10">
                  <c:v>2.5940000000000001E-2</c:v>
                </c:pt>
                <c:pt idx="11">
                  <c:v>0.28377000000000002</c:v>
                </c:pt>
                <c:pt idx="12">
                  <c:v>-0.10286000000000001</c:v>
                </c:pt>
                <c:pt idx="13">
                  <c:v>0.42163</c:v>
                </c:pt>
                <c:pt idx="14">
                  <c:v>3.0859999999999999E-2</c:v>
                </c:pt>
                <c:pt idx="15">
                  <c:v>-0.26457000000000003</c:v>
                </c:pt>
                <c:pt idx="16">
                  <c:v>0.65083000000000013</c:v>
                </c:pt>
                <c:pt idx="17">
                  <c:v>2.0257999999999998</c:v>
                </c:pt>
                <c:pt idx="18">
                  <c:v>-9.597E-2</c:v>
                </c:pt>
                <c:pt idx="19">
                  <c:v>-1.9755199999999999</c:v>
                </c:pt>
                <c:pt idx="20">
                  <c:v>-0.23470000000000002</c:v>
                </c:pt>
                <c:pt idx="21">
                  <c:v>2.6389500000000004</c:v>
                </c:pt>
                <c:pt idx="22">
                  <c:v>3.1473</c:v>
                </c:pt>
                <c:pt idx="23">
                  <c:v>-8.9029999999999998E-2</c:v>
                </c:pt>
              </c:numCache>
            </c:numRef>
          </c:xVal>
          <c:yVal>
            <c:numRef>
              <c:f>'МГК и ФА'!$BZ$62:$BZ$85</c:f>
              <c:numCache>
                <c:formatCode>General</c:formatCode>
                <c:ptCount val="24"/>
                <c:pt idx="0">
                  <c:v>-0.19420000000000001</c:v>
                </c:pt>
                <c:pt idx="1">
                  <c:v>0.94073000000000007</c:v>
                </c:pt>
                <c:pt idx="2">
                  <c:v>1.2356400000000001</c:v>
                </c:pt>
                <c:pt idx="3">
                  <c:v>0.13881000000000002</c:v>
                </c:pt>
                <c:pt idx="4">
                  <c:v>-0.41471000000000002</c:v>
                </c:pt>
                <c:pt idx="5">
                  <c:v>0.85702000000000012</c:v>
                </c:pt>
                <c:pt idx="6">
                  <c:v>-0.22654000000000002</c:v>
                </c:pt>
                <c:pt idx="7">
                  <c:v>-0.30217000000000005</c:v>
                </c:pt>
                <c:pt idx="8">
                  <c:v>0.82543</c:v>
                </c:pt>
                <c:pt idx="9">
                  <c:v>-0.25786000000000003</c:v>
                </c:pt>
                <c:pt idx="10">
                  <c:v>-0.40831000000000006</c:v>
                </c:pt>
                <c:pt idx="11">
                  <c:v>-0.29338000000000009</c:v>
                </c:pt>
                <c:pt idx="12">
                  <c:v>0.18959000000000001</c:v>
                </c:pt>
                <c:pt idx="13">
                  <c:v>0.8761000000000001</c:v>
                </c:pt>
                <c:pt idx="14">
                  <c:v>-0.26472999999999997</c:v>
                </c:pt>
                <c:pt idx="15">
                  <c:v>-0.13340000000000002</c:v>
                </c:pt>
                <c:pt idx="16">
                  <c:v>-0.24948000000000004</c:v>
                </c:pt>
                <c:pt idx="17">
                  <c:v>0.10603000000000001</c:v>
                </c:pt>
                <c:pt idx="18">
                  <c:v>0.78450999999999993</c:v>
                </c:pt>
                <c:pt idx="19">
                  <c:v>4.0479999999999995E-2</c:v>
                </c:pt>
                <c:pt idx="20">
                  <c:v>-0.33383000000000007</c:v>
                </c:pt>
                <c:pt idx="21">
                  <c:v>-1.01142</c:v>
                </c:pt>
                <c:pt idx="22">
                  <c:v>-0.16088</c:v>
                </c:pt>
                <c:pt idx="23">
                  <c:v>-0.38491000000000009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74-481C-87DE-FEDFB1AA6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34927"/>
        <c:axId val="1245939087"/>
      </c:scatterChart>
      <c:valAx>
        <c:axId val="124593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5939087"/>
        <c:crosses val="autoZero"/>
        <c:crossBetween val="midCat"/>
      </c:valAx>
      <c:valAx>
        <c:axId val="12459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593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Метод к-средних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класс 1 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ФА'!$CD$2:$CD$22</c:f>
              <c:numCache>
                <c:formatCode>General</c:formatCode>
                <c:ptCount val="21"/>
                <c:pt idx="0">
                  <c:v>-0.22970000000000002</c:v>
                </c:pt>
                <c:pt idx="1">
                  <c:v>0.54157</c:v>
                </c:pt>
                <c:pt idx="2">
                  <c:v>0.66937000000000013</c:v>
                </c:pt>
                <c:pt idx="3">
                  <c:v>-0.27215</c:v>
                </c:pt>
                <c:pt idx="4">
                  <c:v>-0.49475999999999998</c:v>
                </c:pt>
                <c:pt idx="5">
                  <c:v>-0.77102999999999999</c:v>
                </c:pt>
                <c:pt idx="6">
                  <c:v>-0.20889000000000002</c:v>
                </c:pt>
                <c:pt idx="7">
                  <c:v>-0.49468999999999996</c:v>
                </c:pt>
                <c:pt idx="8">
                  <c:v>-1.193E-2</c:v>
                </c:pt>
                <c:pt idx="9">
                  <c:v>-0.39745000000000003</c:v>
                </c:pt>
                <c:pt idx="10">
                  <c:v>1.2853300000000001</c:v>
                </c:pt>
                <c:pt idx="11">
                  <c:v>0.34099000000000002</c:v>
                </c:pt>
                <c:pt idx="12">
                  <c:v>0.35738000000000009</c:v>
                </c:pt>
                <c:pt idx="13">
                  <c:v>-0.77775000000000005</c:v>
                </c:pt>
                <c:pt idx="14">
                  <c:v>0.32751000000000008</c:v>
                </c:pt>
                <c:pt idx="15">
                  <c:v>-1.2376800000000001</c:v>
                </c:pt>
                <c:pt idx="16">
                  <c:v>-0.12827</c:v>
                </c:pt>
                <c:pt idx="17">
                  <c:v>-3.0219999999999997E-2</c:v>
                </c:pt>
                <c:pt idx="18">
                  <c:v>1.7328400000000002</c:v>
                </c:pt>
                <c:pt idx="19">
                  <c:v>-0.88119999999999998</c:v>
                </c:pt>
                <c:pt idx="20">
                  <c:v>-0.10676000000000002</c:v>
                </c:pt>
              </c:numCache>
            </c:numRef>
          </c:xVal>
          <c:yVal>
            <c:numRef>
              <c:f>'МГК и ФА'!$CE$2:$CE$22</c:f>
              <c:numCache>
                <c:formatCode>General</c:formatCode>
                <c:ptCount val="21"/>
                <c:pt idx="0">
                  <c:v>0.34366000000000002</c:v>
                </c:pt>
                <c:pt idx="1">
                  <c:v>-0.73274000000000017</c:v>
                </c:pt>
                <c:pt idx="2">
                  <c:v>-0.32400000000000007</c:v>
                </c:pt>
                <c:pt idx="3">
                  <c:v>-0.18746000000000002</c:v>
                </c:pt>
                <c:pt idx="4">
                  <c:v>4.2800000000000005E-2</c:v>
                </c:pt>
                <c:pt idx="5">
                  <c:v>2.7200000000000002E-3</c:v>
                </c:pt>
                <c:pt idx="6">
                  <c:v>-0.36255000000000004</c:v>
                </c:pt>
                <c:pt idx="7">
                  <c:v>1.2204999999999999</c:v>
                </c:pt>
                <c:pt idx="8">
                  <c:v>-0.53752</c:v>
                </c:pt>
                <c:pt idx="9">
                  <c:v>0.37058000000000008</c:v>
                </c:pt>
                <c:pt idx="10">
                  <c:v>4.5312900000000003</c:v>
                </c:pt>
                <c:pt idx="11">
                  <c:v>-1.0431300000000001</c:v>
                </c:pt>
                <c:pt idx="12">
                  <c:v>-0.37621000000000004</c:v>
                </c:pt>
                <c:pt idx="13">
                  <c:v>-0.46984000000000004</c:v>
                </c:pt>
                <c:pt idx="14">
                  <c:v>-0.18464</c:v>
                </c:pt>
                <c:pt idx="15">
                  <c:v>-0.23866000000000001</c:v>
                </c:pt>
                <c:pt idx="16">
                  <c:v>-0.65498000000000012</c:v>
                </c:pt>
                <c:pt idx="17">
                  <c:v>-3.8620000000000002E-2</c:v>
                </c:pt>
                <c:pt idx="18">
                  <c:v>-0.8220400000000001</c:v>
                </c:pt>
                <c:pt idx="19">
                  <c:v>-0.50312000000000001</c:v>
                </c:pt>
                <c:pt idx="20">
                  <c:v>0.21414000000000002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3-473B-AD75-7F854035A067}"/>
            </c:ext>
          </c:extLst>
        </c:ser>
        <c:ser>
          <c:idx val="1"/>
          <c:order val="1"/>
          <c:tx>
            <c:v>класс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ФА'!$CD$23:$CD$32</c:f>
              <c:numCache>
                <c:formatCode>General</c:formatCode>
                <c:ptCount val="10"/>
                <c:pt idx="0">
                  <c:v>-0.26874999999999999</c:v>
                </c:pt>
                <c:pt idx="1">
                  <c:v>-0.23275000000000001</c:v>
                </c:pt>
                <c:pt idx="2">
                  <c:v>-0.47765000000000002</c:v>
                </c:pt>
                <c:pt idx="3">
                  <c:v>0.45074999999999998</c:v>
                </c:pt>
                <c:pt idx="4">
                  <c:v>-2.2209999999999997E-2</c:v>
                </c:pt>
                <c:pt idx="5">
                  <c:v>-0.33123000000000002</c:v>
                </c:pt>
                <c:pt idx="6">
                  <c:v>-4.2010000000000006E-2</c:v>
                </c:pt>
                <c:pt idx="7">
                  <c:v>-0.30683000000000005</c:v>
                </c:pt>
                <c:pt idx="8">
                  <c:v>2.4770400000000001</c:v>
                </c:pt>
                <c:pt idx="9">
                  <c:v>0.66459000000000013</c:v>
                </c:pt>
              </c:numCache>
            </c:numRef>
          </c:xVal>
          <c:yVal>
            <c:numRef>
              <c:f>'МГК и ФА'!$CE$23:$CE$32</c:f>
              <c:numCache>
                <c:formatCode>General</c:formatCode>
                <c:ptCount val="10"/>
                <c:pt idx="0">
                  <c:v>-0.66684000000000021</c:v>
                </c:pt>
                <c:pt idx="1">
                  <c:v>-0.75420000000000009</c:v>
                </c:pt>
                <c:pt idx="2">
                  <c:v>2.1166700000000001</c:v>
                </c:pt>
                <c:pt idx="3">
                  <c:v>0.34032000000000007</c:v>
                </c:pt>
                <c:pt idx="4">
                  <c:v>-0.39037000000000005</c:v>
                </c:pt>
                <c:pt idx="5">
                  <c:v>-0.37042000000000008</c:v>
                </c:pt>
                <c:pt idx="6">
                  <c:v>0.17597000000000002</c:v>
                </c:pt>
                <c:pt idx="7">
                  <c:v>-0.45441000000000004</c:v>
                </c:pt>
                <c:pt idx="8">
                  <c:v>-0.89207999999999998</c:v>
                </c:pt>
                <c:pt idx="9">
                  <c:v>3.3225899999999999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3-473B-AD75-7F854035A067}"/>
            </c:ext>
          </c:extLst>
        </c:ser>
        <c:ser>
          <c:idx val="2"/>
          <c:order val="2"/>
          <c:tx>
            <c:v>класс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ФА'!$CD$33:$CD$62</c:f>
              <c:numCache>
                <c:formatCode>General</c:formatCode>
                <c:ptCount val="30"/>
                <c:pt idx="0">
                  <c:v>1.4858899999999999</c:v>
                </c:pt>
                <c:pt idx="1">
                  <c:v>-0.11483</c:v>
                </c:pt>
                <c:pt idx="2">
                  <c:v>-0.21897000000000003</c:v>
                </c:pt>
                <c:pt idx="3">
                  <c:v>0.41580000000000006</c:v>
                </c:pt>
                <c:pt idx="4">
                  <c:v>-3.7600000000000001E-2</c:v>
                </c:pt>
                <c:pt idx="5">
                  <c:v>-0.13754000000000002</c:v>
                </c:pt>
                <c:pt idx="6">
                  <c:v>-0.39466000000000001</c:v>
                </c:pt>
                <c:pt idx="7">
                  <c:v>-0.48174</c:v>
                </c:pt>
                <c:pt idx="8">
                  <c:v>5.679E-2</c:v>
                </c:pt>
                <c:pt idx="9">
                  <c:v>0.33506000000000008</c:v>
                </c:pt>
                <c:pt idx="10">
                  <c:v>-0.40191000000000004</c:v>
                </c:pt>
                <c:pt idx="11">
                  <c:v>-0.76722000000000001</c:v>
                </c:pt>
                <c:pt idx="12">
                  <c:v>-0.55001</c:v>
                </c:pt>
                <c:pt idx="13">
                  <c:v>-0.18694000000000002</c:v>
                </c:pt>
                <c:pt idx="14">
                  <c:v>-0.30474000000000001</c:v>
                </c:pt>
                <c:pt idx="15">
                  <c:v>-1.7160299999999999</c:v>
                </c:pt>
                <c:pt idx="16">
                  <c:v>-2.4865599999999999</c:v>
                </c:pt>
                <c:pt idx="17">
                  <c:v>-0.28801000000000004</c:v>
                </c:pt>
                <c:pt idx="18">
                  <c:v>0.41909000000000002</c:v>
                </c:pt>
                <c:pt idx="19">
                  <c:v>1.02027</c:v>
                </c:pt>
                <c:pt idx="20">
                  <c:v>-1.3916299999999999</c:v>
                </c:pt>
                <c:pt idx="21">
                  <c:v>-0.53047999999999995</c:v>
                </c:pt>
                <c:pt idx="22">
                  <c:v>-0.68134000000000006</c:v>
                </c:pt>
                <c:pt idx="23">
                  <c:v>1.57186</c:v>
                </c:pt>
                <c:pt idx="24">
                  <c:v>-0.77271000000000001</c:v>
                </c:pt>
                <c:pt idx="25">
                  <c:v>-0.20050000000000001</c:v>
                </c:pt>
                <c:pt idx="26">
                  <c:v>-0.27686000000000005</c:v>
                </c:pt>
                <c:pt idx="27">
                  <c:v>-0.26371</c:v>
                </c:pt>
                <c:pt idx="28">
                  <c:v>-0.42329</c:v>
                </c:pt>
                <c:pt idx="29">
                  <c:v>-0.26587000000000005</c:v>
                </c:pt>
              </c:numCache>
            </c:numRef>
          </c:xVal>
          <c:yVal>
            <c:numRef>
              <c:f>'МГК и ФА'!$CE$33:$CE$62</c:f>
              <c:numCache>
                <c:formatCode>General</c:formatCode>
                <c:ptCount val="30"/>
                <c:pt idx="0">
                  <c:v>-0.73268000000000011</c:v>
                </c:pt>
                <c:pt idx="1">
                  <c:v>0.50266</c:v>
                </c:pt>
                <c:pt idx="2">
                  <c:v>-0.49012999999999995</c:v>
                </c:pt>
                <c:pt idx="3">
                  <c:v>0.25735000000000002</c:v>
                </c:pt>
                <c:pt idx="4">
                  <c:v>-6.7860000000000004E-2</c:v>
                </c:pt>
                <c:pt idx="5">
                  <c:v>0.10106000000000001</c:v>
                </c:pt>
                <c:pt idx="6">
                  <c:v>-0.45457000000000003</c:v>
                </c:pt>
                <c:pt idx="7">
                  <c:v>-0.21878000000000003</c:v>
                </c:pt>
                <c:pt idx="8">
                  <c:v>0.35210000000000002</c:v>
                </c:pt>
                <c:pt idx="9">
                  <c:v>0.61020000000000008</c:v>
                </c:pt>
                <c:pt idx="10">
                  <c:v>-0.67977000000000021</c:v>
                </c:pt>
                <c:pt idx="11">
                  <c:v>-0.45534000000000002</c:v>
                </c:pt>
                <c:pt idx="12">
                  <c:v>-1.0174700000000001</c:v>
                </c:pt>
                <c:pt idx="13">
                  <c:v>0.65442000000000011</c:v>
                </c:pt>
                <c:pt idx="14">
                  <c:v>-0.48752000000000006</c:v>
                </c:pt>
                <c:pt idx="15">
                  <c:v>0.33411000000000007</c:v>
                </c:pt>
                <c:pt idx="16">
                  <c:v>-0.43007000000000006</c:v>
                </c:pt>
                <c:pt idx="17">
                  <c:v>-0.7896200000000001</c:v>
                </c:pt>
                <c:pt idx="18">
                  <c:v>-0.62668000000000013</c:v>
                </c:pt>
                <c:pt idx="19">
                  <c:v>-0.52498</c:v>
                </c:pt>
                <c:pt idx="20">
                  <c:v>0.14761000000000002</c:v>
                </c:pt>
                <c:pt idx="21">
                  <c:v>-0.73325000000000007</c:v>
                </c:pt>
                <c:pt idx="22">
                  <c:v>-0.15080000000000002</c:v>
                </c:pt>
                <c:pt idx="23">
                  <c:v>-0.24538000000000001</c:v>
                </c:pt>
                <c:pt idx="24">
                  <c:v>-0.41152000000000005</c:v>
                </c:pt>
                <c:pt idx="25">
                  <c:v>2.1512799999999999</c:v>
                </c:pt>
                <c:pt idx="26">
                  <c:v>-0.86673000000000011</c:v>
                </c:pt>
                <c:pt idx="27">
                  <c:v>-0.89917999999999998</c:v>
                </c:pt>
                <c:pt idx="28">
                  <c:v>1.1356200000000001</c:v>
                </c:pt>
                <c:pt idx="29">
                  <c:v>-0.19420000000000001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E3-473B-AD75-7F854035A067}"/>
            </c:ext>
          </c:extLst>
        </c:ser>
        <c:ser>
          <c:idx val="3"/>
          <c:order val="3"/>
          <c:tx>
            <c:v>класс 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ФА'!$CD$63:$CD$71</c:f>
              <c:numCache>
                <c:formatCode>General</c:formatCode>
                <c:ptCount val="9"/>
                <c:pt idx="0">
                  <c:v>-0.27778999999999998</c:v>
                </c:pt>
                <c:pt idx="1">
                  <c:v>1.2181299999999999</c:v>
                </c:pt>
                <c:pt idx="2">
                  <c:v>-0.38332000000000011</c:v>
                </c:pt>
                <c:pt idx="3">
                  <c:v>1.8784200000000002</c:v>
                </c:pt>
                <c:pt idx="4">
                  <c:v>0.39494000000000001</c:v>
                </c:pt>
                <c:pt idx="5">
                  <c:v>-1.3698000000000001</c:v>
                </c:pt>
                <c:pt idx="6">
                  <c:v>-0.20149000000000003</c:v>
                </c:pt>
                <c:pt idx="7">
                  <c:v>-0.60492000000000012</c:v>
                </c:pt>
                <c:pt idx="8">
                  <c:v>-0.65169000000000021</c:v>
                </c:pt>
              </c:numCache>
            </c:numRef>
          </c:xVal>
          <c:yVal>
            <c:numRef>
              <c:f>'МГК и ФА'!$CE$63:$CE$71</c:f>
              <c:numCache>
                <c:formatCode>General</c:formatCode>
                <c:ptCount val="9"/>
                <c:pt idx="0">
                  <c:v>0.94073000000000007</c:v>
                </c:pt>
                <c:pt idx="1">
                  <c:v>1.2356400000000001</c:v>
                </c:pt>
                <c:pt idx="2">
                  <c:v>0.13881000000000002</c:v>
                </c:pt>
                <c:pt idx="3">
                  <c:v>-0.41471000000000002</c:v>
                </c:pt>
                <c:pt idx="4">
                  <c:v>0.85702000000000012</c:v>
                </c:pt>
                <c:pt idx="5">
                  <c:v>-0.22654000000000002</c:v>
                </c:pt>
                <c:pt idx="6">
                  <c:v>-0.30217000000000005</c:v>
                </c:pt>
                <c:pt idx="7">
                  <c:v>0.82543</c:v>
                </c:pt>
                <c:pt idx="8">
                  <c:v>-0.25786000000000003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E3-473B-AD75-7F854035A067}"/>
            </c:ext>
          </c:extLst>
        </c:ser>
        <c:ser>
          <c:idx val="4"/>
          <c:order val="4"/>
          <c:tx>
            <c:v>класс 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ФА'!$CD$72:$CD$83</c:f>
              <c:numCache>
                <c:formatCode>General</c:formatCode>
                <c:ptCount val="12"/>
                <c:pt idx="0">
                  <c:v>2.5940000000000001E-2</c:v>
                </c:pt>
                <c:pt idx="1">
                  <c:v>0.28377000000000002</c:v>
                </c:pt>
                <c:pt idx="2">
                  <c:v>-0.10286000000000001</c:v>
                </c:pt>
                <c:pt idx="3">
                  <c:v>0.42163</c:v>
                </c:pt>
                <c:pt idx="4">
                  <c:v>3.0859999999999999E-2</c:v>
                </c:pt>
                <c:pt idx="5">
                  <c:v>-0.26457000000000003</c:v>
                </c:pt>
                <c:pt idx="6">
                  <c:v>0.65083000000000013</c:v>
                </c:pt>
                <c:pt idx="7">
                  <c:v>2.0257999999999998</c:v>
                </c:pt>
                <c:pt idx="8">
                  <c:v>-9.597E-2</c:v>
                </c:pt>
                <c:pt idx="9">
                  <c:v>-1.9755199999999999</c:v>
                </c:pt>
                <c:pt idx="10">
                  <c:v>-0.23470000000000002</c:v>
                </c:pt>
                <c:pt idx="11">
                  <c:v>2.6389500000000004</c:v>
                </c:pt>
              </c:numCache>
            </c:numRef>
          </c:xVal>
          <c:yVal>
            <c:numRef>
              <c:f>'МГК и ФА'!$CE$72:$CE$83</c:f>
              <c:numCache>
                <c:formatCode>General</c:formatCode>
                <c:ptCount val="12"/>
                <c:pt idx="0">
                  <c:v>-0.40831000000000006</c:v>
                </c:pt>
                <c:pt idx="1">
                  <c:v>-0.29338000000000009</c:v>
                </c:pt>
                <c:pt idx="2">
                  <c:v>0.18959000000000001</c:v>
                </c:pt>
                <c:pt idx="3">
                  <c:v>0.8761000000000001</c:v>
                </c:pt>
                <c:pt idx="4">
                  <c:v>-0.26472999999999997</c:v>
                </c:pt>
                <c:pt idx="5">
                  <c:v>-0.13340000000000002</c:v>
                </c:pt>
                <c:pt idx="6">
                  <c:v>-0.24948000000000004</c:v>
                </c:pt>
                <c:pt idx="7">
                  <c:v>0.10603000000000001</c:v>
                </c:pt>
                <c:pt idx="8">
                  <c:v>0.78450999999999993</c:v>
                </c:pt>
                <c:pt idx="9">
                  <c:v>4.0479999999999995E-2</c:v>
                </c:pt>
                <c:pt idx="10">
                  <c:v>-0.33383000000000007</c:v>
                </c:pt>
                <c:pt idx="11">
                  <c:v>-1.01142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E3-473B-AD75-7F854035A067}"/>
            </c:ext>
          </c:extLst>
        </c:ser>
        <c:ser>
          <c:idx val="5"/>
          <c:order val="5"/>
          <c:tx>
            <c:v>класс 6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ФА'!$CD$84:$CD$85</c:f>
              <c:numCache>
                <c:formatCode>General</c:formatCode>
                <c:ptCount val="2"/>
                <c:pt idx="0">
                  <c:v>3.1473</c:v>
                </c:pt>
                <c:pt idx="1">
                  <c:v>-8.9029999999999998E-2</c:v>
                </c:pt>
              </c:numCache>
            </c:numRef>
          </c:xVal>
          <c:yVal>
            <c:numRef>
              <c:f>'МГК и ФА'!$CE$84:$CE$85</c:f>
              <c:numCache>
                <c:formatCode>General</c:formatCode>
                <c:ptCount val="2"/>
                <c:pt idx="0">
                  <c:v>-0.16088</c:v>
                </c:pt>
                <c:pt idx="1">
                  <c:v>-0.38491000000000009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E3-473B-AD75-7F854035A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32511"/>
        <c:axId val="387480191"/>
      </c:scatterChart>
      <c:valAx>
        <c:axId val="25003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480191"/>
        <c:crosses val="autoZero"/>
        <c:crossBetween val="midCat"/>
      </c:valAx>
      <c:valAx>
        <c:axId val="3874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03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средних значений по методу Уорда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Уорд!$O$3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Уорд!$P$2:$X$2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Уорд!$P$3:$X$3</c:f>
              <c:numCache>
                <c:formatCode>0.000</c:formatCode>
                <c:ptCount val="9"/>
                <c:pt idx="0">
                  <c:v>-0.75310087162500006</c:v>
                </c:pt>
                <c:pt idx="1">
                  <c:v>-0.88247965000000006</c:v>
                </c:pt>
                <c:pt idx="2">
                  <c:v>0.17515717187500002</c:v>
                </c:pt>
                <c:pt idx="3">
                  <c:v>2.12604318125</c:v>
                </c:pt>
                <c:pt idx="4">
                  <c:v>-0.54678664943749999</c:v>
                </c:pt>
                <c:pt idx="5">
                  <c:v>-0.53349418662500014</c:v>
                </c:pt>
                <c:pt idx="6">
                  <c:v>2.4241274725000004</c:v>
                </c:pt>
                <c:pt idx="7">
                  <c:v>-0.78540560083750011</c:v>
                </c:pt>
                <c:pt idx="8">
                  <c:v>-0.14656659775000003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B-4ABB-A361-015BD7E6ED60}"/>
            </c:ext>
          </c:extLst>
        </c:ser>
        <c:ser>
          <c:idx val="1"/>
          <c:order val="1"/>
          <c:tx>
            <c:strRef>
              <c:f>Уорд!$O$4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Уорд!$P$2:$X$2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Уорд!$P$4:$X$4</c:f>
              <c:numCache>
                <c:formatCode>0.000</c:formatCode>
                <c:ptCount val="9"/>
                <c:pt idx="0">
                  <c:v>1.0692589622500002</c:v>
                </c:pt>
                <c:pt idx="1">
                  <c:v>0.57131198410000006</c:v>
                </c:pt>
                <c:pt idx="2">
                  <c:v>4.9769384500000027E-3</c:v>
                </c:pt>
                <c:pt idx="3">
                  <c:v>-0.97143232856250017</c:v>
                </c:pt>
                <c:pt idx="4">
                  <c:v>-0.32204341712500001</c:v>
                </c:pt>
                <c:pt idx="5">
                  <c:v>-0.36641284483875003</c:v>
                </c:pt>
                <c:pt idx="6">
                  <c:v>-0.63465251362499997</c:v>
                </c:pt>
                <c:pt idx="7">
                  <c:v>-4.7594500624999994E-2</c:v>
                </c:pt>
                <c:pt idx="8">
                  <c:v>-0.41354085421875009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B-4ABB-A361-015BD7E6ED60}"/>
            </c:ext>
          </c:extLst>
        </c:ser>
        <c:ser>
          <c:idx val="2"/>
          <c:order val="2"/>
          <c:tx>
            <c:strRef>
              <c:f>Уорд!$O$5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Уорд!$P$2:$X$2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Уорд!$P$5:$X$5</c:f>
              <c:numCache>
                <c:formatCode>0.000</c:formatCode>
                <c:ptCount val="9"/>
                <c:pt idx="0">
                  <c:v>-0.48542945999999992</c:v>
                </c:pt>
                <c:pt idx="1">
                  <c:v>1.2654259240000001</c:v>
                </c:pt>
                <c:pt idx="2">
                  <c:v>-0.73552086950000006</c:v>
                </c:pt>
                <c:pt idx="3">
                  <c:v>1.0456777235000001</c:v>
                </c:pt>
                <c:pt idx="4">
                  <c:v>4.3777069549999998</c:v>
                </c:pt>
                <c:pt idx="5">
                  <c:v>3.5019666250000001</c:v>
                </c:pt>
                <c:pt idx="6">
                  <c:v>1.8978305455</c:v>
                </c:pt>
                <c:pt idx="7">
                  <c:v>-0.64512707400000002</c:v>
                </c:pt>
                <c:pt idx="8">
                  <c:v>3.8341421150000001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B-4ABB-A361-015BD7E6ED60}"/>
            </c:ext>
          </c:extLst>
        </c:ser>
        <c:ser>
          <c:idx val="3"/>
          <c:order val="3"/>
          <c:tx>
            <c:strRef>
              <c:f>Уорд!$O$6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Уорд!$P$2:$X$2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Уорд!$P$6:$X$6</c:f>
              <c:numCache>
                <c:formatCode>0.000</c:formatCode>
                <c:ptCount val="9"/>
                <c:pt idx="0">
                  <c:v>0.66859165835294121</c:v>
                </c:pt>
                <c:pt idx="1">
                  <c:v>2.4590399176470492E-3</c:v>
                </c:pt>
                <c:pt idx="2">
                  <c:v>-0.56650615770588231</c:v>
                </c:pt>
                <c:pt idx="3">
                  <c:v>-0.10266792899411771</c:v>
                </c:pt>
                <c:pt idx="4">
                  <c:v>0.65663176692941172</c:v>
                </c:pt>
                <c:pt idx="5">
                  <c:v>0.8472714252329413</c:v>
                </c:pt>
                <c:pt idx="6">
                  <c:v>-0.19748338063764706</c:v>
                </c:pt>
                <c:pt idx="7">
                  <c:v>-0.47565030090588228</c:v>
                </c:pt>
                <c:pt idx="8">
                  <c:v>0.61864266844829408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EB-4ABB-A361-015BD7E6ED60}"/>
            </c:ext>
          </c:extLst>
        </c:ser>
        <c:ser>
          <c:idx val="4"/>
          <c:order val="4"/>
          <c:tx>
            <c:strRef>
              <c:f>Уорд!$O$7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Уорд!$P$2:$X$2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Уорд!$P$7:$X$7</c:f>
              <c:numCache>
                <c:formatCode>0.000</c:formatCode>
                <c:ptCount val="9"/>
                <c:pt idx="0">
                  <c:v>-0.75943046194074082</c:v>
                </c:pt>
                <c:pt idx="1">
                  <c:v>-0.36009008060037045</c:v>
                </c:pt>
                <c:pt idx="2">
                  <c:v>-0.25846499044074078</c:v>
                </c:pt>
                <c:pt idx="3">
                  <c:v>9.5002021831851843E-2</c:v>
                </c:pt>
                <c:pt idx="4">
                  <c:v>-0.1179056210462963</c:v>
                </c:pt>
                <c:pt idx="5">
                  <c:v>-0.16106860006370372</c:v>
                </c:pt>
                <c:pt idx="6">
                  <c:v>-0.13075787863592594</c:v>
                </c:pt>
                <c:pt idx="7">
                  <c:v>-8.7609849445925925E-2</c:v>
                </c:pt>
                <c:pt idx="8">
                  <c:v>-7.4258789265185213E-2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EB-4ABB-A361-015BD7E6ED60}"/>
            </c:ext>
          </c:extLst>
        </c:ser>
        <c:ser>
          <c:idx val="5"/>
          <c:order val="5"/>
          <c:tx>
            <c:strRef>
              <c:f>Уорд!$O$8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Уорд!$P$2:$X$2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Уорд!$P$8:$X$8</c:f>
              <c:numCache>
                <c:formatCode>0.000</c:formatCode>
                <c:ptCount val="9"/>
                <c:pt idx="0">
                  <c:v>-6.956522900000002E-2</c:v>
                </c:pt>
                <c:pt idx="1">
                  <c:v>0.36204443702857153</c:v>
                </c:pt>
                <c:pt idx="2">
                  <c:v>1.1856651981428572</c:v>
                </c:pt>
                <c:pt idx="3">
                  <c:v>-0.3126059595857143</c:v>
                </c:pt>
                <c:pt idx="4">
                  <c:v>-0.51483673711428579</c:v>
                </c:pt>
                <c:pt idx="5">
                  <c:v>-0.49486687535714291</c:v>
                </c:pt>
                <c:pt idx="6">
                  <c:v>-0.43904003274285719</c:v>
                </c:pt>
                <c:pt idx="7">
                  <c:v>1.3418951446928573</c:v>
                </c:pt>
                <c:pt idx="8">
                  <c:v>-0.5993597017857144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EB-4ABB-A361-015BD7E6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08815"/>
        <c:axId val="872407567"/>
      </c:lineChart>
      <c:catAx>
        <c:axId val="87240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407567"/>
        <c:crosses val="autoZero"/>
        <c:auto val="1"/>
        <c:lblAlgn val="ctr"/>
        <c:lblOffset val="100"/>
        <c:noMultiLvlLbl val="0"/>
      </c:catAx>
      <c:valAx>
        <c:axId val="8724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40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МГК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Класс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'МГК и ФА'!$CI$1:$CI$24</c:f>
              <c:strCache>
                <c:ptCount val="24"/>
                <c:pt idx="0">
                  <c:v>ГК 1</c:v>
                </c:pt>
                <c:pt idx="1">
                  <c:v>-0,45382</c:v>
                </c:pt>
                <c:pt idx="2">
                  <c:v>-0,24661</c:v>
                </c:pt>
                <c:pt idx="3">
                  <c:v>-0,71287</c:v>
                </c:pt>
                <c:pt idx="4">
                  <c:v>-1,03372</c:v>
                </c:pt>
                <c:pt idx="5">
                  <c:v>-1,12363</c:v>
                </c:pt>
                <c:pt idx="6">
                  <c:v>-0,95307</c:v>
                </c:pt>
                <c:pt idx="7">
                  <c:v>-0,12213</c:v>
                </c:pt>
                <c:pt idx="8">
                  <c:v>-0,63229</c:v>
                </c:pt>
                <c:pt idx="9">
                  <c:v>-0,53559</c:v>
                </c:pt>
                <c:pt idx="10">
                  <c:v>-0,84964</c:v>
                </c:pt>
                <c:pt idx="11">
                  <c:v>-0,99744</c:v>
                </c:pt>
                <c:pt idx="12">
                  <c:v>-1,12927</c:v>
                </c:pt>
                <c:pt idx="13">
                  <c:v>-2,57857</c:v>
                </c:pt>
                <c:pt idx="14">
                  <c:v>-1,24876</c:v>
                </c:pt>
                <c:pt idx="15">
                  <c:v>-0,82073</c:v>
                </c:pt>
                <c:pt idx="16">
                  <c:v>-1,02545</c:v>
                </c:pt>
                <c:pt idx="17">
                  <c:v>-0,76123</c:v>
                </c:pt>
                <c:pt idx="18">
                  <c:v>-0,93780</c:v>
                </c:pt>
                <c:pt idx="19">
                  <c:v>-1,41395</c:v>
                </c:pt>
                <c:pt idx="20">
                  <c:v>-0,33211</c:v>
                </c:pt>
                <c:pt idx="21">
                  <c:v>-0,20560</c:v>
                </c:pt>
                <c:pt idx="22">
                  <c:v>-0,91517</c:v>
                </c:pt>
                <c:pt idx="23">
                  <c:v>-0,72519</c:v>
                </c:pt>
              </c:strCache>
            </c:strRef>
          </c:xVal>
          <c:yVal>
            <c:numRef>
              <c:f>'МГК и ФА'!$CJ$1:$CJ$24</c:f>
              <c:numCache>
                <c:formatCode>0.00000</c:formatCode>
                <c:ptCount val="24"/>
                <c:pt idx="0" formatCode="General">
                  <c:v>0</c:v>
                </c:pt>
                <c:pt idx="1">
                  <c:v>0.1406067175712564</c:v>
                </c:pt>
                <c:pt idx="2">
                  <c:v>0.55887832602816589</c:v>
                </c:pt>
                <c:pt idx="3">
                  <c:v>0.74803718606105185</c:v>
                </c:pt>
                <c:pt idx="4">
                  <c:v>0.19895696132898522</c:v>
                </c:pt>
                <c:pt idx="5">
                  <c:v>0.7756887293156608</c:v>
                </c:pt>
                <c:pt idx="6">
                  <c:v>0.19932319917675709</c:v>
                </c:pt>
                <c:pt idx="7">
                  <c:v>0.67138208743299133</c:v>
                </c:pt>
                <c:pt idx="8">
                  <c:v>-3.6711754820950154E-2</c:v>
                </c:pt>
                <c:pt idx="9">
                  <c:v>0.26146422268170821</c:v>
                </c:pt>
                <c:pt idx="10">
                  <c:v>-0.4126141810854681</c:v>
                </c:pt>
                <c:pt idx="11">
                  <c:v>0.22426554636965412</c:v>
                </c:pt>
                <c:pt idx="12">
                  <c:v>1.5028990490382081</c:v>
                </c:pt>
                <c:pt idx="13">
                  <c:v>1.9739397164118095</c:v>
                </c:pt>
                <c:pt idx="14">
                  <c:v>-0.19687682640737933</c:v>
                </c:pt>
                <c:pt idx="15">
                  <c:v>1.0096285474269118</c:v>
                </c:pt>
                <c:pt idx="16">
                  <c:v>-0.28548174574471535</c:v>
                </c:pt>
                <c:pt idx="17">
                  <c:v>0.47200246922534045</c:v>
                </c:pt>
                <c:pt idx="18">
                  <c:v>0.17086698406252218</c:v>
                </c:pt>
                <c:pt idx="19">
                  <c:v>-0.29572258336795737</c:v>
                </c:pt>
                <c:pt idx="20">
                  <c:v>0.12552322826749052</c:v>
                </c:pt>
                <c:pt idx="21">
                  <c:v>0.24229698766122199</c:v>
                </c:pt>
                <c:pt idx="22">
                  <c:v>0.81195283894267822</c:v>
                </c:pt>
                <c:pt idx="23">
                  <c:v>0.3238663271064936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7-4C18-8D61-E75B6D99F6BC}"/>
            </c:ext>
          </c:extLst>
        </c:ser>
        <c:ser>
          <c:idx val="1"/>
          <c:order val="1"/>
          <c:tx>
            <c:v>Класс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ФА'!$CI$26:$CI$30</c:f>
              <c:numCache>
                <c:formatCode>0.00000</c:formatCode>
                <c:ptCount val="5"/>
                <c:pt idx="0">
                  <c:v>-0.12373275751270651</c:v>
                </c:pt>
                <c:pt idx="1">
                  <c:v>-0.37087827546333718</c:v>
                </c:pt>
                <c:pt idx="2">
                  <c:v>0.25347253807895676</c:v>
                </c:pt>
                <c:pt idx="3">
                  <c:v>-0.51279440621154393</c:v>
                </c:pt>
                <c:pt idx="4">
                  <c:v>-3.9211966847335744E-2</c:v>
                </c:pt>
              </c:numCache>
            </c:numRef>
          </c:xVal>
          <c:yVal>
            <c:numRef>
              <c:f>'МГК и ФА'!$CJ$26:$CJ$30</c:f>
              <c:numCache>
                <c:formatCode>0.00000</c:formatCode>
                <c:ptCount val="5"/>
                <c:pt idx="0">
                  <c:v>-0.37419270560537177</c:v>
                </c:pt>
                <c:pt idx="1">
                  <c:v>-1.5215214439673252</c:v>
                </c:pt>
                <c:pt idx="2">
                  <c:v>-0.74512044153099644</c:v>
                </c:pt>
                <c:pt idx="3">
                  <c:v>-0.3777045991724946</c:v>
                </c:pt>
                <c:pt idx="4">
                  <c:v>-0.45473315175147266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7-4C18-8D61-E75B6D99F6BC}"/>
            </c:ext>
          </c:extLst>
        </c:ser>
        <c:ser>
          <c:idx val="2"/>
          <c:order val="2"/>
          <c:tx>
            <c:v>Класс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ФА'!$CI$31:$CI$38</c:f>
              <c:numCache>
                <c:formatCode>0.00000</c:formatCode>
                <c:ptCount val="8"/>
                <c:pt idx="0">
                  <c:v>0.83515241087902459</c:v>
                </c:pt>
                <c:pt idx="1">
                  <c:v>1.3427118487526655</c:v>
                </c:pt>
                <c:pt idx="2">
                  <c:v>0.77969586727480056</c:v>
                </c:pt>
                <c:pt idx="3">
                  <c:v>1.0516483442580258</c:v>
                </c:pt>
                <c:pt idx="4">
                  <c:v>1.2630330246509991</c:v>
                </c:pt>
                <c:pt idx="5">
                  <c:v>1.4547738298003259</c:v>
                </c:pt>
                <c:pt idx="6">
                  <c:v>1.207500458842643</c:v>
                </c:pt>
                <c:pt idx="7">
                  <c:v>1.8519577028092515</c:v>
                </c:pt>
              </c:numCache>
            </c:numRef>
          </c:xVal>
          <c:yVal>
            <c:numRef>
              <c:f>'МГК и ФА'!$CJ$31:$CJ$38</c:f>
              <c:numCache>
                <c:formatCode>0.00000</c:formatCode>
                <c:ptCount val="8"/>
                <c:pt idx="0">
                  <c:v>-2.0048492791874573</c:v>
                </c:pt>
                <c:pt idx="1">
                  <c:v>-2.5000966528853699</c:v>
                </c:pt>
                <c:pt idx="2">
                  <c:v>-1.7895749805900687</c:v>
                </c:pt>
                <c:pt idx="3">
                  <c:v>-1.2563485133534897</c:v>
                </c:pt>
                <c:pt idx="4">
                  <c:v>-1.6117585949491351</c:v>
                </c:pt>
                <c:pt idx="5">
                  <c:v>-0.9229060546623441</c:v>
                </c:pt>
                <c:pt idx="6">
                  <c:v>-2.7419796543657977</c:v>
                </c:pt>
                <c:pt idx="7">
                  <c:v>-1.5444107482984073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7-4C18-8D61-E75B6D99F6BC}"/>
            </c:ext>
          </c:extLst>
        </c:ser>
        <c:ser>
          <c:idx val="3"/>
          <c:order val="3"/>
          <c:tx>
            <c:v>Класс 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ФА'!$CI$39:$CI$53</c:f>
              <c:numCache>
                <c:formatCode>0.00000</c:formatCode>
                <c:ptCount val="15"/>
                <c:pt idx="0">
                  <c:v>0.54956734188769396</c:v>
                </c:pt>
                <c:pt idx="1">
                  <c:v>9.2910548556283681E-2</c:v>
                </c:pt>
                <c:pt idx="2">
                  <c:v>2.1114207833418847E-2</c:v>
                </c:pt>
                <c:pt idx="3">
                  <c:v>0.99117733961336074</c:v>
                </c:pt>
                <c:pt idx="4">
                  <c:v>3.2488353767908791</c:v>
                </c:pt>
                <c:pt idx="5">
                  <c:v>0.3625082007930116</c:v>
                </c:pt>
                <c:pt idx="6">
                  <c:v>0.75087772297068511</c:v>
                </c:pt>
                <c:pt idx="7">
                  <c:v>0.16969776162509348</c:v>
                </c:pt>
                <c:pt idx="8">
                  <c:v>1.4341881059576949</c:v>
                </c:pt>
                <c:pt idx="9">
                  <c:v>0.50471224770224676</c:v>
                </c:pt>
                <c:pt idx="10">
                  <c:v>0.38192584864448798</c:v>
                </c:pt>
                <c:pt idx="11">
                  <c:v>1.9225482032011199</c:v>
                </c:pt>
                <c:pt idx="12">
                  <c:v>7.0736769437563504E-2</c:v>
                </c:pt>
                <c:pt idx="13">
                  <c:v>0.15076936481568043</c:v>
                </c:pt>
                <c:pt idx="14">
                  <c:v>0.95017992838704834</c:v>
                </c:pt>
              </c:numCache>
            </c:numRef>
          </c:xVal>
          <c:yVal>
            <c:numRef>
              <c:f>'МГК и ФА'!$CJ$39:$CJ$53</c:f>
              <c:numCache>
                <c:formatCode>0.00000</c:formatCode>
                <c:ptCount val="15"/>
                <c:pt idx="0">
                  <c:v>1.345013006803121</c:v>
                </c:pt>
                <c:pt idx="1">
                  <c:v>0.61711236088415244</c:v>
                </c:pt>
                <c:pt idx="2">
                  <c:v>0.33185936800214466</c:v>
                </c:pt>
                <c:pt idx="3">
                  <c:v>2.0882362408117352</c:v>
                </c:pt>
                <c:pt idx="4">
                  <c:v>2.4658023062022982</c:v>
                </c:pt>
                <c:pt idx="5">
                  <c:v>0.32542452430306057</c:v>
                </c:pt>
                <c:pt idx="6">
                  <c:v>0.284518146266525</c:v>
                </c:pt>
                <c:pt idx="7">
                  <c:v>0.80167679796189062</c:v>
                </c:pt>
                <c:pt idx="8">
                  <c:v>2.161038063750881</c:v>
                </c:pt>
                <c:pt idx="9">
                  <c:v>1.1791100835715962</c:v>
                </c:pt>
                <c:pt idx="10">
                  <c:v>0.95067573213328405</c:v>
                </c:pt>
                <c:pt idx="11">
                  <c:v>0.19540940161061801</c:v>
                </c:pt>
                <c:pt idx="12">
                  <c:v>1.0526493771490244</c:v>
                </c:pt>
                <c:pt idx="13">
                  <c:v>0.25267007267107311</c:v>
                </c:pt>
                <c:pt idx="14">
                  <c:v>0.75903846068162117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F7-4C18-8D61-E75B6D99F6BC}"/>
            </c:ext>
          </c:extLst>
        </c:ser>
        <c:ser>
          <c:idx val="4"/>
          <c:order val="4"/>
          <c:tx>
            <c:v>Класс 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ФА'!$CI$54:$CI$84</c:f>
              <c:numCache>
                <c:formatCode>0.00000</c:formatCode>
                <c:ptCount val="31"/>
                <c:pt idx="0">
                  <c:v>0.31487910497791727</c:v>
                </c:pt>
                <c:pt idx="1">
                  <c:v>-0.13614383828314655</c:v>
                </c:pt>
                <c:pt idx="2">
                  <c:v>0.2353977000536992</c:v>
                </c:pt>
                <c:pt idx="3">
                  <c:v>-0.44316822585800819</c:v>
                </c:pt>
                <c:pt idx="4">
                  <c:v>0.13029648603905444</c:v>
                </c:pt>
                <c:pt idx="5">
                  <c:v>-0.82992785060055119</c:v>
                </c:pt>
                <c:pt idx="6">
                  <c:v>5.6630355757248001E-2</c:v>
                </c:pt>
                <c:pt idx="7">
                  <c:v>-0.83243682646702744</c:v>
                </c:pt>
                <c:pt idx="8">
                  <c:v>-0.53732615886278245</c:v>
                </c:pt>
                <c:pt idx="9">
                  <c:v>0.744261293994261</c:v>
                </c:pt>
                <c:pt idx="10">
                  <c:v>-5.9127238767861384E-2</c:v>
                </c:pt>
                <c:pt idx="11">
                  <c:v>-0.43793553770023014</c:v>
                </c:pt>
                <c:pt idx="12">
                  <c:v>-0.47224168753713147</c:v>
                </c:pt>
                <c:pt idx="13">
                  <c:v>0.59186605717887009</c:v>
                </c:pt>
                <c:pt idx="14">
                  <c:v>0.11784038726282435</c:v>
                </c:pt>
                <c:pt idx="15">
                  <c:v>-4.8555712137070377E-2</c:v>
                </c:pt>
                <c:pt idx="16">
                  <c:v>0.30561908669063659</c:v>
                </c:pt>
                <c:pt idx="17">
                  <c:v>-1.5241183555249409</c:v>
                </c:pt>
                <c:pt idx="18">
                  <c:v>-0.65128035231628534</c:v>
                </c:pt>
                <c:pt idx="19">
                  <c:v>-0.29788161391669776</c:v>
                </c:pt>
                <c:pt idx="20">
                  <c:v>0.32014076197858876</c:v>
                </c:pt>
                <c:pt idx="21">
                  <c:v>-0.99674455503673365</c:v>
                </c:pt>
                <c:pt idx="22">
                  <c:v>1.1610158884903476</c:v>
                </c:pt>
                <c:pt idx="23">
                  <c:v>-0.2674957311388067</c:v>
                </c:pt>
                <c:pt idx="24">
                  <c:v>-0.12413653824004578</c:v>
                </c:pt>
                <c:pt idx="25">
                  <c:v>0.22775094727323869</c:v>
                </c:pt>
                <c:pt idx="26">
                  <c:v>-0.16351862231155986</c:v>
                </c:pt>
                <c:pt idx="27">
                  <c:v>-0.14824621074977959</c:v>
                </c:pt>
                <c:pt idx="28">
                  <c:v>0.54814525741938513</c:v>
                </c:pt>
                <c:pt idx="29">
                  <c:v>0.605509288233405</c:v>
                </c:pt>
                <c:pt idx="30">
                  <c:v>-0.42598939160003141</c:v>
                </c:pt>
              </c:numCache>
            </c:numRef>
          </c:xVal>
          <c:yVal>
            <c:numRef>
              <c:f>'МГК и ФА'!$CJ$54:$CJ$84</c:f>
              <c:numCache>
                <c:formatCode>0.00000</c:formatCode>
                <c:ptCount val="31"/>
                <c:pt idx="0">
                  <c:v>0.27717479857018701</c:v>
                </c:pt>
                <c:pt idx="1">
                  <c:v>-1.0318367031366553</c:v>
                </c:pt>
                <c:pt idx="2">
                  <c:v>-0.7437048566733222</c:v>
                </c:pt>
                <c:pt idx="3">
                  <c:v>-0.57811526202185071</c:v>
                </c:pt>
                <c:pt idx="4">
                  <c:v>-0.45858727837088781</c:v>
                </c:pt>
                <c:pt idx="5">
                  <c:v>-0.72568069932029255</c:v>
                </c:pt>
                <c:pt idx="6">
                  <c:v>0.11045861529005846</c:v>
                </c:pt>
                <c:pt idx="7">
                  <c:v>-0.37899252472610234</c:v>
                </c:pt>
                <c:pt idx="8">
                  <c:v>-0.70069206906462911</c:v>
                </c:pt>
                <c:pt idx="9">
                  <c:v>-4.292699226516633E-2</c:v>
                </c:pt>
                <c:pt idx="10">
                  <c:v>-0.49287047364693615</c:v>
                </c:pt>
                <c:pt idx="11">
                  <c:v>-0.12976085990879424</c:v>
                </c:pt>
                <c:pt idx="12">
                  <c:v>-0.35353861553225002</c:v>
                </c:pt>
                <c:pt idx="13">
                  <c:v>-0.27484254626323917</c:v>
                </c:pt>
                <c:pt idx="14">
                  <c:v>-0.19242814979095843</c:v>
                </c:pt>
                <c:pt idx="15">
                  <c:v>0.21406479878870677</c:v>
                </c:pt>
                <c:pt idx="16">
                  <c:v>0.29554761095456156</c:v>
                </c:pt>
                <c:pt idx="17">
                  <c:v>-0.83005765926504826</c:v>
                </c:pt>
                <c:pt idx="18">
                  <c:v>-0.14495052678642351</c:v>
                </c:pt>
                <c:pt idx="19">
                  <c:v>-0.75593902469895136</c:v>
                </c:pt>
                <c:pt idx="20">
                  <c:v>-1.1190718715909549</c:v>
                </c:pt>
                <c:pt idx="21">
                  <c:v>-0.62645314821502851</c:v>
                </c:pt>
                <c:pt idx="22">
                  <c:v>0.21047329433474243</c:v>
                </c:pt>
                <c:pt idx="23">
                  <c:v>-0.27727710951001838</c:v>
                </c:pt>
                <c:pt idx="24">
                  <c:v>-0.52790350300205502</c:v>
                </c:pt>
                <c:pt idx="25">
                  <c:v>-0.69642572319985852</c:v>
                </c:pt>
                <c:pt idx="26">
                  <c:v>-0.23159466896528591</c:v>
                </c:pt>
                <c:pt idx="27">
                  <c:v>1.6283985682877478E-2</c:v>
                </c:pt>
                <c:pt idx="28">
                  <c:v>-0.732693321291644</c:v>
                </c:pt>
                <c:pt idx="29">
                  <c:v>0.57568127794030155</c:v>
                </c:pt>
                <c:pt idx="30">
                  <c:v>-6.9064857570127342E-2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F7-4C18-8D61-E75B6D99F6BC}"/>
            </c:ext>
          </c:extLst>
        </c:ser>
        <c:ser>
          <c:idx val="5"/>
          <c:order val="5"/>
          <c:tx>
            <c:v>Класс 6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ФА'!$CI$85</c:f>
              <c:numCache>
                <c:formatCode>0.00000</c:formatCode>
                <c:ptCount val="1"/>
                <c:pt idx="0">
                  <c:v>3.8561089628134808</c:v>
                </c:pt>
              </c:numCache>
            </c:numRef>
          </c:xVal>
          <c:yVal>
            <c:numRef>
              <c:f>'МГК и ФА'!$CJ$85</c:f>
              <c:numCache>
                <c:formatCode>0.00000</c:formatCode>
                <c:ptCount val="1"/>
                <c:pt idx="0">
                  <c:v>2.4828261942325693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F7-4C18-8D61-E75B6D99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565775"/>
        <c:axId val="1338562447"/>
      </c:scatterChart>
      <c:valAx>
        <c:axId val="133856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8562447"/>
        <c:crosses val="autoZero"/>
        <c:crossBetween val="midCat"/>
      </c:valAx>
      <c:valAx>
        <c:axId val="13385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856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МГФ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Класс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ФА'!$CN$2:$CN$25</c:f>
              <c:numCache>
                <c:formatCode>General</c:formatCode>
                <c:ptCount val="24"/>
                <c:pt idx="0">
                  <c:v>-0.27215</c:v>
                </c:pt>
                <c:pt idx="1">
                  <c:v>-0.49475999999999998</c:v>
                </c:pt>
                <c:pt idx="2">
                  <c:v>-0.77102999999999999</c:v>
                </c:pt>
                <c:pt idx="3">
                  <c:v>-0.77775000000000005</c:v>
                </c:pt>
                <c:pt idx="4">
                  <c:v>-1.2376800000000001</c:v>
                </c:pt>
                <c:pt idx="5">
                  <c:v>-0.88119999999999998</c:v>
                </c:pt>
                <c:pt idx="6">
                  <c:v>-4.2010000000000006E-2</c:v>
                </c:pt>
                <c:pt idx="7">
                  <c:v>-0.39466000000000001</c:v>
                </c:pt>
                <c:pt idx="8">
                  <c:v>-0.48174</c:v>
                </c:pt>
                <c:pt idx="9">
                  <c:v>-0.40191000000000004</c:v>
                </c:pt>
                <c:pt idx="10">
                  <c:v>-0.76722000000000001</c:v>
                </c:pt>
                <c:pt idx="11">
                  <c:v>-1.7160299999999999</c:v>
                </c:pt>
                <c:pt idx="12">
                  <c:v>-2.4865599999999999</c:v>
                </c:pt>
                <c:pt idx="13">
                  <c:v>-0.28801000000000004</c:v>
                </c:pt>
                <c:pt idx="14">
                  <c:v>-1.3916299999999999</c:v>
                </c:pt>
                <c:pt idx="15">
                  <c:v>-0.53047999999999995</c:v>
                </c:pt>
                <c:pt idx="16">
                  <c:v>-0.68134000000000006</c:v>
                </c:pt>
                <c:pt idx="17">
                  <c:v>-0.77271000000000001</c:v>
                </c:pt>
                <c:pt idx="18">
                  <c:v>-0.27686000000000005</c:v>
                </c:pt>
                <c:pt idx="19">
                  <c:v>-0.26587000000000005</c:v>
                </c:pt>
                <c:pt idx="20">
                  <c:v>-0.38332000000000011</c:v>
                </c:pt>
                <c:pt idx="21">
                  <c:v>-1.3698000000000001</c:v>
                </c:pt>
                <c:pt idx="22">
                  <c:v>-0.65169000000000021</c:v>
                </c:pt>
                <c:pt idx="23">
                  <c:v>-1.9755199999999999</c:v>
                </c:pt>
              </c:numCache>
            </c:numRef>
          </c:xVal>
          <c:yVal>
            <c:numRef>
              <c:f>'МГК и ФА'!$CO$2:$CO$25</c:f>
              <c:numCache>
                <c:formatCode>General</c:formatCode>
                <c:ptCount val="24"/>
                <c:pt idx="0">
                  <c:v>-0.18746000000000002</c:v>
                </c:pt>
                <c:pt idx="1">
                  <c:v>4.2800000000000005E-2</c:v>
                </c:pt>
                <c:pt idx="2">
                  <c:v>2.7200000000000002E-3</c:v>
                </c:pt>
                <c:pt idx="3">
                  <c:v>-0.46984000000000004</c:v>
                </c:pt>
                <c:pt idx="4">
                  <c:v>-0.23866000000000001</c:v>
                </c:pt>
                <c:pt idx="5">
                  <c:v>-0.50312000000000001</c:v>
                </c:pt>
                <c:pt idx="6">
                  <c:v>0.17597000000000002</c:v>
                </c:pt>
                <c:pt idx="7">
                  <c:v>-0.45457000000000003</c:v>
                </c:pt>
                <c:pt idx="8">
                  <c:v>-0.21878000000000003</c:v>
                </c:pt>
                <c:pt idx="9">
                  <c:v>-0.67977000000000021</c:v>
                </c:pt>
                <c:pt idx="10">
                  <c:v>-0.45534000000000002</c:v>
                </c:pt>
                <c:pt idx="11">
                  <c:v>0.33411000000000007</c:v>
                </c:pt>
                <c:pt idx="12">
                  <c:v>-0.43007000000000006</c:v>
                </c:pt>
                <c:pt idx="13">
                  <c:v>-0.7896200000000001</c:v>
                </c:pt>
                <c:pt idx="14">
                  <c:v>0.14761000000000002</c:v>
                </c:pt>
                <c:pt idx="15">
                  <c:v>-0.73325000000000007</c:v>
                </c:pt>
                <c:pt idx="16">
                  <c:v>-0.15080000000000002</c:v>
                </c:pt>
                <c:pt idx="17">
                  <c:v>-0.41152000000000005</c:v>
                </c:pt>
                <c:pt idx="18">
                  <c:v>-0.86673000000000011</c:v>
                </c:pt>
                <c:pt idx="19">
                  <c:v>-0.19420000000000001</c:v>
                </c:pt>
                <c:pt idx="20">
                  <c:v>0.13881000000000002</c:v>
                </c:pt>
                <c:pt idx="21">
                  <c:v>-0.22654000000000002</c:v>
                </c:pt>
                <c:pt idx="22">
                  <c:v>-0.25786000000000003</c:v>
                </c:pt>
                <c:pt idx="23">
                  <c:v>4.0479999999999995E-2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3-49E0-B33C-77AA8193A45C}"/>
            </c:ext>
          </c:extLst>
        </c:ser>
        <c:ser>
          <c:idx val="1"/>
          <c:order val="1"/>
          <c:tx>
            <c:v>Класс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ФА'!$CN$26:$CN$30</c:f>
              <c:numCache>
                <c:formatCode>General</c:formatCode>
                <c:ptCount val="5"/>
                <c:pt idx="0">
                  <c:v>-0.20889000000000002</c:v>
                </c:pt>
                <c:pt idx="1">
                  <c:v>0.34099000000000002</c:v>
                </c:pt>
                <c:pt idx="2">
                  <c:v>0.35738000000000009</c:v>
                </c:pt>
                <c:pt idx="3">
                  <c:v>-0.30683000000000005</c:v>
                </c:pt>
                <c:pt idx="4">
                  <c:v>-8.9029999999999998E-2</c:v>
                </c:pt>
              </c:numCache>
            </c:numRef>
          </c:xVal>
          <c:yVal>
            <c:numRef>
              <c:f>'МГК и ФА'!$CO$26:$CO$30</c:f>
              <c:numCache>
                <c:formatCode>General</c:formatCode>
                <c:ptCount val="5"/>
                <c:pt idx="0">
                  <c:v>-0.36255000000000004</c:v>
                </c:pt>
                <c:pt idx="1">
                  <c:v>-1.0431300000000001</c:v>
                </c:pt>
                <c:pt idx="2">
                  <c:v>-0.37621000000000004</c:v>
                </c:pt>
                <c:pt idx="3">
                  <c:v>-0.45441000000000004</c:v>
                </c:pt>
                <c:pt idx="4">
                  <c:v>-0.38491000000000009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B3-49E0-B33C-77AA8193A45C}"/>
            </c:ext>
          </c:extLst>
        </c:ser>
        <c:ser>
          <c:idx val="2"/>
          <c:order val="2"/>
          <c:tx>
            <c:v>Класс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ФА'!$CN$31:$CN$38</c:f>
              <c:numCache>
                <c:formatCode>General</c:formatCode>
                <c:ptCount val="8"/>
                <c:pt idx="0">
                  <c:v>1.7328400000000002</c:v>
                </c:pt>
                <c:pt idx="1">
                  <c:v>2.4770400000000001</c:v>
                </c:pt>
                <c:pt idx="2">
                  <c:v>1.4858899999999999</c:v>
                </c:pt>
                <c:pt idx="3">
                  <c:v>1.57186</c:v>
                </c:pt>
                <c:pt idx="4">
                  <c:v>1.8784200000000002</c:v>
                </c:pt>
                <c:pt idx="5">
                  <c:v>2.0257999999999998</c:v>
                </c:pt>
                <c:pt idx="6">
                  <c:v>2.6389500000000004</c:v>
                </c:pt>
                <c:pt idx="7">
                  <c:v>3.1473</c:v>
                </c:pt>
              </c:numCache>
            </c:numRef>
          </c:xVal>
          <c:yVal>
            <c:numRef>
              <c:f>'МГК и ФА'!$CO$31:$CO$38</c:f>
              <c:numCache>
                <c:formatCode>General</c:formatCode>
                <c:ptCount val="8"/>
                <c:pt idx="0">
                  <c:v>-0.8220400000000001</c:v>
                </c:pt>
                <c:pt idx="1">
                  <c:v>-0.89207999999999998</c:v>
                </c:pt>
                <c:pt idx="2">
                  <c:v>-0.73268000000000011</c:v>
                </c:pt>
                <c:pt idx="3">
                  <c:v>-0.24538000000000001</c:v>
                </c:pt>
                <c:pt idx="4">
                  <c:v>-0.41471000000000002</c:v>
                </c:pt>
                <c:pt idx="5">
                  <c:v>0.10603000000000001</c:v>
                </c:pt>
                <c:pt idx="6">
                  <c:v>-1.01142</c:v>
                </c:pt>
                <c:pt idx="7">
                  <c:v>-0.16088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B3-49E0-B33C-77AA8193A45C}"/>
            </c:ext>
          </c:extLst>
        </c:ser>
        <c:ser>
          <c:idx val="3"/>
          <c:order val="3"/>
          <c:tx>
            <c:v>Класс 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ФА'!$CN$39:$CN$53</c:f>
              <c:numCache>
                <c:formatCode>General</c:formatCode>
                <c:ptCount val="15"/>
                <c:pt idx="0">
                  <c:v>-0.49468999999999996</c:v>
                </c:pt>
                <c:pt idx="1">
                  <c:v>-0.39745000000000003</c:v>
                </c:pt>
                <c:pt idx="2">
                  <c:v>-0.10676000000000002</c:v>
                </c:pt>
                <c:pt idx="3">
                  <c:v>-0.47765000000000002</c:v>
                </c:pt>
                <c:pt idx="4">
                  <c:v>0.66459000000000013</c:v>
                </c:pt>
                <c:pt idx="5">
                  <c:v>-0.11483</c:v>
                </c:pt>
                <c:pt idx="6">
                  <c:v>0.33506000000000008</c:v>
                </c:pt>
                <c:pt idx="7">
                  <c:v>-0.18694000000000002</c:v>
                </c:pt>
                <c:pt idx="8">
                  <c:v>-0.20050000000000001</c:v>
                </c:pt>
                <c:pt idx="9">
                  <c:v>-0.42329</c:v>
                </c:pt>
                <c:pt idx="10">
                  <c:v>-0.27778999999999998</c:v>
                </c:pt>
                <c:pt idx="11">
                  <c:v>1.2181299999999999</c:v>
                </c:pt>
                <c:pt idx="12">
                  <c:v>-0.60492000000000012</c:v>
                </c:pt>
                <c:pt idx="13">
                  <c:v>-0.10286000000000001</c:v>
                </c:pt>
                <c:pt idx="14">
                  <c:v>0.42163</c:v>
                </c:pt>
              </c:numCache>
            </c:numRef>
          </c:xVal>
          <c:yVal>
            <c:numRef>
              <c:f>'МГК и ФА'!$CO$39:$CO$53</c:f>
              <c:numCache>
                <c:formatCode>General</c:formatCode>
                <c:ptCount val="15"/>
                <c:pt idx="0">
                  <c:v>1.2204999999999999</c:v>
                </c:pt>
                <c:pt idx="1">
                  <c:v>0.37058000000000008</c:v>
                </c:pt>
                <c:pt idx="2">
                  <c:v>0.21414000000000002</c:v>
                </c:pt>
                <c:pt idx="3">
                  <c:v>2.1166700000000001</c:v>
                </c:pt>
                <c:pt idx="4">
                  <c:v>3.3225899999999999</c:v>
                </c:pt>
                <c:pt idx="5">
                  <c:v>0.50266</c:v>
                </c:pt>
                <c:pt idx="6">
                  <c:v>0.61020000000000008</c:v>
                </c:pt>
                <c:pt idx="7">
                  <c:v>0.65442000000000011</c:v>
                </c:pt>
                <c:pt idx="8">
                  <c:v>2.1512799999999999</c:v>
                </c:pt>
                <c:pt idx="9">
                  <c:v>1.1356200000000001</c:v>
                </c:pt>
                <c:pt idx="10">
                  <c:v>0.94073000000000007</c:v>
                </c:pt>
                <c:pt idx="11">
                  <c:v>1.2356400000000001</c:v>
                </c:pt>
                <c:pt idx="12">
                  <c:v>0.82543</c:v>
                </c:pt>
                <c:pt idx="13">
                  <c:v>0.18959000000000001</c:v>
                </c:pt>
                <c:pt idx="14">
                  <c:v>0.8761000000000001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B3-49E0-B33C-77AA8193A45C}"/>
            </c:ext>
          </c:extLst>
        </c:ser>
        <c:ser>
          <c:idx val="4"/>
          <c:order val="4"/>
          <c:tx>
            <c:v>Класс 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ФА'!$CN$54:$CN$84</c:f>
              <c:numCache>
                <c:formatCode>General</c:formatCode>
                <c:ptCount val="31"/>
                <c:pt idx="0">
                  <c:v>-0.22970000000000002</c:v>
                </c:pt>
                <c:pt idx="1">
                  <c:v>0.54157</c:v>
                </c:pt>
                <c:pt idx="2">
                  <c:v>0.66937000000000013</c:v>
                </c:pt>
                <c:pt idx="3">
                  <c:v>-1.193E-2</c:v>
                </c:pt>
                <c:pt idx="4">
                  <c:v>0.32751000000000008</c:v>
                </c:pt>
                <c:pt idx="5">
                  <c:v>-0.12827</c:v>
                </c:pt>
                <c:pt idx="6">
                  <c:v>-3.0219999999999997E-2</c:v>
                </c:pt>
                <c:pt idx="7">
                  <c:v>-0.26874999999999999</c:v>
                </c:pt>
                <c:pt idx="8">
                  <c:v>-0.23275000000000001</c:v>
                </c:pt>
                <c:pt idx="9">
                  <c:v>0.45074999999999998</c:v>
                </c:pt>
                <c:pt idx="10">
                  <c:v>-2.2209999999999997E-2</c:v>
                </c:pt>
                <c:pt idx="11">
                  <c:v>-0.33123000000000002</c:v>
                </c:pt>
                <c:pt idx="12">
                  <c:v>-0.21897000000000003</c:v>
                </c:pt>
                <c:pt idx="13">
                  <c:v>0.41580000000000006</c:v>
                </c:pt>
                <c:pt idx="14">
                  <c:v>-3.7600000000000001E-2</c:v>
                </c:pt>
                <c:pt idx="15">
                  <c:v>-0.13754000000000002</c:v>
                </c:pt>
                <c:pt idx="16">
                  <c:v>5.679E-2</c:v>
                </c:pt>
                <c:pt idx="17">
                  <c:v>-0.55001</c:v>
                </c:pt>
                <c:pt idx="18">
                  <c:v>-0.30474000000000001</c:v>
                </c:pt>
                <c:pt idx="19">
                  <c:v>0.41909000000000002</c:v>
                </c:pt>
                <c:pt idx="20">
                  <c:v>1.02027</c:v>
                </c:pt>
                <c:pt idx="21">
                  <c:v>-0.26371</c:v>
                </c:pt>
                <c:pt idx="22">
                  <c:v>0.39494000000000001</c:v>
                </c:pt>
                <c:pt idx="23">
                  <c:v>-0.20149000000000003</c:v>
                </c:pt>
                <c:pt idx="24">
                  <c:v>2.5940000000000001E-2</c:v>
                </c:pt>
                <c:pt idx="25">
                  <c:v>0.28377000000000002</c:v>
                </c:pt>
                <c:pt idx="26">
                  <c:v>3.0859999999999999E-2</c:v>
                </c:pt>
                <c:pt idx="27">
                  <c:v>-0.26457000000000003</c:v>
                </c:pt>
                <c:pt idx="28">
                  <c:v>0.65083000000000013</c:v>
                </c:pt>
                <c:pt idx="29">
                  <c:v>-9.597E-2</c:v>
                </c:pt>
                <c:pt idx="30">
                  <c:v>-0.23470000000000002</c:v>
                </c:pt>
              </c:numCache>
            </c:numRef>
          </c:xVal>
          <c:yVal>
            <c:numRef>
              <c:f>'МГК и ФА'!$CO$54:$CO$84</c:f>
              <c:numCache>
                <c:formatCode>General</c:formatCode>
                <c:ptCount val="31"/>
                <c:pt idx="0">
                  <c:v>0.34366000000000002</c:v>
                </c:pt>
                <c:pt idx="1">
                  <c:v>-0.73274000000000017</c:v>
                </c:pt>
                <c:pt idx="2">
                  <c:v>-0.32400000000000007</c:v>
                </c:pt>
                <c:pt idx="3">
                  <c:v>-0.53752</c:v>
                </c:pt>
                <c:pt idx="4">
                  <c:v>-0.18464</c:v>
                </c:pt>
                <c:pt idx="5">
                  <c:v>-0.65498000000000012</c:v>
                </c:pt>
                <c:pt idx="6">
                  <c:v>-3.8620000000000002E-2</c:v>
                </c:pt>
                <c:pt idx="7">
                  <c:v>-0.66684000000000021</c:v>
                </c:pt>
                <c:pt idx="8">
                  <c:v>-0.75420000000000009</c:v>
                </c:pt>
                <c:pt idx="9">
                  <c:v>0.34032000000000007</c:v>
                </c:pt>
                <c:pt idx="10">
                  <c:v>-0.39037000000000005</c:v>
                </c:pt>
                <c:pt idx="11">
                  <c:v>-0.37042000000000008</c:v>
                </c:pt>
                <c:pt idx="12">
                  <c:v>-0.49012999999999995</c:v>
                </c:pt>
                <c:pt idx="13">
                  <c:v>0.25735000000000002</c:v>
                </c:pt>
                <c:pt idx="14">
                  <c:v>-6.7860000000000004E-2</c:v>
                </c:pt>
                <c:pt idx="15">
                  <c:v>0.10106000000000001</c:v>
                </c:pt>
                <c:pt idx="16">
                  <c:v>0.35210000000000002</c:v>
                </c:pt>
                <c:pt idx="17">
                  <c:v>-1.0174700000000001</c:v>
                </c:pt>
                <c:pt idx="18">
                  <c:v>-0.48752000000000006</c:v>
                </c:pt>
                <c:pt idx="19">
                  <c:v>-0.62668000000000013</c:v>
                </c:pt>
                <c:pt idx="20">
                  <c:v>-0.52498</c:v>
                </c:pt>
                <c:pt idx="21">
                  <c:v>-0.89917999999999998</c:v>
                </c:pt>
                <c:pt idx="22">
                  <c:v>0.85702000000000012</c:v>
                </c:pt>
                <c:pt idx="23">
                  <c:v>-0.30217000000000005</c:v>
                </c:pt>
                <c:pt idx="24">
                  <c:v>-0.40831000000000006</c:v>
                </c:pt>
                <c:pt idx="25">
                  <c:v>-0.29338000000000009</c:v>
                </c:pt>
                <c:pt idx="26">
                  <c:v>-0.26472999999999997</c:v>
                </c:pt>
                <c:pt idx="27">
                  <c:v>-0.13340000000000002</c:v>
                </c:pt>
                <c:pt idx="28">
                  <c:v>-0.24948000000000004</c:v>
                </c:pt>
                <c:pt idx="29">
                  <c:v>0.78450999999999993</c:v>
                </c:pt>
                <c:pt idx="30">
                  <c:v>-0.33383000000000007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B3-49E0-B33C-77AA8193A45C}"/>
            </c:ext>
          </c:extLst>
        </c:ser>
        <c:ser>
          <c:idx val="5"/>
          <c:order val="5"/>
          <c:tx>
            <c:v>Класс 6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ФА'!$CN$85</c:f>
              <c:numCache>
                <c:formatCode>General</c:formatCode>
                <c:ptCount val="1"/>
                <c:pt idx="0">
                  <c:v>1.2853300000000001</c:v>
                </c:pt>
              </c:numCache>
            </c:numRef>
          </c:xVal>
          <c:yVal>
            <c:numRef>
              <c:f>'МГК и ФА'!$CO$85</c:f>
              <c:numCache>
                <c:formatCode>General</c:formatCode>
                <c:ptCount val="1"/>
                <c:pt idx="0">
                  <c:v>4.5312900000000003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B3-49E0-B33C-77AA8193A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52175"/>
        <c:axId val="752648847"/>
      </c:scatterChart>
      <c:valAx>
        <c:axId val="75265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648847"/>
        <c:crosses val="autoZero"/>
        <c:crossBetween val="midCat"/>
      </c:valAx>
      <c:valAx>
        <c:axId val="7526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65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МГФ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Класс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ФА'!$DG$2:$DG$24</c:f>
              <c:numCache>
                <c:formatCode>General</c:formatCode>
                <c:ptCount val="23"/>
                <c:pt idx="0">
                  <c:v>-0.22970000000000002</c:v>
                </c:pt>
                <c:pt idx="1">
                  <c:v>0.66937000000000013</c:v>
                </c:pt>
                <c:pt idx="2">
                  <c:v>0.34099000000000002</c:v>
                </c:pt>
                <c:pt idx="3">
                  <c:v>0.35738000000000009</c:v>
                </c:pt>
                <c:pt idx="4">
                  <c:v>-0.12827</c:v>
                </c:pt>
                <c:pt idx="5">
                  <c:v>-3.0219999999999997E-2</c:v>
                </c:pt>
                <c:pt idx="6">
                  <c:v>-0.88119999999999998</c:v>
                </c:pt>
                <c:pt idx="7">
                  <c:v>-0.47765000000000002</c:v>
                </c:pt>
                <c:pt idx="8">
                  <c:v>0.45074999999999998</c:v>
                </c:pt>
                <c:pt idx="9">
                  <c:v>-2.2209999999999997E-2</c:v>
                </c:pt>
                <c:pt idx="10">
                  <c:v>-4.2010000000000006E-2</c:v>
                </c:pt>
                <c:pt idx="11">
                  <c:v>0.41580000000000006</c:v>
                </c:pt>
                <c:pt idx="12">
                  <c:v>-0.13754000000000002</c:v>
                </c:pt>
                <c:pt idx="13">
                  <c:v>-0.55001</c:v>
                </c:pt>
                <c:pt idx="14">
                  <c:v>-0.28801000000000004</c:v>
                </c:pt>
                <c:pt idx="15">
                  <c:v>1.02027</c:v>
                </c:pt>
                <c:pt idx="16">
                  <c:v>-0.38332000000000011</c:v>
                </c:pt>
                <c:pt idx="17">
                  <c:v>0.39494000000000001</c:v>
                </c:pt>
                <c:pt idx="18">
                  <c:v>-0.20149000000000003</c:v>
                </c:pt>
                <c:pt idx="19">
                  <c:v>0.28377000000000002</c:v>
                </c:pt>
                <c:pt idx="20">
                  <c:v>3.0859999999999999E-2</c:v>
                </c:pt>
                <c:pt idx="21">
                  <c:v>0.65083000000000013</c:v>
                </c:pt>
                <c:pt idx="22">
                  <c:v>-9.597E-2</c:v>
                </c:pt>
              </c:numCache>
            </c:numRef>
          </c:xVal>
          <c:yVal>
            <c:numRef>
              <c:f>'МГК и ФА'!$DH$2:$DH$24</c:f>
              <c:numCache>
                <c:formatCode>General</c:formatCode>
                <c:ptCount val="23"/>
                <c:pt idx="0">
                  <c:v>0.34366000000000002</c:v>
                </c:pt>
                <c:pt idx="1">
                  <c:v>-0.32400000000000007</c:v>
                </c:pt>
                <c:pt idx="2">
                  <c:v>-1.0431300000000001</c:v>
                </c:pt>
                <c:pt idx="3">
                  <c:v>-0.37621000000000004</c:v>
                </c:pt>
                <c:pt idx="4">
                  <c:v>-0.65498000000000012</c:v>
                </c:pt>
                <c:pt idx="5">
                  <c:v>-3.8620000000000002E-2</c:v>
                </c:pt>
                <c:pt idx="6">
                  <c:v>-0.50312000000000001</c:v>
                </c:pt>
                <c:pt idx="7">
                  <c:v>2.1166700000000001</c:v>
                </c:pt>
                <c:pt idx="8">
                  <c:v>0.34032000000000007</c:v>
                </c:pt>
                <c:pt idx="9">
                  <c:v>-0.39037000000000005</c:v>
                </c:pt>
                <c:pt idx="10">
                  <c:v>0.17597000000000002</c:v>
                </c:pt>
                <c:pt idx="11">
                  <c:v>0.25735000000000002</c:v>
                </c:pt>
                <c:pt idx="12">
                  <c:v>0.10106000000000001</c:v>
                </c:pt>
                <c:pt idx="13">
                  <c:v>-1.0174700000000001</c:v>
                </c:pt>
                <c:pt idx="14">
                  <c:v>-0.7896200000000001</c:v>
                </c:pt>
                <c:pt idx="15">
                  <c:v>-0.52498</c:v>
                </c:pt>
                <c:pt idx="16">
                  <c:v>0.13881000000000002</c:v>
                </c:pt>
                <c:pt idx="17">
                  <c:v>0.85702000000000012</c:v>
                </c:pt>
                <c:pt idx="18">
                  <c:v>-0.30217000000000005</c:v>
                </c:pt>
                <c:pt idx="19">
                  <c:v>-0.29338000000000009</c:v>
                </c:pt>
                <c:pt idx="20">
                  <c:v>-0.26472999999999997</c:v>
                </c:pt>
                <c:pt idx="21">
                  <c:v>-0.24948000000000004</c:v>
                </c:pt>
                <c:pt idx="22">
                  <c:v>0.78450999999999993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B-474A-8291-8719E9533325}"/>
            </c:ext>
          </c:extLst>
        </c:ser>
        <c:ser>
          <c:idx val="1"/>
          <c:order val="1"/>
          <c:tx>
            <c:v>Класс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ФА'!$DG$25:$DG$63</c:f>
              <c:numCache>
                <c:formatCode>General</c:formatCode>
                <c:ptCount val="39"/>
                <c:pt idx="0">
                  <c:v>-0.27215</c:v>
                </c:pt>
                <c:pt idx="1">
                  <c:v>-0.77102999999999999</c:v>
                </c:pt>
                <c:pt idx="2">
                  <c:v>-0.20889000000000002</c:v>
                </c:pt>
                <c:pt idx="3">
                  <c:v>-0.49468999999999996</c:v>
                </c:pt>
                <c:pt idx="4">
                  <c:v>-0.39745000000000003</c:v>
                </c:pt>
                <c:pt idx="5">
                  <c:v>1.2853300000000001</c:v>
                </c:pt>
                <c:pt idx="6">
                  <c:v>0.32751000000000008</c:v>
                </c:pt>
                <c:pt idx="7">
                  <c:v>-1.2376800000000001</c:v>
                </c:pt>
                <c:pt idx="8">
                  <c:v>1.7328400000000002</c:v>
                </c:pt>
                <c:pt idx="9">
                  <c:v>-0.10676000000000002</c:v>
                </c:pt>
                <c:pt idx="10">
                  <c:v>-0.26874999999999999</c:v>
                </c:pt>
                <c:pt idx="11">
                  <c:v>-0.23275000000000001</c:v>
                </c:pt>
                <c:pt idx="12">
                  <c:v>-0.30683000000000005</c:v>
                </c:pt>
                <c:pt idx="13">
                  <c:v>-0.11483</c:v>
                </c:pt>
                <c:pt idx="14">
                  <c:v>-0.39466000000000001</c:v>
                </c:pt>
                <c:pt idx="15">
                  <c:v>-0.48174</c:v>
                </c:pt>
                <c:pt idx="16">
                  <c:v>5.679E-2</c:v>
                </c:pt>
                <c:pt idx="17">
                  <c:v>0.33506000000000008</c:v>
                </c:pt>
                <c:pt idx="18">
                  <c:v>-0.40191000000000004</c:v>
                </c:pt>
                <c:pt idx="19">
                  <c:v>-0.76722000000000001</c:v>
                </c:pt>
                <c:pt idx="20">
                  <c:v>-0.18694000000000002</c:v>
                </c:pt>
                <c:pt idx="21">
                  <c:v>-0.30474000000000001</c:v>
                </c:pt>
                <c:pt idx="22">
                  <c:v>-1.7160299999999999</c:v>
                </c:pt>
                <c:pt idx="23">
                  <c:v>-2.4865599999999999</c:v>
                </c:pt>
                <c:pt idx="24">
                  <c:v>-0.68134000000000006</c:v>
                </c:pt>
                <c:pt idx="25">
                  <c:v>-0.77271000000000001</c:v>
                </c:pt>
                <c:pt idx="26">
                  <c:v>-0.27686000000000005</c:v>
                </c:pt>
                <c:pt idx="27">
                  <c:v>-0.42329</c:v>
                </c:pt>
                <c:pt idx="28">
                  <c:v>-0.27778999999999998</c:v>
                </c:pt>
                <c:pt idx="29">
                  <c:v>1.2181299999999999</c:v>
                </c:pt>
                <c:pt idx="30">
                  <c:v>-1.3698000000000001</c:v>
                </c:pt>
                <c:pt idx="31">
                  <c:v>-0.60492000000000012</c:v>
                </c:pt>
                <c:pt idx="32">
                  <c:v>-0.65169000000000021</c:v>
                </c:pt>
                <c:pt idx="33">
                  <c:v>2.5940000000000001E-2</c:v>
                </c:pt>
                <c:pt idx="34">
                  <c:v>-0.10286000000000001</c:v>
                </c:pt>
                <c:pt idx="35">
                  <c:v>0.42163</c:v>
                </c:pt>
                <c:pt idx="36">
                  <c:v>-1.9755199999999999</c:v>
                </c:pt>
                <c:pt idx="37">
                  <c:v>-0.23470000000000002</c:v>
                </c:pt>
                <c:pt idx="38">
                  <c:v>3.1473</c:v>
                </c:pt>
              </c:numCache>
            </c:numRef>
          </c:xVal>
          <c:yVal>
            <c:numRef>
              <c:f>'МГК и ФА'!$DH$25:$DH$63</c:f>
              <c:numCache>
                <c:formatCode>General</c:formatCode>
                <c:ptCount val="39"/>
                <c:pt idx="0">
                  <c:v>-0.18746000000000002</c:v>
                </c:pt>
                <c:pt idx="1">
                  <c:v>2.7200000000000002E-3</c:v>
                </c:pt>
                <c:pt idx="2">
                  <c:v>-0.36255000000000004</c:v>
                </c:pt>
                <c:pt idx="3">
                  <c:v>1.2204999999999999</c:v>
                </c:pt>
                <c:pt idx="4">
                  <c:v>0.37058000000000008</c:v>
                </c:pt>
                <c:pt idx="5">
                  <c:v>4.5312900000000003</c:v>
                </c:pt>
                <c:pt idx="6">
                  <c:v>-0.18464</c:v>
                </c:pt>
                <c:pt idx="7">
                  <c:v>-0.23866000000000001</c:v>
                </c:pt>
                <c:pt idx="8">
                  <c:v>-0.8220400000000001</c:v>
                </c:pt>
                <c:pt idx="9">
                  <c:v>0.21414000000000002</c:v>
                </c:pt>
                <c:pt idx="10">
                  <c:v>-0.66684000000000021</c:v>
                </c:pt>
                <c:pt idx="11">
                  <c:v>-0.75420000000000009</c:v>
                </c:pt>
                <c:pt idx="12">
                  <c:v>-0.45441000000000004</c:v>
                </c:pt>
                <c:pt idx="13">
                  <c:v>0.50266</c:v>
                </c:pt>
                <c:pt idx="14">
                  <c:v>-0.45457000000000003</c:v>
                </c:pt>
                <c:pt idx="15">
                  <c:v>-0.21878000000000003</c:v>
                </c:pt>
                <c:pt idx="16">
                  <c:v>0.35210000000000002</c:v>
                </c:pt>
                <c:pt idx="17">
                  <c:v>0.61020000000000008</c:v>
                </c:pt>
                <c:pt idx="18">
                  <c:v>-0.67977000000000021</c:v>
                </c:pt>
                <c:pt idx="19">
                  <c:v>-0.45534000000000002</c:v>
                </c:pt>
                <c:pt idx="20">
                  <c:v>0.65442000000000011</c:v>
                </c:pt>
                <c:pt idx="21">
                  <c:v>-0.48752000000000006</c:v>
                </c:pt>
                <c:pt idx="22">
                  <c:v>0.33411000000000007</c:v>
                </c:pt>
                <c:pt idx="23">
                  <c:v>-0.43007000000000006</c:v>
                </c:pt>
                <c:pt idx="24">
                  <c:v>-0.15080000000000002</c:v>
                </c:pt>
                <c:pt idx="25">
                  <c:v>-0.41152000000000005</c:v>
                </c:pt>
                <c:pt idx="26">
                  <c:v>-0.86673000000000011</c:v>
                </c:pt>
                <c:pt idx="27">
                  <c:v>1.1356200000000001</c:v>
                </c:pt>
                <c:pt idx="28">
                  <c:v>0.94073000000000007</c:v>
                </c:pt>
                <c:pt idx="29">
                  <c:v>1.2356400000000001</c:v>
                </c:pt>
                <c:pt idx="30">
                  <c:v>-0.22654000000000002</c:v>
                </c:pt>
                <c:pt idx="31">
                  <c:v>0.82543</c:v>
                </c:pt>
                <c:pt idx="32">
                  <c:v>-0.25786000000000003</c:v>
                </c:pt>
                <c:pt idx="33">
                  <c:v>-0.40831000000000006</c:v>
                </c:pt>
                <c:pt idx="34">
                  <c:v>0.18959000000000001</c:v>
                </c:pt>
                <c:pt idx="35">
                  <c:v>0.8761000000000001</c:v>
                </c:pt>
                <c:pt idx="36">
                  <c:v>4.0479999999999995E-2</c:v>
                </c:pt>
                <c:pt idx="37">
                  <c:v>-0.33383000000000007</c:v>
                </c:pt>
                <c:pt idx="38">
                  <c:v>-0.16088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B-474A-8291-8719E9533325}"/>
            </c:ext>
          </c:extLst>
        </c:ser>
        <c:ser>
          <c:idx val="2"/>
          <c:order val="2"/>
          <c:tx>
            <c:v>Класс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3F-4D61-B783-EF75C57E61C0}"/>
              </c:ext>
            </c:extLst>
          </c:dPt>
          <c:xVal>
            <c:numRef>
              <c:f>'МГК и ФА'!$DG$64:$DG$71</c:f>
              <c:numCache>
                <c:formatCode>General</c:formatCode>
                <c:ptCount val="8"/>
                <c:pt idx="0">
                  <c:v>0.54157</c:v>
                </c:pt>
                <c:pt idx="1">
                  <c:v>-1.193E-2</c:v>
                </c:pt>
                <c:pt idx="2">
                  <c:v>-0.21897000000000003</c:v>
                </c:pt>
                <c:pt idx="3">
                  <c:v>-0.53047999999999995</c:v>
                </c:pt>
                <c:pt idx="4">
                  <c:v>-0.26371</c:v>
                </c:pt>
                <c:pt idx="5">
                  <c:v>-0.26587000000000005</c:v>
                </c:pt>
                <c:pt idx="6">
                  <c:v>-0.26457000000000003</c:v>
                </c:pt>
                <c:pt idx="7">
                  <c:v>-8.9029999999999998E-2</c:v>
                </c:pt>
              </c:numCache>
            </c:numRef>
          </c:xVal>
          <c:yVal>
            <c:numRef>
              <c:f>'МГК и ФА'!$DH$64:$DH$71</c:f>
              <c:numCache>
                <c:formatCode>General</c:formatCode>
                <c:ptCount val="8"/>
                <c:pt idx="0">
                  <c:v>-0.73274000000000017</c:v>
                </c:pt>
                <c:pt idx="1">
                  <c:v>-0.53752</c:v>
                </c:pt>
                <c:pt idx="2">
                  <c:v>-0.49012999999999995</c:v>
                </c:pt>
                <c:pt idx="3">
                  <c:v>-0.73325000000000007</c:v>
                </c:pt>
                <c:pt idx="4">
                  <c:v>-0.89917999999999998</c:v>
                </c:pt>
                <c:pt idx="5">
                  <c:v>-0.19420000000000001</c:v>
                </c:pt>
                <c:pt idx="6">
                  <c:v>-0.13340000000000002</c:v>
                </c:pt>
                <c:pt idx="7">
                  <c:v>-0.38491000000000009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B-474A-8291-8719E9533325}"/>
            </c:ext>
          </c:extLst>
        </c:ser>
        <c:ser>
          <c:idx val="3"/>
          <c:order val="3"/>
          <c:tx>
            <c:v>Класс 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ФА'!$DG$72:$DG$76</c:f>
              <c:numCache>
                <c:formatCode>General</c:formatCode>
                <c:ptCount val="5"/>
                <c:pt idx="0">
                  <c:v>-0.33123000000000002</c:v>
                </c:pt>
                <c:pt idx="1">
                  <c:v>2.4770400000000001</c:v>
                </c:pt>
                <c:pt idx="2">
                  <c:v>1.4858899999999999</c:v>
                </c:pt>
                <c:pt idx="3">
                  <c:v>-3.7600000000000001E-2</c:v>
                </c:pt>
                <c:pt idx="4">
                  <c:v>1.8784200000000002</c:v>
                </c:pt>
              </c:numCache>
            </c:numRef>
          </c:xVal>
          <c:yVal>
            <c:numRef>
              <c:f>'МГК и ФА'!$DH$72:$DH$76</c:f>
              <c:numCache>
                <c:formatCode>General</c:formatCode>
                <c:ptCount val="5"/>
                <c:pt idx="0">
                  <c:v>-0.37042000000000008</c:v>
                </c:pt>
                <c:pt idx="1">
                  <c:v>-0.89207999999999998</c:v>
                </c:pt>
                <c:pt idx="2">
                  <c:v>-0.73268000000000011</c:v>
                </c:pt>
                <c:pt idx="3">
                  <c:v>-6.7860000000000004E-2</c:v>
                </c:pt>
                <c:pt idx="4">
                  <c:v>-0.41471000000000002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B-474A-8291-8719E9533325}"/>
            </c:ext>
          </c:extLst>
        </c:ser>
        <c:ser>
          <c:idx val="4"/>
          <c:order val="4"/>
          <c:tx>
            <c:v>Класс 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33F-4D61-B783-EF75C57E61C0}"/>
              </c:ext>
            </c:extLst>
          </c:dPt>
          <c:xVal>
            <c:numRef>
              <c:f>'МГК и ФА'!$DG$77</c:f>
              <c:numCache>
                <c:formatCode>General</c:formatCode>
                <c:ptCount val="1"/>
                <c:pt idx="0">
                  <c:v>-0.20050000000000001</c:v>
                </c:pt>
              </c:numCache>
            </c:numRef>
          </c:xVal>
          <c:yVal>
            <c:numRef>
              <c:f>'МГК и ФА'!$DH$77</c:f>
              <c:numCache>
                <c:formatCode>General</c:formatCode>
                <c:ptCount val="1"/>
                <c:pt idx="0">
                  <c:v>2.1512799999999999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5B-474A-8291-8719E9533325}"/>
            </c:ext>
          </c:extLst>
        </c:ser>
        <c:ser>
          <c:idx val="5"/>
          <c:order val="5"/>
          <c:tx>
            <c:v>Класс 6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ФА'!$DG$78:$DG$85</c:f>
              <c:numCache>
                <c:formatCode>General</c:formatCode>
                <c:ptCount val="8"/>
                <c:pt idx="0">
                  <c:v>-0.49475999999999998</c:v>
                </c:pt>
                <c:pt idx="1">
                  <c:v>-0.77775000000000005</c:v>
                </c:pt>
                <c:pt idx="2">
                  <c:v>0.66459000000000013</c:v>
                </c:pt>
                <c:pt idx="3">
                  <c:v>0.41909000000000002</c:v>
                </c:pt>
                <c:pt idx="4">
                  <c:v>-1.3916299999999999</c:v>
                </c:pt>
                <c:pt idx="5">
                  <c:v>1.57186</c:v>
                </c:pt>
                <c:pt idx="6">
                  <c:v>2.0257999999999998</c:v>
                </c:pt>
                <c:pt idx="7">
                  <c:v>2.6389500000000004</c:v>
                </c:pt>
              </c:numCache>
            </c:numRef>
          </c:xVal>
          <c:yVal>
            <c:numRef>
              <c:f>'МГК и ФА'!$DH$78:$DH$85</c:f>
              <c:numCache>
                <c:formatCode>General</c:formatCode>
                <c:ptCount val="8"/>
                <c:pt idx="0">
                  <c:v>4.2800000000000005E-2</c:v>
                </c:pt>
                <c:pt idx="1">
                  <c:v>-0.46984000000000004</c:v>
                </c:pt>
                <c:pt idx="2">
                  <c:v>3.3225899999999999</c:v>
                </c:pt>
                <c:pt idx="3">
                  <c:v>-0.62668000000000013</c:v>
                </c:pt>
                <c:pt idx="4">
                  <c:v>0.14761000000000002</c:v>
                </c:pt>
                <c:pt idx="5">
                  <c:v>-0.24538000000000001</c:v>
                </c:pt>
                <c:pt idx="6">
                  <c:v>0.10603000000000001</c:v>
                </c:pt>
                <c:pt idx="7">
                  <c:v>-1.01142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5B-474A-8291-8719E953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073343"/>
        <c:axId val="1740070431"/>
      </c:scatterChart>
      <c:valAx>
        <c:axId val="174007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070431"/>
        <c:crosses val="autoZero"/>
        <c:crossBetween val="midCat"/>
      </c:valAx>
      <c:valAx>
        <c:axId val="17400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07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МГК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Класс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ФА'!$DL$2:$DL$24</c:f>
              <c:numCache>
                <c:formatCode>0.00000</c:formatCode>
                <c:ptCount val="23"/>
                <c:pt idx="0">
                  <c:v>0.31487910497791727</c:v>
                </c:pt>
                <c:pt idx="1">
                  <c:v>0.2353977000536992</c:v>
                </c:pt>
                <c:pt idx="2">
                  <c:v>-0.37087827546333718</c:v>
                </c:pt>
                <c:pt idx="3">
                  <c:v>0.25347253807895676</c:v>
                </c:pt>
                <c:pt idx="4">
                  <c:v>-0.82992785060055119</c:v>
                </c:pt>
                <c:pt idx="5">
                  <c:v>5.6630355757248001E-2</c:v>
                </c:pt>
                <c:pt idx="6">
                  <c:v>-0.95306631457546787</c:v>
                </c:pt>
                <c:pt idx="7">
                  <c:v>0.99117733961336074</c:v>
                </c:pt>
                <c:pt idx="8">
                  <c:v>0.744261293994261</c:v>
                </c:pt>
                <c:pt idx="9">
                  <c:v>-5.9127238767861384E-2</c:v>
                </c:pt>
                <c:pt idx="10">
                  <c:v>-0.12212939757241779</c:v>
                </c:pt>
                <c:pt idx="11">
                  <c:v>0.59186605717887009</c:v>
                </c:pt>
                <c:pt idx="12">
                  <c:v>-4.8555712137070377E-2</c:v>
                </c:pt>
                <c:pt idx="13">
                  <c:v>-1.5241183555249409</c:v>
                </c:pt>
                <c:pt idx="14">
                  <c:v>-1.2487648064820194</c:v>
                </c:pt>
                <c:pt idx="15">
                  <c:v>0.32014076197858876</c:v>
                </c:pt>
                <c:pt idx="16">
                  <c:v>-0.20559813238350497</c:v>
                </c:pt>
                <c:pt idx="17">
                  <c:v>1.1610158884903476</c:v>
                </c:pt>
                <c:pt idx="18">
                  <c:v>-0.2674957311388067</c:v>
                </c:pt>
                <c:pt idx="19">
                  <c:v>0.22775094727323869</c:v>
                </c:pt>
                <c:pt idx="20">
                  <c:v>-0.16351862231155986</c:v>
                </c:pt>
                <c:pt idx="21">
                  <c:v>0.54814525741938513</c:v>
                </c:pt>
                <c:pt idx="22">
                  <c:v>0.605509288233405</c:v>
                </c:pt>
              </c:numCache>
            </c:numRef>
          </c:xVal>
          <c:yVal>
            <c:numRef>
              <c:f>'МГК и ФА'!$DM$2:$DM$24</c:f>
              <c:numCache>
                <c:formatCode>0.00000</c:formatCode>
                <c:ptCount val="23"/>
                <c:pt idx="0">
                  <c:v>0.27717479857018701</c:v>
                </c:pt>
                <c:pt idx="1">
                  <c:v>-0.7437048566733222</c:v>
                </c:pt>
                <c:pt idx="2">
                  <c:v>-1.5215214439673252</c:v>
                </c:pt>
                <c:pt idx="3">
                  <c:v>-0.74512044153099644</c:v>
                </c:pt>
                <c:pt idx="4">
                  <c:v>-0.72568069932029255</c:v>
                </c:pt>
                <c:pt idx="5">
                  <c:v>0.11045861529005846</c:v>
                </c:pt>
                <c:pt idx="6">
                  <c:v>0.19932319917675709</c:v>
                </c:pt>
                <c:pt idx="7">
                  <c:v>2.0882362408117352</c:v>
                </c:pt>
                <c:pt idx="8">
                  <c:v>-4.292699226516633E-2</c:v>
                </c:pt>
                <c:pt idx="9">
                  <c:v>-0.49287047364693615</c:v>
                </c:pt>
                <c:pt idx="10">
                  <c:v>0.67138208743299133</c:v>
                </c:pt>
                <c:pt idx="11">
                  <c:v>-0.27484254626323917</c:v>
                </c:pt>
                <c:pt idx="12">
                  <c:v>0.21406479878870677</c:v>
                </c:pt>
                <c:pt idx="13">
                  <c:v>-0.83005765926504826</c:v>
                </c:pt>
                <c:pt idx="14">
                  <c:v>-0.19687682640737933</c:v>
                </c:pt>
                <c:pt idx="15">
                  <c:v>-1.1190718715909549</c:v>
                </c:pt>
                <c:pt idx="16">
                  <c:v>0.24229698766122199</c:v>
                </c:pt>
                <c:pt idx="17">
                  <c:v>0.21047329433474243</c:v>
                </c:pt>
                <c:pt idx="18">
                  <c:v>-0.27727710951001838</c:v>
                </c:pt>
                <c:pt idx="19">
                  <c:v>-0.69642572319985852</c:v>
                </c:pt>
                <c:pt idx="20">
                  <c:v>-0.23159466896528591</c:v>
                </c:pt>
                <c:pt idx="21">
                  <c:v>-0.732693321291644</c:v>
                </c:pt>
                <c:pt idx="22">
                  <c:v>0.57568127794030155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9-4705-8277-03FF77B97864}"/>
            </c:ext>
          </c:extLst>
        </c:ser>
        <c:ser>
          <c:idx val="1"/>
          <c:order val="1"/>
          <c:tx>
            <c:v>Класс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ФА'!$DL$25:$DL$63</c:f>
              <c:numCache>
                <c:formatCode>0.00000</c:formatCode>
                <c:ptCount val="39"/>
                <c:pt idx="0">
                  <c:v>-0.45381752488339855</c:v>
                </c:pt>
                <c:pt idx="1">
                  <c:v>-0.71286734834126664</c:v>
                </c:pt>
                <c:pt idx="2">
                  <c:v>-0.12373275751270651</c:v>
                </c:pt>
                <c:pt idx="3">
                  <c:v>0.54956734188769396</c:v>
                </c:pt>
                <c:pt idx="4">
                  <c:v>9.2910548556283681E-2</c:v>
                </c:pt>
                <c:pt idx="5">
                  <c:v>3.8561089628134808</c:v>
                </c:pt>
                <c:pt idx="6">
                  <c:v>0.13029648603905444</c:v>
                </c:pt>
                <c:pt idx="7">
                  <c:v>-1.1236311727474124</c:v>
                </c:pt>
                <c:pt idx="8">
                  <c:v>0.83515241087902459</c:v>
                </c:pt>
                <c:pt idx="9">
                  <c:v>2.1114207833418847E-2</c:v>
                </c:pt>
                <c:pt idx="10">
                  <c:v>-0.83243682646702744</c:v>
                </c:pt>
                <c:pt idx="11">
                  <c:v>-0.53732615886278245</c:v>
                </c:pt>
                <c:pt idx="12">
                  <c:v>-0.51279440621154393</c:v>
                </c:pt>
                <c:pt idx="13">
                  <c:v>0.3625082007930116</c:v>
                </c:pt>
                <c:pt idx="14">
                  <c:v>-0.63228597945242293</c:v>
                </c:pt>
                <c:pt idx="15">
                  <c:v>-0.53558584549118027</c:v>
                </c:pt>
                <c:pt idx="16">
                  <c:v>0.30561908669063659</c:v>
                </c:pt>
                <c:pt idx="17">
                  <c:v>0.75087772297068511</c:v>
                </c:pt>
                <c:pt idx="18">
                  <c:v>-0.84963960583490516</c:v>
                </c:pt>
                <c:pt idx="19">
                  <c:v>-0.99743975160533349</c:v>
                </c:pt>
                <c:pt idx="20">
                  <c:v>0.16969776162509348</c:v>
                </c:pt>
                <c:pt idx="21">
                  <c:v>-0.65128035231628534</c:v>
                </c:pt>
                <c:pt idx="22">
                  <c:v>-1.1292697822017885</c:v>
                </c:pt>
                <c:pt idx="23">
                  <c:v>-2.5785742851848039</c:v>
                </c:pt>
                <c:pt idx="24">
                  <c:v>-0.76122623184126581</c:v>
                </c:pt>
                <c:pt idx="25">
                  <c:v>-0.9378004994331991</c:v>
                </c:pt>
                <c:pt idx="26">
                  <c:v>-1.4139507965015217</c:v>
                </c:pt>
                <c:pt idx="27">
                  <c:v>0.50471224770224676</c:v>
                </c:pt>
                <c:pt idx="28">
                  <c:v>0.38192584864448798</c:v>
                </c:pt>
                <c:pt idx="29">
                  <c:v>1.9225482032011199</c:v>
                </c:pt>
                <c:pt idx="30">
                  <c:v>-0.91516875736297776</c:v>
                </c:pt>
                <c:pt idx="31">
                  <c:v>7.0736769437563504E-2</c:v>
                </c:pt>
                <c:pt idx="32">
                  <c:v>-0.7251936889102516</c:v>
                </c:pt>
                <c:pt idx="33">
                  <c:v>-0.12413653824004578</c:v>
                </c:pt>
                <c:pt idx="34">
                  <c:v>0.15076936481568043</c:v>
                </c:pt>
                <c:pt idx="35">
                  <c:v>0.95017992838704834</c:v>
                </c:pt>
                <c:pt idx="36">
                  <c:v>-1.6596365580984691</c:v>
                </c:pt>
                <c:pt idx="37">
                  <c:v>-0.42598939160003141</c:v>
                </c:pt>
                <c:pt idx="38">
                  <c:v>1.8519577028092515</c:v>
                </c:pt>
              </c:numCache>
            </c:numRef>
          </c:xVal>
          <c:yVal>
            <c:numRef>
              <c:f>'МГК и ФА'!$DM$25:$DM$63</c:f>
              <c:numCache>
                <c:formatCode>0.00000</c:formatCode>
                <c:ptCount val="39"/>
                <c:pt idx="0">
                  <c:v>0.1406067175712564</c:v>
                </c:pt>
                <c:pt idx="1">
                  <c:v>0.74803718606105185</c:v>
                </c:pt>
                <c:pt idx="2">
                  <c:v>-0.37419270560537177</c:v>
                </c:pt>
                <c:pt idx="3">
                  <c:v>1.345013006803121</c:v>
                </c:pt>
                <c:pt idx="4">
                  <c:v>0.61711236088415244</c:v>
                </c:pt>
                <c:pt idx="5">
                  <c:v>2.4828261942325693</c:v>
                </c:pt>
                <c:pt idx="6">
                  <c:v>-0.45858727837088781</c:v>
                </c:pt>
                <c:pt idx="7">
                  <c:v>0.7756887293156608</c:v>
                </c:pt>
                <c:pt idx="8">
                  <c:v>-2.0048492791874573</c:v>
                </c:pt>
                <c:pt idx="9">
                  <c:v>0.33185936800214466</c:v>
                </c:pt>
                <c:pt idx="10">
                  <c:v>-0.37899252472610234</c:v>
                </c:pt>
                <c:pt idx="11">
                  <c:v>-0.70069206906462911</c:v>
                </c:pt>
                <c:pt idx="12">
                  <c:v>-0.3777045991724946</c:v>
                </c:pt>
                <c:pt idx="13">
                  <c:v>0.32542452430306057</c:v>
                </c:pt>
                <c:pt idx="14">
                  <c:v>-3.6711754820950154E-2</c:v>
                </c:pt>
                <c:pt idx="15">
                  <c:v>0.26146422268170821</c:v>
                </c:pt>
                <c:pt idx="16">
                  <c:v>0.29554761095456156</c:v>
                </c:pt>
                <c:pt idx="17">
                  <c:v>0.284518146266525</c:v>
                </c:pt>
                <c:pt idx="18">
                  <c:v>-0.4126141810854681</c:v>
                </c:pt>
                <c:pt idx="19">
                  <c:v>0.22426554636965412</c:v>
                </c:pt>
                <c:pt idx="20">
                  <c:v>0.80167679796189062</c:v>
                </c:pt>
                <c:pt idx="21">
                  <c:v>-0.14495052678642351</c:v>
                </c:pt>
                <c:pt idx="22">
                  <c:v>1.5028990490382081</c:v>
                </c:pt>
                <c:pt idx="23">
                  <c:v>1.9739397164118095</c:v>
                </c:pt>
                <c:pt idx="24">
                  <c:v>0.47200246922534045</c:v>
                </c:pt>
                <c:pt idx="25">
                  <c:v>0.17086698406252218</c:v>
                </c:pt>
                <c:pt idx="26">
                  <c:v>-0.29572258336795737</c:v>
                </c:pt>
                <c:pt idx="27">
                  <c:v>1.1791100835715962</c:v>
                </c:pt>
                <c:pt idx="28">
                  <c:v>0.95067573213328405</c:v>
                </c:pt>
                <c:pt idx="29">
                  <c:v>0.19540940161061801</c:v>
                </c:pt>
                <c:pt idx="30">
                  <c:v>0.81195283894267822</c:v>
                </c:pt>
                <c:pt idx="31">
                  <c:v>1.0526493771490244</c:v>
                </c:pt>
                <c:pt idx="32">
                  <c:v>0.3238663271064936</c:v>
                </c:pt>
                <c:pt idx="33">
                  <c:v>-0.52790350300205502</c:v>
                </c:pt>
                <c:pt idx="34">
                  <c:v>0.25267007267107311</c:v>
                </c:pt>
                <c:pt idx="35">
                  <c:v>0.75903846068162117</c:v>
                </c:pt>
                <c:pt idx="36">
                  <c:v>1.7836887138566841</c:v>
                </c:pt>
                <c:pt idx="37">
                  <c:v>-6.9064857570127342E-2</c:v>
                </c:pt>
                <c:pt idx="38">
                  <c:v>-1.5444107482984073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69-4705-8277-03FF77B97864}"/>
            </c:ext>
          </c:extLst>
        </c:ser>
        <c:ser>
          <c:idx val="2"/>
          <c:order val="2"/>
          <c:tx>
            <c:v>Класс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ФА'!$DL$64:$DL$71</c:f>
              <c:numCache>
                <c:formatCode>0.00000</c:formatCode>
                <c:ptCount val="8"/>
                <c:pt idx="0">
                  <c:v>-0.13614383828314655</c:v>
                </c:pt>
                <c:pt idx="1">
                  <c:v>-0.44316822585800819</c:v>
                </c:pt>
                <c:pt idx="2">
                  <c:v>-0.47224168753713147</c:v>
                </c:pt>
                <c:pt idx="3">
                  <c:v>-1.0254524028729568</c:v>
                </c:pt>
                <c:pt idx="4">
                  <c:v>-0.99674455503673365</c:v>
                </c:pt>
                <c:pt idx="5">
                  <c:v>-0.33210730506777397</c:v>
                </c:pt>
                <c:pt idx="6">
                  <c:v>-0.14824621074977959</c:v>
                </c:pt>
                <c:pt idx="7">
                  <c:v>-3.9211966847335744E-2</c:v>
                </c:pt>
              </c:numCache>
            </c:numRef>
          </c:xVal>
          <c:yVal>
            <c:numRef>
              <c:f>'МГК и ФА'!$DM$64:$DM$71</c:f>
              <c:numCache>
                <c:formatCode>0.00000</c:formatCode>
                <c:ptCount val="8"/>
                <c:pt idx="0">
                  <c:v>-1.0318367031366553</c:v>
                </c:pt>
                <c:pt idx="1">
                  <c:v>-0.57811526202185071</c:v>
                </c:pt>
                <c:pt idx="2">
                  <c:v>-0.35353861553225002</c:v>
                </c:pt>
                <c:pt idx="3">
                  <c:v>-0.28548174574471535</c:v>
                </c:pt>
                <c:pt idx="4">
                  <c:v>-0.62645314821502851</c:v>
                </c:pt>
                <c:pt idx="5">
                  <c:v>0.12552322826749052</c:v>
                </c:pt>
                <c:pt idx="6">
                  <c:v>1.6283985682877478E-2</c:v>
                </c:pt>
                <c:pt idx="7">
                  <c:v>-0.45473315175147266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69-4705-8277-03FF77B97864}"/>
            </c:ext>
          </c:extLst>
        </c:ser>
        <c:ser>
          <c:idx val="3"/>
          <c:order val="3"/>
          <c:tx>
            <c:v>Класс 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ФА'!$DL$72:$DL$76</c:f>
              <c:numCache>
                <c:formatCode>0.00000</c:formatCode>
                <c:ptCount val="5"/>
                <c:pt idx="0">
                  <c:v>-0.43793553770023014</c:v>
                </c:pt>
                <c:pt idx="1">
                  <c:v>1.3427118487526655</c:v>
                </c:pt>
                <c:pt idx="2">
                  <c:v>0.77969586727480056</c:v>
                </c:pt>
                <c:pt idx="3">
                  <c:v>0.11784038726282435</c:v>
                </c:pt>
                <c:pt idx="4">
                  <c:v>1.2630330246509991</c:v>
                </c:pt>
              </c:numCache>
            </c:numRef>
          </c:xVal>
          <c:yVal>
            <c:numRef>
              <c:f>'МГК и ФА'!$DM$72:$DM$76</c:f>
              <c:numCache>
                <c:formatCode>0.00000</c:formatCode>
                <c:ptCount val="5"/>
                <c:pt idx="0">
                  <c:v>-0.12976085990879424</c:v>
                </c:pt>
                <c:pt idx="1">
                  <c:v>-2.5000966528853699</c:v>
                </c:pt>
                <c:pt idx="2">
                  <c:v>-1.7895749805900687</c:v>
                </c:pt>
                <c:pt idx="3">
                  <c:v>-0.19242814979095843</c:v>
                </c:pt>
                <c:pt idx="4">
                  <c:v>-1.6117585949491351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69-4705-8277-03FF77B97864}"/>
            </c:ext>
          </c:extLst>
        </c:ser>
        <c:ser>
          <c:idx val="4"/>
          <c:order val="4"/>
          <c:tx>
            <c:v>Класс 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ФА'!$DL$77</c:f>
              <c:numCache>
                <c:formatCode>0.00000</c:formatCode>
                <c:ptCount val="1"/>
                <c:pt idx="0">
                  <c:v>1.4341881059576949</c:v>
                </c:pt>
              </c:numCache>
            </c:numRef>
          </c:xVal>
          <c:yVal>
            <c:numRef>
              <c:f>'МГК и ФА'!$DM$77</c:f>
              <c:numCache>
                <c:formatCode>0.00000</c:formatCode>
                <c:ptCount val="1"/>
                <c:pt idx="0">
                  <c:v>2.161038063750881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69-4705-8277-03FF77B97864}"/>
            </c:ext>
          </c:extLst>
        </c:ser>
        <c:ser>
          <c:idx val="5"/>
          <c:order val="5"/>
          <c:tx>
            <c:v>Класс 6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'МГК и ФА'!$DL$78:$DL$85</c:f>
              <c:numCache>
                <c:formatCode>0.00000</c:formatCode>
                <c:ptCount val="8"/>
                <c:pt idx="0">
                  <c:v>-0.24660909801096273</c:v>
                </c:pt>
                <c:pt idx="1">
                  <c:v>-1.0337243333738841</c:v>
                </c:pt>
                <c:pt idx="2">
                  <c:v>3.2488353767908791</c:v>
                </c:pt>
                <c:pt idx="3">
                  <c:v>-0.29788161391669776</c:v>
                </c:pt>
                <c:pt idx="4">
                  <c:v>-0.82072510041306823</c:v>
                </c:pt>
                <c:pt idx="5">
                  <c:v>1.0516483442580258</c:v>
                </c:pt>
                <c:pt idx="6">
                  <c:v>1.4547738298003259</c:v>
                </c:pt>
                <c:pt idx="7">
                  <c:v>1.207500458842643</c:v>
                </c:pt>
              </c:numCache>
            </c:numRef>
          </c:xVal>
          <c:yVal>
            <c:numRef>
              <c:f>'МГК и ФА'!$DM$78:$DM$85</c:f>
              <c:numCache>
                <c:formatCode>0.00000</c:formatCode>
                <c:ptCount val="8"/>
                <c:pt idx="0">
                  <c:v>0.55887832602816589</c:v>
                </c:pt>
                <c:pt idx="1">
                  <c:v>0.19895696132898522</c:v>
                </c:pt>
                <c:pt idx="2">
                  <c:v>2.4658023062022982</c:v>
                </c:pt>
                <c:pt idx="3">
                  <c:v>-0.75593902469895136</c:v>
                </c:pt>
                <c:pt idx="4">
                  <c:v>1.0096285474269118</c:v>
                </c:pt>
                <c:pt idx="5">
                  <c:v>-1.2563485133534897</c:v>
                </c:pt>
                <c:pt idx="6">
                  <c:v>-0.9229060546623441</c:v>
                </c:pt>
                <c:pt idx="7">
                  <c:v>-2.7419796543657977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69-4705-8277-03FF77B9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236447"/>
        <c:axId val="1699236863"/>
      </c:scatterChart>
      <c:valAx>
        <c:axId val="169923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236863"/>
        <c:crosses val="autoZero"/>
        <c:crossBetween val="midCat"/>
      </c:valAx>
      <c:valAx>
        <c:axId val="16992368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236447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[Нуритдинходжаева_А (2).xlsx]сводная табл 2!Сводная таблица1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 2'!$B$3:$B$4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'сводная табл 2'!$A$5:$A$6</c:f>
              <c:strCache>
                <c:ptCount val="2"/>
                <c:pt idx="0">
                  <c:v>Среднее по полю Главная компонента 2 (Здравоохранение и борьба с коррупцией)</c:v>
                </c:pt>
                <c:pt idx="1">
                  <c:v>Среднее по полю Главная компонента 1 (Экономическая устойчивость и преступность)</c:v>
                </c:pt>
              </c:strCache>
            </c:strRef>
          </c:cat>
          <c:val>
            <c:numRef>
              <c:f>'сводная табл 2'!$B$5:$B$6</c:f>
              <c:numCache>
                <c:formatCode>General</c:formatCode>
                <c:ptCount val="2"/>
                <c:pt idx="0">
                  <c:v>2.2994757012493707</c:v>
                </c:pt>
                <c:pt idx="1">
                  <c:v>2.3825774462938538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D-4FCA-B556-AC06E94DACC4}"/>
            </c:ext>
          </c:extLst>
        </c:ser>
        <c:ser>
          <c:idx val="1"/>
          <c:order val="1"/>
          <c:tx>
            <c:strRef>
              <c:f>'сводная табл 2'!$C$3:$C$4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'сводная табл 2'!$A$5:$A$6</c:f>
              <c:strCache>
                <c:ptCount val="2"/>
                <c:pt idx="0">
                  <c:v>Среднее по полю Главная компонента 2 (Здравоохранение и борьба с коррупцией)</c:v>
                </c:pt>
                <c:pt idx="1">
                  <c:v>Среднее по полю Главная компонента 1 (Экономическая устойчивость и преступность)</c:v>
                </c:pt>
              </c:strCache>
            </c:strRef>
          </c:cat>
          <c:val>
            <c:numRef>
              <c:f>'сводная табл 2'!$C$5:$C$6</c:f>
              <c:numCache>
                <c:formatCode>General</c:formatCode>
                <c:ptCount val="2"/>
                <c:pt idx="0">
                  <c:v>-1.7964905597865086</c:v>
                </c:pt>
                <c:pt idx="1">
                  <c:v>1.223309185908467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4DD-4FCA-B556-AC06E94DACC4}"/>
            </c:ext>
          </c:extLst>
        </c:ser>
        <c:ser>
          <c:idx val="2"/>
          <c:order val="2"/>
          <c:tx>
            <c:strRef>
              <c:f>'сводная табл 2'!$D$3:$D$4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'сводная табл 2'!$A$5:$A$6</c:f>
              <c:strCache>
                <c:ptCount val="2"/>
                <c:pt idx="0">
                  <c:v>Среднее по полю Главная компонента 2 (Здравоохранение и борьба с коррупцией)</c:v>
                </c:pt>
                <c:pt idx="1">
                  <c:v>Среднее по полю Главная компонента 1 (Экономическая устойчивость и преступность)</c:v>
                </c:pt>
              </c:strCache>
            </c:strRef>
          </c:cat>
          <c:val>
            <c:numRef>
              <c:f>'сводная табл 2'!$D$5:$D$6</c:f>
              <c:numCache>
                <c:formatCode>General</c:formatCode>
                <c:ptCount val="2"/>
                <c:pt idx="0">
                  <c:v>0.52218529281488857</c:v>
                </c:pt>
                <c:pt idx="1">
                  <c:v>0.41419852172750943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4DD-4FCA-B556-AC06E94DACC4}"/>
            </c:ext>
          </c:extLst>
        </c:ser>
        <c:ser>
          <c:idx val="3"/>
          <c:order val="3"/>
          <c:tx>
            <c:strRef>
              <c:f>'сводная табл 2'!$E$3:$E$4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'сводная табл 2'!$A$5:$A$6</c:f>
              <c:strCache>
                <c:ptCount val="2"/>
                <c:pt idx="0">
                  <c:v>Среднее по полю Главная компонента 2 (Здравоохранение и борьба с коррупцией)</c:v>
                </c:pt>
                <c:pt idx="1">
                  <c:v>Среднее по полю Главная компонента 1 (Экономическая устойчивость и преступность)</c:v>
                </c:pt>
              </c:strCache>
            </c:strRef>
          </c:cat>
          <c:val>
            <c:numRef>
              <c:f>'сводная табл 2'!$E$5:$E$6</c:f>
              <c:numCache>
                <c:formatCode>General</c:formatCode>
                <c:ptCount val="2"/>
                <c:pt idx="0">
                  <c:v>-9.9526158111548954E-2</c:v>
                </c:pt>
                <c:pt idx="1">
                  <c:v>-0.75749473569813341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4DD-4FCA-B556-AC06E94DACC4}"/>
            </c:ext>
          </c:extLst>
        </c:ser>
        <c:ser>
          <c:idx val="4"/>
          <c:order val="4"/>
          <c:tx>
            <c:strRef>
              <c:f>'сводная табл 2'!$F$3:$F$4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'сводная табл 2'!$A$5:$A$6</c:f>
              <c:strCache>
                <c:ptCount val="2"/>
                <c:pt idx="0">
                  <c:v>Среднее по полю Главная компонента 2 (Здравоохранение и борьба с коррупцией)</c:v>
                </c:pt>
                <c:pt idx="1">
                  <c:v>Среднее по полю Главная компонента 1 (Экономическая устойчивость и преступность)</c:v>
                </c:pt>
              </c:strCache>
            </c:strRef>
          </c:cat>
          <c:val>
            <c:numRef>
              <c:f>'сводная табл 2'!$F$5:$F$6</c:f>
              <c:numCache>
                <c:formatCode>General</c:formatCode>
                <c:ptCount val="2"/>
                <c:pt idx="0">
                  <c:v>-0.62681843705696905</c:v>
                </c:pt>
                <c:pt idx="1">
                  <c:v>-7.2479385219826591E-3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4DD-4FCA-B556-AC06E94DACC4}"/>
            </c:ext>
          </c:extLst>
        </c:ser>
        <c:ser>
          <c:idx val="5"/>
          <c:order val="5"/>
          <c:tx>
            <c:strRef>
              <c:f>'сводная табл 2'!$G$3:$G$4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'сводная табл 2'!$A$5:$A$6</c:f>
              <c:strCache>
                <c:ptCount val="2"/>
                <c:pt idx="0">
                  <c:v>Среднее по полю Главная компонента 2 (Здравоохранение и борьба с коррупцией)</c:v>
                </c:pt>
                <c:pt idx="1">
                  <c:v>Среднее по полю Главная компонента 1 (Экономическая устойчивость и преступность)</c:v>
                </c:pt>
              </c:strCache>
            </c:strRef>
          </c:cat>
          <c:val>
            <c:numRef>
              <c:f>'сводная табл 2'!$G$5:$G$6</c:f>
              <c:numCache>
                <c:formatCode>General</c:formatCode>
                <c:ptCount val="2"/>
                <c:pt idx="0">
                  <c:v>1.2294049687218578</c:v>
                </c:pt>
                <c:pt idx="1">
                  <c:v>-1.2771247149071123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4DD-4FCA-B556-AC06E94D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84239"/>
        <c:axId val="606385903"/>
      </c:lineChart>
      <c:catAx>
        <c:axId val="60638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385903"/>
        <c:crosses val="autoZero"/>
        <c:auto val="1"/>
        <c:lblAlgn val="ctr"/>
        <c:lblOffset val="100"/>
        <c:noMultiLvlLbl val="0"/>
      </c:catAx>
      <c:valAx>
        <c:axId val="6063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38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средних значений по методу средней невзвешенной связи</a:t>
            </a:r>
            <a:endParaRPr lang="ru-K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'невзвешеной ср'!$O$3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'невзвешеной ср'!$P$2:$X$2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'невзвешеной ср'!$P$3:$X$3</c:f>
              <c:numCache>
                <c:formatCode>General</c:formatCode>
                <c:ptCount val="9"/>
                <c:pt idx="0">
                  <c:v>-1.2545451999999999</c:v>
                </c:pt>
                <c:pt idx="1">
                  <c:v>1.7259112700000001</c:v>
                </c:pt>
                <c:pt idx="2">
                  <c:v>-0.71721293799999997</c:v>
                </c:pt>
                <c:pt idx="3">
                  <c:v>0.92777866700000011</c:v>
                </c:pt>
                <c:pt idx="4">
                  <c:v>6.8915327899999994</c:v>
                </c:pt>
                <c:pt idx="5">
                  <c:v>3.8590870500000003</c:v>
                </c:pt>
                <c:pt idx="6">
                  <c:v>3.06948211</c:v>
                </c:pt>
                <c:pt idx="7">
                  <c:v>-0.18112886799999997</c:v>
                </c:pt>
                <c:pt idx="8">
                  <c:v>1.3464929300000001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0-4B4D-8774-B4D6D806FFB0}"/>
            </c:ext>
          </c:extLst>
        </c:ser>
        <c:ser>
          <c:idx val="1"/>
          <c:order val="1"/>
          <c:tx>
            <c:strRef>
              <c:f>'невзвешеной ср'!$O$4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'невзвешеной ср'!$P$2:$X$2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'невзвешеной ср'!$P$4:$X$4</c:f>
              <c:numCache>
                <c:formatCode>General</c:formatCode>
                <c:ptCount val="9"/>
                <c:pt idx="0">
                  <c:v>0.28368628000000007</c:v>
                </c:pt>
                <c:pt idx="1">
                  <c:v>0.80494057800000007</c:v>
                </c:pt>
                <c:pt idx="2">
                  <c:v>-0.75382880100000016</c:v>
                </c:pt>
                <c:pt idx="3">
                  <c:v>1.1635767800000001</c:v>
                </c:pt>
                <c:pt idx="4">
                  <c:v>1.8638811200000001</c:v>
                </c:pt>
                <c:pt idx="5">
                  <c:v>3.1448461999999999</c:v>
                </c:pt>
                <c:pt idx="6">
                  <c:v>0.726178981</c:v>
                </c:pt>
                <c:pt idx="7">
                  <c:v>-1.10912528</c:v>
                </c:pt>
                <c:pt idx="8">
                  <c:v>6.3217913000000001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0-4B4D-8774-B4D6D806FFB0}"/>
            </c:ext>
          </c:extLst>
        </c:ser>
        <c:ser>
          <c:idx val="2"/>
          <c:order val="2"/>
          <c:tx>
            <c:strRef>
              <c:f>'невзвешеной ср'!$O$5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'невзвешеной ср'!$P$2:$X$2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'невзвешеной ср'!$P$5:$X$5</c:f>
              <c:numCache>
                <c:formatCode>General</c:formatCode>
                <c:ptCount val="9"/>
                <c:pt idx="0">
                  <c:v>0.71691168000000005</c:v>
                </c:pt>
                <c:pt idx="1">
                  <c:v>1.6668115500000003</c:v>
                </c:pt>
                <c:pt idx="2">
                  <c:v>-0.62574745100000018</c:v>
                </c:pt>
                <c:pt idx="3">
                  <c:v>0.10582420100000002</c:v>
                </c:pt>
                <c:pt idx="4">
                  <c:v>1.0938137000000001</c:v>
                </c:pt>
                <c:pt idx="5">
                  <c:v>4.5733278999999998</c:v>
                </c:pt>
                <c:pt idx="6">
                  <c:v>-0.18025893800000001</c:v>
                </c:pt>
                <c:pt idx="7">
                  <c:v>-1.51917021</c:v>
                </c:pt>
                <c:pt idx="8">
                  <c:v>0.29759871200000004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0-4B4D-8774-B4D6D806FFB0}"/>
            </c:ext>
          </c:extLst>
        </c:ser>
        <c:ser>
          <c:idx val="3"/>
          <c:order val="3"/>
          <c:tx>
            <c:strRef>
              <c:f>'невзвешеной ср'!$O$6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'невзвешеной ср'!$P$2:$X$2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'невзвешеной ср'!$P$6:$X$6</c:f>
              <c:numCache>
                <c:formatCode>General</c:formatCode>
                <c:ptCount val="9"/>
                <c:pt idx="0">
                  <c:v>-0.79993985150000002</c:v>
                </c:pt>
                <c:pt idx="1">
                  <c:v>0.52175440350000013</c:v>
                </c:pt>
                <c:pt idx="2">
                  <c:v>4.7557420549999998</c:v>
                </c:pt>
                <c:pt idx="3">
                  <c:v>-0.24057684020000006</c:v>
                </c:pt>
                <c:pt idx="4">
                  <c:v>-0.52642429000000013</c:v>
                </c:pt>
                <c:pt idx="5">
                  <c:v>0.16544150349999998</c:v>
                </c:pt>
                <c:pt idx="6">
                  <c:v>-0.41732127450000001</c:v>
                </c:pt>
                <c:pt idx="7">
                  <c:v>1.3295629645</c:v>
                </c:pt>
                <c:pt idx="8">
                  <c:v>-0.33404241499999998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0-4B4D-8774-B4D6D806FFB0}"/>
            </c:ext>
          </c:extLst>
        </c:ser>
        <c:ser>
          <c:idx val="4"/>
          <c:order val="4"/>
          <c:tx>
            <c:strRef>
              <c:f>'невзвешеной ср'!$O$7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'невзвешеной ср'!$P$2:$X$2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'невзвешеной ср'!$P$7:$X$7</c:f>
              <c:numCache>
                <c:formatCode>General</c:formatCode>
                <c:ptCount val="9"/>
                <c:pt idx="0">
                  <c:v>1.7403363600000001</c:v>
                </c:pt>
                <c:pt idx="1">
                  <c:v>3.3585411299999999</c:v>
                </c:pt>
                <c:pt idx="2">
                  <c:v>-0.13537684399999994</c:v>
                </c:pt>
                <c:pt idx="3">
                  <c:v>-2.1705811349999999</c:v>
                </c:pt>
                <c:pt idx="4">
                  <c:v>-0.56782214500000006</c:v>
                </c:pt>
                <c:pt idx="5">
                  <c:v>-0.23249268500000006</c:v>
                </c:pt>
                <c:pt idx="6">
                  <c:v>-0.85265986000000016</c:v>
                </c:pt>
                <c:pt idx="7">
                  <c:v>2.4410005300000002</c:v>
                </c:pt>
                <c:pt idx="8">
                  <c:v>-0.74816206600000013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0-4B4D-8774-B4D6D806FFB0}"/>
            </c:ext>
          </c:extLst>
        </c:ser>
        <c:ser>
          <c:idx val="5"/>
          <c:order val="5"/>
          <c:tx>
            <c:strRef>
              <c:f>'невзвешеной ср'!$O$8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'невзвешеной ср'!$P$2:$X$2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'невзвешеной ср'!$P$8:$X$8</c:f>
              <c:numCache>
                <c:formatCode>General</c:formatCode>
                <c:ptCount val="9"/>
                <c:pt idx="0">
                  <c:v>-2.1127867018181805E-2</c:v>
                </c:pt>
                <c:pt idx="1">
                  <c:v>-0.15530200585207793</c:v>
                </c:pt>
                <c:pt idx="2">
                  <c:v>-9.2778457528571417E-2</c:v>
                </c:pt>
                <c:pt idx="3">
                  <c:v>3.4092679282597411E-2</c:v>
                </c:pt>
                <c:pt idx="4">
                  <c:v>-9.9490061682467587E-2</c:v>
                </c:pt>
                <c:pt idx="5">
                  <c:v>-0.14861245162571424</c:v>
                </c:pt>
                <c:pt idx="6">
                  <c:v>-1.3966751732597461E-2</c:v>
                </c:pt>
                <c:pt idx="7">
                  <c:v>-6.1450683382337688E-2</c:v>
                </c:pt>
                <c:pt idx="8">
                  <c:v>-7.5343817805701263E-2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0-4B4D-8774-B4D6D806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67215"/>
        <c:axId val="872364303"/>
      </c:lineChart>
      <c:catAx>
        <c:axId val="87236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364303"/>
        <c:crosses val="autoZero"/>
        <c:auto val="1"/>
        <c:lblAlgn val="ctr"/>
        <c:lblOffset val="100"/>
        <c:noMultiLvlLbl val="0"/>
      </c:catAx>
      <c:valAx>
        <c:axId val="87236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36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средних значений по методу к-средних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'к-средних'!$N$3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'к-средних'!$O$3:$W$3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'к-средних'!$O$2:$W$2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7E1-436E-B553-BAF3AD278FD6}"/>
            </c:ext>
          </c:extLst>
        </c:ser>
        <c:ser>
          <c:idx val="1"/>
          <c:order val="1"/>
          <c:tx>
            <c:strRef>
              <c:f>'к-средних'!$N$4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'к-средних'!$O$4:$W$4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'к-средних'!$O$2:$W$2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7E1-436E-B553-BAF3AD278FD6}"/>
            </c:ext>
          </c:extLst>
        </c:ser>
        <c:ser>
          <c:idx val="2"/>
          <c:order val="2"/>
          <c:tx>
            <c:strRef>
              <c:f>'к-средних'!$N$5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'к-средних'!$O$5:$W$5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'к-средних'!$O$2:$W$2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7E1-436E-B553-BAF3AD278FD6}"/>
            </c:ext>
          </c:extLst>
        </c:ser>
        <c:ser>
          <c:idx val="3"/>
          <c:order val="3"/>
          <c:tx>
            <c:strRef>
              <c:f>'к-средних'!$N$6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'к-средних'!$O$6:$W$6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'к-средних'!$O$2:$W$2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7E1-436E-B553-BAF3AD278FD6}"/>
            </c:ext>
          </c:extLst>
        </c:ser>
        <c:ser>
          <c:idx val="4"/>
          <c:order val="4"/>
          <c:tx>
            <c:strRef>
              <c:f>'к-средних'!$N$7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'к-средних'!$O$7:$W$7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'к-средних'!$O$2:$W$2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7E1-436E-B553-BAF3AD278FD6}"/>
            </c:ext>
          </c:extLst>
        </c:ser>
        <c:ser>
          <c:idx val="5"/>
          <c:order val="5"/>
          <c:tx>
            <c:strRef>
              <c:f>'к-средних'!$N$8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'к-средних'!$O$8:$W$8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'к-средних'!$O$2:$W$2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07E1-436E-B553-BAF3AD278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548048"/>
        <c:axId val="2123548464"/>
      </c:lineChart>
      <c:catAx>
        <c:axId val="21235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3548464"/>
        <c:crosses val="autoZero"/>
        <c:auto val="1"/>
        <c:lblAlgn val="ctr"/>
        <c:lblOffset val="100"/>
        <c:noMultiLvlLbl val="0"/>
      </c:catAx>
      <c:valAx>
        <c:axId val="21235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35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[Нуритдинходжаева_А (2).xlsx]сводная таблица!Сводная таблица4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таблица'!$B$3:$B$4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'сводная таблица'!$A$5:$A$13</c:f>
              <c:strCache>
                <c:ptCount val="9"/>
                <c:pt idx="0">
                  <c:v>Среднее по полю х1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'сводная таблица'!$B$5:$B$13</c:f>
              <c:numCache>
                <c:formatCode>General</c:formatCode>
                <c:ptCount val="9"/>
                <c:pt idx="0">
                  <c:v>-0.75310087162500006</c:v>
                </c:pt>
                <c:pt idx="1">
                  <c:v>-0.88247965000000006</c:v>
                </c:pt>
                <c:pt idx="2">
                  <c:v>0.17515717187500002</c:v>
                </c:pt>
                <c:pt idx="3">
                  <c:v>2.12604318125</c:v>
                </c:pt>
                <c:pt idx="4">
                  <c:v>-0.54678664943749999</c:v>
                </c:pt>
                <c:pt idx="5">
                  <c:v>-0.53349418662500014</c:v>
                </c:pt>
                <c:pt idx="6">
                  <c:v>2.4241274725000004</c:v>
                </c:pt>
                <c:pt idx="7">
                  <c:v>-0.78540560083750011</c:v>
                </c:pt>
                <c:pt idx="8">
                  <c:v>-0.14656659775000003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F-4AD5-AB6A-51F6098AF985}"/>
            </c:ext>
          </c:extLst>
        </c:ser>
        <c:ser>
          <c:idx val="1"/>
          <c:order val="1"/>
          <c:tx>
            <c:strRef>
              <c:f>'сводная таблица'!$C$3:$C$4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'сводная таблица'!$A$5:$A$13</c:f>
              <c:strCache>
                <c:ptCount val="9"/>
                <c:pt idx="0">
                  <c:v>Среднее по полю х1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'сводная таблица'!$C$5:$C$13</c:f>
              <c:numCache>
                <c:formatCode>General</c:formatCode>
                <c:ptCount val="9"/>
                <c:pt idx="0">
                  <c:v>1.0692589622500002</c:v>
                </c:pt>
                <c:pt idx="1">
                  <c:v>0.57131198410000006</c:v>
                </c:pt>
                <c:pt idx="2">
                  <c:v>4.9769384500000027E-3</c:v>
                </c:pt>
                <c:pt idx="3">
                  <c:v>-0.97143232856250017</c:v>
                </c:pt>
                <c:pt idx="4">
                  <c:v>-0.32204341712500001</c:v>
                </c:pt>
                <c:pt idx="5">
                  <c:v>-0.36641284483875003</c:v>
                </c:pt>
                <c:pt idx="6">
                  <c:v>-0.63465251362499997</c:v>
                </c:pt>
                <c:pt idx="7">
                  <c:v>-4.7594500624999994E-2</c:v>
                </c:pt>
                <c:pt idx="8">
                  <c:v>-0.41354085421875009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F-4AD5-AB6A-51F6098AF985}"/>
            </c:ext>
          </c:extLst>
        </c:ser>
        <c:ser>
          <c:idx val="2"/>
          <c:order val="2"/>
          <c:tx>
            <c:strRef>
              <c:f>'сводная таблица'!$D$3:$D$4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'сводная таблица'!$A$5:$A$13</c:f>
              <c:strCache>
                <c:ptCount val="9"/>
                <c:pt idx="0">
                  <c:v>Среднее по полю х1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'сводная таблица'!$D$5:$D$13</c:f>
              <c:numCache>
                <c:formatCode>General</c:formatCode>
                <c:ptCount val="9"/>
                <c:pt idx="0">
                  <c:v>-0.48542945999999992</c:v>
                </c:pt>
                <c:pt idx="1">
                  <c:v>1.2654259240000001</c:v>
                </c:pt>
                <c:pt idx="2">
                  <c:v>-0.73552086950000006</c:v>
                </c:pt>
                <c:pt idx="3">
                  <c:v>1.0456777235000001</c:v>
                </c:pt>
                <c:pt idx="4">
                  <c:v>4.3777069549999998</c:v>
                </c:pt>
                <c:pt idx="5">
                  <c:v>3.5019666250000001</c:v>
                </c:pt>
                <c:pt idx="6">
                  <c:v>1.8978305455</c:v>
                </c:pt>
                <c:pt idx="7">
                  <c:v>-0.64512707400000002</c:v>
                </c:pt>
                <c:pt idx="8">
                  <c:v>3.8341421150000001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F-4AD5-AB6A-51F6098AF985}"/>
            </c:ext>
          </c:extLst>
        </c:ser>
        <c:ser>
          <c:idx val="3"/>
          <c:order val="3"/>
          <c:tx>
            <c:strRef>
              <c:f>'сводная таблица'!$E$3:$E$4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'сводная таблица'!$A$5:$A$13</c:f>
              <c:strCache>
                <c:ptCount val="9"/>
                <c:pt idx="0">
                  <c:v>Среднее по полю х1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'сводная таблица'!$E$5:$E$13</c:f>
              <c:numCache>
                <c:formatCode>General</c:formatCode>
                <c:ptCount val="9"/>
                <c:pt idx="0">
                  <c:v>0.66859165835294121</c:v>
                </c:pt>
                <c:pt idx="1">
                  <c:v>2.4590399176470492E-3</c:v>
                </c:pt>
                <c:pt idx="2">
                  <c:v>-0.56650615770588231</c:v>
                </c:pt>
                <c:pt idx="3">
                  <c:v>-0.10266792899411771</c:v>
                </c:pt>
                <c:pt idx="4">
                  <c:v>0.65663176692941172</c:v>
                </c:pt>
                <c:pt idx="5">
                  <c:v>0.8472714252329413</c:v>
                </c:pt>
                <c:pt idx="6">
                  <c:v>-0.19748338063764706</c:v>
                </c:pt>
                <c:pt idx="7">
                  <c:v>-0.47565030090588228</c:v>
                </c:pt>
                <c:pt idx="8">
                  <c:v>0.61864266844829408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F-4AD5-AB6A-51F6098AF985}"/>
            </c:ext>
          </c:extLst>
        </c:ser>
        <c:ser>
          <c:idx val="4"/>
          <c:order val="4"/>
          <c:tx>
            <c:strRef>
              <c:f>'сводная таблица'!$F$3:$F$4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'сводная таблица'!$A$5:$A$13</c:f>
              <c:strCache>
                <c:ptCount val="9"/>
                <c:pt idx="0">
                  <c:v>Среднее по полю х1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'сводная таблица'!$F$5:$F$13</c:f>
              <c:numCache>
                <c:formatCode>General</c:formatCode>
                <c:ptCount val="9"/>
                <c:pt idx="0">
                  <c:v>-0.75943046194074082</c:v>
                </c:pt>
                <c:pt idx="1">
                  <c:v>-0.36009008060037045</c:v>
                </c:pt>
                <c:pt idx="2">
                  <c:v>-0.25846499044074078</c:v>
                </c:pt>
                <c:pt idx="3">
                  <c:v>9.5002021831851843E-2</c:v>
                </c:pt>
                <c:pt idx="4">
                  <c:v>-0.1179056210462963</c:v>
                </c:pt>
                <c:pt idx="5">
                  <c:v>-0.16106860006370372</c:v>
                </c:pt>
                <c:pt idx="6">
                  <c:v>-0.13075787863592594</c:v>
                </c:pt>
                <c:pt idx="7">
                  <c:v>-8.7609849445925925E-2</c:v>
                </c:pt>
                <c:pt idx="8">
                  <c:v>-7.4258789265185213E-2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1F-4AD5-AB6A-51F6098AF985}"/>
            </c:ext>
          </c:extLst>
        </c:ser>
        <c:ser>
          <c:idx val="5"/>
          <c:order val="5"/>
          <c:tx>
            <c:strRef>
              <c:f>'сводная таблица'!$G$3:$G$4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'сводная таблица'!$A$5:$A$13</c:f>
              <c:strCache>
                <c:ptCount val="9"/>
                <c:pt idx="0">
                  <c:v>Среднее по полю х1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'сводная таблица'!$G$5:$G$13</c:f>
              <c:numCache>
                <c:formatCode>General</c:formatCode>
                <c:ptCount val="9"/>
                <c:pt idx="0">
                  <c:v>-6.956522900000002E-2</c:v>
                </c:pt>
                <c:pt idx="1">
                  <c:v>0.36204443702857153</c:v>
                </c:pt>
                <c:pt idx="2">
                  <c:v>1.1856651981428572</c:v>
                </c:pt>
                <c:pt idx="3">
                  <c:v>-0.3126059595857143</c:v>
                </c:pt>
                <c:pt idx="4">
                  <c:v>-0.51483673711428579</c:v>
                </c:pt>
                <c:pt idx="5">
                  <c:v>-0.49486687535714291</c:v>
                </c:pt>
                <c:pt idx="6">
                  <c:v>-0.43904003274285719</c:v>
                </c:pt>
                <c:pt idx="7">
                  <c:v>1.3418951446928573</c:v>
                </c:pt>
                <c:pt idx="8">
                  <c:v>-0.5993597017857144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1F-4AD5-AB6A-51F6098A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73568"/>
        <c:axId val="2120674400"/>
      </c:lineChart>
      <c:catAx>
        <c:axId val="21206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674400"/>
        <c:crosses val="autoZero"/>
        <c:auto val="1"/>
        <c:lblAlgn val="ctr"/>
        <c:lblOffset val="100"/>
        <c:noMultiLvlLbl val="0"/>
      </c:catAx>
      <c:valAx>
        <c:axId val="2120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6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средних значений по методу</a:t>
            </a:r>
          </a:p>
          <a:p>
            <a:pPr>
              <a:defRPr/>
            </a:pPr>
            <a:r>
              <a:rPr lang="ru-RU" baseline="0"/>
              <a:t> "взвешенной средней связи"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графики!$B$2:$J$2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графики!$B$3:$J$3</c:f>
              <c:numCache>
                <c:formatCode>0.000</c:formatCode>
                <c:ptCount val="9"/>
                <c:pt idx="0">
                  <c:v>-1.2545451999999999</c:v>
                </c:pt>
                <c:pt idx="1">
                  <c:v>1.7259112700000001</c:v>
                </c:pt>
                <c:pt idx="2">
                  <c:v>-0.71721293799999997</c:v>
                </c:pt>
                <c:pt idx="3">
                  <c:v>0.92777866700000011</c:v>
                </c:pt>
                <c:pt idx="4">
                  <c:v>6.8915327899999994</c:v>
                </c:pt>
                <c:pt idx="5">
                  <c:v>3.8590870500000003</c:v>
                </c:pt>
                <c:pt idx="6">
                  <c:v>3.06948211</c:v>
                </c:pt>
                <c:pt idx="7">
                  <c:v>-0.18112886799999997</c:v>
                </c:pt>
                <c:pt idx="8">
                  <c:v>1.3464929300000001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C-4207-997B-8C67C8CCC0D3}"/>
            </c:ext>
          </c:extLst>
        </c:ser>
        <c:ser>
          <c:idx val="1"/>
          <c:order val="1"/>
          <c:tx>
            <c:strRef>
              <c:f>графики!$A$4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графики!$B$2:$J$2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графики!$B$4:$J$4</c:f>
              <c:numCache>
                <c:formatCode>0.000</c:formatCode>
                <c:ptCount val="9"/>
                <c:pt idx="0">
                  <c:v>0.28368628000000007</c:v>
                </c:pt>
                <c:pt idx="1">
                  <c:v>0.80494057800000007</c:v>
                </c:pt>
                <c:pt idx="2">
                  <c:v>-0.75382880100000016</c:v>
                </c:pt>
                <c:pt idx="3">
                  <c:v>1.1635767800000001</c:v>
                </c:pt>
                <c:pt idx="4">
                  <c:v>1.8638811200000001</c:v>
                </c:pt>
                <c:pt idx="5">
                  <c:v>3.1448461999999999</c:v>
                </c:pt>
                <c:pt idx="6">
                  <c:v>0.726178981</c:v>
                </c:pt>
                <c:pt idx="7">
                  <c:v>-1.10912528</c:v>
                </c:pt>
                <c:pt idx="8">
                  <c:v>6.3217913000000001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C-4207-997B-8C67C8CCC0D3}"/>
            </c:ext>
          </c:extLst>
        </c:ser>
        <c:ser>
          <c:idx val="2"/>
          <c:order val="2"/>
          <c:tx>
            <c:strRef>
              <c:f>графики!$A$5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графики!$B$2:$J$2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графики!$B$5:$J$5</c:f>
              <c:numCache>
                <c:formatCode>0.000</c:formatCode>
                <c:ptCount val="9"/>
                <c:pt idx="0">
                  <c:v>1.0634920000000001</c:v>
                </c:pt>
                <c:pt idx="1">
                  <c:v>4.7301472100000002</c:v>
                </c:pt>
                <c:pt idx="2">
                  <c:v>0.27651410200000004</c:v>
                </c:pt>
                <c:pt idx="3">
                  <c:v>-2.2608627800000001</c:v>
                </c:pt>
                <c:pt idx="4">
                  <c:v>-0.7142291930000001</c:v>
                </c:pt>
                <c:pt idx="5">
                  <c:v>-0.69164751800000013</c:v>
                </c:pt>
                <c:pt idx="6">
                  <c:v>-0.8456277310000001</c:v>
                </c:pt>
                <c:pt idx="7">
                  <c:v>3.46611285</c:v>
                </c:pt>
                <c:pt idx="8">
                  <c:v>-0.77969863700000019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C-4207-997B-8C67C8CCC0D3}"/>
            </c:ext>
          </c:extLst>
        </c:ser>
        <c:ser>
          <c:idx val="3"/>
          <c:order val="3"/>
          <c:tx>
            <c:strRef>
              <c:f>графики!$A$6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графики!$B$2:$J$2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графики!$B$6:$J$6</c:f>
              <c:numCache>
                <c:formatCode>0.000</c:formatCode>
                <c:ptCount val="9"/>
                <c:pt idx="0">
                  <c:v>0.5473188052857143</c:v>
                </c:pt>
                <c:pt idx="1">
                  <c:v>8.3783239571428567E-2</c:v>
                </c:pt>
                <c:pt idx="2">
                  <c:v>-0.56878774642857155</c:v>
                </c:pt>
                <c:pt idx="3">
                  <c:v>0.19701326628571428</c:v>
                </c:pt>
                <c:pt idx="4">
                  <c:v>0.79657614368571428</c:v>
                </c:pt>
                <c:pt idx="5">
                  <c:v>1.9087722337142858</c:v>
                </c:pt>
                <c:pt idx="6">
                  <c:v>2.4857748428571507E-2</c:v>
                </c:pt>
                <c:pt idx="7">
                  <c:v>-0.68366513157142861</c:v>
                </c:pt>
                <c:pt idx="8">
                  <c:v>0.89750111046857139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0C-4207-997B-8C67C8CCC0D3}"/>
            </c:ext>
          </c:extLst>
        </c:ser>
        <c:ser>
          <c:idx val="4"/>
          <c:order val="4"/>
          <c:tx>
            <c:strRef>
              <c:f>графики!$A$7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графики!$B$2:$J$2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графики!$B$7:$J$7</c:f>
              <c:numCache>
                <c:formatCode>0.000</c:formatCode>
                <c:ptCount val="9"/>
                <c:pt idx="0">
                  <c:v>-0.75310087162500006</c:v>
                </c:pt>
                <c:pt idx="1">
                  <c:v>-0.88247965000000006</c:v>
                </c:pt>
                <c:pt idx="2">
                  <c:v>0.17515717187500002</c:v>
                </c:pt>
                <c:pt idx="3">
                  <c:v>2.12604318125</c:v>
                </c:pt>
                <c:pt idx="4">
                  <c:v>-0.54678664943749999</c:v>
                </c:pt>
                <c:pt idx="5">
                  <c:v>-0.53349418662500014</c:v>
                </c:pt>
                <c:pt idx="6">
                  <c:v>2.4241274725000004</c:v>
                </c:pt>
                <c:pt idx="7">
                  <c:v>-0.78540560083750011</c:v>
                </c:pt>
                <c:pt idx="8">
                  <c:v>-0.14656659775000003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0C-4207-997B-8C67C8CCC0D3}"/>
            </c:ext>
          </c:extLst>
        </c:ser>
        <c:ser>
          <c:idx val="5"/>
          <c:order val="5"/>
          <c:tx>
            <c:strRef>
              <c:f>графики!$A$8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графики!$B$2:$J$2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графики!$B$8:$J$8</c:f>
              <c:numCache>
                <c:formatCode>0.000</c:formatCode>
                <c:ptCount val="9"/>
                <c:pt idx="0">
                  <c:v>3.183245867575759E-2</c:v>
                </c:pt>
                <c:pt idx="1">
                  <c:v>-1.1934007888030274E-2</c:v>
                </c:pt>
                <c:pt idx="2">
                  <c:v>5.7193704383333294E-2</c:v>
                </c:pt>
                <c:pt idx="3">
                  <c:v>-0.2760292572521213</c:v>
                </c:pt>
                <c:pt idx="4">
                  <c:v>-0.14004431116439398</c:v>
                </c:pt>
                <c:pt idx="5">
                  <c:v>-0.23342027065424231</c:v>
                </c:pt>
                <c:pt idx="6">
                  <c:v>-0.34116753603651506</c:v>
                </c:pt>
                <c:pt idx="7">
                  <c:v>0.13474306115545454</c:v>
                </c:pt>
                <c:pt idx="8">
                  <c:v>-0.18179637235331819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0C-4207-997B-8C67C8CCC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290704"/>
        <c:axId val="1653289040"/>
      </c:lineChart>
      <c:catAx>
        <c:axId val="16532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3289040"/>
        <c:crosses val="autoZero"/>
        <c:auto val="1"/>
        <c:lblAlgn val="ctr"/>
        <c:lblOffset val="100"/>
        <c:noMultiLvlLbl val="0"/>
      </c:catAx>
      <c:valAx>
        <c:axId val="16532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32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средних значений по методу</a:t>
            </a:r>
            <a:endParaRPr lang="ru-KG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 "невзвешенной средней связи"</a:t>
            </a:r>
            <a:endParaRPr lang="ru-K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графики!$L$3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графики!$M$2:$U$2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графики!$M$3:$U$3</c:f>
              <c:numCache>
                <c:formatCode>General</c:formatCode>
                <c:ptCount val="9"/>
                <c:pt idx="0">
                  <c:v>-1.2545451999999999</c:v>
                </c:pt>
                <c:pt idx="1">
                  <c:v>1.7259112700000001</c:v>
                </c:pt>
                <c:pt idx="2">
                  <c:v>-0.71721293799999997</c:v>
                </c:pt>
                <c:pt idx="3">
                  <c:v>0.92777866700000011</c:v>
                </c:pt>
                <c:pt idx="4">
                  <c:v>6.8915327899999994</c:v>
                </c:pt>
                <c:pt idx="5">
                  <c:v>3.8590870500000003</c:v>
                </c:pt>
                <c:pt idx="6">
                  <c:v>3.06948211</c:v>
                </c:pt>
                <c:pt idx="7">
                  <c:v>-0.18112886799999997</c:v>
                </c:pt>
                <c:pt idx="8">
                  <c:v>1.3464929300000001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0-48E9-B1A9-B3F3C7459773}"/>
            </c:ext>
          </c:extLst>
        </c:ser>
        <c:ser>
          <c:idx val="1"/>
          <c:order val="1"/>
          <c:tx>
            <c:strRef>
              <c:f>графики!$L$4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графики!$M$2:$U$2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графики!$M$4:$U$4</c:f>
              <c:numCache>
                <c:formatCode>General</c:formatCode>
                <c:ptCount val="9"/>
                <c:pt idx="0">
                  <c:v>0.28368628000000007</c:v>
                </c:pt>
                <c:pt idx="1">
                  <c:v>0.80494057800000007</c:v>
                </c:pt>
                <c:pt idx="2">
                  <c:v>-0.75382880100000016</c:v>
                </c:pt>
                <c:pt idx="3">
                  <c:v>1.1635767800000001</c:v>
                </c:pt>
                <c:pt idx="4">
                  <c:v>1.8638811200000001</c:v>
                </c:pt>
                <c:pt idx="5">
                  <c:v>3.1448461999999999</c:v>
                </c:pt>
                <c:pt idx="6">
                  <c:v>0.726178981</c:v>
                </c:pt>
                <c:pt idx="7">
                  <c:v>-1.10912528</c:v>
                </c:pt>
                <c:pt idx="8">
                  <c:v>6.3217913000000001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0-48E9-B1A9-B3F3C7459773}"/>
            </c:ext>
          </c:extLst>
        </c:ser>
        <c:ser>
          <c:idx val="2"/>
          <c:order val="2"/>
          <c:tx>
            <c:strRef>
              <c:f>графики!$L$5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графики!$M$2:$U$2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графики!$M$5:$U$5</c:f>
              <c:numCache>
                <c:formatCode>General</c:formatCode>
                <c:ptCount val="9"/>
                <c:pt idx="0">
                  <c:v>0.71691168000000005</c:v>
                </c:pt>
                <c:pt idx="1">
                  <c:v>1.6668115500000003</c:v>
                </c:pt>
                <c:pt idx="2">
                  <c:v>-0.62574745100000018</c:v>
                </c:pt>
                <c:pt idx="3">
                  <c:v>0.10582420100000002</c:v>
                </c:pt>
                <c:pt idx="4">
                  <c:v>1.0938137000000001</c:v>
                </c:pt>
                <c:pt idx="5">
                  <c:v>4.5733278999999998</c:v>
                </c:pt>
                <c:pt idx="6">
                  <c:v>-0.18025893800000001</c:v>
                </c:pt>
                <c:pt idx="7">
                  <c:v>-1.51917021</c:v>
                </c:pt>
                <c:pt idx="8">
                  <c:v>0.29759871200000004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0-48E9-B1A9-B3F3C7459773}"/>
            </c:ext>
          </c:extLst>
        </c:ser>
        <c:ser>
          <c:idx val="3"/>
          <c:order val="3"/>
          <c:tx>
            <c:strRef>
              <c:f>графики!$L$6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графики!$M$2:$U$2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графики!$M$6:$U$6</c:f>
              <c:numCache>
                <c:formatCode>General</c:formatCode>
                <c:ptCount val="9"/>
                <c:pt idx="0">
                  <c:v>-0.79993985150000002</c:v>
                </c:pt>
                <c:pt idx="1">
                  <c:v>0.52175440350000013</c:v>
                </c:pt>
                <c:pt idx="2">
                  <c:v>4.7557420549999998</c:v>
                </c:pt>
                <c:pt idx="3">
                  <c:v>-0.24057684020000006</c:v>
                </c:pt>
                <c:pt idx="4">
                  <c:v>-0.52642429000000013</c:v>
                </c:pt>
                <c:pt idx="5">
                  <c:v>0.16544150349999998</c:v>
                </c:pt>
                <c:pt idx="6">
                  <c:v>-0.41732127450000001</c:v>
                </c:pt>
                <c:pt idx="7">
                  <c:v>1.3295629645</c:v>
                </c:pt>
                <c:pt idx="8">
                  <c:v>-0.33404241499999998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0-48E9-B1A9-B3F3C7459773}"/>
            </c:ext>
          </c:extLst>
        </c:ser>
        <c:ser>
          <c:idx val="4"/>
          <c:order val="4"/>
          <c:tx>
            <c:strRef>
              <c:f>графики!$L$7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графики!$M$2:$U$2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графики!$M$7:$U$7</c:f>
              <c:numCache>
                <c:formatCode>General</c:formatCode>
                <c:ptCount val="9"/>
                <c:pt idx="0">
                  <c:v>1.7403363600000001</c:v>
                </c:pt>
                <c:pt idx="1">
                  <c:v>3.3585411299999999</c:v>
                </c:pt>
                <c:pt idx="2">
                  <c:v>-0.13537684399999994</c:v>
                </c:pt>
                <c:pt idx="3">
                  <c:v>-2.1705811349999999</c:v>
                </c:pt>
                <c:pt idx="4">
                  <c:v>-0.56782214500000006</c:v>
                </c:pt>
                <c:pt idx="5">
                  <c:v>-0.23249268500000006</c:v>
                </c:pt>
                <c:pt idx="6">
                  <c:v>-0.85265986000000016</c:v>
                </c:pt>
                <c:pt idx="7">
                  <c:v>2.4410005300000002</c:v>
                </c:pt>
                <c:pt idx="8">
                  <c:v>-0.74816206600000013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0-48E9-B1A9-B3F3C7459773}"/>
            </c:ext>
          </c:extLst>
        </c:ser>
        <c:ser>
          <c:idx val="5"/>
          <c:order val="5"/>
          <c:tx>
            <c:strRef>
              <c:f>графики!$L$8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графики!$M$2:$U$2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графики!$M$8:$U$8</c:f>
              <c:numCache>
                <c:formatCode>General</c:formatCode>
                <c:ptCount val="9"/>
                <c:pt idx="0">
                  <c:v>-2.1127867018181805E-2</c:v>
                </c:pt>
                <c:pt idx="1">
                  <c:v>-0.15530200585207793</c:v>
                </c:pt>
                <c:pt idx="2">
                  <c:v>-9.2778457528571417E-2</c:v>
                </c:pt>
                <c:pt idx="3">
                  <c:v>3.4092679282597411E-2</c:v>
                </c:pt>
                <c:pt idx="4">
                  <c:v>-9.9490061682467587E-2</c:v>
                </c:pt>
                <c:pt idx="5">
                  <c:v>-0.14861245162571424</c:v>
                </c:pt>
                <c:pt idx="6">
                  <c:v>-1.3966751732597461E-2</c:v>
                </c:pt>
                <c:pt idx="7">
                  <c:v>-6.1450683382337688E-2</c:v>
                </c:pt>
                <c:pt idx="8">
                  <c:v>-7.5343817805701263E-2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0-48E9-B1A9-B3F3C745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012128"/>
        <c:axId val="1909012544"/>
      </c:lineChart>
      <c:catAx>
        <c:axId val="19090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9012544"/>
        <c:crosses val="autoZero"/>
        <c:auto val="1"/>
        <c:lblAlgn val="ctr"/>
        <c:lblOffset val="100"/>
        <c:noMultiLvlLbl val="0"/>
      </c:catAx>
      <c:valAx>
        <c:axId val="19090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90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средних значений по методу</a:t>
            </a:r>
            <a:r>
              <a:rPr lang="ru-RU" sz="1400" b="0" i="0" baseline="0">
                <a:effectLst/>
              </a:rPr>
              <a:t> </a:t>
            </a:r>
            <a:r>
              <a:rPr lang="ru-RU" sz="1800" b="0" i="0" baseline="0">
                <a:effectLst/>
              </a:rPr>
              <a:t>Уорда</a:t>
            </a:r>
            <a:endParaRPr lang="ru-KG">
              <a:effectLst/>
            </a:endParaRP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графики!$A$32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графики!$B$31:$J$31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графики!$B$32:$J$32</c:f>
              <c:numCache>
                <c:formatCode>0.000</c:formatCode>
                <c:ptCount val="9"/>
                <c:pt idx="0">
                  <c:v>-0.75310087162500006</c:v>
                </c:pt>
                <c:pt idx="1">
                  <c:v>-0.88247965000000006</c:v>
                </c:pt>
                <c:pt idx="2">
                  <c:v>0.17515717187500002</c:v>
                </c:pt>
                <c:pt idx="3">
                  <c:v>2.12604318125</c:v>
                </c:pt>
                <c:pt idx="4">
                  <c:v>-0.54678664943749999</c:v>
                </c:pt>
                <c:pt idx="5">
                  <c:v>-0.53349418662500014</c:v>
                </c:pt>
                <c:pt idx="6">
                  <c:v>2.4241274725000004</c:v>
                </c:pt>
                <c:pt idx="7">
                  <c:v>-0.78540560083750011</c:v>
                </c:pt>
                <c:pt idx="8">
                  <c:v>-0.14656659775000003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C-42E9-AEA4-505DF30EEFB6}"/>
            </c:ext>
          </c:extLst>
        </c:ser>
        <c:ser>
          <c:idx val="1"/>
          <c:order val="1"/>
          <c:tx>
            <c:strRef>
              <c:f>графики!$A$33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графики!$B$31:$J$31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графики!$B$33:$J$33</c:f>
              <c:numCache>
                <c:formatCode>0.000</c:formatCode>
                <c:ptCount val="9"/>
                <c:pt idx="0">
                  <c:v>1.0692589622500002</c:v>
                </c:pt>
                <c:pt idx="1">
                  <c:v>0.57131198410000006</c:v>
                </c:pt>
                <c:pt idx="2">
                  <c:v>4.9769384500000027E-3</c:v>
                </c:pt>
                <c:pt idx="3">
                  <c:v>-0.97143232856250017</c:v>
                </c:pt>
                <c:pt idx="4">
                  <c:v>-0.32204341712500001</c:v>
                </c:pt>
                <c:pt idx="5">
                  <c:v>-0.36641284483875003</c:v>
                </c:pt>
                <c:pt idx="6">
                  <c:v>-0.63465251362499997</c:v>
                </c:pt>
                <c:pt idx="7">
                  <c:v>-4.7594500624999994E-2</c:v>
                </c:pt>
                <c:pt idx="8">
                  <c:v>-0.41354085421875009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C-42E9-AEA4-505DF30EEFB6}"/>
            </c:ext>
          </c:extLst>
        </c:ser>
        <c:ser>
          <c:idx val="2"/>
          <c:order val="2"/>
          <c:tx>
            <c:strRef>
              <c:f>графики!$A$34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графики!$B$31:$J$31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графики!$B$34:$J$34</c:f>
              <c:numCache>
                <c:formatCode>0.000</c:formatCode>
                <c:ptCount val="9"/>
                <c:pt idx="0">
                  <c:v>-0.48542945999999992</c:v>
                </c:pt>
                <c:pt idx="1">
                  <c:v>1.2654259240000001</c:v>
                </c:pt>
                <c:pt idx="2">
                  <c:v>-0.73552086950000006</c:v>
                </c:pt>
                <c:pt idx="3">
                  <c:v>1.0456777235000001</c:v>
                </c:pt>
                <c:pt idx="4">
                  <c:v>4.3777069549999998</c:v>
                </c:pt>
                <c:pt idx="5">
                  <c:v>3.5019666250000001</c:v>
                </c:pt>
                <c:pt idx="6">
                  <c:v>1.8978305455</c:v>
                </c:pt>
                <c:pt idx="7">
                  <c:v>-0.64512707400000002</c:v>
                </c:pt>
                <c:pt idx="8">
                  <c:v>3.8341421150000001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8C-42E9-AEA4-505DF30EEFB6}"/>
            </c:ext>
          </c:extLst>
        </c:ser>
        <c:ser>
          <c:idx val="3"/>
          <c:order val="3"/>
          <c:tx>
            <c:strRef>
              <c:f>графики!$A$35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графики!$B$31:$J$31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графики!$B$35:$J$35</c:f>
              <c:numCache>
                <c:formatCode>0.000</c:formatCode>
                <c:ptCount val="9"/>
                <c:pt idx="0">
                  <c:v>0.66859165835294121</c:v>
                </c:pt>
                <c:pt idx="1">
                  <c:v>2.4590399176470492E-3</c:v>
                </c:pt>
                <c:pt idx="2">
                  <c:v>-0.56650615770588231</c:v>
                </c:pt>
                <c:pt idx="3">
                  <c:v>-0.10266792899411771</c:v>
                </c:pt>
                <c:pt idx="4">
                  <c:v>0.65663176692941172</c:v>
                </c:pt>
                <c:pt idx="5">
                  <c:v>0.8472714252329413</c:v>
                </c:pt>
                <c:pt idx="6">
                  <c:v>-0.19748338063764706</c:v>
                </c:pt>
                <c:pt idx="7">
                  <c:v>-0.47565030090588228</c:v>
                </c:pt>
                <c:pt idx="8">
                  <c:v>0.61864266844829408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8C-42E9-AEA4-505DF30EEFB6}"/>
            </c:ext>
          </c:extLst>
        </c:ser>
        <c:ser>
          <c:idx val="4"/>
          <c:order val="4"/>
          <c:tx>
            <c:strRef>
              <c:f>графики!$A$36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графики!$B$31:$J$31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графики!$B$36:$J$36</c:f>
              <c:numCache>
                <c:formatCode>0.000</c:formatCode>
                <c:ptCount val="9"/>
                <c:pt idx="0">
                  <c:v>-0.75943046194074082</c:v>
                </c:pt>
                <c:pt idx="1">
                  <c:v>-0.36009008060037045</c:v>
                </c:pt>
                <c:pt idx="2">
                  <c:v>-0.25846499044074078</c:v>
                </c:pt>
                <c:pt idx="3">
                  <c:v>9.5002021831851843E-2</c:v>
                </c:pt>
                <c:pt idx="4">
                  <c:v>-0.1179056210462963</c:v>
                </c:pt>
                <c:pt idx="5">
                  <c:v>-0.16106860006370372</c:v>
                </c:pt>
                <c:pt idx="6">
                  <c:v>-0.13075787863592594</c:v>
                </c:pt>
                <c:pt idx="7">
                  <c:v>-8.7609849445925925E-2</c:v>
                </c:pt>
                <c:pt idx="8">
                  <c:v>-7.4258789265185213E-2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8C-42E9-AEA4-505DF30EEFB6}"/>
            </c:ext>
          </c:extLst>
        </c:ser>
        <c:ser>
          <c:idx val="5"/>
          <c:order val="5"/>
          <c:tx>
            <c:strRef>
              <c:f>графики!$A$37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графики!$B$31:$J$31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графики!$B$37:$J$37</c:f>
              <c:numCache>
                <c:formatCode>0.000</c:formatCode>
                <c:ptCount val="9"/>
                <c:pt idx="0">
                  <c:v>-6.956522900000002E-2</c:v>
                </c:pt>
                <c:pt idx="1">
                  <c:v>0.36204443702857153</c:v>
                </c:pt>
                <c:pt idx="2">
                  <c:v>1.1856651981428572</c:v>
                </c:pt>
                <c:pt idx="3">
                  <c:v>-0.3126059595857143</c:v>
                </c:pt>
                <c:pt idx="4">
                  <c:v>-0.51483673711428579</c:v>
                </c:pt>
                <c:pt idx="5">
                  <c:v>-0.49486687535714291</c:v>
                </c:pt>
                <c:pt idx="6">
                  <c:v>-0.43904003274285719</c:v>
                </c:pt>
                <c:pt idx="7">
                  <c:v>1.3418951446928573</c:v>
                </c:pt>
                <c:pt idx="8">
                  <c:v>-0.5993597017857144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8C-42E9-AEA4-505DF30EE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638160"/>
        <c:axId val="1650633584"/>
      </c:lineChart>
      <c:catAx>
        <c:axId val="165063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0633584"/>
        <c:crosses val="autoZero"/>
        <c:auto val="1"/>
        <c:lblAlgn val="ctr"/>
        <c:lblOffset val="100"/>
        <c:noMultiLvlLbl val="0"/>
      </c:catAx>
      <c:valAx>
        <c:axId val="16506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06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средних значений по методу</a:t>
            </a:r>
            <a:endParaRPr lang="ru-KG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 к-средних</a:t>
            </a:r>
            <a:endParaRPr lang="ru-K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графики!$L$32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графики!$M$31:$U$31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графики!$M$32:$U$32</c:f>
              <c:numCache>
                <c:formatCode>0.000</c:formatCode>
                <c:ptCount val="9"/>
                <c:pt idx="0">
                  <c:v>-0.73728823381011999</c:v>
                </c:pt>
                <c:pt idx="1">
                  <c:v>-0.36720393637219689</c:v>
                </c:pt>
                <c:pt idx="2">
                  <c:v>-0.29918578896201231</c:v>
                </c:pt>
                <c:pt idx="3">
                  <c:v>2.2317248716847319E-2</c:v>
                </c:pt>
                <c:pt idx="4">
                  <c:v>-0.11333601773524003</c:v>
                </c:pt>
                <c:pt idx="5">
                  <c:v>-6.8250203770263793E-2</c:v>
                </c:pt>
                <c:pt idx="6">
                  <c:v>-0.20443235241407953</c:v>
                </c:pt>
                <c:pt idx="7">
                  <c:v>5.696173455079781E-2</c:v>
                </c:pt>
                <c:pt idx="8">
                  <c:v>-0.12355732446692121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8-4F9C-BD10-E253D9307896}"/>
            </c:ext>
          </c:extLst>
        </c:ser>
        <c:ser>
          <c:idx val="1"/>
          <c:order val="1"/>
          <c:tx>
            <c:strRef>
              <c:f>графики!$L$33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графики!$M$31:$U$31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графики!$M$33:$U$33</c:f>
              <c:numCache>
                <c:formatCode>0.000</c:formatCode>
                <c:ptCount val="9"/>
                <c:pt idx="0">
                  <c:v>0.91258202628994711</c:v>
                </c:pt>
                <c:pt idx="1">
                  <c:v>0.3004040505602753</c:v>
                </c:pt>
                <c:pt idx="2">
                  <c:v>-0.39215896213538776</c:v>
                </c:pt>
                <c:pt idx="3">
                  <c:v>-0.54605035593771156</c:v>
                </c:pt>
                <c:pt idx="4">
                  <c:v>0.17692788198053422</c:v>
                </c:pt>
                <c:pt idx="5">
                  <c:v>2.5616574740274255E-2</c:v>
                </c:pt>
                <c:pt idx="6">
                  <c:v>-0.44898256095176081</c:v>
                </c:pt>
                <c:pt idx="7">
                  <c:v>-0.12997316552214103</c:v>
                </c:pt>
                <c:pt idx="8">
                  <c:v>0.14126357374807266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8-4F9C-BD10-E253D9307896}"/>
            </c:ext>
          </c:extLst>
        </c:ser>
        <c:ser>
          <c:idx val="2"/>
          <c:order val="2"/>
          <c:tx>
            <c:strRef>
              <c:f>графики!$L$34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графики!$M$31:$U$31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графики!$M$34:$U$34</c:f>
              <c:numCache>
                <c:formatCode>0.000</c:formatCode>
                <c:ptCount val="9"/>
                <c:pt idx="0">
                  <c:v>7.3074970814032109E-2</c:v>
                </c:pt>
                <c:pt idx="1">
                  <c:v>-3.0663844598860578E-2</c:v>
                </c:pt>
                <c:pt idx="2">
                  <c:v>1.7924172898715078</c:v>
                </c:pt>
                <c:pt idx="3">
                  <c:v>-0.17342803105471413</c:v>
                </c:pt>
                <c:pt idx="4">
                  <c:v>-0.56905622721186466</c:v>
                </c:pt>
                <c:pt idx="5">
                  <c:v>-0.50118329104601023</c:v>
                </c:pt>
                <c:pt idx="6">
                  <c:v>-0.34834487319466173</c:v>
                </c:pt>
                <c:pt idx="7">
                  <c:v>0.64435631279723049</c:v>
                </c:pt>
                <c:pt idx="8">
                  <c:v>-0.57554482555948383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8-4F9C-BD10-E253D9307896}"/>
            </c:ext>
          </c:extLst>
        </c:ser>
        <c:ser>
          <c:idx val="3"/>
          <c:order val="3"/>
          <c:tx>
            <c:strRef>
              <c:f>графики!$L$35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графики!$M$31:$U$31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графики!$M$35:$U$35</c:f>
              <c:numCache>
                <c:formatCode>0.000</c:formatCode>
                <c:ptCount val="9"/>
                <c:pt idx="0">
                  <c:v>-8.4649081681740498E-2</c:v>
                </c:pt>
                <c:pt idx="1">
                  <c:v>1.3992211306917544</c:v>
                </c:pt>
                <c:pt idx="2">
                  <c:v>-0.69892973005595005</c:v>
                </c:pt>
                <c:pt idx="3">
                  <c:v>0.73239321494839904</c:v>
                </c:pt>
                <c:pt idx="4">
                  <c:v>3.2830758722312186</c:v>
                </c:pt>
                <c:pt idx="5">
                  <c:v>3.8590870471477849</c:v>
                </c:pt>
                <c:pt idx="6">
                  <c:v>1.2051340502009384</c:v>
                </c:pt>
                <c:pt idx="7">
                  <c:v>-0.93647478474716905</c:v>
                </c:pt>
                <c:pt idx="8">
                  <c:v>2.6552943154833524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E8-4F9C-BD10-E253D9307896}"/>
            </c:ext>
          </c:extLst>
        </c:ser>
        <c:ser>
          <c:idx val="4"/>
          <c:order val="4"/>
          <c:tx>
            <c:strRef>
              <c:f>графики!$L$36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графики!$M$31:$U$31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графики!$M$36:$U$36</c:f>
              <c:numCache>
                <c:formatCode>0.000</c:formatCode>
                <c:ptCount val="9"/>
                <c:pt idx="0">
                  <c:v>1.7403363580761253</c:v>
                </c:pt>
                <c:pt idx="1">
                  <c:v>3.3585411284062761</c:v>
                </c:pt>
                <c:pt idx="2">
                  <c:v>-0.1353768439474361</c:v>
                </c:pt>
                <c:pt idx="3">
                  <c:v>-2.1705811327607378</c:v>
                </c:pt>
                <c:pt idx="4">
                  <c:v>-0.56782214481747173</c:v>
                </c:pt>
                <c:pt idx="5">
                  <c:v>-0.23249268518227406</c:v>
                </c:pt>
                <c:pt idx="6">
                  <c:v>-0.85265986020724938</c:v>
                </c:pt>
                <c:pt idx="7">
                  <c:v>2.4410005294603199</c:v>
                </c:pt>
                <c:pt idx="8">
                  <c:v>-0.74816206579743905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E8-4F9C-BD10-E253D9307896}"/>
            </c:ext>
          </c:extLst>
        </c:ser>
        <c:ser>
          <c:idx val="5"/>
          <c:order val="5"/>
          <c:tx>
            <c:strRef>
              <c:f>графики!$L$37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графики!$M$31:$U$31</c:f>
              <c:strCache>
                <c:ptCount val="9"/>
                <c:pt idx="0">
                  <c:v>х1</c:v>
                </c:pt>
                <c:pt idx="1">
                  <c:v>х2</c:v>
                </c:pt>
                <c:pt idx="2">
                  <c:v>х3</c:v>
                </c:pt>
                <c:pt idx="3">
                  <c:v>х4</c:v>
                </c:pt>
                <c:pt idx="4">
                  <c:v>х5</c:v>
                </c:pt>
                <c:pt idx="5">
                  <c:v>х6</c:v>
                </c:pt>
                <c:pt idx="6">
                  <c:v>х7</c:v>
                </c:pt>
                <c:pt idx="7">
                  <c:v>х8</c:v>
                </c:pt>
                <c:pt idx="8">
                  <c:v>х9</c:v>
                </c:pt>
              </c:strCache>
            </c:strRef>
          </c:cat>
          <c:val>
            <c:numRef>
              <c:f>графики!$M$37:$U$37</c:f>
              <c:numCache>
                <c:formatCode>0.000</c:formatCode>
                <c:ptCount val="9"/>
                <c:pt idx="0">
                  <c:v>-0.65415606473227195</c:v>
                </c:pt>
                <c:pt idx="1">
                  <c:v>-0.80826298347676451</c:v>
                </c:pt>
                <c:pt idx="2">
                  <c:v>8.0176315009161489E-2</c:v>
                </c:pt>
                <c:pt idx="3">
                  <c:v>2.0307382103809837</c:v>
                </c:pt>
                <c:pt idx="4">
                  <c:v>-0.34983831824425665</c:v>
                </c:pt>
                <c:pt idx="5">
                  <c:v>-0.40821860884843059</c:v>
                </c:pt>
                <c:pt idx="6">
                  <c:v>2.3033320131868518</c:v>
                </c:pt>
                <c:pt idx="7">
                  <c:v>-0.89571008446919442</c:v>
                </c:pt>
                <c:pt idx="8">
                  <c:v>5.0348851015025738E-2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E8-4F9C-BD10-E253D9307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997824"/>
        <c:axId val="1901000736"/>
      </c:lineChart>
      <c:catAx>
        <c:axId val="19009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000736"/>
        <c:crosses val="autoZero"/>
        <c:auto val="1"/>
        <c:lblAlgn val="ctr"/>
        <c:lblOffset val="100"/>
        <c:noMultiLvlLbl val="0"/>
      </c:catAx>
      <c:valAx>
        <c:axId val="19010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09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image" Target="../media/image6.png"/><Relationship Id="rId18" Type="http://schemas.openxmlformats.org/officeDocument/2006/relationships/chart" Target="../charts/chart22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image" Target="../media/image5.png"/><Relationship Id="rId17" Type="http://schemas.openxmlformats.org/officeDocument/2006/relationships/chart" Target="../charts/chart21.xml"/><Relationship Id="rId2" Type="http://schemas.openxmlformats.org/officeDocument/2006/relationships/chart" Target="../charts/chart13.xml"/><Relationship Id="rId16" Type="http://schemas.openxmlformats.org/officeDocument/2006/relationships/chart" Target="../charts/chart20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image" Target="../media/image4.png"/><Relationship Id="rId5" Type="http://schemas.openxmlformats.org/officeDocument/2006/relationships/chart" Target="../charts/chart16.xml"/><Relationship Id="rId15" Type="http://schemas.openxmlformats.org/officeDocument/2006/relationships/image" Target="../media/image8.png"/><Relationship Id="rId10" Type="http://schemas.openxmlformats.org/officeDocument/2006/relationships/image" Target="../media/image3.png"/><Relationship Id="rId19" Type="http://schemas.openxmlformats.org/officeDocument/2006/relationships/chart" Target="../charts/chart23.xml"/><Relationship Id="rId4" Type="http://schemas.openxmlformats.org/officeDocument/2006/relationships/chart" Target="../charts/chart15.xml"/><Relationship Id="rId9" Type="http://schemas.openxmlformats.org/officeDocument/2006/relationships/image" Target="../media/image2.png"/><Relationship Id="rId14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603248</xdr:colOff>
      <xdr:row>9</xdr:row>
      <xdr:rowOff>21589</xdr:rowOff>
    </xdr:from>
    <xdr:to>
      <xdr:col>23</xdr:col>
      <xdr:colOff>63499</xdr:colOff>
      <xdr:row>28</xdr:row>
      <xdr:rowOff>63499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E6CC9CD-73E9-4A6A-A3B2-C986BB680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57862</xdr:colOff>
      <xdr:row>9</xdr:row>
      <xdr:rowOff>58816</xdr:rowOff>
    </xdr:from>
    <xdr:to>
      <xdr:col>24</xdr:col>
      <xdr:colOff>107155</xdr:colOff>
      <xdr:row>29</xdr:row>
      <xdr:rowOff>83344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7D26B5-8070-456C-90E0-AEFEDCDDF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401522</xdr:colOff>
      <xdr:row>9</xdr:row>
      <xdr:rowOff>8745</xdr:rowOff>
    </xdr:from>
    <xdr:to>
      <xdr:col>24</xdr:col>
      <xdr:colOff>119062</xdr:colOff>
      <xdr:row>25</xdr:row>
      <xdr:rowOff>10823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D61DEC5-711E-4237-9E7A-F9950E66C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15875</xdr:colOff>
      <xdr:row>9</xdr:row>
      <xdr:rowOff>17461</xdr:rowOff>
    </xdr:from>
    <xdr:to>
      <xdr:col>23</xdr:col>
      <xdr:colOff>109141</xdr:colOff>
      <xdr:row>27</xdr:row>
      <xdr:rowOff>178593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6093F7E-79D9-4131-8EFC-8FD0C52A9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</xdr:colOff>
      <xdr:row>14</xdr:row>
      <xdr:rowOff>60007</xdr:rowOff>
    </xdr:from>
    <xdr:to>
      <xdr:col>7</xdr:col>
      <xdr:colOff>200025</xdr:colOff>
      <xdr:row>33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87F725-64E4-4F77-BC0A-C45ADB8A2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8572</xdr:rowOff>
    </xdr:from>
    <xdr:to>
      <xdr:col>9</xdr:col>
      <xdr:colOff>590550</xdr:colOff>
      <xdr:row>26</xdr:row>
      <xdr:rowOff>66675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87A6288-F617-4564-BFF2-E330E6BB7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598170</xdr:colOff>
      <xdr:row>8</xdr:row>
      <xdr:rowOff>136207</xdr:rowOff>
    </xdr:from>
    <xdr:to>
      <xdr:col>21</xdr:col>
      <xdr:colOff>19050</xdr:colOff>
      <xdr:row>25</xdr:row>
      <xdr:rowOff>114300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7A55042-BF00-453B-825F-7E484F9E5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58102</xdr:rowOff>
    </xdr:from>
    <xdr:to>
      <xdr:col>10</xdr:col>
      <xdr:colOff>38100</xdr:colOff>
      <xdr:row>54</xdr:row>
      <xdr:rowOff>152400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3A3190B-2364-46A0-99D8-7FDE26EC7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598169</xdr:colOff>
      <xdr:row>38</xdr:row>
      <xdr:rowOff>20001</xdr:rowOff>
    </xdr:from>
    <xdr:to>
      <xdr:col>21</xdr:col>
      <xdr:colOff>104774</xdr:colOff>
      <xdr:row>54</xdr:row>
      <xdr:rowOff>104774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680D579-0ACC-42E0-B9C8-F7B4E7AC3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606941</xdr:colOff>
      <xdr:row>8</xdr:row>
      <xdr:rowOff>178981</xdr:rowOff>
    </xdr:from>
    <xdr:to>
      <xdr:col>32</xdr:col>
      <xdr:colOff>26581</xdr:colOff>
      <xdr:row>27</xdr:row>
      <xdr:rowOff>70884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8C1B2A-320F-4F20-A2C0-94E96DEB1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606942</xdr:colOff>
      <xdr:row>38</xdr:row>
      <xdr:rowOff>10632</xdr:rowOff>
    </xdr:from>
    <xdr:to>
      <xdr:col>31</xdr:col>
      <xdr:colOff>593651</xdr:colOff>
      <xdr:row>54</xdr:row>
      <xdr:rowOff>106325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9969370-EC12-476D-A2E7-79CF8C72C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51</xdr:col>
      <xdr:colOff>41901</xdr:colOff>
      <xdr:row>108</xdr:row>
      <xdr:rowOff>102053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8DF1E68-D438-4CE9-AD98-C9840B948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270294" cy="1847169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97155</xdr:colOff>
      <xdr:row>0</xdr:row>
      <xdr:rowOff>91440</xdr:rowOff>
    </xdr:from>
    <xdr:to>
      <xdr:col>21</xdr:col>
      <xdr:colOff>152400</xdr:colOff>
      <xdr:row>21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BD1951D-DA87-4268-8FB7-B1A22FC03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225651</xdr:colOff>
      <xdr:row>0</xdr:row>
      <xdr:rowOff>114300</xdr:rowOff>
    </xdr:from>
    <xdr:to>
      <xdr:col>29</xdr:col>
      <xdr:colOff>424543</xdr:colOff>
      <xdr:row>21</xdr:row>
      <xdr:rowOff>24765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71992A-7C27-4AAA-8685-C833A869E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83820</xdr:colOff>
      <xdr:row>22</xdr:row>
      <xdr:rowOff>76200</xdr:rowOff>
    </xdr:from>
    <xdr:to>
      <xdr:col>21</xdr:col>
      <xdr:colOff>190500</xdr:colOff>
      <xdr:row>45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D231C59-9D19-463D-BD56-B3EED8AFA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327660</xdr:colOff>
      <xdr:row>22</xdr:row>
      <xdr:rowOff>68580</xdr:rowOff>
    </xdr:from>
    <xdr:to>
      <xdr:col>29</xdr:col>
      <xdr:colOff>522514</xdr:colOff>
      <xdr:row>45</xdr:row>
      <xdr:rowOff>83820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AA771F4-C99E-4E5F-8C69-109E87BF6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553233</xdr:colOff>
      <xdr:row>0</xdr:row>
      <xdr:rowOff>131523</xdr:rowOff>
    </xdr:from>
    <xdr:to>
      <xdr:col>64</xdr:col>
      <xdr:colOff>302712</xdr:colOff>
      <xdr:row>21</xdr:row>
      <xdr:rowOff>52191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A521C3D-BC81-420D-B429-DF40A8259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459288</xdr:colOff>
      <xdr:row>0</xdr:row>
      <xdr:rowOff>141960</xdr:rowOff>
    </xdr:from>
    <xdr:to>
      <xdr:col>73</xdr:col>
      <xdr:colOff>2172510</xdr:colOff>
      <xdr:row>21</xdr:row>
      <xdr:rowOff>20875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DC3BF76-F7C0-4EEE-B2C2-CEE38E3A5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0</xdr:colOff>
      <xdr:row>22</xdr:row>
      <xdr:rowOff>0</xdr:rowOff>
    </xdr:from>
    <xdr:to>
      <xdr:col>64</xdr:col>
      <xdr:colOff>220980</xdr:colOff>
      <xdr:row>45</xdr:row>
      <xdr:rowOff>15240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67A2AE4-F7A1-409B-8DEC-95749905B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493569</xdr:colOff>
      <xdr:row>22</xdr:row>
      <xdr:rowOff>0</xdr:rowOff>
    </xdr:from>
    <xdr:to>
      <xdr:col>73</xdr:col>
      <xdr:colOff>2216728</xdr:colOff>
      <xdr:row>45</xdr:row>
      <xdr:rowOff>25977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8E1F9829-088D-497A-A963-47E0D7BE4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0</xdr:colOff>
      <xdr:row>48</xdr:row>
      <xdr:rowOff>0</xdr:rowOff>
    </xdr:from>
    <xdr:to>
      <xdr:col>21</xdr:col>
      <xdr:colOff>57520</xdr:colOff>
      <xdr:row>72</xdr:row>
      <xdr:rowOff>129702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EE203AF-2EBA-45DE-944D-17317E3D8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75787" y="9484468"/>
          <a:ext cx="5602286" cy="440987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73</xdr:row>
      <xdr:rowOff>0</xdr:rowOff>
    </xdr:from>
    <xdr:to>
      <xdr:col>21</xdr:col>
      <xdr:colOff>0</xdr:colOff>
      <xdr:row>95</xdr:row>
      <xdr:rowOff>113489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70E7D71-3A45-454C-827A-F58F76396041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175787" y="13942979"/>
          <a:ext cx="5544766" cy="4036978"/>
        </a:xfrm>
        <a:prstGeom prst="rect">
          <a:avLst/>
        </a:prstGeom>
      </xdr:spPr>
    </xdr:pic>
    <xdr:clientData/>
  </xdr:twoCellAnchor>
  <xdr:twoCellAnchor editAs="oneCell">
    <xdr:from>
      <xdr:col>21</xdr:col>
      <xdr:colOff>599872</xdr:colOff>
      <xdr:row>47</xdr:row>
      <xdr:rowOff>81064</xdr:rowOff>
    </xdr:from>
    <xdr:to>
      <xdr:col>29</xdr:col>
      <xdr:colOff>437745</xdr:colOff>
      <xdr:row>73</xdr:row>
      <xdr:rowOff>65483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C286DA1A-D9DC-4A18-8B8D-433EB3638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20425" y="9387192"/>
          <a:ext cx="5739320" cy="4621270"/>
        </a:xfrm>
        <a:prstGeom prst="rect">
          <a:avLst/>
        </a:prstGeom>
      </xdr:spPr>
    </xdr:pic>
    <xdr:clientData/>
  </xdr:twoCellAnchor>
  <xdr:twoCellAnchor editAs="oneCell">
    <xdr:from>
      <xdr:col>54</xdr:col>
      <xdr:colOff>437744</xdr:colOff>
      <xdr:row>47</xdr:row>
      <xdr:rowOff>145914</xdr:rowOff>
    </xdr:from>
    <xdr:to>
      <xdr:col>64</xdr:col>
      <xdr:colOff>508075</xdr:colOff>
      <xdr:row>74</xdr:row>
      <xdr:rowOff>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498389CE-262E-4C84-8987-A2BF490A0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0956723" y="9452042"/>
          <a:ext cx="6231182" cy="4669277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76</xdr:row>
      <xdr:rowOff>-1</xdr:rowOff>
    </xdr:from>
    <xdr:to>
      <xdr:col>65</xdr:col>
      <xdr:colOff>16213</xdr:colOff>
      <xdr:row>104</xdr:row>
      <xdr:rowOff>27488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5269690-918B-46DC-BE7E-6DE430D6A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135064" y="14477999"/>
          <a:ext cx="6177064" cy="5021021"/>
        </a:xfrm>
        <a:prstGeom prst="rect">
          <a:avLst/>
        </a:prstGeom>
      </xdr:spPr>
    </xdr:pic>
    <xdr:clientData/>
  </xdr:twoCellAnchor>
  <xdr:twoCellAnchor editAs="oneCell">
    <xdr:from>
      <xdr:col>66</xdr:col>
      <xdr:colOff>48637</xdr:colOff>
      <xdr:row>48</xdr:row>
      <xdr:rowOff>113490</xdr:rowOff>
    </xdr:from>
    <xdr:to>
      <xdr:col>73</xdr:col>
      <xdr:colOff>1848254</xdr:colOff>
      <xdr:row>75</xdr:row>
      <xdr:rowOff>6354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23CE78BB-8AD2-4219-BA09-080EEE5EE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7960637" y="9597958"/>
          <a:ext cx="6112213" cy="4708056"/>
        </a:xfrm>
        <a:prstGeom prst="rect">
          <a:avLst/>
        </a:prstGeom>
      </xdr:spPr>
    </xdr:pic>
    <xdr:clientData/>
  </xdr:twoCellAnchor>
  <xdr:twoCellAnchor editAs="oneCell">
    <xdr:from>
      <xdr:col>66</xdr:col>
      <xdr:colOff>145915</xdr:colOff>
      <xdr:row>76</xdr:row>
      <xdr:rowOff>32427</xdr:rowOff>
    </xdr:from>
    <xdr:to>
      <xdr:col>73</xdr:col>
      <xdr:colOff>1896893</xdr:colOff>
      <xdr:row>102</xdr:row>
      <xdr:rowOff>162128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4872C564-4CAE-4D32-AE1B-F89B8785DD7D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8057915" y="14510427"/>
          <a:ext cx="6063574" cy="4766552"/>
        </a:xfrm>
        <a:prstGeom prst="rect">
          <a:avLst/>
        </a:prstGeom>
      </xdr:spPr>
    </xdr:pic>
    <xdr:clientData/>
  </xdr:twoCellAnchor>
  <xdr:twoCellAnchor>
    <xdr:from>
      <xdr:col>94</xdr:col>
      <xdr:colOff>394607</xdr:colOff>
      <xdr:row>0</xdr:row>
      <xdr:rowOff>295275</xdr:rowOff>
    </xdr:from>
    <xdr:to>
      <xdr:col>106</xdr:col>
      <xdr:colOff>530677</xdr:colOff>
      <xdr:row>25</xdr:row>
      <xdr:rowOff>136072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4EE8F2E9-65C7-463B-9228-F48065CAD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94</xdr:col>
      <xdr:colOff>503463</xdr:colOff>
      <xdr:row>27</xdr:row>
      <xdr:rowOff>91166</xdr:rowOff>
    </xdr:from>
    <xdr:to>
      <xdr:col>106</xdr:col>
      <xdr:colOff>598713</xdr:colOff>
      <xdr:row>52</xdr:row>
      <xdr:rowOff>149678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55C13F20-303B-4A12-98D5-D2124A1BE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118</xdr:col>
      <xdr:colOff>544284</xdr:colOff>
      <xdr:row>0</xdr:row>
      <xdr:rowOff>485773</xdr:rowOff>
    </xdr:from>
    <xdr:to>
      <xdr:col>130</xdr:col>
      <xdr:colOff>122464</xdr:colOff>
      <xdr:row>22</xdr:row>
      <xdr:rowOff>27213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4F3E1710-AED5-4B61-AB95-F27323404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118</xdr:col>
      <xdr:colOff>544285</xdr:colOff>
      <xdr:row>23</xdr:row>
      <xdr:rowOff>91168</xdr:rowOff>
    </xdr:from>
    <xdr:to>
      <xdr:col>130</xdr:col>
      <xdr:colOff>95249</xdr:colOff>
      <xdr:row>46</xdr:row>
      <xdr:rowOff>122464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B525AEE4-EACB-472F-BFA5-38637A466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64770</xdr:rowOff>
    </xdr:from>
    <xdr:to>
      <xdr:col>6</xdr:col>
      <xdr:colOff>563880</xdr:colOff>
      <xdr:row>28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54FA672-1EDD-4BBD-B758-C9F761DC2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ина Нуритдинходжаева" refreshedDate="45230.826887615738" createdVersion="7" refreshedVersion="7" minRefreshableVersion="3" recordCount="84" xr:uid="{35A99324-1DCE-4379-9173-B76E8900FF4A}">
  <cacheSource type="worksheet">
    <worksheetSource name="Таблица17"/>
  </cacheSource>
  <cacheFields count="15">
    <cacheField name="Столбец1" numFmtId="0">
      <sharedItems/>
    </cacheField>
    <cacheField name="Уорд" numFmtId="0">
      <sharedItems containsSemiMixedTypes="0" containsString="0" containsNumber="1" containsInteger="1" minValue="1" maxValue="6" count="6">
        <n v="4"/>
        <n v="5"/>
        <n v="2"/>
        <n v="6"/>
        <n v="3"/>
        <n v="1"/>
      </sharedItems>
    </cacheField>
    <cacheField name="Невзвеш ср" numFmtId="0">
      <sharedItems containsSemiMixedTypes="0" containsString="0" containsNumber="1" containsInteger="1" minValue="1" maxValue="6"/>
    </cacheField>
    <cacheField name="к-средних" numFmtId="0">
      <sharedItems containsSemiMixedTypes="0" containsString="0" containsNumber="1" containsInteger="1" minValue="1" maxValue="6"/>
    </cacheField>
    <cacheField name="взвеш ср" numFmtId="0">
      <sharedItems containsSemiMixedTypes="0" containsString="0" containsNumber="1" containsInteger="1" minValue="1" maxValue="6" count="6">
        <n v="4"/>
        <n v="6"/>
        <n v="1"/>
        <n v="5"/>
        <n v="2"/>
        <n v="3"/>
      </sharedItems>
    </cacheField>
    <cacheField name="х1" numFmtId="0">
      <sharedItems containsSemiMixedTypes="0" containsString="0" containsNumber="1" minValue="-2.03660145" maxValue="2.4171807200000002"/>
    </cacheField>
    <cacheField name="x2" numFmtId="0">
      <sharedItems containsSemiMixedTypes="0" containsString="0" containsNumber="1" minValue="-2.21407029" maxValue="4.7301472100000002"/>
    </cacheField>
    <cacheField name="x3" numFmtId="0">
      <sharedItems containsSemiMixedTypes="0" containsString="0" containsNumber="1" minValue="-0.76107067100000003" maxValue="5.3581182199999997"/>
    </cacheField>
    <cacheField name="x4" numFmtId="0">
      <sharedItems containsSemiMixedTypes="0" containsString="0" containsNumber="1" minValue="-2.2608627800000001" maxValue="4.0313083199999999"/>
    </cacheField>
    <cacheField name="x5" numFmtId="0">
      <sharedItems containsSemiMixedTypes="0" containsString="0" containsNumber="1" minValue="-0.82327720000000004" maxValue="6.8915327899999994"/>
    </cacheField>
    <cacheField name="x6" numFmtId="0">
      <sharedItems containsSemiMixedTypes="0" containsString="0" containsNumber="1" minValue="-0.85490257000000003" maxValue="4.5733278999999998"/>
    </cacheField>
    <cacheField name="x7" numFmtId="0">
      <sharedItems containsSemiMixedTypes="0" containsString="0" containsNumber="1" minValue="-0.8596919890000001" maxValue="4.0017250500000001"/>
    </cacheField>
    <cacheField name="x8" numFmtId="0">
      <sharedItems containsSemiMixedTypes="0" containsString="0" containsNumber="1" minValue="-1.8644712000000001" maxValue="3.46611285"/>
    </cacheField>
    <cacheField name="x9" numFmtId="0">
      <sharedItems containsSemiMixedTypes="0" containsString="0" containsNumber="1" minValue="-0.8272056510000001" maxValue="6.3217913000000001"/>
    </cacheField>
    <cacheField name="расстояния" numFmtId="0">
      <sharedItems containsSemiMixedTypes="0" containsString="0" containsNumber="1" minValue="0.76656841167199696" maxValue="79.5811693803145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ина Нуритдинходжаева" refreshedDate="45245.940222453704" createdVersion="7" refreshedVersion="7" minRefreshableVersion="3" recordCount="84" xr:uid="{85D63C4E-01B5-4072-9AB5-83FF18237CF5}">
  <cacheSource type="worksheet">
    <worksheetSource name="Таблица5"/>
  </cacheSource>
  <cacheFields count="7">
    <cacheField name="Наименование" numFmtId="0">
      <sharedItems/>
    </cacheField>
    <cacheField name="Уорд" numFmtId="0">
      <sharedItems containsSemiMixedTypes="0" containsString="0" containsNumber="1" containsInteger="1" minValue="1" maxValue="6"/>
    </cacheField>
    <cacheField name="к-средних" numFmtId="0">
      <sharedItems containsSemiMixedTypes="0" containsString="0" containsNumber="1" containsInteger="1" minValue="1" maxValue="6"/>
    </cacheField>
    <cacheField name="Главная компонента 1 (Экономическая устойчивость и преступность)" numFmtId="168">
      <sharedItems containsSemiMixedTypes="0" containsString="0" containsNumber="1" minValue="-2.5785742851848039" maxValue="3.8561089628134808" count="84">
        <n v="0.31487910497791727"/>
        <n v="-0.13614383828314655"/>
        <n v="0.2353977000536992"/>
        <n v="-0.45381752488339855"/>
        <n v="-0.24660909801096273"/>
        <n v="-0.71286734834126664"/>
        <n v="-0.12373275751270651"/>
        <n v="0.54956734188769396"/>
        <n v="-0.44316822585800819"/>
        <n v="9.2910548556283681E-2"/>
        <n v="3.8561089628134808"/>
        <n v="-0.37087827546333718"/>
        <n v="0.25347253807895676"/>
        <n v="-1.0337243333738841"/>
        <n v="0.13029648603905444"/>
        <n v="-1.1236311727474124"/>
        <n v="-0.82992785060055119"/>
        <n v="5.6630355757247952E-2"/>
        <n v="0.83515241087902459"/>
        <n v="-0.95306631457546787"/>
        <n v="2.1114207833418847E-2"/>
        <n v="-0.83243682646702744"/>
        <n v="-0.53732615886278245"/>
        <n v="0.99117733961336074"/>
        <n v="0.744261293994261"/>
        <n v="-5.9127238767861384E-2"/>
        <n v="-0.43793553770023014"/>
        <n v="-0.12212939757241779"/>
        <n v="-0.51279440621154393"/>
        <n v="1.3427118487526655"/>
        <n v="3.2488353767908791"/>
        <n v="0.77969586727480056"/>
        <n v="0.3625082007930116"/>
        <n v="-0.47224168753713147"/>
        <n v="0.59186605717887009"/>
        <n v="0.11784038726282435"/>
        <n v="-4.8555712137070377E-2"/>
        <n v="-0.63228597945242293"/>
        <n v="-0.53558584549118027"/>
        <n v="0.30561908669063659"/>
        <n v="0.75087772297068511"/>
        <n v="-0.84963960583490516"/>
        <n v="-0.99743975160533349"/>
        <n v="-1.5241183555249409"/>
        <n v="0.16969776162509348"/>
        <n v="-0.65128035231628534"/>
        <n v="-1.1292697822017885"/>
        <n v="-2.5785742851848039"/>
        <n v="-1.2487648064820194"/>
        <n v="-0.29788161391669776"/>
        <n v="0.32014076197858876"/>
        <n v="-0.82072510041306823"/>
        <n v="-1.0254524028729568"/>
        <n v="-0.76122623184126581"/>
        <n v="1.0516483442580258"/>
        <n v="-0.9378004994331991"/>
        <n v="1.4341881059576949"/>
        <n v="-1.4139507965015217"/>
        <n v="-0.99674455503673365"/>
        <n v="0.50471224770224676"/>
        <n v="-0.33210730506777397"/>
        <n v="0.38192584864448798"/>
        <n v="1.9225482032011199"/>
        <n v="-0.20559813238350497"/>
        <n v="1.2630330246509991"/>
        <n v="1.1610158884903476"/>
        <n v="-0.91516875736297776"/>
        <n v="-0.2674957311388067"/>
        <n v="7.0736769437563504E-2"/>
        <n v="-0.7251936889102516"/>
        <n v="-0.12413653824004578"/>
        <n v="0.22775094727323869"/>
        <n v="0.15076936481568043"/>
        <n v="0.95017992838704834"/>
        <n v="-0.16351862231155986"/>
        <n v="-0.14824621074977959"/>
        <n v="0.54814525741938513"/>
        <n v="1.4547738298003259"/>
        <n v="0.605509288233405"/>
        <n v="-1.6596365580984691"/>
        <n v="-0.42598939160003141"/>
        <n v="1.207500458842643"/>
        <n v="1.8519577028092515"/>
        <n v="-3.9211966847335744E-2"/>
      </sharedItems>
    </cacheField>
    <cacheField name="Главная компонента 2 (Здравоохранение и борьба с коррупцией)" numFmtId="168">
      <sharedItems containsSemiMixedTypes="0" containsString="0" containsNumber="1" minValue="-2.7419796543657977" maxValue="2.4828261942325693" count="84">
        <n v="0.27717479857018701"/>
        <n v="-1.0318367031366553"/>
        <n v="-0.7437048566733222"/>
        <n v="0.1406067175712564"/>
        <n v="0.55887832602816589"/>
        <n v="0.74803718606105185"/>
        <n v="-0.37419270560537177"/>
        <n v="1.345013006803121"/>
        <n v="-0.57811526202185071"/>
        <n v="0.61711236088415244"/>
        <n v="2.4828261942325693"/>
        <n v="-1.5215214439673252"/>
        <n v="-0.74512044153099644"/>
        <n v="0.19895696132898522"/>
        <n v="-0.45858727837088781"/>
        <n v="0.7756887293156608"/>
        <n v="-0.72568069932029255"/>
        <n v="0.11045861529005846"/>
        <n v="-2.0048492791874573"/>
        <n v="0.19932319917675709"/>
        <n v="0.33185936800214466"/>
        <n v="-0.37899252472610234"/>
        <n v="-0.70069206906462911"/>
        <n v="2.0882362408117352"/>
        <n v="-4.292699226516633E-2"/>
        <n v="-0.49287047364693615"/>
        <n v="-0.12976085990879424"/>
        <n v="0.67138208743299133"/>
        <n v="-0.3777045991724946"/>
        <n v="-2.5000966528853699"/>
        <n v="2.4658023062022982"/>
        <n v="-1.7895749805900687"/>
        <n v="0.32542452430306057"/>
        <n v="-0.35353861553225002"/>
        <n v="-0.27484254626323917"/>
        <n v="-0.19242814979095843"/>
        <n v="0.21406479878870677"/>
        <n v="-3.6711754820950154E-2"/>
        <n v="0.26146422268170821"/>
        <n v="0.29554761095456156"/>
        <n v="0.284518146266525"/>
        <n v="-0.4126141810854681"/>
        <n v="0.22426554636965412"/>
        <n v="-0.83005765926504826"/>
        <n v="0.80167679796189062"/>
        <n v="-0.14495052678642351"/>
        <n v="1.5028990490382081"/>
        <n v="1.9739397164118095"/>
        <n v="-0.19687682640737933"/>
        <n v="-0.75593902469895136"/>
        <n v="-1.1190718715909549"/>
        <n v="1.0096285474269118"/>
        <n v="-0.28548174574471535"/>
        <n v="0.47200246922534045"/>
        <n v="-1.2563485133534897"/>
        <n v="0.17086698406252218"/>
        <n v="2.161038063750881"/>
        <n v="-0.29572258336795737"/>
        <n v="-0.62645314821502851"/>
        <n v="1.1791100835715962"/>
        <n v="0.12552322826749052"/>
        <n v="0.95067573213328405"/>
        <n v="0.19540940161061801"/>
        <n v="0.24229698766122199"/>
        <n v="-1.6117585949491351"/>
        <n v="0.21047329433474243"/>
        <n v="0.81195283894267822"/>
        <n v="-0.27727710951001838"/>
        <n v="1.0526493771490244"/>
        <n v="0.3238663271064936"/>
        <n v="-0.52790350300205502"/>
        <n v="-0.69642572319985852"/>
        <n v="0.25267007267107311"/>
        <n v="0.75903846068162117"/>
        <n v="-0.23159466896528591"/>
        <n v="1.6283985682877478E-2"/>
        <n v="-0.732693321291644"/>
        <n v="-0.9229060546623441"/>
        <n v="0.57568127794030155"/>
        <n v="1.7836887138566841"/>
        <n v="-6.9064857570127342E-2"/>
        <n v="-2.7419796543657977"/>
        <n v="-1.5444107482984073"/>
        <n v="-0.45473315175147266"/>
      </sharedItems>
    </cacheField>
    <cacheField name="новый Уорд" numFmtId="0">
      <sharedItems containsSemiMixedTypes="0" containsString="0" containsNumber="1" containsInteger="1" minValue="1" maxValue="6" count="6">
        <n v="4"/>
        <n v="5"/>
        <n v="6"/>
        <n v="3"/>
        <n v="1"/>
        <n v="2"/>
      </sharedItems>
    </cacheField>
    <cacheField name="новый к-ср" numFmtId="1">
      <sharedItems containsSemiMixedTypes="0" containsString="0" containsNumber="1" containsInteger="1" minValue="1" maxValue="6" count="6">
        <n v="3"/>
        <n v="5"/>
        <n v="4"/>
        <n v="6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s v="Алтайский край"/>
    <x v="0"/>
    <n v="6"/>
    <n v="1"/>
    <x v="0"/>
    <n v="-0.50962256899999991"/>
    <n v="-0.58390292199999994"/>
    <n v="-0.30895468900000012"/>
    <n v="-0.33385007600000011"/>
    <n v="-2.0226129599999997E-2"/>
    <n v="1.3286337500000001"/>
    <n v="-0.77242252899999986"/>
    <n v="-0.85014953700000018"/>
    <n v="9.6253445799999986E-3"/>
    <n v="3.8927268423197936"/>
  </r>
  <r>
    <s v="Амурская область"/>
    <x v="1"/>
    <n v="6"/>
    <n v="1"/>
    <x v="1"/>
    <n v="-0.67728642500000003"/>
    <n v="-1.01730089"/>
    <n v="-5.9127443500000001E-2"/>
    <n v="0.43913758000000003"/>
    <n v="-0.54325268599999998"/>
    <n v="-0.61001999200000012"/>
    <n v="0.51976563300000012"/>
    <n v="0.70370492100000004"/>
    <n v="-0.67235300100000006"/>
    <n v="3.5746192301564519"/>
  </r>
  <r>
    <s v="Архангельская область без автономного округа"/>
    <x v="1"/>
    <n v="6"/>
    <n v="1"/>
    <x v="1"/>
    <n v="-1.1994074299999999"/>
    <n v="-9.6330204000000003E-2"/>
    <n v="0.35917219400000006"/>
    <n v="0.80851463999999995"/>
    <n v="-0.27467148100000005"/>
    <n v="0.34910343599999999"/>
    <n v="0.4166647750000001"/>
    <n v="0.20733474700000001"/>
    <n v="-0.67225192200000017"/>
    <n v="3.0963957899194785"/>
  </r>
  <r>
    <s v="Астраханская область"/>
    <x v="2"/>
    <n v="6"/>
    <n v="2"/>
    <x v="1"/>
    <n v="1.15463812"/>
    <n v="-7.1705319200000006E-2"/>
    <n v="-0.35571837400000006"/>
    <n v="-0.21255969200000002"/>
    <n v="-0.15148762100000002"/>
    <n v="-0.40595117800000002"/>
    <n v="-0.33845121700000008"/>
    <n v="-0.20271018000000005"/>
    <n v="-0.65446206200000001"/>
    <n v="2.2817541172953706"/>
  </r>
  <r>
    <s v="Белгородская область"/>
    <x v="0"/>
    <n v="6"/>
    <n v="2"/>
    <x v="1"/>
    <n v="0.59875929800000005"/>
    <n v="0.91329007100000004"/>
    <n v="-0.51013152299999998"/>
    <n v="-0.422793486"/>
    <n v="-0.40795238000000006"/>
    <n v="-0.34473053300000001"/>
    <n v="-0.35145568000000005"/>
    <n v="-0.33219805100000005"/>
    <n v="0.55130638099999985"/>
    <n v="2.4546796033220981"/>
  </r>
  <r>
    <s v="Брянская область"/>
    <x v="2"/>
    <n v="6"/>
    <n v="2"/>
    <x v="1"/>
    <n v="1.2502852899999999"/>
    <n v="0.65719127000000022"/>
    <n v="-0.51506596599999999"/>
    <n v="-0.64861460300000018"/>
    <n v="-0.20533848900000004"/>
    <n v="6.3407095999999982E-2"/>
    <n v="-0.63330248600000005"/>
    <n v="0.48789180100000007"/>
    <n v="-0.46119948599999999"/>
    <n v="3.5791072926077994"/>
  </r>
  <r>
    <s v="Владимирская область"/>
    <x v="1"/>
    <n v="6"/>
    <n v="1"/>
    <x v="1"/>
    <n v="-0.59176660599999997"/>
    <n v="-0.38690384400000005"/>
    <n v="-0.30959152500000003"/>
    <n v="-0.510454662"/>
    <n v="-0.23024451500000001"/>
    <n v="-0.85490257000000003"/>
    <n v="-0.52926799999999996"/>
    <n v="-1.3465197099999999"/>
    <n v="-0.24054456900000001"/>
    <n v="3.791265751583802"/>
  </r>
  <r>
    <s v="Волгоградская область"/>
    <x v="0"/>
    <n v="6"/>
    <n v="2"/>
    <x v="0"/>
    <n v="0.78217680499999998"/>
    <n v="-0.41152872900000009"/>
    <n v="-0.53398179300000004"/>
    <n v="-0.56338741700000006"/>
    <n v="0.58424986499999998"/>
    <n v="3.1244393100000001"/>
    <n v="-0.511451726"/>
    <n v="-5.16409964E-2"/>
    <n v="0.13425544700000003"/>
    <n v="11.769441477312135"/>
  </r>
  <r>
    <s v="Вологодская область"/>
    <x v="3"/>
    <n v="6"/>
    <n v="3"/>
    <x v="1"/>
    <n v="-0.59401712799999984"/>
    <n v="0.36169265300000003"/>
    <n v="1.1258601800000001"/>
    <n v="-4.2682522800000004E-2"/>
    <n v="-9.2924801599999995E-2"/>
    <n v="-0.83449568800000007"/>
    <n v="-0.15101731200000004"/>
    <n v="-0.31061673900000009"/>
    <n v="-0.71460392000000006"/>
    <n v="3.0880266883448164"/>
  </r>
  <r>
    <s v="Воронежская область"/>
    <x v="0"/>
    <n v="6"/>
    <n v="2"/>
    <x v="1"/>
    <n v="0.408590226"/>
    <n v="0.24841818300000007"/>
    <n v="-0.63389257500000007"/>
    <n v="-0.43240516000000007"/>
    <n v="0.12247867100000001"/>
    <n v="0.10422085900000001"/>
    <n v="-0.38164518000000003"/>
    <n v="-0.41852329900000007"/>
    <n v="0.6668393960000002"/>
    <n v="1.6088041728230946"/>
  </r>
  <r>
    <s v="г. Москва"/>
    <x v="4"/>
    <n v="1"/>
    <n v="4"/>
    <x v="2"/>
    <n v="-1.2545451999999999"/>
    <n v="1.7259112700000001"/>
    <n v="-0.71721293799999997"/>
    <n v="0.92777866700000011"/>
    <n v="6.8915327899999994"/>
    <n v="3.8590870500000003"/>
    <n v="3.06948211"/>
    <n v="-0.18112886799999997"/>
    <n v="1.3464929300000001"/>
    <n v="79.581169380314577"/>
  </r>
  <r>
    <s v="Еврейская автономная область"/>
    <x v="1"/>
    <n v="6"/>
    <n v="3"/>
    <x v="1"/>
    <n v="9.6892990599999992E-2"/>
    <n v="-2.1992953599999998"/>
    <n v="1.7329891800000001"/>
    <n v="-0.17048649300000004"/>
    <n v="-0.79567863100000014"/>
    <n v="-0.79368192500000001"/>
    <n v="7.2950210500000001E-2"/>
    <n v="-1.1522879000000001"/>
    <n v="-0.8272056510000001"/>
    <n v="11.158999284221458"/>
  </r>
  <r>
    <s v="Забайкальский край"/>
    <x v="1"/>
    <n v="6"/>
    <n v="1"/>
    <x v="1"/>
    <n v="-0.39597123000000001"/>
    <n v="-0.97790107900000001"/>
    <n v="-0.22288951599999998"/>
    <n v="3.2830160300000008E-2"/>
    <n v="-0.41333746700000007"/>
    <n v="-7.9441074200000017E-2"/>
    <n v="8.0467671800000001E-2"/>
    <n v="-1.6702393900000001"/>
    <n v="-0.78455041700000006"/>
    <n v="4.7526940609049886"/>
  </r>
  <r>
    <s v="Ивановская область"/>
    <x v="3"/>
    <n v="6"/>
    <n v="1"/>
    <x v="1"/>
    <n v="-2.35099127E-2"/>
    <n v="-0.10125518100000001"/>
    <n v="-0.23314975900000001"/>
    <n v="-0.72464517800000017"/>
    <n v="-0.47728537300000007"/>
    <n v="-0.24269612600000001"/>
    <n v="-0.81386441200000015"/>
    <n v="1.97700232"/>
    <n v="-0.39004004399999997"/>
    <n v="5.6000221986339032"/>
  </r>
  <r>
    <s v="Иркутская область"/>
    <x v="1"/>
    <n v="6"/>
    <n v="1"/>
    <x v="1"/>
    <n v="-1.36819654"/>
    <n v="-0.57405296799999994"/>
    <n v="-0.45614134199999995"/>
    <n v="0.29532124700000006"/>
    <n v="8.0744248100000013E-2"/>
    <n v="-9.9847955699999991E-2"/>
    <n v="0.28194914900000001"/>
    <n v="1.3079816500000001"/>
    <n v="-1.3622768599999998E-2"/>
    <n v="4.303764292452728"/>
  </r>
  <r>
    <s v="Кабардино-Балкарская Республика"/>
    <x v="2"/>
    <n v="6"/>
    <n v="2"/>
    <x v="1"/>
    <n v="1.5799867000000001"/>
    <n v="0.76061578600000002"/>
    <n v="-0.21339163900000002"/>
    <n v="-1.4099379999999999"/>
    <n v="-0.43689722200000003"/>
    <n v="-0.44676494"/>
    <n v="-0.84844856000000002"/>
    <n v="-7.3222308300000011E-2"/>
    <n v="-0.60361944900000009"/>
    <n v="6.5884164997341763"/>
  </r>
  <r>
    <s v="Калининградская область"/>
    <x v="3"/>
    <n v="4"/>
    <n v="3"/>
    <x v="1"/>
    <n v="-0.443232183"/>
    <n v="0.30751790600000006"/>
    <n v="4.1533658899999999"/>
    <n v="2.9875726600000003E-2"/>
    <n v="-0.41804941800000001"/>
    <n v="-0.120254837"/>
    <n v="-0.35390574300000005"/>
    <n v="0.68212360900000002"/>
    <n v="0.11717313800000001"/>
    <n v="18.335860784265257"/>
  </r>
  <r>
    <s v="Калужская область"/>
    <x v="1"/>
    <n v="6"/>
    <n v="1"/>
    <x v="1"/>
    <n v="-0.70541794499999988"/>
    <n v="0.39124251399999999"/>
    <n v="-0.48169671700000005"/>
    <n v="0.16635461699999998"/>
    <n v="-0.37294931600000003"/>
    <n v="-0.69164751800000013"/>
    <n v="-3.3762251799999997E-2"/>
    <n v="1.04900591"/>
    <n v="1.5815010300000001"/>
    <n v="5.1305570455388221"/>
  </r>
  <r>
    <s v="Камчатский край"/>
    <x v="5"/>
    <n v="6"/>
    <n v="6"/>
    <x v="3"/>
    <n v="-1.6517622599999999"/>
    <n v="-1.47532375"/>
    <n v="0.31847076200000013"/>
    <n v="1.3915135599999999"/>
    <n v="-0.6529738300000002"/>
    <n v="-0.54879934800000008"/>
    <n v="2.15484462"/>
    <n v="3.4684251299999996E-2"/>
    <n v="-0.40115870700000006"/>
    <n v="12.475674534765552"/>
  </r>
  <r>
    <s v="Карачаево-Черкесская Республика"/>
    <x v="2"/>
    <n v="6"/>
    <n v="2"/>
    <x v="1"/>
    <n v="0.94083857500000001"/>
    <n v="0.60794150000000013"/>
    <n v="0.20178942600000002"/>
    <n v="-1.06562632"/>
    <n v="-0.5903721959999999"/>
    <n v="-0.85490257000000003"/>
    <n v="-0.80178299499999994"/>
    <n v="-0.93647478499999992"/>
    <n v="-0.74836422300000005"/>
    <n v="5.590336256214683"/>
  </r>
  <r>
    <s v="Кемеровская область — Кузбасс"/>
    <x v="0"/>
    <n v="6"/>
    <n v="2"/>
    <x v="1"/>
    <n v="1.22102851"/>
    <n v="-0.77597702300000004"/>
    <n v="-0.76107067100000003"/>
    <n v="-0.16066322599999999"/>
    <n v="5.8530765000000005E-2"/>
    <n v="0.32869655500000006"/>
    <n v="-6.5466078400000004E-3"/>
    <n v="0.14259081100000001"/>
    <n v="7.3041432099999999E-4"/>
    <n v="2.8299350073020251"/>
  </r>
  <r>
    <s v="Кировская область"/>
    <x v="3"/>
    <n v="6"/>
    <n v="1"/>
    <x v="1"/>
    <n v="-0.62439916900000003"/>
    <n v="-0.56420301400000006"/>
    <n v="-0.38504044900000006"/>
    <n v="-0.12648505000000002"/>
    <n v="-0.28072970400000002"/>
    <n v="-0.79368192500000001"/>
    <n v="-0.64246702499999997"/>
    <n v="1.9122583899999999"/>
    <n v="-0.70479928100000011"/>
    <n v="6.1474321984161113"/>
  </r>
  <r>
    <s v="Костромская область"/>
    <x v="1"/>
    <n v="6"/>
    <n v="1"/>
    <x v="1"/>
    <n v="-0.95860162000000015"/>
    <n v="-0.77105204699999996"/>
    <n v="6.2179609000000011E-2"/>
    <n v="-0.46777220400000002"/>
    <n v="-0.53786759899999992"/>
    <n v="-0.83449568800000007"/>
    <n v="-0.66205450700000013"/>
    <n v="-0.15954755600000003"/>
    <n v="-0.65719118800000009"/>
    <n v="3.6174719224220953"/>
  </r>
  <r>
    <s v="Краснодарский край"/>
    <x v="0"/>
    <n v="6"/>
    <n v="2"/>
    <x v="0"/>
    <n v="1.40444602"/>
    <n v="0.55869173100000014"/>
    <n v="-0.70671943500000012"/>
    <n v="-0.26184054500000004"/>
    <n v="2.4798004200000001"/>
    <n v="1.2470062200000001"/>
    <n v="-0.37069152500000002"/>
    <n v="1.3102939400000001E-2"/>
    <n v="2.0049199299999998"/>
    <n v="14.714340358478019"/>
  </r>
  <r>
    <s v="Красноярский край"/>
    <x v="1"/>
    <n v="6"/>
    <n v="1"/>
    <x v="1"/>
    <n v="-0.71329477000000008"/>
    <n v="0.10066887400000001"/>
    <n v="-0.53842848600000004"/>
    <n v="0.42883352900000005"/>
    <n v="0.33990155100000008"/>
    <n v="-0.34473053300000001"/>
    <n v="0.56073948000000007"/>
    <n v="-0.31061673900000009"/>
    <n v="1.1717277699999999"/>
    <n v="3.0109567762014819"/>
  </r>
  <r>
    <s v="Курганская область"/>
    <x v="1"/>
    <n v="6"/>
    <n v="1"/>
    <x v="1"/>
    <n v="-0.77180833100000001"/>
    <n v="-1.00745094"/>
    <n v="-0.56855580100000003"/>
    <n v="-0.193450816"/>
    <n v="-0.43420467800000007"/>
    <n v="-3.8627311300000002E-2"/>
    <n v="-0.644114509"/>
    <n v="-0.76382428899999999"/>
    <n v="-0.63202257900000003"/>
    <n v="3.5591137714218437"/>
  </r>
  <r>
    <s v="Курская область"/>
    <x v="1"/>
    <n v="6"/>
    <n v="1"/>
    <x v="1"/>
    <n v="-0.28344515300000001"/>
    <n v="-0.44107859100000008"/>
    <n v="-0.50203169800000003"/>
    <n v="-0.459995178"/>
    <n v="-0.32986862100000014"/>
    <n v="-0.48757870300000011"/>
    <n v="-0.40724223599999998"/>
    <n v="0.57421704899999992"/>
    <n v="-0.20021414600000004"/>
    <n v="1.620726329203181"/>
  </r>
  <r>
    <s v="Ленинградская область"/>
    <x v="1"/>
    <n v="6"/>
    <n v="2"/>
    <x v="1"/>
    <n v="0.301690452"/>
    <n v="1.996785"/>
    <n v="-0.64474922700000026"/>
    <n v="0.56278830899999999"/>
    <n v="-0.25649681400000002"/>
    <n v="-3.8627311300000002E-2"/>
    <n v="0.193809549"/>
    <n v="1.13533116"/>
    <n v="0.45224920299999999"/>
    <n v="6.4089507208204113"/>
  </r>
  <r>
    <s v="Липецкая область"/>
    <x v="2"/>
    <n v="6"/>
    <n v="3"/>
    <x v="1"/>
    <n v="0.189164374"/>
    <n v="-0.12588006599999998"/>
    <n v="1.7265125599999998"/>
    <n v="-0.51090440400000003"/>
    <n v="-0.43824349300000004"/>
    <n v="-0.18147548200000002"/>
    <n v="-0.40830447200000008"/>
    <n v="-0.89331216099999977"/>
    <n v="-0.41247952700000007"/>
    <n v="4.6533471102074229"/>
  </r>
  <r>
    <s v="Магаданская область"/>
    <x v="5"/>
    <n v="6"/>
    <n v="6"/>
    <x v="3"/>
    <n v="-1.62138022"/>
    <n v="-1.25862476"/>
    <n v="0.48395994600000003"/>
    <n v="2.2071345500000001"/>
    <n v="-0.76404124600000012"/>
    <n v="-0.65083375500000007"/>
    <n v="2.9261652100000002"/>
    <n v="-1.1522879000000001"/>
    <n v="-0.72147727500000003"/>
    <n v="20.736753558040665"/>
  </r>
  <r>
    <s v="Московская область"/>
    <x v="4"/>
    <n v="2"/>
    <n v="4"/>
    <x v="4"/>
    <n v="0.28368628000000007"/>
    <n v="0.80494057800000007"/>
    <n v="-0.75382880100000016"/>
    <n v="1.1635767800000001"/>
    <n v="1.8638811200000001"/>
    <n v="3.1448461999999999"/>
    <n v="0.726178981"/>
    <n v="-1.10912528"/>
    <n v="6.3217913000000001"/>
    <n v="57.73722651287396"/>
  </r>
  <r>
    <s v="Мурманская область"/>
    <x v="5"/>
    <n v="6"/>
    <n v="6"/>
    <x v="3"/>
    <n v="-1.5639919200000001"/>
    <n v="-1.1256503900000001"/>
    <n v="0.21073606300000003"/>
    <n v="1.29612097"/>
    <n v="-0.56479303300000017"/>
    <n v="-0.67124063700000025"/>
    <n v="1.3162123999999999"/>
    <n v="-1.1522879000000001"/>
    <n v="-0.571072091"/>
    <n v="9.5933597672327089"/>
  </r>
  <r>
    <s v="Нижегородская область"/>
    <x v="0"/>
    <n v="6"/>
    <n v="2"/>
    <x v="1"/>
    <n v="0.32307040700000011"/>
    <n v="-0.59375287600000004"/>
    <n v="-0.69147659899999991"/>
    <n v="-0.28282996700000013"/>
    <n v="0.88110277599999998"/>
    <n v="2.1864515800000001E-3"/>
    <n v="-0.36056934600000001"/>
    <n v="-1.0443813399999999"/>
    <n v="2.9133543899999999E-2"/>
    <n v="3.0129879258665668"/>
  </r>
  <r>
    <s v="Новгородская область"/>
    <x v="3"/>
    <n v="6"/>
    <n v="1"/>
    <x v="1"/>
    <n v="-0.5625098260000001"/>
    <n v="0.115443805"/>
    <n v="0.74399524900000014"/>
    <n v="-0.25529812299999999"/>
    <n v="-0.49478690500000005"/>
    <n v="-0.18147548200000002"/>
    <n v="-0.44306932300000001"/>
    <n v="-7.3222308300000011E-2"/>
    <n v="-0.51871329700000002"/>
    <n v="1.6969334866592516"/>
  </r>
  <r>
    <s v="Новосибирская область"/>
    <x v="1"/>
    <n v="6"/>
    <n v="1"/>
    <x v="1"/>
    <n v="-0.99573522600000008"/>
    <n v="-0.74642716200000003"/>
    <n v="-0.127952963"/>
    <n v="0.48232877100000016"/>
    <n v="0.63204251000000011"/>
    <n v="-0.48757870300000011"/>
    <n v="-0.10258623700000001"/>
    <n v="-7.3222308300000011E-2"/>
    <n v="1.04982679"/>
    <n v="3.5528876107720562"/>
  </r>
  <r>
    <s v="Омская область"/>
    <x v="1"/>
    <n v="6"/>
    <n v="1"/>
    <x v="1"/>
    <n v="-1.6146286500000002"/>
    <n v="2.1693350900000002E-3"/>
    <n v="-0.70777802400000012"/>
    <n v="-0.136713524"/>
    <n v="0.20729378800000003"/>
    <n v="-0.16106860000000001"/>
    <n v="-0.38535324100000007"/>
    <n v="-9.4803620200000008E-2"/>
    <n v="-0.27935881000000007"/>
    <n v="3.4311107031087715"/>
  </r>
  <r>
    <s v="Оренбургская область"/>
    <x v="1"/>
    <n v="6"/>
    <n v="1"/>
    <x v="1"/>
    <n v="-0.31945349800000006"/>
    <n v="0.43064233000000002"/>
    <n v="0.17363694300000002"/>
    <n v="0.10189661100000001"/>
    <n v="-5.5229193900000001E-2"/>
    <n v="0.3899171990000001"/>
    <n v="-0.507884483"/>
    <n v="9.9428187000000001E-2"/>
    <n v="0.12495620200000002"/>
    <n v="0.76656841167199696"/>
  </r>
  <r>
    <s v="Орловская область"/>
    <x v="2"/>
    <n v="6"/>
    <n v="2"/>
    <x v="1"/>
    <n v="0.3714566210000001"/>
    <n v="0.25334316000000001"/>
    <n v="-0.24591907000000005"/>
    <n v="-0.31639823200000006"/>
    <n v="-0.47324655799999998"/>
    <n v="-0.73246128099999996"/>
    <n v="-0.6530271230000001"/>
    <n v="-0.245872804"/>
    <n v="-0.61766939600000015"/>
    <n v="1.9916219830033439"/>
  </r>
  <r>
    <s v="Пензенская область"/>
    <x v="2"/>
    <n v="6"/>
    <n v="2"/>
    <x v="1"/>
    <n v="0.99147531"/>
    <n v="3.1719196800000002E-2"/>
    <n v="-0.52524393899999999"/>
    <n v="-0.44642184000000001"/>
    <n v="-0.39852847800000007"/>
    <n v="-0.32432365200000007"/>
    <n v="-0.60986449800000009"/>
    <n v="-0.26745411500000005"/>
    <n v="-0.47019549500000002"/>
    <n v="2.3877640443914889"/>
  </r>
  <r>
    <s v="Пермский край"/>
    <x v="1"/>
    <n v="6"/>
    <n v="1"/>
    <x v="1"/>
    <n v="-0.6401528190000001"/>
    <n v="0.499592007"/>
    <n v="-0.65771264000000007"/>
    <n v="0.20246502200000002"/>
    <n v="0.3796165660000001"/>
    <n v="0.736834184"/>
    <n v="-0.16444015800000003"/>
    <n v="-9.4803620200000008E-2"/>
    <n v="-0.37194694800000005"/>
    <n v="1.9943719831572881"/>
  </r>
  <r>
    <s v="Приморский край"/>
    <x v="0"/>
    <n v="6"/>
    <n v="1"/>
    <x v="0"/>
    <n v="0.27243367200000002"/>
    <n v="-0.92372633200000009"/>
    <n v="-0.60840497999999998"/>
    <n v="0.26535322100000003"/>
    <n v="0.15613546300000003"/>
    <n v="1.9204333099999999"/>
    <n v="0.31897725500000007"/>
    <n v="-0.20271018000000005"/>
    <n v="1.24555497E-2"/>
    <n v="5.2234948213846142"/>
  </r>
  <r>
    <s v="Псковская область"/>
    <x v="3"/>
    <n v="6"/>
    <n v="3"/>
    <x v="1"/>
    <n v="0.25893054300000001"/>
    <n v="-0.50017831400000001"/>
    <n v="1.2297753300000001"/>
    <n v="-0.44170611900000001"/>
    <n v="-0.63951111300000008"/>
    <n v="-0.52839246600000001"/>
    <n v="-0.67484489500000022"/>
    <n v="0.29365999400000004"/>
    <n v="-0.40166410100000005"/>
    <n v="3.4158339659757897"/>
  </r>
  <r>
    <s v="Республика Адыгея (Адыгея)"/>
    <x v="2"/>
    <n v="6"/>
    <n v="3"/>
    <x v="1"/>
    <n v="0.91270705500000004"/>
    <n v="1.2629634300000001"/>
    <n v="1.4361019800000001"/>
    <n v="-0.69654602600000004"/>
    <n v="-0.61931703700000007"/>
    <n v="-0.65083375500000007"/>
    <n v="-0.63058665999999997"/>
    <n v="-0.37536067500000014"/>
    <n v="-0.27784262900000006"/>
    <n v="6.3985459239942539"/>
  </r>
  <r>
    <s v="Республика Алтай"/>
    <x v="3"/>
    <n v="4"/>
    <n v="3"/>
    <x v="1"/>
    <n v="-1.1566475199999999"/>
    <n v="0.73599090100000009"/>
    <n v="5.3581182199999997"/>
    <n v="-0.5110294070000001"/>
    <n v="-0.63479916200000019"/>
    <n v="0.45113784399999995"/>
    <n v="-0.48073680600000002"/>
    <n v="1.97700232"/>
    <n v="-0.78525796799999992"/>
    <n v="36.212869462138691"/>
  </r>
  <r>
    <s v="Республика Башкортостан"/>
    <x v="0"/>
    <n v="6"/>
    <n v="2"/>
    <x v="1"/>
    <n v="1.3774397600000001"/>
    <n v="0.28289302100000002"/>
    <n v="-0.690151124"/>
    <n v="6.3189663099999988E-2"/>
    <n v="0.85081166200000014"/>
    <n v="-0.18147548200000002"/>
    <n v="-0.33686437400000013"/>
    <n v="-0.39694198700000005"/>
    <n v="0.42596872800000007"/>
    <n v="3.6669740004017966"/>
  </r>
  <r>
    <s v="Республика Бурятия"/>
    <x v="3"/>
    <n v="6"/>
    <n v="1"/>
    <x v="1"/>
    <n v="-0.50512152600000004"/>
    <n v="0.19424343600000005"/>
    <n v="-0.41641013600000004"/>
    <n v="-0.30599285500000006"/>
    <n v="-0.26524757999999998"/>
    <n v="-0.63042687400000008"/>
    <n v="-0.18733441100000001"/>
    <n v="1.35114428"/>
    <n v="-0.60877446600000018"/>
    <n v="3.2589930167475312"/>
  </r>
  <r>
    <s v="Республика Дагестан"/>
    <x v="2"/>
    <n v="6"/>
    <n v="2"/>
    <x v="1"/>
    <n v="1.5642330499999999"/>
    <n v="1.54368712"/>
    <n v="-0.31104988000000006"/>
    <n v="-2.0733667900000001"/>
    <n v="0.64752463500000013"/>
    <n v="-0.36513741500000002"/>
    <n v="-0.79923932499999994"/>
    <n v="0.315241306"/>
    <n v="-0.50334932600000004"/>
    <n v="10.769531440549327"/>
  </r>
  <r>
    <s v="Республика Ингушетия"/>
    <x v="3"/>
    <n v="5"/>
    <n v="5"/>
    <x v="5"/>
    <n v="1.0634920000000001"/>
    <n v="4.7301472100000002"/>
    <n v="0.27651410200000004"/>
    <n v="-2.2608627800000001"/>
    <n v="-0.7142291930000001"/>
    <n v="-0.69164751800000013"/>
    <n v="-0.8456277310000001"/>
    <n v="3.46611285"/>
    <n v="-0.77969863700000019"/>
    <n v="43.01872256053889"/>
  </r>
  <r>
    <s v="Республика Калмыкия"/>
    <x v="3"/>
    <n v="6"/>
    <n v="3"/>
    <x v="1"/>
    <n v="0.85081771200000011"/>
    <n v="0.16961855100000001"/>
    <n v="0.72864012300000014"/>
    <n v="0.31741530800000006"/>
    <n v="-0.74452030600000008"/>
    <n v="-0.65083375500000007"/>
    <n v="-0.75104593100000017"/>
    <n v="2.0201649499999998"/>
    <n v="-0.82579054800000007"/>
    <n v="7.6892916452750359"/>
  </r>
  <r>
    <s v="Республика Карелия"/>
    <x v="3"/>
    <n v="6"/>
    <n v="3"/>
    <x v="1"/>
    <n v="-0.67278538200000015"/>
    <n v="0.43064233000000002"/>
    <n v="1.1322965899999999"/>
    <n v="0.75492571000000019"/>
    <n v="-0.54729150100000001"/>
    <n v="-0.36513741500000002"/>
    <n v="3.7045388799999995E-2"/>
    <n v="0.25049737"/>
    <n v="-0.6613354170000002"/>
    <n v="3.4244405279217389"/>
  </r>
  <r>
    <s v="Республика Коми"/>
    <x v="1"/>
    <n v="6"/>
    <n v="1"/>
    <x v="1"/>
    <n v="-1.2781756799999999"/>
    <n v="-0.60360283000000015"/>
    <n v="6.0971623600000004E-2"/>
    <n v="1.2796273199999999"/>
    <n v="-0.4045867010000001"/>
    <n v="-0.16106860000000001"/>
    <n v="0.54580711800000004"/>
    <n v="0.444729178"/>
    <n v="-0.55621351399999996"/>
    <n v="4.6339294804038156"/>
  </r>
  <r>
    <s v="Республика Крым"/>
    <x v="2"/>
    <n v="6"/>
    <n v="2"/>
    <x v="1"/>
    <n v="1.5338510100000002"/>
    <n v="-0.22930458200000001"/>
    <n v="-2.4512955800000003E-2"/>
    <n v="-1.9659731499999999"/>
    <n v="-0.17370110400000002"/>
    <n v="0.16544150300000002"/>
    <n v="-0.51532624499999991"/>
    <n v="0.63896098499999998"/>
    <n v="0.57273507700000015"/>
    <n v="7.3303315349595479"/>
  </r>
  <r>
    <s v="Республика Марий Эл"/>
    <x v="3"/>
    <n v="6"/>
    <n v="3"/>
    <x v="1"/>
    <n v="-7.6397169299999998E-2"/>
    <n v="-3.23055036E-2"/>
    <n v="0.63645803000000012"/>
    <n v="-0.52428023000000001"/>
    <n v="-0.54998404499999998"/>
    <n v="-0.81408880700000008"/>
    <n v="-0.65165313400000013"/>
    <n v="1.0058432900000001"/>
    <n v="-0.60776367800000008"/>
    <n v="3.4578010114094644"/>
  </r>
  <r>
    <s v="Республика Мордовия"/>
    <x v="2"/>
    <n v="6"/>
    <n v="2"/>
    <x v="1"/>
    <n v="1.03085944"/>
    <n v="0.16961855100000001"/>
    <n v="-0.14018981799999999"/>
    <n v="-0.57951306599999997"/>
    <n v="-0.28813419900000004"/>
    <n v="2.1864515800000001E-3"/>
    <n v="-0.68879397600000014"/>
    <n v="0.70370492100000004"/>
    <n v="-0.42026259100000007"/>
    <n v="2.6762147158584377"/>
  </r>
  <r>
    <s v="Республика Саха (Якутия)"/>
    <x v="5"/>
    <n v="6"/>
    <n v="6"/>
    <x v="3"/>
    <n v="-2.03660145"/>
    <n v="-0.24900449000000005"/>
    <n v="0.31354269200000007"/>
    <n v="1.7440124100000001"/>
    <n v="-0.28140284000000004"/>
    <n v="-0.22228924400000002"/>
    <n v="1.6609961200000001"/>
    <n v="0.66054229700000011"/>
    <n v="0.85383508900000005"/>
    <n v="11.402495670871842"/>
  </r>
  <r>
    <s v="Республика Северная Осетия — Алания"/>
    <x v="2"/>
    <n v="6"/>
    <n v="2"/>
    <x v="1"/>
    <n v="0.71916220099999995"/>
    <n v="0.23364325200000002"/>
    <n v="0.25552188200000003"/>
    <n v="-0.86229009300000015"/>
    <n v="-0.24976545500000005"/>
    <n v="-0.67124063700000025"/>
    <n v="-0.77860263000000007"/>
    <n v="3.4684251299999996E-2"/>
    <n v="-0.7448264670000001"/>
    <n v="3.0557573711288684"/>
  </r>
  <r>
    <s v="Республика Татарстан (Татарстан)"/>
    <x v="0"/>
    <n v="3"/>
    <n v="4"/>
    <x v="0"/>
    <n v="0.71691168000000005"/>
    <n v="1.6668115500000003"/>
    <n v="-0.62574745100000018"/>
    <n v="0.10582420100000002"/>
    <n v="1.0938137000000001"/>
    <n v="4.5733278999999998"/>
    <n v="-0.18025893800000001"/>
    <n v="-1.51917021"/>
    <n v="0.29759871200000004"/>
    <n v="28.235674628831138"/>
  </r>
  <r>
    <s v="Республика Тыва"/>
    <x v="3"/>
    <n v="6"/>
    <n v="3"/>
    <x v="1"/>
    <n v="2.2900262499999999"/>
    <n v="-1.64769794"/>
    <n v="0.33908836400000014"/>
    <n v="-3.8153166000000009E-2"/>
    <n v="-0.72365309400000011"/>
    <n v="-0.712054399"/>
    <n v="-0.11980098299999999"/>
    <n v="3.2287184099999999"/>
    <n v="-0.78586444099999997"/>
    <n v="20.162818342701694"/>
  </r>
  <r>
    <s v="Республика Хакасия"/>
    <x v="3"/>
    <n v="6"/>
    <n v="3"/>
    <x v="1"/>
    <n v="-0.778559895"/>
    <n v="0.86896527900000009"/>
    <n v="1.9098010400000001"/>
    <n v="-0.24756474800000003"/>
    <n v="-0.62470212400000003"/>
    <n v="-0.81408880700000008"/>
    <n v="-6.8238141200000019E-2"/>
    <n v="1.0058432900000001"/>
    <n v="-0.72390316499999996"/>
    <n v="7.6632907726185033"/>
  </r>
  <r>
    <s v="Ростовская область"/>
    <x v="0"/>
    <n v="6"/>
    <n v="2"/>
    <x v="1"/>
    <n v="0.79905571700000011"/>
    <n v="0.23364325200000002"/>
    <n v="-0.560360411"/>
    <n v="-0.34491609900000009"/>
    <n v="1.42432341"/>
    <n v="-0.24269612600000001"/>
    <n v="-0.46394369800000002"/>
    <n v="-0.26745411500000005"/>
    <n v="1.86533017"/>
    <n v="6.9798808008691484"/>
  </r>
  <r>
    <s v="Рязанская область"/>
    <x v="2"/>
    <n v="6"/>
    <n v="2"/>
    <x v="1"/>
    <n v="0.29943993100000005"/>
    <n v="0.32721781400000005"/>
    <n v="-0.49765760799999997"/>
    <n v="-0.17999626800000004"/>
    <n v="-0.30496259500000011"/>
    <n v="-0.34473053300000001"/>
    <n v="-0.40352603500000006"/>
    <n v="-0.18112886799999997"/>
    <n v="-0.35446032300000008"/>
    <n v="1.0099218943904942"/>
  </r>
  <r>
    <s v="Самарская область"/>
    <x v="0"/>
    <n v="6"/>
    <n v="2"/>
    <x v="1"/>
    <n v="0.46260274400000001"/>
    <n v="0.59316656899999975"/>
    <n v="-0.74158797899999995"/>
    <n v="-0.19203514800000002"/>
    <n v="1.5024071699999999"/>
    <n v="-7.9441074200000017E-2"/>
    <n v="-0.28405370900000004"/>
    <n v="-0.33219805100000005"/>
    <n v="0.508651148"/>
    <n v="3.8659843397925782"/>
  </r>
  <r>
    <s v="Санкт-Петербург"/>
    <x v="0"/>
    <n v="6"/>
    <n v="6"/>
    <x v="0"/>
    <n v="0.13740237900000002"/>
    <n v="-0.21452965100000002"/>
    <n v="-0.67967054300000018"/>
    <n v="1.26829843"/>
    <n v="1.2257483300000001"/>
    <n v="0.59398601399999995"/>
    <n v="1.3369683400000001"/>
    <n v="-1.7781459500000001"/>
    <n v="1.6256724500000002"/>
    <n v="11.582811969331724"/>
  </r>
  <r>
    <s v="Саратовская область"/>
    <x v="0"/>
    <n v="6"/>
    <n v="2"/>
    <x v="1"/>
    <n v="0.65277181500000026"/>
    <n v="-1.00745094"/>
    <n v="-0.29599274500000006"/>
    <n v="-0.53335129200000009"/>
    <n v="0.37086580000000008"/>
    <n v="2.1864515800000001E-3"/>
    <n v="-0.55948761700000005"/>
    <n v="0.16417212299999998"/>
    <n v="-4.6574441999999994E-2"/>
    <n v="2.2928380253039928"/>
  </r>
  <r>
    <s v="Сахалинская область"/>
    <x v="5"/>
    <n v="6"/>
    <n v="6"/>
    <x v="3"/>
    <n v="-0.17992116100000002"/>
    <n v="-1.72649758"/>
    <n v="-0.53123515899999996"/>
    <n v="1.5963929399999999"/>
    <n v="-0.60720059200000009"/>
    <n v="-0.22228924400000002"/>
    <n v="2.2486120400000003"/>
    <n v="-1.2601944600000001"/>
    <n v="-0.22972914200000003"/>
    <n v="12.959073460876795"/>
  </r>
  <r>
    <s v="Свердловская область"/>
    <x v="1"/>
    <n v="6"/>
    <n v="1"/>
    <x v="1"/>
    <n v="-1.17802747"/>
    <n v="-0.53465315300000005"/>
    <n v="-0.73976757400000004"/>
    <n v="0.29442023200000006"/>
    <n v="0.98543883200000004"/>
    <n v="0.96130987999999995"/>
    <n v="-9.6755257700000038E-3"/>
    <n v="-1.00121872"/>
    <n v="0.7441646420000001"/>
    <n v="5.7590619838390928"/>
  </r>
  <r>
    <s v="Севастополь"/>
    <x v="2"/>
    <n v="6"/>
    <n v="2"/>
    <x v="1"/>
    <n v="0.9183333589999999"/>
    <n v="1.19401376"/>
    <n v="-0.50136484999999997"/>
    <n v="-1.9062335399999999"/>
    <n v="-0.63951111300000008"/>
    <n v="-0.73246128099999996"/>
    <n v="-0.45995725799999998"/>
    <n v="-0.59117379399999992"/>
    <n v="4.9753609500000011E-2"/>
    <n v="7.6630945860979072"/>
  </r>
  <r>
    <s v="Смоленская область"/>
    <x v="1"/>
    <n v="6"/>
    <n v="1"/>
    <x v="1"/>
    <n v="-0.50287100400000007"/>
    <n v="-0.81045186200000008"/>
    <n v="0.23839430300000003"/>
    <n v="-0.28588767100000012"/>
    <n v="-0.34669701799999997"/>
    <n v="2.1864515800000001E-3"/>
    <n v="-0.60792642500000005"/>
    <n v="0.22891605800000003"/>
    <n v="-3.8181295600000003E-3"/>
    <n v="1.5904703525651664"/>
  </r>
  <r>
    <s v="Ставропольский край"/>
    <x v="0"/>
    <n v="6"/>
    <n v="2"/>
    <x v="1"/>
    <n v="0.94646487899999998"/>
    <n v="-5.20054114E-2"/>
    <n v="-0.43541354400000004"/>
    <n v="-0.67678780200000022"/>
    <n v="0.95851339799999991"/>
    <n v="1.04293741"/>
    <n v="-0.55942575500000002"/>
    <n v="-5.16409964E-2"/>
    <n v="2.4487531200000009E-3"/>
    <n v="3.8682233524617287"/>
  </r>
  <r>
    <s v="Тамбовская область"/>
    <x v="2"/>
    <n v="6"/>
    <n v="2"/>
    <x v="1"/>
    <n v="1.2345316399999999"/>
    <n v="0.53899182300000015"/>
    <n v="0.33708705700000008"/>
    <n v="-0.58823574299999992"/>
    <n v="-0.40929865199999999"/>
    <n v="-0.61001999200000012"/>
    <n v="-0.72553474899999992"/>
    <n v="-0.59117379399999992"/>
    <n v="-0.25378588500000004"/>
    <n v="3.754173707707992"/>
  </r>
  <r>
    <s v="Тверская область"/>
    <x v="1"/>
    <n v="6"/>
    <n v="1"/>
    <x v="1"/>
    <n v="-0.51412361200000012"/>
    <n v="-0.77597702300000004"/>
    <n v="0.14817077899999997"/>
    <n v="-8.2986284800000004E-2"/>
    <n v="-0.38035381000000007"/>
    <n v="-0.42635805900000007"/>
    <n v="-0.43233991800000005"/>
    <n v="-0.52642985800000008"/>
    <n v="-0.14340788700000004"/>
    <n v="1.7063669699221071"/>
  </r>
  <r>
    <s v="Томская область"/>
    <x v="1"/>
    <n v="6"/>
    <n v="1"/>
    <x v="1"/>
    <n v="-1.30293142"/>
    <n v="-1.1207254099999999"/>
    <n v="0.13331336800000002"/>
    <n v="8.147568459999999E-3"/>
    <n v="-0.24707291200000001"/>
    <n v="-5.9034192800000003E-2"/>
    <n v="9.4559605099999985E-2"/>
    <n v="5.62655632E-2"/>
    <n v="0.23826548400000006"/>
    <n v="3.1049024007358565"/>
  </r>
  <r>
    <s v="Тульская область"/>
    <x v="0"/>
    <n v="6"/>
    <n v="2"/>
    <x v="1"/>
    <n v="0.74504319900000004"/>
    <n v="-0.38690384400000005"/>
    <n v="-0.3290132850000001"/>
    <n v="-0.14185514000000002"/>
    <n v="-0.17437424000000001"/>
    <n v="0.41032408100000012"/>
    <n v="-0.22722974300000001"/>
    <n v="-0.76382428899999999"/>
    <n v="0.23058349800000003"/>
    <n v="1.7201584523282263"/>
  </r>
  <r>
    <s v="Тюменская область без автономных округов"/>
    <x v="0"/>
    <n v="6"/>
    <n v="2"/>
    <x v="0"/>
    <n v="1.02748365"/>
    <n v="0.49466702999999995"/>
    <n v="-0.51803533400000001"/>
    <n v="0.89869505000000016"/>
    <n v="5.651135740000001E-2"/>
    <n v="0.5735791320000001"/>
    <n v="0.35288336200000009"/>
    <n v="-0.39694198700000005"/>
    <n v="2.19798034"/>
    <n v="7.8218252580604553"/>
  </r>
  <r>
    <s v="Удмуртская Республика"/>
    <x v="1"/>
    <n v="6"/>
    <n v="1"/>
    <x v="1"/>
    <n v="-0.84607554200000012"/>
    <n v="0.28289302100000002"/>
    <n v="-0.56361560700000013"/>
    <n v="0.22833990500000001"/>
    <n v="-7.4365484499999994E-3"/>
    <n v="-0.54879934800000008"/>
    <n v="-0.48746064200000006"/>
    <n v="-8.4783725399999992E-3"/>
    <n v="-0.58603174599999996"/>
    <n v="2.0480329435506315"/>
  </r>
  <r>
    <s v="Ульяновская область"/>
    <x v="1"/>
    <n v="6"/>
    <n v="1"/>
    <x v="1"/>
    <n v="-0.59401712799999984"/>
    <n v="3.6644173799999992E-2"/>
    <n v="-0.42749969700000007"/>
    <n v="-0.30865372600000002"/>
    <n v="-0.26726698700000007"/>
    <n v="0.3082896730000001"/>
    <n v="-0.61313057000000004"/>
    <n v="-0.41852329900000007"/>
    <n v="-0.54519593000000011"/>
    <n v="1.647025872266674"/>
  </r>
  <r>
    <s v="Хабаровский край"/>
    <x v="1"/>
    <n v="6"/>
    <n v="1"/>
    <x v="1"/>
    <n v="-1.5932487"/>
    <n v="-0.66762753000000019"/>
    <n v="-0.71118363700000009"/>
    <n v="0.54222945000000011"/>
    <n v="-0.34737015300000007"/>
    <n v="-0.20188236300000001"/>
    <n v="0.52267640500000001"/>
    <n v="0.12100949899999999"/>
    <n v="0.36471500300000004"/>
    <n v="4.3662363498695731"/>
  </r>
  <r>
    <s v="Ханты-Мансийский автономный округ — Югра"/>
    <x v="5"/>
    <n v="6"/>
    <n v="6"/>
    <x v="3"/>
    <n v="-0.83707345600000016"/>
    <n v="0.60794150000000013"/>
    <n v="-0.44033746300000004"/>
    <n v="2.7656109"/>
    <n v="-7.0711318499999995E-2"/>
    <n v="-0.54879934800000008"/>
    <n v="1.7907155700000001"/>
    <n v="-0.26745411500000005"/>
    <n v="1.0137416800000001"/>
    <n v="13.524832534606873"/>
  </r>
  <r>
    <s v="Челябинская область"/>
    <x v="1"/>
    <n v="6"/>
    <n v="1"/>
    <x v="1"/>
    <n v="-0.776309374"/>
    <n v="0.16961855100000001"/>
    <n v="-0.66571604100000004"/>
    <n v="-0.14499569300000004"/>
    <n v="1.06352259"/>
    <n v="0.59398601399999995"/>
    <n v="-0.24752416200000002"/>
    <n v="-0.26745411500000005"/>
    <n v="0.52866474099999994"/>
    <n v="2.9918143026115289"/>
  </r>
  <r>
    <s v="Чеченская Республика"/>
    <x v="2"/>
    <n v="5"/>
    <n v="5"/>
    <x v="1"/>
    <n v="2.4171807200000002"/>
    <n v="1.98693505"/>
    <n v="-0.54726778999999992"/>
    <n v="-2.0802994899999998"/>
    <n v="-0.42141509700000007"/>
    <n v="0.22666214800000001"/>
    <n v="-0.8596919890000001"/>
    <n v="1.4158882100000001"/>
    <n v="-0.71662549500000017"/>
    <n v="17.904149778851341"/>
  </r>
  <r>
    <s v="Чувашская Республика — Чувашия"/>
    <x v="1"/>
    <n v="6"/>
    <n v="1"/>
    <x v="1"/>
    <n v="-0.43535535800000003"/>
    <n v="1.6944265900000002E-2"/>
    <n v="-0.74363944300000018"/>
    <n v="-8.9072869499999985E-2"/>
    <n v="-0.236975874"/>
    <n v="-0.44676494"/>
    <n v="-0.63559056800000002"/>
    <n v="0.531054425"/>
    <n v="-0.53832257499999991"/>
    <n v="1.9822968370951561"/>
  </r>
  <r>
    <s v="Чукотский автономный округ"/>
    <x v="5"/>
    <n v="6"/>
    <n v="6"/>
    <x v="3"/>
    <n v="0.43447122400000004"/>
    <n v="-2.21407029"/>
    <n v="1.68656903"/>
    <n v="1.9762518"/>
    <n v="-0.82327720000000004"/>
    <n v="-0.83449568800000007"/>
    <n v="4.0017250500000001"/>
    <n v="-1.28177578"/>
    <n v="-0.75260953100000016"/>
    <n v="31.438300797835456"/>
  </r>
  <r>
    <s v="Ямало-Ненецкий автономный округ"/>
    <x v="5"/>
    <n v="6"/>
    <n v="6"/>
    <x v="3"/>
    <n v="1.4314522700000001"/>
    <n v="0.3813925600000001"/>
    <n v="-0.6404484960000002"/>
    <n v="4.0313083199999999"/>
    <n v="-0.60989313600000017"/>
    <n v="-0.56920622899999995"/>
    <n v="3.2937487700000001"/>
    <n v="-1.8644712000000001"/>
    <n v="-0.3640628050000001"/>
    <n v="34.009677842637942"/>
  </r>
  <r>
    <s v="Ярославская область"/>
    <x v="1"/>
    <n v="6"/>
    <n v="1"/>
    <x v="1"/>
    <n v="-0.64690438400000005"/>
    <n v="-0.91880135500000004"/>
    <n v="-0.75930536000000004"/>
    <n v="-0.45771125099999999"/>
    <n v="-0.39045084800000002"/>
    <n v="-0.32432365200000007"/>
    <n v="-0.34949888600000006"/>
    <n v="-0.93647478499999992"/>
    <n v="-0.53680639399999996"/>
    <n v="3.59365872684599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s v="Алтайский край"/>
    <n v="4"/>
    <n v="1"/>
    <x v="0"/>
    <x v="0"/>
    <x v="0"/>
    <x v="0"/>
  </r>
  <r>
    <s v="Амурская область"/>
    <n v="5"/>
    <n v="1"/>
    <x v="1"/>
    <x v="1"/>
    <x v="1"/>
    <x v="1"/>
  </r>
  <r>
    <s v="Архангельская область без автономного округа"/>
    <n v="5"/>
    <n v="1"/>
    <x v="2"/>
    <x v="2"/>
    <x v="1"/>
    <x v="1"/>
  </r>
  <r>
    <s v="Астраханская область"/>
    <n v="2"/>
    <n v="2"/>
    <x v="3"/>
    <x v="3"/>
    <x v="1"/>
    <x v="2"/>
  </r>
  <r>
    <s v="Белгородская область"/>
    <n v="4"/>
    <n v="2"/>
    <x v="4"/>
    <x v="4"/>
    <x v="0"/>
    <x v="0"/>
  </r>
  <r>
    <s v="Брянская область"/>
    <n v="2"/>
    <n v="2"/>
    <x v="5"/>
    <x v="5"/>
    <x v="2"/>
    <x v="3"/>
  </r>
  <r>
    <s v="Владимирская область"/>
    <n v="5"/>
    <n v="1"/>
    <x v="6"/>
    <x v="6"/>
    <x v="1"/>
    <x v="1"/>
  </r>
  <r>
    <s v="Волгоградская область"/>
    <n v="4"/>
    <n v="2"/>
    <x v="7"/>
    <x v="7"/>
    <x v="0"/>
    <x v="0"/>
  </r>
  <r>
    <s v="Вологодская область"/>
    <n v="6"/>
    <n v="3"/>
    <x v="8"/>
    <x v="8"/>
    <x v="1"/>
    <x v="1"/>
  </r>
  <r>
    <s v="Воронежская область"/>
    <n v="4"/>
    <n v="2"/>
    <x v="9"/>
    <x v="9"/>
    <x v="0"/>
    <x v="0"/>
  </r>
  <r>
    <s v="г. Москва"/>
    <n v="3"/>
    <n v="4"/>
    <x v="10"/>
    <x v="10"/>
    <x v="3"/>
    <x v="4"/>
  </r>
  <r>
    <s v="Еврейская автономная область"/>
    <n v="5"/>
    <n v="3"/>
    <x v="11"/>
    <x v="11"/>
    <x v="1"/>
    <x v="1"/>
  </r>
  <r>
    <s v="Забайкальский край"/>
    <n v="5"/>
    <n v="1"/>
    <x v="12"/>
    <x v="12"/>
    <x v="1"/>
    <x v="1"/>
  </r>
  <r>
    <s v="Ивановская область"/>
    <n v="6"/>
    <n v="1"/>
    <x v="13"/>
    <x v="13"/>
    <x v="2"/>
    <x v="2"/>
  </r>
  <r>
    <s v="Иркутская область"/>
    <n v="5"/>
    <n v="1"/>
    <x v="14"/>
    <x v="14"/>
    <x v="1"/>
    <x v="1"/>
  </r>
  <r>
    <s v="Кабардино-Балкарская Республика"/>
    <n v="2"/>
    <n v="2"/>
    <x v="15"/>
    <x v="15"/>
    <x v="2"/>
    <x v="3"/>
  </r>
  <r>
    <s v="Калининградская область"/>
    <n v="6"/>
    <n v="3"/>
    <x v="16"/>
    <x v="16"/>
    <x v="4"/>
    <x v="2"/>
  </r>
  <r>
    <s v="Калужская область"/>
    <n v="5"/>
    <n v="1"/>
    <x v="17"/>
    <x v="17"/>
    <x v="0"/>
    <x v="0"/>
  </r>
  <r>
    <s v="Камчатский край"/>
    <n v="1"/>
    <n v="6"/>
    <x v="18"/>
    <x v="18"/>
    <x v="5"/>
    <x v="5"/>
  </r>
  <r>
    <s v="Карачаево-Черкесская Республика"/>
    <n v="2"/>
    <n v="2"/>
    <x v="19"/>
    <x v="19"/>
    <x v="2"/>
    <x v="2"/>
  </r>
  <r>
    <s v="Кемеровская область — Кузбасс"/>
    <n v="4"/>
    <n v="2"/>
    <x v="20"/>
    <x v="20"/>
    <x v="0"/>
    <x v="0"/>
  </r>
  <r>
    <s v="Кировская область"/>
    <n v="6"/>
    <n v="1"/>
    <x v="21"/>
    <x v="21"/>
    <x v="4"/>
    <x v="2"/>
  </r>
  <r>
    <s v="Костромская область"/>
    <n v="5"/>
    <n v="1"/>
    <x v="22"/>
    <x v="22"/>
    <x v="1"/>
    <x v="1"/>
  </r>
  <r>
    <s v="Краснодарский край"/>
    <n v="4"/>
    <n v="2"/>
    <x v="23"/>
    <x v="23"/>
    <x v="3"/>
    <x v="4"/>
  </r>
  <r>
    <s v="Красноярский край"/>
    <n v="5"/>
    <n v="1"/>
    <x v="24"/>
    <x v="24"/>
    <x v="0"/>
    <x v="0"/>
  </r>
  <r>
    <s v="Курганская область"/>
    <n v="5"/>
    <n v="1"/>
    <x v="25"/>
    <x v="25"/>
    <x v="1"/>
    <x v="1"/>
  </r>
  <r>
    <s v="Курская область"/>
    <n v="5"/>
    <n v="1"/>
    <x v="26"/>
    <x v="26"/>
    <x v="1"/>
    <x v="2"/>
  </r>
  <r>
    <s v="Ленинградская область"/>
    <n v="5"/>
    <n v="2"/>
    <x v="27"/>
    <x v="27"/>
    <x v="0"/>
    <x v="0"/>
  </r>
  <r>
    <s v="Липецкая область"/>
    <n v="2"/>
    <n v="3"/>
    <x v="28"/>
    <x v="28"/>
    <x v="1"/>
    <x v="2"/>
  </r>
  <r>
    <s v="Магаданская область"/>
    <n v="1"/>
    <n v="6"/>
    <x v="29"/>
    <x v="29"/>
    <x v="5"/>
    <x v="5"/>
  </r>
  <r>
    <s v="Московская область"/>
    <n v="3"/>
    <n v="4"/>
    <x v="30"/>
    <x v="30"/>
    <x v="3"/>
    <x v="4"/>
  </r>
  <r>
    <s v="Мурманская область"/>
    <n v="1"/>
    <n v="6"/>
    <x v="31"/>
    <x v="31"/>
    <x v="5"/>
    <x v="5"/>
  </r>
  <r>
    <s v="Нижегородская область"/>
    <n v="4"/>
    <n v="2"/>
    <x v="32"/>
    <x v="32"/>
    <x v="0"/>
    <x v="0"/>
  </r>
  <r>
    <s v="Новгородская область"/>
    <n v="6"/>
    <n v="1"/>
    <x v="33"/>
    <x v="33"/>
    <x v="1"/>
    <x v="2"/>
  </r>
  <r>
    <s v="Новосибирская область"/>
    <n v="5"/>
    <n v="1"/>
    <x v="34"/>
    <x v="34"/>
    <x v="0"/>
    <x v="1"/>
  </r>
  <r>
    <s v="Омская область"/>
    <n v="5"/>
    <n v="1"/>
    <x v="35"/>
    <x v="35"/>
    <x v="1"/>
    <x v="1"/>
  </r>
  <r>
    <s v="Оренбургская область"/>
    <n v="5"/>
    <n v="1"/>
    <x v="36"/>
    <x v="36"/>
    <x v="0"/>
    <x v="0"/>
  </r>
  <r>
    <s v="Орловская область"/>
    <n v="2"/>
    <n v="2"/>
    <x v="37"/>
    <x v="37"/>
    <x v="1"/>
    <x v="2"/>
  </r>
  <r>
    <s v="Пензенская область"/>
    <n v="2"/>
    <n v="2"/>
    <x v="38"/>
    <x v="38"/>
    <x v="1"/>
    <x v="2"/>
  </r>
  <r>
    <s v="Пермский край"/>
    <n v="5"/>
    <n v="1"/>
    <x v="39"/>
    <x v="39"/>
    <x v="0"/>
    <x v="0"/>
  </r>
  <r>
    <s v="Приморский край"/>
    <n v="4"/>
    <n v="1"/>
    <x v="40"/>
    <x v="40"/>
    <x v="0"/>
    <x v="0"/>
  </r>
  <r>
    <s v="Псковская область"/>
    <n v="6"/>
    <n v="3"/>
    <x v="41"/>
    <x v="41"/>
    <x v="4"/>
    <x v="2"/>
  </r>
  <r>
    <s v="Республика Адыгея (Адыгея)"/>
    <n v="2"/>
    <n v="3"/>
    <x v="42"/>
    <x v="42"/>
    <x v="2"/>
    <x v="2"/>
  </r>
  <r>
    <s v="Республика Алтай"/>
    <n v="6"/>
    <n v="3"/>
    <x v="43"/>
    <x v="43"/>
    <x v="4"/>
    <x v="2"/>
  </r>
  <r>
    <s v="Республика Башкортостан"/>
    <n v="4"/>
    <n v="2"/>
    <x v="44"/>
    <x v="44"/>
    <x v="0"/>
    <x v="0"/>
  </r>
  <r>
    <s v="Республика Бурятия"/>
    <n v="6"/>
    <n v="1"/>
    <x v="45"/>
    <x v="45"/>
    <x v="1"/>
    <x v="2"/>
  </r>
  <r>
    <s v="Республика Дагестан"/>
    <n v="2"/>
    <n v="2"/>
    <x v="46"/>
    <x v="46"/>
    <x v="2"/>
    <x v="3"/>
  </r>
  <r>
    <s v="Республика Ингушетия"/>
    <n v="6"/>
    <n v="5"/>
    <x v="47"/>
    <x v="47"/>
    <x v="2"/>
    <x v="3"/>
  </r>
  <r>
    <s v="Республика Калмыкия"/>
    <n v="6"/>
    <n v="3"/>
    <x v="48"/>
    <x v="48"/>
    <x v="4"/>
    <x v="2"/>
  </r>
  <r>
    <s v="Республика Карелия"/>
    <n v="6"/>
    <n v="3"/>
    <x v="49"/>
    <x v="49"/>
    <x v="1"/>
    <x v="1"/>
  </r>
  <r>
    <s v="Республика Коми"/>
    <n v="5"/>
    <n v="1"/>
    <x v="50"/>
    <x v="50"/>
    <x v="1"/>
    <x v="1"/>
  </r>
  <r>
    <s v="Республика Крым"/>
    <n v="2"/>
    <n v="2"/>
    <x v="51"/>
    <x v="51"/>
    <x v="2"/>
    <x v="3"/>
  </r>
  <r>
    <s v="Республика Марий Эл"/>
    <n v="6"/>
    <n v="3"/>
    <x v="52"/>
    <x v="52"/>
    <x v="4"/>
    <x v="2"/>
  </r>
  <r>
    <s v="Республика Мордовия"/>
    <n v="2"/>
    <n v="2"/>
    <x v="53"/>
    <x v="53"/>
    <x v="2"/>
    <x v="2"/>
  </r>
  <r>
    <s v="Республика Саха (Якутия)"/>
    <n v="1"/>
    <n v="6"/>
    <x v="54"/>
    <x v="54"/>
    <x v="5"/>
    <x v="5"/>
  </r>
  <r>
    <s v="Республика Северная Осетия — Алания"/>
    <n v="2"/>
    <n v="2"/>
    <x v="55"/>
    <x v="55"/>
    <x v="2"/>
    <x v="2"/>
  </r>
  <r>
    <s v="Республика Татарстан (Татарстан)"/>
    <n v="4"/>
    <n v="4"/>
    <x v="56"/>
    <x v="56"/>
    <x v="3"/>
    <x v="4"/>
  </r>
  <r>
    <s v="Республика Тыва"/>
    <n v="6"/>
    <n v="3"/>
    <x v="57"/>
    <x v="57"/>
    <x v="4"/>
    <x v="2"/>
  </r>
  <r>
    <s v="Республика Хакасия"/>
    <n v="6"/>
    <n v="3"/>
    <x v="58"/>
    <x v="58"/>
    <x v="4"/>
    <x v="2"/>
  </r>
  <r>
    <s v="Ростовская область"/>
    <n v="4"/>
    <n v="2"/>
    <x v="59"/>
    <x v="59"/>
    <x v="0"/>
    <x v="0"/>
  </r>
  <r>
    <s v="Рязанская область"/>
    <n v="2"/>
    <n v="2"/>
    <x v="60"/>
    <x v="60"/>
    <x v="1"/>
    <x v="2"/>
  </r>
  <r>
    <s v="Самарская область"/>
    <n v="4"/>
    <n v="2"/>
    <x v="61"/>
    <x v="61"/>
    <x v="0"/>
    <x v="0"/>
  </r>
  <r>
    <s v="Санкт-Петербург"/>
    <n v="4"/>
    <n v="6"/>
    <x v="62"/>
    <x v="62"/>
    <x v="0"/>
    <x v="0"/>
  </r>
  <r>
    <s v="Саратовская область"/>
    <n v="4"/>
    <n v="2"/>
    <x v="63"/>
    <x v="63"/>
    <x v="0"/>
    <x v="2"/>
  </r>
  <r>
    <s v="Сахалинская область"/>
    <n v="1"/>
    <n v="6"/>
    <x v="64"/>
    <x v="64"/>
    <x v="5"/>
    <x v="5"/>
  </r>
  <r>
    <s v="Свердловская область"/>
    <n v="5"/>
    <n v="1"/>
    <x v="65"/>
    <x v="65"/>
    <x v="0"/>
    <x v="0"/>
  </r>
  <r>
    <s v="Севастополь"/>
    <n v="2"/>
    <n v="2"/>
    <x v="66"/>
    <x v="66"/>
    <x v="2"/>
    <x v="3"/>
  </r>
  <r>
    <s v="Смоленская область"/>
    <n v="5"/>
    <n v="1"/>
    <x v="67"/>
    <x v="67"/>
    <x v="1"/>
    <x v="1"/>
  </r>
  <r>
    <s v="Ставропольский край"/>
    <n v="4"/>
    <n v="2"/>
    <x v="68"/>
    <x v="68"/>
    <x v="0"/>
    <x v="0"/>
  </r>
  <r>
    <s v="Тамбовская область"/>
    <n v="2"/>
    <n v="2"/>
    <x v="69"/>
    <x v="69"/>
    <x v="2"/>
    <x v="2"/>
  </r>
  <r>
    <s v="Тверская область"/>
    <n v="5"/>
    <n v="1"/>
    <x v="70"/>
    <x v="70"/>
    <x v="1"/>
    <x v="1"/>
  </r>
  <r>
    <s v="Томская область"/>
    <n v="5"/>
    <n v="1"/>
    <x v="71"/>
    <x v="71"/>
    <x v="1"/>
    <x v="1"/>
  </r>
  <r>
    <s v="Тульская область"/>
    <n v="4"/>
    <n v="2"/>
    <x v="72"/>
    <x v="72"/>
    <x v="0"/>
    <x v="0"/>
  </r>
  <r>
    <s v="Тюменская область без автономных округов"/>
    <n v="4"/>
    <n v="2"/>
    <x v="73"/>
    <x v="73"/>
    <x v="0"/>
    <x v="0"/>
  </r>
  <r>
    <s v="Удмуртская Республика"/>
    <n v="5"/>
    <n v="1"/>
    <x v="74"/>
    <x v="74"/>
    <x v="1"/>
    <x v="1"/>
  </r>
  <r>
    <s v="Ульяновская область"/>
    <n v="5"/>
    <n v="1"/>
    <x v="75"/>
    <x v="75"/>
    <x v="0"/>
    <x v="2"/>
  </r>
  <r>
    <s v="Хабаровский край"/>
    <n v="5"/>
    <n v="1"/>
    <x v="76"/>
    <x v="76"/>
    <x v="1"/>
    <x v="1"/>
  </r>
  <r>
    <s v="Ханты-Мансийский автономный округ — Югра"/>
    <n v="1"/>
    <n v="6"/>
    <x v="77"/>
    <x v="77"/>
    <x v="5"/>
    <x v="5"/>
  </r>
  <r>
    <s v="Челябинская область"/>
    <n v="5"/>
    <n v="1"/>
    <x v="78"/>
    <x v="78"/>
    <x v="0"/>
    <x v="0"/>
  </r>
  <r>
    <s v="Чеченская Республика"/>
    <n v="2"/>
    <n v="5"/>
    <x v="79"/>
    <x v="79"/>
    <x v="2"/>
    <x v="3"/>
  </r>
  <r>
    <s v="Чувашская Республика — Чувашия"/>
    <n v="5"/>
    <n v="1"/>
    <x v="80"/>
    <x v="80"/>
    <x v="1"/>
    <x v="2"/>
  </r>
  <r>
    <s v="Чукотский автономный округ"/>
    <n v="1"/>
    <n v="6"/>
    <x v="81"/>
    <x v="81"/>
    <x v="5"/>
    <x v="5"/>
  </r>
  <r>
    <s v="Ямало-Ненецкий автономный округ"/>
    <n v="1"/>
    <n v="6"/>
    <x v="82"/>
    <x v="82"/>
    <x v="5"/>
    <x v="5"/>
  </r>
  <r>
    <s v="Ярославская область"/>
    <n v="5"/>
    <n v="1"/>
    <x v="83"/>
    <x v="8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49A25-526F-41DE-9EE1-F7B6AC0239A6}" name="Сводная таблица4" cacheId="0" dataOnRows="1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1">
  <location ref="A3:G13" firstHeaderRow="1" firstDataRow="2" firstDataCol="1"/>
  <pivotFields count="15">
    <pivotField showAll="0"/>
    <pivotField axis="axisCol" showAll="0">
      <items count="7">
        <item x="5"/>
        <item x="2"/>
        <item x="4"/>
        <item x="0"/>
        <item x="1"/>
        <item x="3"/>
        <item t="default"/>
      </items>
    </pivotField>
    <pivotField showAll="0"/>
    <pivotField showAll="0"/>
    <pivotField showAll="0">
      <items count="7">
        <item x="2"/>
        <item x="4"/>
        <item x="5"/>
        <item x="0"/>
        <item x="3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9">
    <dataField name="Среднее по полю х1" fld="5" subtotal="average" baseField="4" baseItem="4"/>
    <dataField name="Среднее по полю x2" fld="6" subtotal="average" baseField="4" baseItem="4"/>
    <dataField name="Среднее по полю x3" fld="7" subtotal="average" baseField="4" baseItem="4"/>
    <dataField name="Среднее по полю x4" fld="8" subtotal="average" baseField="4" baseItem="4"/>
    <dataField name="Среднее по полю x5" fld="9" subtotal="average" baseField="4" baseItem="4"/>
    <dataField name="Среднее по полю x6" fld="10" subtotal="average" baseField="4" baseItem="4"/>
    <dataField name="Среднее по полю x7" fld="11" subtotal="average" baseField="4" baseItem="4"/>
    <dataField name="Среднее по полю x8" fld="12" subtotal="average" baseField="4" baseItem="4"/>
    <dataField name="Среднее по полю x9" fld="13" subtotal="average" baseField="4" baseItem="4"/>
  </dataFields>
  <chartFormats count="6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5060A-0654-494B-B722-C415263FF2D8}" name="Сводная таблица1" cacheId="1" dataOnRows="1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4">
  <location ref="A3:G6" firstHeaderRow="1" firstDataRow="2" firstDataCol="1"/>
  <pivotFields count="7">
    <pivotField showAll="0"/>
    <pivotField showAll="0"/>
    <pivotField showAll="0"/>
    <pivotField dataField="1" numFmtId="168" showAll="0">
      <items count="85">
        <item x="47"/>
        <item x="79"/>
        <item x="43"/>
        <item x="57"/>
        <item x="48"/>
        <item x="46"/>
        <item x="15"/>
        <item x="13"/>
        <item x="52"/>
        <item x="42"/>
        <item x="58"/>
        <item x="19"/>
        <item x="55"/>
        <item x="66"/>
        <item x="41"/>
        <item x="21"/>
        <item x="16"/>
        <item x="51"/>
        <item x="53"/>
        <item x="69"/>
        <item x="5"/>
        <item x="45"/>
        <item x="37"/>
        <item x="22"/>
        <item x="38"/>
        <item x="28"/>
        <item x="33"/>
        <item x="3"/>
        <item x="8"/>
        <item x="26"/>
        <item x="80"/>
        <item x="11"/>
        <item x="60"/>
        <item x="49"/>
        <item x="67"/>
        <item x="4"/>
        <item x="63"/>
        <item x="74"/>
        <item x="75"/>
        <item x="1"/>
        <item x="70"/>
        <item x="6"/>
        <item x="27"/>
        <item x="25"/>
        <item x="36"/>
        <item x="83"/>
        <item x="20"/>
        <item x="17"/>
        <item x="68"/>
        <item x="9"/>
        <item x="35"/>
        <item x="14"/>
        <item x="72"/>
        <item x="44"/>
        <item x="71"/>
        <item x="2"/>
        <item x="12"/>
        <item x="39"/>
        <item x="0"/>
        <item x="50"/>
        <item x="32"/>
        <item x="61"/>
        <item x="59"/>
        <item x="76"/>
        <item x="7"/>
        <item x="34"/>
        <item x="78"/>
        <item x="24"/>
        <item x="40"/>
        <item x="31"/>
        <item x="18"/>
        <item x="73"/>
        <item x="23"/>
        <item x="54"/>
        <item x="65"/>
        <item x="81"/>
        <item x="64"/>
        <item x="29"/>
        <item x="56"/>
        <item x="77"/>
        <item x="82"/>
        <item x="62"/>
        <item x="30"/>
        <item x="10"/>
        <item t="default"/>
      </items>
    </pivotField>
    <pivotField dataField="1" numFmtId="168" showAll="0">
      <items count="85">
        <item x="81"/>
        <item x="29"/>
        <item x="18"/>
        <item x="31"/>
        <item x="64"/>
        <item x="82"/>
        <item x="11"/>
        <item x="54"/>
        <item x="50"/>
        <item x="1"/>
        <item x="77"/>
        <item x="43"/>
        <item x="49"/>
        <item x="12"/>
        <item x="2"/>
        <item x="76"/>
        <item x="16"/>
        <item x="22"/>
        <item x="71"/>
        <item x="58"/>
        <item x="8"/>
        <item x="70"/>
        <item x="25"/>
        <item x="14"/>
        <item x="83"/>
        <item x="41"/>
        <item x="21"/>
        <item x="28"/>
        <item x="6"/>
        <item x="33"/>
        <item x="57"/>
        <item x="52"/>
        <item x="67"/>
        <item x="34"/>
        <item x="74"/>
        <item x="48"/>
        <item x="35"/>
        <item x="45"/>
        <item x="26"/>
        <item x="80"/>
        <item x="24"/>
        <item x="37"/>
        <item x="75"/>
        <item x="17"/>
        <item x="60"/>
        <item x="3"/>
        <item x="55"/>
        <item x="62"/>
        <item x="13"/>
        <item x="19"/>
        <item x="65"/>
        <item x="36"/>
        <item x="42"/>
        <item x="63"/>
        <item x="72"/>
        <item x="38"/>
        <item x="0"/>
        <item x="40"/>
        <item x="39"/>
        <item x="69"/>
        <item x="32"/>
        <item x="20"/>
        <item x="53"/>
        <item x="4"/>
        <item x="78"/>
        <item x="9"/>
        <item x="27"/>
        <item x="5"/>
        <item x="73"/>
        <item x="15"/>
        <item x="44"/>
        <item x="66"/>
        <item x="61"/>
        <item x="51"/>
        <item x="68"/>
        <item x="59"/>
        <item x="7"/>
        <item x="46"/>
        <item x="79"/>
        <item x="47"/>
        <item x="23"/>
        <item x="56"/>
        <item x="30"/>
        <item x="10"/>
        <item t="default"/>
      </items>
    </pivotField>
    <pivotField showAll="0">
      <items count="7">
        <item x="4"/>
        <item x="5"/>
        <item x="3"/>
        <item x="0"/>
        <item x="1"/>
        <item x="2"/>
        <item t="default"/>
      </items>
    </pivotField>
    <pivotField axis="axisCol" numFmtId="1" showAll="0">
      <items count="7">
        <item x="4"/>
        <item x="5"/>
        <item x="0"/>
        <item x="2"/>
        <item x="1"/>
        <item x="3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2">
    <dataField name="Среднее по полю Главная компонента 2 (Здравоохранение и борьба с коррупцией)" fld="4" subtotal="average" baseField="0" baseItem="1"/>
    <dataField name="Среднее по полю Главная компонента 1 (Экономическая устойчивость и преступность)" fld="3" subtotal="average" baseField="0" baseItem="1"/>
  </dataFields>
  <formats count="3"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field="6" type="button" dataOnly="0" labelOnly="1" outline="0" axis="axisCol" fieldPosition="0"/>
    </format>
  </format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674072-7AEF-4EFB-B906-7BA28018F892}" name="Таблица1" displayName="Таблица1" ref="A1:L86" totalsRowCount="1" headerRowDxfId="428" dataDxfId="426" totalsRowDxfId="424" headerRowBorderDxfId="427" tableBorderDxfId="425" totalsRowBorderDxfId="423">
  <autoFilter ref="A1:L85" xr:uid="{A7674072-7AEF-4EFB-B906-7BA28018F892}"/>
  <sortState xmlns:xlrd2="http://schemas.microsoft.com/office/spreadsheetml/2017/richdata2" ref="A2:L85">
    <sortCondition ref="A1:A85"/>
  </sortState>
  <tableColumns count="12">
    <tableColumn id="1" xr3:uid="{5CEE147F-019E-4F7D-85A2-B231127C068E}" name="Столбец1" dataDxfId="422" totalsRowDxfId="421"/>
    <tableColumn id="2" xr3:uid="{F4B44D20-D602-4ABC-BEA4-05B652FB0DE8}" name="Cluster Membership" totalsRowFunction="countNums" dataDxfId="420" totalsRowDxfId="419"/>
    <tableColumn id="3" xr3:uid="{8290043F-1B2E-40F4-B7A6-6401F9086BCB}" name="х1" totalsRowFunction="average" dataDxfId="418" totalsRowDxfId="417"/>
    <tableColumn id="4" xr3:uid="{E5A43F2C-7EDC-44ED-B088-48BFE14E49B8}" name="x2" totalsRowFunction="average" dataDxfId="416" totalsRowDxfId="415"/>
    <tableColumn id="5" xr3:uid="{69A50A66-04D5-414A-87A7-37487C15D11C}" name="x3" totalsRowFunction="average" dataDxfId="414" totalsRowDxfId="413"/>
    <tableColumn id="6" xr3:uid="{E2D730D6-962A-4878-B87B-B5CA29278F56}" name="x4" totalsRowFunction="average" dataDxfId="412" totalsRowDxfId="411"/>
    <tableColumn id="7" xr3:uid="{29FFB477-FBAF-4812-9486-64F9AD027B3A}" name="x5" totalsRowFunction="average" dataDxfId="410" totalsRowDxfId="409"/>
    <tableColumn id="8" xr3:uid="{9F4942B1-3BEA-435F-80BB-33D00125154F}" name="x6" totalsRowFunction="average" dataDxfId="408" totalsRowDxfId="407"/>
    <tableColumn id="9" xr3:uid="{B0CF8AAF-9E5C-410A-82C5-F8222747536B}" name="x7" totalsRowFunction="average" dataDxfId="406" totalsRowDxfId="405"/>
    <tableColumn id="10" xr3:uid="{F8FDD484-CE0D-43BE-825C-4F80CE4FACC4}" name="x8" totalsRowFunction="average" dataDxfId="404" totalsRowDxfId="403"/>
    <tableColumn id="11" xr3:uid="{B9B1B3EF-5641-4470-A2A1-216182CCE508}" name="x9" totalsRowFunction="average" dataDxfId="402" totalsRowDxfId="401"/>
    <tableColumn id="12" xr3:uid="{CF6BE7AF-8036-40B1-ABD5-DA36D4354EEC}" name="расстояния" totalsRowFunction="sum" dataDxfId="400" totalsRowDxfId="399">
      <calculatedColumnFormula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29CB8-B302-48B9-907D-0ADB1269682C}" name="Таблица511" displayName="Таблица511" ref="BX1:CA86" totalsRowCount="1" headerRowDxfId="35" totalsRowDxfId="32" headerRowBorderDxfId="34" tableBorderDxfId="33" totalsRowBorderDxfId="31">
  <autoFilter ref="BX1:CA85" xr:uid="{5F429CB8-B302-48B9-907D-0ADB1269682C}"/>
  <sortState xmlns:xlrd2="http://schemas.microsoft.com/office/spreadsheetml/2017/richdata2" ref="BX2:CA85">
    <sortCondition ref="BX1:BX85"/>
  </sortState>
  <tableColumns count="4">
    <tableColumn id="1" xr3:uid="{1AE74B7E-B618-45BD-99ED-017D736996EB}" name="Наименование" totalsRowLabel="Количество" dataDxfId="30" totalsRowDxfId="29"/>
    <tableColumn id="12" xr3:uid="{E06E3B9F-CA91-4CF8-88D8-4E558733FBDB}" name="Фактор 1 (Экономическое состояние населения)" dataDxfId="28" totalsRowDxfId="27"/>
    <tableColumn id="11" xr3:uid="{FF191A43-EBEF-4E62-B54A-5250F0D8132E}" name="Фактор 2 (Преступность)" dataDxfId="26" totalsRowDxfId="25"/>
    <tableColumn id="10" xr3:uid="{3E20C745-C3A0-45FD-BBB8-59FAE0F3552B}" name="Уорд 3" dataDxfId="24" totalsRowDxfId="2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4C1826-7B69-4B0C-B931-7B36C6404E7A}" name="Таблица11" displayName="Таблица11" ref="CC1:CF85" totalsRowShown="0" headerRowDxfId="22" headerRowBorderDxfId="21" tableBorderDxfId="20" totalsRowBorderDxfId="19">
  <autoFilter ref="CC1:CF85" xr:uid="{DD4C1826-7B69-4B0C-B931-7B36C6404E7A}"/>
  <sortState xmlns:xlrd2="http://schemas.microsoft.com/office/spreadsheetml/2017/richdata2" ref="CC2:CF85">
    <sortCondition ref="CC1:CC85"/>
  </sortState>
  <tableColumns count="4">
    <tableColumn id="1" xr3:uid="{9598BCCD-A8B9-4D78-9448-B8A2E6E54C38}" name="Наименование" dataDxfId="18"/>
    <tableColumn id="2" xr3:uid="{E7C66324-1F20-4E67-8923-0BA892C67BBC}" name="Фактор 1 (Экономическое состояние населения)" dataDxfId="17"/>
    <tableColumn id="3" xr3:uid="{EA2FF5AA-BEA7-4B49-BAE9-573E60F1E028}" name="Фактор 2 (Преступность)" dataDxfId="16"/>
    <tableColumn id="4" xr3:uid="{FF648822-EACD-4D28-A70B-B1A291FB44F7}" name="к-средних3" dataDxfId="15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0349EE-C9EF-49FB-873B-5AF3A24979C4}" name="Таблица12" displayName="Таблица12" ref="AT1:AW85" totalsRowShown="0" headerRowBorderDxfId="14" tableBorderDxfId="13">
  <autoFilter ref="AT1:AW85" xr:uid="{540349EE-C9EF-49FB-873B-5AF3A24979C4}"/>
  <sortState xmlns:xlrd2="http://schemas.microsoft.com/office/spreadsheetml/2017/richdata2" ref="AT2:AW85">
    <sortCondition ref="AU1:AU85"/>
  </sortState>
  <tableColumns count="4">
    <tableColumn id="1" xr3:uid="{1B182C0A-84AF-416F-9EDD-3D7E7F2207BB}" name="Наименование" dataDxfId="12"/>
    <tableColumn id="2" xr3:uid="{60F93366-550D-454A-B834-E5E5746FCF94}" name="Уорд" dataDxfId="11"/>
    <tableColumn id="8" xr3:uid="{B72E756A-BB7F-4BC9-A9D9-D72B7E53B0D0}" name="Фактор 1 (Экономическое состояние населения)" dataDxfId="10"/>
    <tableColumn id="9" xr3:uid="{62C2DEF8-402B-4560-87B0-26779C9D1649}" name="Фактор 2 (Преступность)" dataDxfId="9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4C4AC47-2882-4019-890F-48B60A7BECFC}" name="Таблица1214" displayName="Таблица1214" ref="AY1:BB85" totalsRowShown="0" headerRowBorderDxfId="8" tableBorderDxfId="7">
  <autoFilter ref="AY1:BB85" xr:uid="{B4C4AC47-2882-4019-890F-48B60A7BECFC}"/>
  <sortState xmlns:xlrd2="http://schemas.microsoft.com/office/spreadsheetml/2017/richdata2" ref="AY2:BB85">
    <sortCondition ref="AZ1:AZ85"/>
  </sortState>
  <tableColumns count="4">
    <tableColumn id="1" xr3:uid="{A22F0C4C-5B5E-4B1B-8FDD-312B67949F5D}" name="Наименование" dataDxfId="6"/>
    <tableColumn id="3" xr3:uid="{EBBA3EAD-F048-4C95-9D1E-A6F8DAB1D3B7}" name="к-средних" dataDxfId="5"/>
    <tableColumn id="8" xr3:uid="{A9C6A072-D188-4E6B-B893-2B4E31619C9F}" name="Фактор 1 (Экономическое состояние населения)" dataDxfId="4"/>
    <tableColumn id="9" xr3:uid="{603CF045-B045-4508-A227-A6DB1A7BD081}" name="Фактор 2 (Преступность)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5E20A9-D787-4EAD-9B68-AE35E3887256}" name="Таблица2" displayName="Таблица2" ref="A1:L86" totalsRowCount="1" headerRowDxfId="398" dataDxfId="396" totalsRowDxfId="394" headerRowBorderDxfId="397" tableBorderDxfId="395" totalsRowBorderDxfId="393">
  <autoFilter ref="A1:L85" xr:uid="{735E20A9-D787-4EAD-9B68-AE35E3887256}"/>
  <sortState xmlns:xlrd2="http://schemas.microsoft.com/office/spreadsheetml/2017/richdata2" ref="A2:L81">
    <sortCondition ref="A1:A81"/>
  </sortState>
  <tableColumns count="12">
    <tableColumn id="1" xr3:uid="{2FD6BA71-A271-4C7F-BC25-8AE91158DA9E}" name="Столбец1" dataDxfId="392" totalsRowDxfId="391"/>
    <tableColumn id="2" xr3:uid="{EBD93CE7-E572-41F5-963E-159EDF2114CC}" name="Cluster Membership" totalsRowFunction="countNums" dataDxfId="390" totalsRowDxfId="389"/>
    <tableColumn id="3" xr3:uid="{8518B5A4-9C11-4DD2-A586-8C5C53ECFE58}" name="х1" totalsRowFunction="average" dataDxfId="388" totalsRowDxfId="387"/>
    <tableColumn id="4" xr3:uid="{8377ED98-48CF-4698-992A-510299A4C38C}" name="x2" totalsRowFunction="average" dataDxfId="386" totalsRowDxfId="385"/>
    <tableColumn id="5" xr3:uid="{E7C6ED35-AC3A-413B-830E-B7CDA96D39C0}" name="x3" totalsRowFunction="average" dataDxfId="384" totalsRowDxfId="383"/>
    <tableColumn id="6" xr3:uid="{033B1229-B597-4B48-AF60-B5F85E864F94}" name="x4" totalsRowFunction="average" dataDxfId="382" totalsRowDxfId="381"/>
    <tableColumn id="7" xr3:uid="{08DB6AA6-31C4-4CEA-8225-D72C184C5558}" name="x5" totalsRowFunction="average" dataDxfId="380" totalsRowDxfId="379"/>
    <tableColumn id="8" xr3:uid="{9DD8642A-84D7-46B9-9F95-B9149F64BCBB}" name="x6" totalsRowFunction="average" dataDxfId="378" totalsRowDxfId="377"/>
    <tableColumn id="9" xr3:uid="{7AE568DF-193E-4513-B37F-05736404DFC5}" name="x7" totalsRowFunction="average" dataDxfId="376" totalsRowDxfId="375"/>
    <tableColumn id="10" xr3:uid="{3A42E275-8EA2-46F5-ACC8-C0259BC3EB8E}" name="x8" totalsRowFunction="average" dataDxfId="374" totalsRowDxfId="373"/>
    <tableColumn id="11" xr3:uid="{1AF8E57F-0436-469B-BBE4-6FD13549F63F}" name="x9" totalsRowFunction="average" dataDxfId="372" totalsRowDxfId="371"/>
    <tableColumn id="12" xr3:uid="{DE0709E8-9516-4CF7-B443-39FEDA33DD98}" name="Расстояние" totalsRowFunction="sum" dataDxfId="370" totalsRowDxfId="369">
      <calculatedColumnFormula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F0422D-55E6-4789-9E2F-BDF6C2A61974}" name="Таблица3" displayName="Таблица3" ref="A1:L86" totalsRowCount="1" headerRowDxfId="368" dataDxfId="366" headerRowBorderDxfId="367" tableBorderDxfId="365" totalsRowBorderDxfId="364">
  <autoFilter ref="A1:L85" xr:uid="{44F0422D-55E6-4789-9E2F-BDF6C2A61974}"/>
  <sortState xmlns:xlrd2="http://schemas.microsoft.com/office/spreadsheetml/2017/richdata2" ref="A2:L82">
    <sortCondition ref="B1:B82"/>
  </sortState>
  <tableColumns count="12">
    <tableColumn id="1" xr3:uid="{6C43527F-A0CC-4F24-859B-5968321EBF06}" name="Столбец1" dataDxfId="363" totalsRowDxfId="362"/>
    <tableColumn id="2" xr3:uid="{7078AD7A-C3E6-44B7-BB9D-7B01D471D7F9}" name="Cluster Membership" totalsRowFunction="countNums" dataDxfId="361" totalsRowDxfId="360"/>
    <tableColumn id="3" xr3:uid="{31C9B13F-A707-4CBD-94B9-638BE705749B}" name="х1" totalsRowFunction="custom" dataDxfId="359" totalsRowDxfId="358">
      <totalsRowFormula>SUBTOTAL(101,C1:C85)</totalsRowFormula>
    </tableColumn>
    <tableColumn id="4" xr3:uid="{9A926A83-960B-4FA7-8AE2-F24F204B8136}" name="x2" totalsRowFunction="custom" dataDxfId="357" totalsRowDxfId="356">
      <totalsRowFormula>SUBTOTAL(101,D1:D85)</totalsRowFormula>
    </tableColumn>
    <tableColumn id="5" xr3:uid="{16B45AFB-C164-4632-9A8D-5AADF4C87194}" name="x3" totalsRowFunction="custom" dataDxfId="355" totalsRowDxfId="354">
      <totalsRowFormula>SUBTOTAL(101,E1:E85)</totalsRowFormula>
    </tableColumn>
    <tableColumn id="6" xr3:uid="{768D833B-4EFA-40A2-BCE0-3F1B05679DB7}" name="x4" totalsRowFunction="custom" dataDxfId="353" totalsRowDxfId="352">
      <totalsRowFormula>SUBTOTAL(101,F1:F85)</totalsRowFormula>
    </tableColumn>
    <tableColumn id="7" xr3:uid="{7A5A6A5C-3DDE-467D-87BE-32BAA99EACBA}" name="x5" totalsRowFunction="custom" dataDxfId="351" totalsRowDxfId="350">
      <totalsRowFormula>SUBTOTAL(101,G1:G85)</totalsRowFormula>
    </tableColumn>
    <tableColumn id="8" xr3:uid="{B0B2C0D8-E371-4C12-8DA9-CA0FB5BF4492}" name="x6" totalsRowFunction="custom" dataDxfId="349" totalsRowDxfId="348">
      <totalsRowFormula>SUBTOTAL(101,H1:H85)</totalsRowFormula>
    </tableColumn>
    <tableColumn id="9" xr3:uid="{9ACFA0DB-7229-439F-85D9-06410795AC1F}" name="x7" totalsRowFunction="custom" dataDxfId="347" totalsRowDxfId="346">
      <totalsRowFormula>SUBTOTAL(101,I1:I85)</totalsRowFormula>
    </tableColumn>
    <tableColumn id="10" xr3:uid="{18D75975-D144-4866-926D-539F1FBD7D8D}" name="x8" totalsRowFunction="custom" dataDxfId="345" totalsRowDxfId="344">
      <totalsRowFormula>SUBTOTAL(101,J1:J85)</totalsRowFormula>
    </tableColumn>
    <tableColumn id="11" xr3:uid="{0CA922EB-AAD2-4514-91FC-D59DD388A570}" name="x9" totalsRowFunction="custom" dataDxfId="343" totalsRowDxfId="342">
      <totalsRowFormula>SUBTOTAL(101,K1:K85)</totalsRowFormula>
    </tableColumn>
    <tableColumn id="12" xr3:uid="{BCF3C80A-5E5B-4D96-97EC-11614D9F3906}" name="Расстояние" totalsRowFunction="sum" dataDxfId="341" totalsRowDxfId="340">
      <calculatedColumnFormula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3510F-7ABF-4FCF-A6D4-D160D138915D}" name="Таблица4" displayName="Таблица4" ref="A1:L86" totalsRowCount="1" headerRowDxfId="339" dataDxfId="337" headerRowBorderDxfId="338" tableBorderDxfId="336" totalsRowBorderDxfId="335">
  <autoFilter ref="A1:L85" xr:uid="{6343510F-7ABF-4FCF-A6D4-D160D138915D}">
    <filterColumn colId="10">
      <filters>
        <filter val="3"/>
      </filters>
    </filterColumn>
  </autoFilter>
  <sortState xmlns:xlrd2="http://schemas.microsoft.com/office/spreadsheetml/2017/richdata2" ref="A2:L85">
    <sortCondition ref="K1:K85"/>
  </sortState>
  <tableColumns count="12">
    <tableColumn id="1" xr3:uid="{77179EF8-D7D7-4646-8C28-A09B899CD2BC}" name="Столбец1" dataDxfId="334" totalsRowDxfId="333"/>
    <tableColumn id="2" xr3:uid="{5117188E-72D9-45BF-8E1F-EA4391611013}" name="x1" totalsRowFunction="average" dataDxfId="332" totalsRowDxfId="331"/>
    <tableColumn id="3" xr3:uid="{B281170E-2995-4FD8-B5A4-C3701FAB1439}" name="x2" totalsRowFunction="average" dataDxfId="330" totalsRowDxfId="329"/>
    <tableColumn id="4" xr3:uid="{4537CE2F-16C0-4EEA-B3A0-04A0BAA50279}" name="x3" totalsRowFunction="average" dataDxfId="328" totalsRowDxfId="327"/>
    <tableColumn id="5" xr3:uid="{92734F79-38E3-46F8-88DB-2733917FCAFC}" name="x4" totalsRowFunction="average" dataDxfId="326" totalsRowDxfId="325"/>
    <tableColumn id="6" xr3:uid="{7B08AFFF-A663-4DD7-8AB9-88B65C9A5A75}" name="x5" totalsRowFunction="average" dataDxfId="324" totalsRowDxfId="323"/>
    <tableColumn id="7" xr3:uid="{EABA6346-B680-423C-9969-18CCFE29DBAB}" name="x6" totalsRowFunction="average" dataDxfId="322" totalsRowDxfId="321"/>
    <tableColumn id="8" xr3:uid="{CE2788C3-FB56-44A9-8450-E4E9E4719F1A}" name="x7" totalsRowFunction="average" dataDxfId="320" totalsRowDxfId="319"/>
    <tableColumn id="9" xr3:uid="{9FBD53CB-D440-468B-8D8B-44E2A81AE1EB}" name="x8" totalsRowFunction="average" dataDxfId="318" totalsRowDxfId="317"/>
    <tableColumn id="10" xr3:uid="{F64B591B-E3E9-4AE6-BE4E-9139FE7D855F}" name="x9" totalsRowFunction="average" dataDxfId="316" totalsRowDxfId="315"/>
    <tableColumn id="11" xr3:uid="{A9EFBD9C-6EA0-4F4D-B237-9C9D36659BEA}" name="CLUSTER " totalsRowFunction="countNums" dataDxfId="314" totalsRowDxfId="313"/>
    <tableColumn id="12" xr3:uid="{6297A15E-DDFC-4B96-94F0-9DD7C111F41C}" name="расстояние" totalsRowFunction="sum" dataDxfId="312" totalsRowDxfId="311">
      <calculatedColumnFormula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1E5787-9E57-48E6-94E0-B088EA9C7201}" name="Таблица17" displayName="Таблица17" ref="A1:CZ86" totalsRowCount="1" headerRowDxfId="310" dataDxfId="308" totalsRowDxfId="306" headerRowBorderDxfId="309" tableBorderDxfId="307" totalsRowBorderDxfId="305">
  <autoFilter ref="A1:CZ85" xr:uid="{2E1E5787-9E57-48E6-94E0-B088EA9C7201}"/>
  <sortState xmlns:xlrd2="http://schemas.microsoft.com/office/spreadsheetml/2017/richdata2" ref="A2:CZ85">
    <sortCondition ref="A1:A85"/>
  </sortState>
  <tableColumns count="104">
    <tableColumn id="1" xr3:uid="{5528CCAD-3BCA-4866-BA31-31EE98A28C2E}" name="Наименование" dataDxfId="304" totalsRowDxfId="303"/>
    <tableColumn id="15" xr3:uid="{C1613921-8C1F-4066-BA6C-BC73510AED84}" name="Уорд" dataDxfId="302" totalsRowDxfId="301"/>
    <tableColumn id="14" xr3:uid="{C8D8F145-B319-4C96-8C7D-67874DE5BB36}" name="Невзвеш ср" dataDxfId="300" totalsRowDxfId="299"/>
    <tableColumn id="13" xr3:uid="{44384F7E-9BE4-483C-8F0C-041C0548790F}" name="к-средних" totalsRowFunction="count" dataDxfId="298" totalsRowDxfId="297"/>
    <tableColumn id="2" xr3:uid="{ADEA6425-621D-47FA-8DEB-95BE67843415}" name="взвеш ср" totalsRowFunction="countNums" dataDxfId="296" totalsRowDxfId="295"/>
    <tableColumn id="3" xr3:uid="{A23BFB0B-CA49-4294-9156-1D74AF7535BE}" name="х1" totalsRowFunction="average" dataDxfId="294" totalsRowDxfId="293"/>
    <tableColumn id="4" xr3:uid="{83B7E472-E86C-4112-B814-0493A63428F5}" name="x2" totalsRowFunction="average" dataDxfId="292" totalsRowDxfId="291"/>
    <tableColumn id="5" xr3:uid="{D6C06EF5-C3F9-4A15-AB34-C2B13D65BEF0}" name="x3" totalsRowFunction="average" dataDxfId="290" totalsRowDxfId="289"/>
    <tableColumn id="6" xr3:uid="{01A1C710-8896-4DEF-BB95-BB3104E0394C}" name="x4" totalsRowFunction="average" dataDxfId="288" totalsRowDxfId="287"/>
    <tableColumn id="7" xr3:uid="{5E49E3C9-01B3-41E8-8994-D0C955DF08F9}" name="x5" totalsRowFunction="average" dataDxfId="286" totalsRowDxfId="285"/>
    <tableColumn id="8" xr3:uid="{495222E1-60EA-4689-9043-2314D53033EA}" name="x6" totalsRowFunction="average" dataDxfId="284" totalsRowDxfId="283"/>
    <tableColumn id="9" xr3:uid="{DF2602B8-9E2F-4AB2-90DD-A6B11A4B4C9E}" name="x7" totalsRowFunction="average" dataDxfId="282" totalsRowDxfId="281"/>
    <tableColumn id="10" xr3:uid="{00F34C3C-7BC9-4150-8259-9F96EDD6E935}" name="x8" totalsRowFunction="average" dataDxfId="280" totalsRowDxfId="279"/>
    <tableColumn id="11" xr3:uid="{1312F492-C719-4B48-AC19-0D3DE4A7951C}" name="x9" totalsRowFunction="average" dataDxfId="278" totalsRowDxfId="277"/>
    <tableColumn id="12" xr3:uid="{ABD27F65-60AE-4570-A2E7-C9402FD54499}" name="расстояния" totalsRowFunction="sum" dataDxfId="276" totalsRowDxfId="275">
      <calculatedColumnFormula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calculatedColumnFormula>
    </tableColumn>
    <tableColumn id="17" xr3:uid="{1C45FDCD-2487-4507-A879-74F29D13A000}" name="Обуч выборка" totalsRowFunction="count" dataDxfId="274" totalsRowDxfId="273"/>
    <tableColumn id="34" xr3:uid="{B0E88CE1-CD42-41E3-8318-2D88FA78EA6B}" name="обуч выборка2" dataDxfId="272" totalsRowDxfId="271">
      <calculatedColumnFormula>RIGHT(P2)</calculatedColumnFormula>
    </tableColumn>
    <tableColumn id="19" xr3:uid="{1B6794C5-5CDA-4D34-883A-CFC18CFAF761}" name="Классиф ДА" dataDxfId="270" totalsRowDxfId="269">
      <calculatedColumnFormula>RIGHT(Таблица17[[#This Row],[Классиф ДА2]])</calculatedColumnFormula>
    </tableColumn>
    <tableColumn id="44" xr3:uid="{EFDBD40C-B1D4-41A2-AF0A-E799EEE61F88}" name="ДА py" dataDxfId="268" totalsRowDxfId="267"/>
    <tableColumn id="39" xr3:uid="{1895A7E0-A19A-4A45-94E3-F042D28EA8CB}" name="соответствие ДА" totalsRowFunction="sum" dataDxfId="266" totalsRowDxfId="265">
      <calculatedColumnFormula>IF(Таблица17[[#This Row],[обуч выборка2]]-Таблица17[[#This Row],[Классиф ДА]]=0,1,0)</calculatedColumnFormula>
    </tableColumn>
    <tableColumn id="18" xr3:uid="{54C9F5C1-1711-414E-98A0-02CA1F2B8FCB}" name="Классиф ДА2" dataDxfId="264" totalsRowDxfId="263"/>
    <tableColumn id="47" xr3:uid="{B506DB0A-D34D-43E1-8A73-94ED66C6B4C1}" name="соотв расс М" totalsRowFunction="sum" dataDxfId="262" totalsRowDxfId="261">
      <calculatedColumnFormula>IF(Таблица17[[#This Row],[обуч выборка2]]-Таблица17[[#This Row],[расстояние Махаланобиса]]=0,1,0)</calculatedColumnFormula>
    </tableColumn>
    <tableColumn id="21" xr3:uid="{6BCAEA7B-7255-45EE-83F9-787C90AB422F}" name="расстояние Махаланобиса" dataDxfId="260" totalsRowDxfId="259"/>
    <tableColumn id="61" xr3:uid="{787748CA-6291-41C8-9558-908A1113774D}" name="1 класс" dataDxfId="258" totalsRowDxfId="257"/>
    <tableColumn id="22" xr3:uid="{A5A2FB06-5D18-46FA-9FDA-841459B69680}" name="2 класс" dataDxfId="256" totalsRowDxfId="255"/>
    <tableColumn id="23" xr3:uid="{287BBAAD-D90F-430D-8515-D049A28D40D1}" name="3 класс" dataDxfId="254" totalsRowDxfId="253"/>
    <tableColumn id="20" xr3:uid="{8F31E83C-35B4-4317-824D-ED392D81271E}" name="4 класс" dataDxfId="252" totalsRowDxfId="251"/>
    <tableColumn id="16" xr3:uid="{54A02C64-70CC-49CB-89AE-4D61CF73A8CB}" name="5 класс" dataDxfId="250" totalsRowDxfId="249"/>
    <tableColumn id="62" xr3:uid="{9A0393BE-4E17-4445-9BE0-3E7E72EC2628}" name="6 класс" dataDxfId="248" totalsRowDxfId="247"/>
    <tableColumn id="85" xr3:uid="{546026D1-BA5A-45D7-8D8C-9AB979D67FFE}" name="1 класс py" dataDxfId="246" totalsRowDxfId="245"/>
    <tableColumn id="86" xr3:uid="{9C7EC62E-91F4-41ED-BA1A-665D3E68A08D}" name="2 класс py" dataDxfId="244" totalsRowDxfId="243"/>
    <tableColumn id="87" xr3:uid="{232D2A26-9CFB-4551-ABF9-247DB07B8F15}" name="3 класс  py" dataDxfId="242" totalsRowDxfId="241"/>
    <tableColumn id="88" xr3:uid="{14F62055-FA25-4CE7-9FAD-C441DE273889}" name="4 класс py" dataDxfId="240" totalsRowDxfId="239"/>
    <tableColumn id="89" xr3:uid="{4C3232CA-5999-4242-8039-AA10F76EF977}" name="5 класс py" dataDxfId="238" totalsRowDxfId="237"/>
    <tableColumn id="90" xr3:uid="{C8CE8344-540B-4D4B-8C70-2CBCC5D760F0}" name="6 класс  py" dataDxfId="236" totalsRowDxfId="235"/>
    <tableColumn id="53" xr3:uid="{B39648F7-8A40-438E-B576-F7E07E8D6657}" name="соотв ап вер" totalsRowFunction="sum" dataDxfId="234" totalsRowDxfId="233">
      <calculatedColumnFormula>IF(Таблица17[[#This Row],[обуч выборка2]]-Таблица17[[#This Row],[Апосториорная вероятность]]=0,1,0)</calculatedColumnFormula>
    </tableColumn>
    <tableColumn id="29" xr3:uid="{D772D130-2D56-4915-A5B3-44FFE15C176C}" name="Апосториорная вероятность" dataDxfId="232" totalsRowDxfId="231">
      <calculatedColumnFormula>MATCH(MAX(Таблица17[[#This Row],[1 класс.]:[6 класс.]]),Таблица17[[#This Row],[1 класс.]:[6 класс.]],0)</calculatedColumnFormula>
    </tableColumn>
    <tableColumn id="63" xr3:uid="{9B281744-C66D-4647-8AB9-AB474D933EBA}" name="1 класс." dataDxfId="230" totalsRowDxfId="229"/>
    <tableColumn id="30" xr3:uid="{E4E003FB-FE21-49A9-ABFA-929623C304F0}" name="2 класс." dataDxfId="228" totalsRowDxfId="227"/>
    <tableColumn id="31" xr3:uid="{F92CB743-F828-4EC4-9B6F-62B1EF2E1F4C}" name="3 класс." dataDxfId="226" totalsRowDxfId="225"/>
    <tableColumn id="26" xr3:uid="{C489D896-5569-403D-8DDF-C1DE399C914A}" name="4 класс." dataDxfId="224" totalsRowDxfId="223"/>
    <tableColumn id="27" xr3:uid="{64F32C12-39A3-4207-9D78-FDF8F83D29DC}" name="5 класс." dataDxfId="222" totalsRowDxfId="221"/>
    <tableColumn id="64" xr3:uid="{A2CF8CBD-6E45-466C-9A5A-ACCD5FD1AF3A}" name="6 класс." dataDxfId="220" totalsRowDxfId="219"/>
    <tableColumn id="92" xr3:uid="{A44F8EA7-AE18-4EE5-AD78-91431D84E4C8}" name="1 класс py2" dataDxfId="218" totalsRowDxfId="217"/>
    <tableColumn id="93" xr3:uid="{CC6A6B41-DCAE-4E17-91E6-DE47156E5A70}" name="2 класс py3" dataDxfId="216" totalsRowDxfId="215"/>
    <tableColumn id="94" xr3:uid="{CDC70E77-F521-436B-B572-61E603C62540}" name="3 класс  py4" dataDxfId="214" totalsRowDxfId="213"/>
    <tableColumn id="95" xr3:uid="{6EDD302E-D8EA-45B1-A7AB-00415C59D101}" name="4 класс py5" dataDxfId="212" totalsRowDxfId="211"/>
    <tableColumn id="97" xr3:uid="{DCDC8774-8010-4975-BC8A-92D365BED273}" name="5 класс py6" dataDxfId="210" totalsRowDxfId="209"/>
    <tableColumn id="96" xr3:uid="{4A1A8DEF-5991-49BA-AB92-2A6E5267BBFB}" name="6 класс  py7" dataDxfId="208" totalsRowDxfId="207"/>
    <tableColumn id="25" xr3:uid="{69D268DB-4B60-4C8D-85C0-DC82761A1839}" name="Класиф вкл" dataDxfId="206" totalsRowDxfId="205">
      <calculatedColumnFormula>RIGHT(Таблица17[[#This Row],[Класиф вкл2]])</calculatedColumnFormula>
    </tableColumn>
    <tableColumn id="91" xr3:uid="{D2BB2215-3EB8-45E0-B8AC-89F228D48015}" name="вкл py " dataDxfId="204" totalsRowDxfId="203"/>
    <tableColumn id="54" xr3:uid="{21463EEB-C72D-400F-9EA9-F91924380730}" name="Соотв ДА вкл " totalsRowFunction="sum" dataDxfId="202" totalsRowDxfId="201">
      <calculatedColumnFormula>IF(Таблица17[[#This Row],[обуч выборка2]]-Таблица17[[#This Row],[Класиф вкл]]=0,1,0)</calculatedColumnFormula>
    </tableColumn>
    <tableColumn id="24" xr3:uid="{814106AC-D280-4809-BCED-454C0A5590B3}" name="Класиф вкл2" dataDxfId="200" totalsRowDxfId="199"/>
    <tableColumn id="57" xr3:uid="{0B9E733B-576C-4446-8CE5-53109C1B71EC}" name="Соотв расс М вкл" totalsRowFunction="sum" dataDxfId="198" totalsRowDxfId="197">
      <calculatedColumnFormula>IF(Таблица17[[#This Row],[обуч выборка2]]-Таблица17[[#This Row],[Расстояние Махаланобиса вкл
]]=0,1,0)</calculatedColumnFormula>
    </tableColumn>
    <tableColumn id="28" xr3:uid="{8BD27EE5-D019-4763-8682-A7CD29993C37}" name="Расстояние Махаланобиса вкл_x000a_" dataDxfId="196" totalsRowDxfId="195"/>
    <tableColumn id="65" xr3:uid="{64E111D4-8796-4069-9DEA-85BA3F2FD9D2}" name="1 класс вкл" dataDxfId="194" totalsRowDxfId="193"/>
    <tableColumn id="35" xr3:uid="{FB018F9F-24D2-4830-AA85-57F833FB9474}" name="2 класс вкл" dataDxfId="192" totalsRowDxfId="191"/>
    <tableColumn id="36" xr3:uid="{5EB8A530-B507-49F1-BCBD-7AC6F8097CD7}" name="3 класс вкл" dataDxfId="190" totalsRowDxfId="189"/>
    <tableColumn id="37" xr3:uid="{58CCB2E3-0FC7-45DC-B5F2-B6B61BF191A2}" name="4 класс вкл" dataDxfId="188" totalsRowDxfId="187"/>
    <tableColumn id="38" xr3:uid="{3BD47BF5-C835-4B0D-A0CC-45371AA7F093}" name="5 класс вкл" dataDxfId="186" totalsRowDxfId="185"/>
    <tableColumn id="66" xr3:uid="{90F5D61B-8422-4A40-A51E-1A0CD85BFB72}" name="6 класс вкл" dataDxfId="184" totalsRowDxfId="183"/>
    <tableColumn id="58" xr3:uid="{EAE28345-9FA7-412B-A7CB-430255C92DB1}" name="Соотв ап вер вкл" totalsRowFunction="sum" dataDxfId="182" totalsRowDxfId="181">
      <calculatedColumnFormula>IF(Таблица17[[#This Row],[обуч выборка2]]-Таблица17[[#This Row],[Апосториорная вероятность вкл]]=0,1,0)</calculatedColumnFormula>
    </tableColumn>
    <tableColumn id="40" xr3:uid="{87EC9FB2-117E-4C1D-AAA4-F0F302BE4968}" name="Апосториорная вероятность вкл" dataDxfId="180" totalsRowDxfId="179"/>
    <tableColumn id="67" xr3:uid="{98B57C63-A4AD-4ADE-94C9-890BF38ECAF2}" name="1 класс вкл." dataDxfId="178" totalsRowDxfId="177"/>
    <tableColumn id="41" xr3:uid="{2F8BADBB-BFA9-409E-BE9E-AAED368A8EFF}" name="2 класс вкл." dataDxfId="176" totalsRowDxfId="175"/>
    <tableColumn id="45" xr3:uid="{D7DF0B40-4060-4997-9B6D-93D9466CC1A1}" name="3 класс вкл." dataDxfId="174" totalsRowDxfId="173"/>
    <tableColumn id="43" xr3:uid="{3BF224F1-E9C7-4D4D-B298-AC743890B5C3}" name="4 класс вкл." dataDxfId="172" totalsRowDxfId="171"/>
    <tableColumn id="42" xr3:uid="{27C6E890-3828-43FC-B26D-54CD9B7AE92E}" name="5 класс вкл." dataDxfId="170" totalsRowDxfId="169"/>
    <tableColumn id="68" xr3:uid="{CC08A9D3-C283-4289-A33A-2925AF4D90F8}" name="6 класс вкл." dataDxfId="168" totalsRowDxfId="167"/>
    <tableColumn id="33" xr3:uid="{90CB19C0-D4C4-49A9-BE11-8FEEE949ACA1}" name="Класиф искл" dataDxfId="166" totalsRowDxfId="165"/>
    <tableColumn id="100" xr3:uid="{F4CC0EBC-C471-46E9-9080-B067D660C27E}" name="искл py" dataDxfId="164" totalsRowDxfId="163"/>
    <tableColumn id="73" xr3:uid="{385F7337-2345-4943-B457-E45AB947BBD2}" name="соотв ДА искл" totalsRowFunction="sum" dataDxfId="162" totalsRowDxfId="161">
      <calculatedColumnFormula>IF(Таблица17[[#This Row],[обуч выборка2]]-Таблица17[[#This Row],[Класиф искл]]=0,1,0)</calculatedColumnFormula>
    </tableColumn>
    <tableColumn id="32" xr3:uid="{00B544F5-D9A8-4322-BFAD-9746AB0F3E0A}" name="Класиф искл2" dataDxfId="160" totalsRowDxfId="159"/>
    <tableColumn id="83" xr3:uid="{08E19758-B885-4D26-9394-586CD7FF24B6}" name="соотв расс М искл" totalsRowFunction="sum" dataDxfId="158" totalsRowDxfId="157">
      <calculatedColumnFormula>IF(Таблица17[[#This Row],[обуч выборка2]]-Таблица17[[#This Row],[Расстояние Махаланобиса искл]]=0,1,0)</calculatedColumnFormula>
    </tableColumn>
    <tableColumn id="48" xr3:uid="{73F5AA13-0F70-41AF-9962-2BBD8E093A47}" name="Расстояние Махаланобиса искл" dataDxfId="156" totalsRowDxfId="155"/>
    <tableColumn id="69" xr3:uid="{9D99B4FE-7912-4C42-9C99-FD0806C59B2D}" name="1 класс искл" dataDxfId="154" totalsRowDxfId="153"/>
    <tableColumn id="56" xr3:uid="{DA01AD17-25A3-4060-9D07-9C80025612D4}" name="2 класс искл" dataDxfId="152" totalsRowDxfId="151"/>
    <tableColumn id="55" xr3:uid="{BA582241-3154-488E-9A14-40B94F93874C}" name="3 класс искл" dataDxfId="150" totalsRowDxfId="149"/>
    <tableColumn id="51" xr3:uid="{F8644D24-149C-48B9-A782-D513FD32766D}" name="4 класс искл" dataDxfId="148" totalsRowDxfId="147"/>
    <tableColumn id="52" xr3:uid="{A5186C70-7F8E-461C-9F25-890FD46D432F}" name="5 класс искл" dataDxfId="146" totalsRowDxfId="145"/>
    <tableColumn id="70" xr3:uid="{5FEDB4E7-E8EF-4874-8E49-A7EE76971A96}" name="6 класс искл" dataDxfId="144" totalsRowDxfId="143"/>
    <tableColumn id="84" xr3:uid="{2156F2CE-7F06-4952-B406-33CE46ECF88A}" name="Соотв ап вер искл" totalsRowFunction="sum" dataDxfId="142" totalsRowDxfId="141">
      <calculatedColumnFormula>IF(Таблица17[[#This Row],[обуч выборка2]]-Таблица17[[#This Row],[Апосториорная вероятность искл]]=0,1,0)</calculatedColumnFormula>
    </tableColumn>
    <tableColumn id="50" xr3:uid="{E7068105-F242-4E5A-90E8-22F8B6CD2C42}" name="Апосториорная вероятность искл" dataDxfId="140" totalsRowDxfId="139"/>
    <tableColumn id="71" xr3:uid="{67C08557-4F22-45C9-9FE6-EAF809129BCE}" name="1 класс искл." dataDxfId="138" totalsRowDxfId="137"/>
    <tableColumn id="49" xr3:uid="{DE60DA15-8521-4726-B004-0780E9583593}" name="2 класс искл." dataDxfId="136" totalsRowDxfId="135"/>
    <tableColumn id="46" xr3:uid="{909B89BC-24F8-4BBD-BF31-0958D635CA5C}" name="3 класс искл." dataDxfId="134" totalsRowDxfId="133"/>
    <tableColumn id="59" xr3:uid="{702BACBD-49C5-4C45-B802-71851A119B1C}" name="4 класс искл." dataDxfId="132" totalsRowDxfId="131"/>
    <tableColumn id="72" xr3:uid="{A709516F-378A-438C-8302-248D00BFBD5F}" name="5 класс искл." dataDxfId="130" totalsRowDxfId="129"/>
    <tableColumn id="60" xr3:uid="{520586D5-A755-4505-96EB-B0C7F853E8AE}" name="6 класс искл." dataDxfId="128" totalsRowDxfId="127"/>
    <tableColumn id="74" xr3:uid="{BC305F99-5885-4357-B15A-806B150A040A}" name="Главная компонента 1 (Социально-экономическая устойчивость)" dataDxfId="126" totalsRowDxfId="125"/>
    <tableColumn id="75" xr3:uid="{3283294A-1C5A-4D8A-AB13-8990A69D0EDC}" name="Главная компонента 2 (Здравоохранение и борьба с коррупцией)" dataDxfId="124" totalsRowDxfId="123"/>
    <tableColumn id="76" xr3:uid="{AC124901-3226-4C73-A744-AA9EBD8F619E}" name="Главная компонента 3 (число инвалидов)" dataDxfId="122" totalsRowDxfId="121"/>
    <tableColumn id="78" xr3:uid="{2D11E7FC-7F5F-42C8-A0D1-1C41F17FE99B}" name="Уорд 2" dataDxfId="120" totalsRowDxfId="119"/>
    <tableColumn id="79" xr3:uid="{F3FE143F-75FF-4072-9DD7-F9F69D9A667B}" name="к-средних 2" dataDxfId="118" totalsRowDxfId="117"/>
    <tableColumn id="82" xr3:uid="{E2A9449E-64C8-43AC-9ED4-97842C00AD3E}" name="Фактор 1 (Экономическое состояние населения)" dataDxfId="116" totalsRowDxfId="115"/>
    <tableColumn id="81" xr3:uid="{4D1FA3B3-29A8-421E-AEC2-3CDD9D611CFE}" name="Фактор 2 (Преступность)" dataDxfId="114" totalsRowDxfId="113"/>
    <tableColumn id="101" xr3:uid="{BBAC3FB7-10F4-4D00-94A7-BF23C224ABAA}" name="уорд py" dataDxfId="112" totalsRowDxfId="111"/>
    <tableColumn id="102" xr3:uid="{AC31F62A-A48D-43D1-A309-3B4557E22B16}" name="k py" dataDxfId="110" totalsRowDxfId="109"/>
    <tableColumn id="98" xr3:uid="{ABD13CD0-6272-449B-8BF0-45BA5E65A6FE}" name="Фактор 1" dataDxfId="108" totalsRowDxfId="107"/>
    <tableColumn id="99" xr3:uid="{3ABE651D-1857-4137-B503-F69CAECAE902}" name="Фактор 2" dataDxfId="106" totalsRowDxfId="105"/>
    <tableColumn id="80" xr3:uid="{A27A5749-2E89-47F0-BD0E-3241EC3C2C92}" name="Уорд 3" dataDxfId="104" totalsRowDxfId="103"/>
    <tableColumn id="77" xr3:uid="{5C197CD3-BA9C-40ED-A31B-9CCF54A74C4A}" name="к-средних3" dataDxfId="102" totalsRowDxfId="101"/>
    <tableColumn id="105" xr3:uid="{2073EB64-E0F6-44B2-BC4E-704279B08694}" name="НС" dataDxfId="100" totalsRowDxfId="99"/>
    <tableColumn id="104" xr3:uid="{9B586B50-9869-4B71-90D0-4837A38E5484}" name="Кахонен" totalsRowDxfId="9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EAAA0B-6E76-41D6-B646-1D8728E01E7E}" name="Таблица5" displayName="Таблица5" ref="A1:K86" totalsRowCount="1" headerRowDxfId="97" headerRowBorderDxfId="96" tableBorderDxfId="95" totalsRowBorderDxfId="94">
  <autoFilter ref="A1:K85" xr:uid="{43EAAA0B-6E76-41D6-B646-1D8728E01E7E}"/>
  <sortState xmlns:xlrd2="http://schemas.microsoft.com/office/spreadsheetml/2017/richdata2" ref="A2:K85">
    <sortCondition ref="A1:A85"/>
  </sortState>
  <tableColumns count="11">
    <tableColumn id="1" xr3:uid="{94113EED-E7DA-4FC1-9FAB-CC0A6F69F339}" name="Наименование" totalsRowLabel="Количество" dataDxfId="93" totalsRowDxfId="92"/>
    <tableColumn id="2" xr3:uid="{1C76C510-946C-4CF1-8140-24DF73A220B9}" name="Уорд" totalsRowFunction="count" dataDxfId="91" totalsRowDxfId="90"/>
    <tableColumn id="3" xr3:uid="{0320BB6F-8BB1-4714-9C7B-5D7285B19254}" name="к-средних" totalsRowFunction="count" dataDxfId="89" totalsRowDxfId="88"/>
    <tableColumn id="4" xr3:uid="{3086C017-3057-4A0D-BA76-D2E465F47F07}" name="Главная компонента 1 (Экономическая устойчивость и преступность)" totalsRowFunction="average" dataDxfId="87" totalsRowDxfId="86"/>
    <tableColumn id="5" xr3:uid="{101FE41F-DC7F-4A72-BAC1-5772CA4317FD}" name="Главная компонента 2 (Здравоохранение и борьба с коррупцией)" totalsRowFunction="average" dataDxfId="85" totalsRowDxfId="84"/>
    <tableColumn id="6" xr3:uid="{82EF1D62-D4E5-46B9-9B28-33FF7A5DE2ED}" name="Уорд 2" totalsRowFunction="count" dataDxfId="83" totalsRowDxfId="82"/>
    <tableColumn id="7" xr3:uid="{AA9F5F33-DBE2-497B-9BB7-EDBE4D9AD861}" name="к-средних 2" totalsRowFunction="count" dataDxfId="81" totalsRowDxfId="80"/>
    <tableColumn id="12" xr3:uid="{E4B01EC2-CA6C-426D-B95A-F3DD60A30C0A}" name="Фактор 1 (Экономическое состояние населения)" dataDxfId="79" totalsRowDxfId="78"/>
    <tableColumn id="15" xr3:uid="{FCA5A56D-0DDD-4FC6-8CE9-30C376CB6EC0}" name="Фактор 2 (Преступность)" dataDxfId="77" totalsRowDxfId="76"/>
    <tableColumn id="10" xr3:uid="{AAB5DC1C-87E2-4806-A7C6-C67AF3E38BA5}" name="Уорд 3" dataDxfId="75" totalsRowDxfId="74"/>
    <tableColumn id="9" xr3:uid="{F6F1D89F-6A60-4150-8534-168F48C7946D}" name="к-средних3" totalsRowDxfId="73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161A55-65B4-4202-82BC-AA09E58D9554}" name="Таблица58" displayName="Таблица58" ref="AE1:AH86" totalsRowCount="1" headerRowDxfId="72" headerRowBorderDxfId="71" tableBorderDxfId="70" totalsRowBorderDxfId="69">
  <autoFilter ref="AE1:AH85" xr:uid="{49161A55-65B4-4202-82BC-AA09E58D9554}"/>
  <sortState xmlns:xlrd2="http://schemas.microsoft.com/office/spreadsheetml/2017/richdata2" ref="AE2:AH85">
    <sortCondition ref="AF1:AF85"/>
  </sortState>
  <tableColumns count="4">
    <tableColumn id="1" xr3:uid="{8E84F4EC-B081-411F-933A-74961D65974F}" name="Наименование" totalsRowLabel="Количество" dataDxfId="68" totalsRowDxfId="67"/>
    <tableColumn id="3" xr3:uid="{E885DF09-864C-457A-B466-3FDEF29E44E3}" name="к-средних" totalsRowFunction="count" dataDxfId="66" totalsRowDxfId="65"/>
    <tableColumn id="4" xr3:uid="{320BB297-E1ED-4C7E-AE19-EBB6616F44C2}" name="Главная компонента 1 (Экономическая устойчивость и преступность)" totalsRowFunction="average" dataDxfId="64" totalsRowDxfId="63"/>
    <tableColumn id="5" xr3:uid="{A3745EFD-0AD5-4039-9B9A-325F814758F9}" name="Главная компонента 2 (Здравоохранение и борьба с коррупцией)" totalsRowFunction="average" dataDxfId="62" totalsRowDxfId="61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FD3684-A07D-4DA7-9ACC-065563F0EE44}" name="Таблица59" displayName="Таблица59" ref="AJ1:AM86" totalsRowCount="1" headerRowDxfId="60" totalsRowDxfId="57" headerRowBorderDxfId="59" tableBorderDxfId="58" totalsRowBorderDxfId="56">
  <autoFilter ref="AJ1:AM85" xr:uid="{E2FD3684-A07D-4DA7-9ACC-065563F0EE44}"/>
  <sortState xmlns:xlrd2="http://schemas.microsoft.com/office/spreadsheetml/2017/richdata2" ref="AJ2:AM85">
    <sortCondition ref="AM1:AM85"/>
  </sortState>
  <tableColumns count="4">
    <tableColumn id="1" xr3:uid="{4993F021-FB0C-4AF1-AFC5-9D7CB9DDE27E}" name="Наименование" totalsRowLabel="Количество" dataDxfId="55" totalsRowDxfId="54"/>
    <tableColumn id="4" xr3:uid="{4563394D-81C5-4173-A16E-7B784736D91C}" name="Главная компонента 1 (Экономическая устойчивость и преступность)" totalsRowFunction="average" dataDxfId="53" totalsRowDxfId="52"/>
    <tableColumn id="5" xr3:uid="{F2310843-11B9-4F4E-8934-3DFA6DB03BEA}" name="Главная компонента 2 (Здравоохранение и борьба с коррупцией)" totalsRowFunction="average" dataDxfId="51" totalsRowDxfId="50"/>
    <tableColumn id="6" xr3:uid="{3C91A925-E89D-4FE2-B6A5-894E5294254D}" name="Уорд 2" totalsRowFunction="count" dataDxfId="49" totalsRowDxfId="4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AD4EDC3-4820-4A75-8F7B-599A71120D79}" name="Таблица510" displayName="Таблица510" ref="AO1:AR86" totalsRowCount="1" headerRowDxfId="47" headerRowBorderDxfId="46" tableBorderDxfId="45" totalsRowBorderDxfId="44">
  <autoFilter ref="AO1:AR85" xr:uid="{8AD4EDC3-4820-4A75-8F7B-599A71120D79}"/>
  <sortState xmlns:xlrd2="http://schemas.microsoft.com/office/spreadsheetml/2017/richdata2" ref="AO2:AR85">
    <sortCondition ref="AO1:AO85"/>
  </sortState>
  <tableColumns count="4">
    <tableColumn id="1" xr3:uid="{B0A5EA9C-75F3-4E9A-A548-FCC789571497}" name="Наименование" totalsRowLabel="Количество" dataDxfId="43" totalsRowDxfId="42"/>
    <tableColumn id="4" xr3:uid="{ECC550DB-F816-4F31-B870-B17BF3AE566F}" name="Главная компонента 1 (Экономическая устойчивость и преступность)" totalsRowFunction="average" dataDxfId="41" totalsRowDxfId="40"/>
    <tableColumn id="5" xr3:uid="{978256F6-9402-4B62-A768-63F54C613CC0}" name="Главная компонента 2 (Здравоохранение и борьба с коррупцией)" totalsRowFunction="average" dataDxfId="39" totalsRowDxfId="38"/>
    <tableColumn id="7" xr3:uid="{83D8E5C2-017D-4B48-9CA9-1480A052B59A}" name="к-средних 2" totalsRowFunction="count" dataDxfId="37" totalsRowDxfId="3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0BC0D-B0A7-49AB-B0E7-6D1FE427FB37}">
  <dimension ref="A1:W95"/>
  <sheetViews>
    <sheetView zoomScale="90" zoomScaleNormal="90" workbookViewId="0">
      <selection sqref="A1:L1048576"/>
    </sheetView>
  </sheetViews>
  <sheetFormatPr defaultRowHeight="14.4" x14ac:dyDescent="0.3"/>
  <cols>
    <col min="1" max="1" width="42.77734375" style="2" bestFit="1" customWidth="1"/>
    <col min="2" max="2" width="24.5546875" style="2" bestFit="1" customWidth="1"/>
    <col min="3" max="3" width="13.5546875" style="2" bestFit="1" customWidth="1"/>
    <col min="4" max="12" width="8.88671875" style="2"/>
    <col min="14" max="14" width="2.109375" bestFit="1" customWidth="1"/>
    <col min="15" max="23" width="9.6640625" bestFit="1" customWidth="1"/>
  </cols>
  <sheetData>
    <row r="1" spans="1:23" ht="26.4" x14ac:dyDescent="0.3">
      <c r="A1" s="64" t="s">
        <v>103</v>
      </c>
      <c r="B1" s="65" t="s">
        <v>0</v>
      </c>
      <c r="C1" s="65" t="s">
        <v>94</v>
      </c>
      <c r="D1" s="65" t="s">
        <v>2</v>
      </c>
      <c r="E1" s="65" t="s">
        <v>3</v>
      </c>
      <c r="F1" s="65" t="s">
        <v>4</v>
      </c>
      <c r="G1" s="65" t="s">
        <v>5</v>
      </c>
      <c r="H1" s="65" t="s">
        <v>6</v>
      </c>
      <c r="I1" s="65" t="s">
        <v>7</v>
      </c>
      <c r="J1" s="65" t="s">
        <v>8</v>
      </c>
      <c r="K1" s="65" t="s">
        <v>9</v>
      </c>
      <c r="L1" s="31" t="s">
        <v>104</v>
      </c>
    </row>
    <row r="2" spans="1:23" x14ac:dyDescent="0.3">
      <c r="A2" s="57" t="s">
        <v>10</v>
      </c>
      <c r="B2" s="58">
        <v>4</v>
      </c>
      <c r="C2" s="58">
        <v>-0.50962256899999991</v>
      </c>
      <c r="D2" s="58">
        <v>-0.58390292199999994</v>
      </c>
      <c r="E2" s="58">
        <v>-0.30895468900000012</v>
      </c>
      <c r="F2" s="58">
        <v>-0.33385007600000011</v>
      </c>
      <c r="G2" s="58">
        <v>-2.0226129599999997E-2</v>
      </c>
      <c r="H2" s="58">
        <v>1.3286337500000001</v>
      </c>
      <c r="I2" s="58">
        <v>-0.77242252899999986</v>
      </c>
      <c r="J2" s="58">
        <v>-0.85014953700000018</v>
      </c>
      <c r="K2" s="58">
        <v>9.6253445799999986E-3</v>
      </c>
      <c r="L2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3.8927268423197936</v>
      </c>
      <c r="N2" s="6"/>
      <c r="O2" s="7" t="s">
        <v>94</v>
      </c>
      <c r="P2" s="7" t="s">
        <v>95</v>
      </c>
      <c r="Q2" s="7" t="s">
        <v>96</v>
      </c>
      <c r="R2" s="7" t="s">
        <v>97</v>
      </c>
      <c r="S2" s="7" t="s">
        <v>98</v>
      </c>
      <c r="T2" s="7" t="s">
        <v>99</v>
      </c>
      <c r="U2" s="7" t="s">
        <v>100</v>
      </c>
      <c r="V2" s="7" t="s">
        <v>101</v>
      </c>
      <c r="W2" s="7" t="s">
        <v>102</v>
      </c>
    </row>
    <row r="3" spans="1:23" x14ac:dyDescent="0.3">
      <c r="A3" s="57" t="s">
        <v>11</v>
      </c>
      <c r="B3" s="58">
        <v>6</v>
      </c>
      <c r="C3" s="58">
        <v>-0.67728642500000003</v>
      </c>
      <c r="D3" s="58">
        <v>-1.01730089</v>
      </c>
      <c r="E3" s="58">
        <v>-5.9127443500000001E-2</v>
      </c>
      <c r="F3" s="58">
        <v>0.43913758000000003</v>
      </c>
      <c r="G3" s="58">
        <v>-0.54325268599999998</v>
      </c>
      <c r="H3" s="58">
        <v>-0.61001999200000012</v>
      </c>
      <c r="I3" s="58">
        <v>0.51976563300000012</v>
      </c>
      <c r="J3" s="58">
        <v>0.70370492100000004</v>
      </c>
      <c r="K3" s="58">
        <v>-0.67235300100000006</v>
      </c>
      <c r="L3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3.5746192301564519</v>
      </c>
      <c r="N3" s="7">
        <v>1</v>
      </c>
      <c r="O3" s="16">
        <v>-1.2545451999999999</v>
      </c>
      <c r="P3" s="16">
        <v>1.7259112700000001</v>
      </c>
      <c r="Q3" s="16">
        <v>-0.71721293799999997</v>
      </c>
      <c r="R3" s="16">
        <v>0.92777866700000011</v>
      </c>
      <c r="S3" s="16">
        <v>6.8915327899999994</v>
      </c>
      <c r="T3" s="16">
        <v>3.8590870500000003</v>
      </c>
      <c r="U3" s="16">
        <v>3.06948211</v>
      </c>
      <c r="V3" s="16">
        <v>-0.18112886799999997</v>
      </c>
      <c r="W3" s="16">
        <v>1.3464929300000001</v>
      </c>
    </row>
    <row r="4" spans="1:23" x14ac:dyDescent="0.3">
      <c r="A4" s="57" t="s">
        <v>12</v>
      </c>
      <c r="B4" s="58">
        <v>6</v>
      </c>
      <c r="C4" s="58">
        <v>-1.1994074299999999</v>
      </c>
      <c r="D4" s="58">
        <v>-9.6330204000000003E-2</v>
      </c>
      <c r="E4" s="58">
        <v>0.35917219400000006</v>
      </c>
      <c r="F4" s="58">
        <v>0.80851463999999995</v>
      </c>
      <c r="G4" s="58">
        <v>-0.27467148100000005</v>
      </c>
      <c r="H4" s="58">
        <v>0.34910343599999999</v>
      </c>
      <c r="I4" s="58">
        <v>0.4166647750000001</v>
      </c>
      <c r="J4" s="58">
        <v>0.20733474700000001</v>
      </c>
      <c r="K4" s="58">
        <v>-0.67225192200000017</v>
      </c>
      <c r="L4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3.0963957899194785</v>
      </c>
      <c r="N4" s="7">
        <v>2</v>
      </c>
      <c r="O4" s="16">
        <v>0.28368628000000007</v>
      </c>
      <c r="P4" s="16">
        <v>0.80494057800000007</v>
      </c>
      <c r="Q4" s="16">
        <v>-0.75382880100000016</v>
      </c>
      <c r="R4" s="16">
        <v>1.1635767800000001</v>
      </c>
      <c r="S4" s="16">
        <v>1.8638811200000001</v>
      </c>
      <c r="T4" s="16">
        <v>3.1448461999999999</v>
      </c>
      <c r="U4" s="16">
        <v>0.726178981</v>
      </c>
      <c r="V4" s="16">
        <v>-1.10912528</v>
      </c>
      <c r="W4" s="16">
        <v>6.3217913000000001</v>
      </c>
    </row>
    <row r="5" spans="1:23" x14ac:dyDescent="0.3">
      <c r="A5" s="57" t="s">
        <v>13</v>
      </c>
      <c r="B5" s="58">
        <v>6</v>
      </c>
      <c r="C5" s="58">
        <v>1.15463812</v>
      </c>
      <c r="D5" s="58">
        <v>-7.1705319200000006E-2</v>
      </c>
      <c r="E5" s="58">
        <v>-0.35571837400000006</v>
      </c>
      <c r="F5" s="58">
        <v>-0.21255969200000002</v>
      </c>
      <c r="G5" s="58">
        <v>-0.15148762100000002</v>
      </c>
      <c r="H5" s="58">
        <v>-0.40595117800000002</v>
      </c>
      <c r="I5" s="58">
        <v>-0.33845121700000008</v>
      </c>
      <c r="J5" s="58">
        <v>-0.20271018000000005</v>
      </c>
      <c r="K5" s="58">
        <v>-0.65446206200000001</v>
      </c>
      <c r="L5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2.2817541172953706</v>
      </c>
      <c r="N5" s="7">
        <v>3</v>
      </c>
      <c r="O5" s="17">
        <v>1.0634920000000001</v>
      </c>
      <c r="P5" s="17">
        <v>4.7301472100000002</v>
      </c>
      <c r="Q5" s="17">
        <v>0.27651410200000004</v>
      </c>
      <c r="R5" s="17">
        <v>-2.2608627800000001</v>
      </c>
      <c r="S5" s="17">
        <v>-0.7142291930000001</v>
      </c>
      <c r="T5" s="17">
        <v>-0.69164751800000013</v>
      </c>
      <c r="U5" s="17">
        <v>-0.8456277310000001</v>
      </c>
      <c r="V5" s="17">
        <v>3.46611285</v>
      </c>
      <c r="W5" s="17">
        <v>-0.77969863700000019</v>
      </c>
    </row>
    <row r="6" spans="1:23" x14ac:dyDescent="0.3">
      <c r="A6" s="57" t="s">
        <v>14</v>
      </c>
      <c r="B6" s="58">
        <v>6</v>
      </c>
      <c r="C6" s="58">
        <v>0.59875929800000005</v>
      </c>
      <c r="D6" s="58">
        <v>0.91329007100000004</v>
      </c>
      <c r="E6" s="58">
        <v>-0.51013152299999998</v>
      </c>
      <c r="F6" s="58">
        <v>-0.422793486</v>
      </c>
      <c r="G6" s="58">
        <v>-0.40795238000000006</v>
      </c>
      <c r="H6" s="58">
        <v>-0.34473053300000001</v>
      </c>
      <c r="I6" s="58">
        <v>-0.35145568000000005</v>
      </c>
      <c r="J6" s="58">
        <v>-0.33219805100000005</v>
      </c>
      <c r="K6" s="58">
        <v>0.55130638099999985</v>
      </c>
      <c r="L6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2.4546796033220981</v>
      </c>
      <c r="N6" s="7">
        <v>4</v>
      </c>
      <c r="O6" s="17">
        <v>0.5473188052857143</v>
      </c>
      <c r="P6" s="17">
        <v>8.3783239571428567E-2</v>
      </c>
      <c r="Q6" s="17">
        <v>-0.56878774642857155</v>
      </c>
      <c r="R6" s="17">
        <v>0.19701326628571428</v>
      </c>
      <c r="S6" s="17">
        <v>0.79657614368571428</v>
      </c>
      <c r="T6" s="17">
        <v>1.9087722337142858</v>
      </c>
      <c r="U6" s="17">
        <v>2.4857748428571507E-2</v>
      </c>
      <c r="V6" s="17">
        <v>-0.68366513157142861</v>
      </c>
      <c r="W6" s="17">
        <v>0.89750111046857139</v>
      </c>
    </row>
    <row r="7" spans="1:23" x14ac:dyDescent="0.3">
      <c r="A7" s="57" t="s">
        <v>15</v>
      </c>
      <c r="B7" s="58">
        <v>6</v>
      </c>
      <c r="C7" s="58">
        <v>1.2502852899999999</v>
      </c>
      <c r="D7" s="58">
        <v>0.65719127000000022</v>
      </c>
      <c r="E7" s="58">
        <v>-0.51506596599999999</v>
      </c>
      <c r="F7" s="58">
        <v>-0.64861460300000018</v>
      </c>
      <c r="G7" s="58">
        <v>-0.20533848900000004</v>
      </c>
      <c r="H7" s="58">
        <v>6.3407095999999982E-2</v>
      </c>
      <c r="I7" s="58">
        <v>-0.63330248600000005</v>
      </c>
      <c r="J7" s="58">
        <v>0.48789180100000007</v>
      </c>
      <c r="K7" s="58">
        <v>-0.46119948599999999</v>
      </c>
      <c r="L7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3.5791072926077994</v>
      </c>
      <c r="N7" s="7">
        <v>5</v>
      </c>
      <c r="O7" s="17">
        <v>-0.75310087162500006</v>
      </c>
      <c r="P7" s="17">
        <v>-0.88247965000000006</v>
      </c>
      <c r="Q7" s="17">
        <v>0.17515717187500002</v>
      </c>
      <c r="R7" s="17">
        <v>2.12604318125</v>
      </c>
      <c r="S7" s="17">
        <v>-0.54678664943749999</v>
      </c>
      <c r="T7" s="17">
        <v>-0.53349418662500014</v>
      </c>
      <c r="U7" s="17">
        <v>2.4241274725000004</v>
      </c>
      <c r="V7" s="17">
        <v>-0.78540560083750011</v>
      </c>
      <c r="W7" s="17">
        <v>-0.14656659775000003</v>
      </c>
    </row>
    <row r="8" spans="1:23" x14ac:dyDescent="0.3">
      <c r="A8" s="57" t="s">
        <v>16</v>
      </c>
      <c r="B8" s="58">
        <v>6</v>
      </c>
      <c r="C8" s="58">
        <v>-0.59176660599999997</v>
      </c>
      <c r="D8" s="58">
        <v>-0.38690384400000005</v>
      </c>
      <c r="E8" s="58">
        <v>-0.30959152500000003</v>
      </c>
      <c r="F8" s="58">
        <v>-0.510454662</v>
      </c>
      <c r="G8" s="58">
        <v>-0.23024451500000001</v>
      </c>
      <c r="H8" s="58">
        <v>-0.85490257000000003</v>
      </c>
      <c r="I8" s="58">
        <v>-0.52926799999999996</v>
      </c>
      <c r="J8" s="58">
        <v>-1.3465197099999999</v>
      </c>
      <c r="K8" s="58">
        <v>-0.24054456900000001</v>
      </c>
      <c r="L8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3.791265751583802</v>
      </c>
      <c r="N8" s="7">
        <v>6</v>
      </c>
      <c r="O8" s="17">
        <v>3.183245867575759E-2</v>
      </c>
      <c r="P8" s="17">
        <v>-1.1934007888030274E-2</v>
      </c>
      <c r="Q8" s="17">
        <v>5.7193704383333294E-2</v>
      </c>
      <c r="R8" s="17">
        <v>-0.2760292572521213</v>
      </c>
      <c r="S8" s="17">
        <v>-0.14004431116439398</v>
      </c>
      <c r="T8" s="17">
        <v>-0.23342027065424231</v>
      </c>
      <c r="U8" s="17">
        <v>-0.34116753603651506</v>
      </c>
      <c r="V8" s="17">
        <v>0.13474306115545454</v>
      </c>
      <c r="W8" s="17">
        <v>-0.18179637235331819</v>
      </c>
    </row>
    <row r="9" spans="1:23" x14ac:dyDescent="0.3">
      <c r="A9" s="57" t="s">
        <v>17</v>
      </c>
      <c r="B9" s="58">
        <v>4</v>
      </c>
      <c r="C9" s="58">
        <v>0.78217680499999998</v>
      </c>
      <c r="D9" s="58">
        <v>-0.41152872900000009</v>
      </c>
      <c r="E9" s="58">
        <v>-0.53398179300000004</v>
      </c>
      <c r="F9" s="58">
        <v>-0.56338741700000006</v>
      </c>
      <c r="G9" s="58">
        <v>0.58424986499999998</v>
      </c>
      <c r="H9" s="58">
        <v>3.1244393100000001</v>
      </c>
      <c r="I9" s="58">
        <v>-0.511451726</v>
      </c>
      <c r="J9" s="58">
        <v>-5.16409964E-2</v>
      </c>
      <c r="K9" s="58">
        <v>0.13425544700000003</v>
      </c>
      <c r="L9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11.769441477312135</v>
      </c>
    </row>
    <row r="10" spans="1:23" x14ac:dyDescent="0.3">
      <c r="A10" s="57" t="s">
        <v>18</v>
      </c>
      <c r="B10" s="58">
        <v>6</v>
      </c>
      <c r="C10" s="58">
        <v>-0.59401712799999984</v>
      </c>
      <c r="D10" s="58">
        <v>0.36169265300000003</v>
      </c>
      <c r="E10" s="58">
        <v>1.1258601800000001</v>
      </c>
      <c r="F10" s="58">
        <v>-4.2682522800000004E-2</v>
      </c>
      <c r="G10" s="58">
        <v>-9.2924801599999995E-2</v>
      </c>
      <c r="H10" s="58">
        <v>-0.83449568800000007</v>
      </c>
      <c r="I10" s="58">
        <v>-0.15101731200000004</v>
      </c>
      <c r="J10" s="58">
        <v>-0.31061673900000009</v>
      </c>
      <c r="K10" s="58">
        <v>-0.71460392000000006</v>
      </c>
      <c r="L10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3.0880266883448164</v>
      </c>
    </row>
    <row r="11" spans="1:23" x14ac:dyDescent="0.3">
      <c r="A11" s="57" t="s">
        <v>19</v>
      </c>
      <c r="B11" s="58">
        <v>6</v>
      </c>
      <c r="C11" s="58">
        <v>0.408590226</v>
      </c>
      <c r="D11" s="58">
        <v>0.24841818300000007</v>
      </c>
      <c r="E11" s="58">
        <v>-0.63389257500000007</v>
      </c>
      <c r="F11" s="58">
        <v>-0.43240516000000007</v>
      </c>
      <c r="G11" s="58">
        <v>0.12247867100000001</v>
      </c>
      <c r="H11" s="58">
        <v>0.10422085900000001</v>
      </c>
      <c r="I11" s="58">
        <v>-0.38164518000000003</v>
      </c>
      <c r="J11" s="58">
        <v>-0.41852329900000007</v>
      </c>
      <c r="K11" s="58">
        <v>0.6668393960000002</v>
      </c>
      <c r="L11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1.6088041728230946</v>
      </c>
    </row>
    <row r="12" spans="1:23" x14ac:dyDescent="0.3">
      <c r="A12" s="57" t="s">
        <v>20</v>
      </c>
      <c r="B12" s="58">
        <v>1</v>
      </c>
      <c r="C12" s="58">
        <v>-1.2545451999999999</v>
      </c>
      <c r="D12" s="58">
        <v>1.7259112700000001</v>
      </c>
      <c r="E12" s="58">
        <v>-0.71721293799999997</v>
      </c>
      <c r="F12" s="58">
        <v>0.92777866700000011</v>
      </c>
      <c r="G12" s="58">
        <v>6.8915327899999994</v>
      </c>
      <c r="H12" s="58">
        <v>3.8590870500000003</v>
      </c>
      <c r="I12" s="58">
        <v>3.06948211</v>
      </c>
      <c r="J12" s="58">
        <v>-0.18112886799999997</v>
      </c>
      <c r="K12" s="58">
        <v>1.3464929300000001</v>
      </c>
      <c r="L12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79.581169380314577</v>
      </c>
    </row>
    <row r="13" spans="1:23" x14ac:dyDescent="0.3">
      <c r="A13" s="57" t="s">
        <v>21</v>
      </c>
      <c r="B13" s="58">
        <v>6</v>
      </c>
      <c r="C13" s="58">
        <v>9.6892990599999992E-2</v>
      </c>
      <c r="D13" s="58">
        <v>-2.1992953599999998</v>
      </c>
      <c r="E13" s="58">
        <v>1.7329891800000001</v>
      </c>
      <c r="F13" s="58">
        <v>-0.17048649300000004</v>
      </c>
      <c r="G13" s="58">
        <v>-0.79567863100000014</v>
      </c>
      <c r="H13" s="58">
        <v>-0.79368192500000001</v>
      </c>
      <c r="I13" s="58">
        <v>7.2950210500000001E-2</v>
      </c>
      <c r="J13" s="58">
        <v>-1.1522879000000001</v>
      </c>
      <c r="K13" s="58">
        <v>-0.8272056510000001</v>
      </c>
      <c r="L13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11.158999284221458</v>
      </c>
    </row>
    <row r="14" spans="1:23" x14ac:dyDescent="0.3">
      <c r="A14" s="57" t="s">
        <v>22</v>
      </c>
      <c r="B14" s="58">
        <v>6</v>
      </c>
      <c r="C14" s="58">
        <v>-0.39597123000000001</v>
      </c>
      <c r="D14" s="58">
        <v>-0.97790107900000001</v>
      </c>
      <c r="E14" s="58">
        <v>-0.22288951599999998</v>
      </c>
      <c r="F14" s="58">
        <v>3.2830160300000008E-2</v>
      </c>
      <c r="G14" s="58">
        <v>-0.41333746700000007</v>
      </c>
      <c r="H14" s="58">
        <v>-7.9441074200000017E-2</v>
      </c>
      <c r="I14" s="58">
        <v>8.0467671800000001E-2</v>
      </c>
      <c r="J14" s="58">
        <v>-1.6702393900000001</v>
      </c>
      <c r="K14" s="58">
        <v>-0.78455041700000006</v>
      </c>
      <c r="L14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4.7526940609049886</v>
      </c>
    </row>
    <row r="15" spans="1:23" x14ac:dyDescent="0.3">
      <c r="A15" s="57" t="s">
        <v>23</v>
      </c>
      <c r="B15" s="58">
        <v>6</v>
      </c>
      <c r="C15" s="58">
        <v>-2.35099127E-2</v>
      </c>
      <c r="D15" s="58">
        <v>-0.10125518100000001</v>
      </c>
      <c r="E15" s="58">
        <v>-0.23314975900000001</v>
      </c>
      <c r="F15" s="58">
        <v>-0.72464517800000017</v>
      </c>
      <c r="G15" s="58">
        <v>-0.47728537300000007</v>
      </c>
      <c r="H15" s="58">
        <v>-0.24269612600000001</v>
      </c>
      <c r="I15" s="58">
        <v>-0.81386441200000015</v>
      </c>
      <c r="J15" s="58">
        <v>1.97700232</v>
      </c>
      <c r="K15" s="58">
        <v>-0.39004004399999997</v>
      </c>
      <c r="L15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5.6000221986339032</v>
      </c>
    </row>
    <row r="16" spans="1:23" x14ac:dyDescent="0.3">
      <c r="A16" s="57" t="s">
        <v>24</v>
      </c>
      <c r="B16" s="58">
        <v>6</v>
      </c>
      <c r="C16" s="58">
        <v>-1.36819654</v>
      </c>
      <c r="D16" s="58">
        <v>-0.57405296799999994</v>
      </c>
      <c r="E16" s="58">
        <v>-0.45614134199999995</v>
      </c>
      <c r="F16" s="58">
        <v>0.29532124700000006</v>
      </c>
      <c r="G16" s="58">
        <v>8.0744248100000013E-2</v>
      </c>
      <c r="H16" s="58">
        <v>-9.9847955699999991E-2</v>
      </c>
      <c r="I16" s="58">
        <v>0.28194914900000001</v>
      </c>
      <c r="J16" s="58">
        <v>1.3079816500000001</v>
      </c>
      <c r="K16" s="58">
        <v>-1.3622768599999998E-2</v>
      </c>
      <c r="L16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4.303764292452728</v>
      </c>
    </row>
    <row r="17" spans="1:12" x14ac:dyDescent="0.3">
      <c r="A17" s="57" t="s">
        <v>25</v>
      </c>
      <c r="B17" s="58">
        <v>6</v>
      </c>
      <c r="C17" s="58">
        <v>1.5799867000000001</v>
      </c>
      <c r="D17" s="58">
        <v>0.76061578600000002</v>
      </c>
      <c r="E17" s="58">
        <v>-0.21339163900000002</v>
      </c>
      <c r="F17" s="58">
        <v>-1.4099379999999999</v>
      </c>
      <c r="G17" s="58">
        <v>-0.43689722200000003</v>
      </c>
      <c r="H17" s="58">
        <v>-0.44676494</v>
      </c>
      <c r="I17" s="58">
        <v>-0.84844856000000002</v>
      </c>
      <c r="J17" s="58">
        <v>-7.3222308300000011E-2</v>
      </c>
      <c r="K17" s="58">
        <v>-0.60361944900000009</v>
      </c>
      <c r="L17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6.5884164997341763</v>
      </c>
    </row>
    <row r="18" spans="1:12" x14ac:dyDescent="0.3">
      <c r="A18" s="57" t="s">
        <v>26</v>
      </c>
      <c r="B18" s="58">
        <v>6</v>
      </c>
      <c r="C18" s="58">
        <v>-0.443232183</v>
      </c>
      <c r="D18" s="58">
        <v>0.30751790600000006</v>
      </c>
      <c r="E18" s="58">
        <v>4.1533658899999999</v>
      </c>
      <c r="F18" s="58">
        <v>2.9875726600000003E-2</v>
      </c>
      <c r="G18" s="58">
        <v>-0.41804941800000001</v>
      </c>
      <c r="H18" s="58">
        <v>-0.120254837</v>
      </c>
      <c r="I18" s="58">
        <v>-0.35390574300000005</v>
      </c>
      <c r="J18" s="58">
        <v>0.68212360900000002</v>
      </c>
      <c r="K18" s="58">
        <v>0.11717313800000001</v>
      </c>
      <c r="L18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18.335860784265257</v>
      </c>
    </row>
    <row r="19" spans="1:12" x14ac:dyDescent="0.3">
      <c r="A19" s="57" t="s">
        <v>27</v>
      </c>
      <c r="B19" s="58">
        <v>6</v>
      </c>
      <c r="C19" s="58">
        <v>-0.70541794499999988</v>
      </c>
      <c r="D19" s="58">
        <v>0.39124251399999999</v>
      </c>
      <c r="E19" s="58">
        <v>-0.48169671700000005</v>
      </c>
      <c r="F19" s="58">
        <v>0.16635461699999998</v>
      </c>
      <c r="G19" s="58">
        <v>-0.37294931600000003</v>
      </c>
      <c r="H19" s="58">
        <v>-0.69164751800000013</v>
      </c>
      <c r="I19" s="58">
        <v>-3.3762251799999997E-2</v>
      </c>
      <c r="J19" s="58">
        <v>1.04900591</v>
      </c>
      <c r="K19" s="58">
        <v>1.5815010300000001</v>
      </c>
      <c r="L19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5.1305570455388221</v>
      </c>
    </row>
    <row r="20" spans="1:12" x14ac:dyDescent="0.3">
      <c r="A20" s="57" t="s">
        <v>28</v>
      </c>
      <c r="B20" s="58">
        <v>5</v>
      </c>
      <c r="C20" s="58">
        <v>-1.6517622599999999</v>
      </c>
      <c r="D20" s="58">
        <v>-1.47532375</v>
      </c>
      <c r="E20" s="58">
        <v>0.31847076200000013</v>
      </c>
      <c r="F20" s="58">
        <v>1.3915135599999999</v>
      </c>
      <c r="G20" s="58">
        <v>-0.6529738300000002</v>
      </c>
      <c r="H20" s="58">
        <v>-0.54879934800000008</v>
      </c>
      <c r="I20" s="58">
        <v>2.15484462</v>
      </c>
      <c r="J20" s="58">
        <v>3.4684251299999996E-2</v>
      </c>
      <c r="K20" s="58">
        <v>-0.40115870700000006</v>
      </c>
      <c r="L20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12.475674534765552</v>
      </c>
    </row>
    <row r="21" spans="1:12" x14ac:dyDescent="0.3">
      <c r="A21" s="57" t="s">
        <v>29</v>
      </c>
      <c r="B21" s="58">
        <v>6</v>
      </c>
      <c r="C21" s="58">
        <v>0.94083857500000001</v>
      </c>
      <c r="D21" s="58">
        <v>0.60794150000000013</v>
      </c>
      <c r="E21" s="58">
        <v>0.20178942600000002</v>
      </c>
      <c r="F21" s="58">
        <v>-1.06562632</v>
      </c>
      <c r="G21" s="58">
        <v>-0.5903721959999999</v>
      </c>
      <c r="H21" s="58">
        <v>-0.85490257000000003</v>
      </c>
      <c r="I21" s="58">
        <v>-0.80178299499999994</v>
      </c>
      <c r="J21" s="58">
        <v>-0.93647478499999992</v>
      </c>
      <c r="K21" s="58">
        <v>-0.74836422300000005</v>
      </c>
      <c r="L21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5.590336256214683</v>
      </c>
    </row>
    <row r="22" spans="1:12" x14ac:dyDescent="0.3">
      <c r="A22" s="57" t="s">
        <v>30</v>
      </c>
      <c r="B22" s="58">
        <v>6</v>
      </c>
      <c r="C22" s="58">
        <v>1.22102851</v>
      </c>
      <c r="D22" s="58">
        <v>-0.77597702300000004</v>
      </c>
      <c r="E22" s="58">
        <v>-0.76107067100000003</v>
      </c>
      <c r="F22" s="58">
        <v>-0.16066322599999999</v>
      </c>
      <c r="G22" s="58">
        <v>5.8530765000000005E-2</v>
      </c>
      <c r="H22" s="58">
        <v>0.32869655500000006</v>
      </c>
      <c r="I22" s="58">
        <v>-6.5466078400000004E-3</v>
      </c>
      <c r="J22" s="58">
        <v>0.14259081100000001</v>
      </c>
      <c r="K22" s="58">
        <v>7.3041432099999999E-4</v>
      </c>
      <c r="L22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2.8299350073020251</v>
      </c>
    </row>
    <row r="23" spans="1:12" x14ac:dyDescent="0.3">
      <c r="A23" s="57" t="s">
        <v>31</v>
      </c>
      <c r="B23" s="58">
        <v>6</v>
      </c>
      <c r="C23" s="58">
        <v>-0.62439916900000003</v>
      </c>
      <c r="D23" s="58">
        <v>-0.56420301400000006</v>
      </c>
      <c r="E23" s="58">
        <v>-0.38504044900000006</v>
      </c>
      <c r="F23" s="58">
        <v>-0.12648505000000002</v>
      </c>
      <c r="G23" s="58">
        <v>-0.28072970400000002</v>
      </c>
      <c r="H23" s="58">
        <v>-0.79368192500000001</v>
      </c>
      <c r="I23" s="58">
        <v>-0.64246702499999997</v>
      </c>
      <c r="J23" s="58">
        <v>1.9122583899999999</v>
      </c>
      <c r="K23" s="58">
        <v>-0.70479928100000011</v>
      </c>
      <c r="L23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6.1474321984161113</v>
      </c>
    </row>
    <row r="24" spans="1:12" x14ac:dyDescent="0.3">
      <c r="A24" s="57" t="s">
        <v>32</v>
      </c>
      <c r="B24" s="58">
        <v>6</v>
      </c>
      <c r="C24" s="58">
        <v>-0.95860162000000015</v>
      </c>
      <c r="D24" s="58">
        <v>-0.77105204699999996</v>
      </c>
      <c r="E24" s="58">
        <v>6.2179609000000011E-2</v>
      </c>
      <c r="F24" s="58">
        <v>-0.46777220400000002</v>
      </c>
      <c r="G24" s="58">
        <v>-0.53786759899999992</v>
      </c>
      <c r="H24" s="58">
        <v>-0.83449568800000007</v>
      </c>
      <c r="I24" s="58">
        <v>-0.66205450700000013</v>
      </c>
      <c r="J24" s="58">
        <v>-0.15954755600000003</v>
      </c>
      <c r="K24" s="58">
        <v>-0.65719118800000009</v>
      </c>
      <c r="L24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3.6174719224220953</v>
      </c>
    </row>
    <row r="25" spans="1:12" x14ac:dyDescent="0.3">
      <c r="A25" s="57" t="s">
        <v>33</v>
      </c>
      <c r="B25" s="58">
        <v>4</v>
      </c>
      <c r="C25" s="58">
        <v>1.40444602</v>
      </c>
      <c r="D25" s="58">
        <v>0.55869173100000014</v>
      </c>
      <c r="E25" s="58">
        <v>-0.70671943500000012</v>
      </c>
      <c r="F25" s="58">
        <v>-0.26184054500000004</v>
      </c>
      <c r="G25" s="58">
        <v>2.4798004200000001</v>
      </c>
      <c r="H25" s="58">
        <v>1.2470062200000001</v>
      </c>
      <c r="I25" s="58">
        <v>-0.37069152500000002</v>
      </c>
      <c r="J25" s="58">
        <v>1.3102939400000001E-2</v>
      </c>
      <c r="K25" s="58">
        <v>2.0049199299999998</v>
      </c>
      <c r="L25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14.714340358478019</v>
      </c>
    </row>
    <row r="26" spans="1:12" x14ac:dyDescent="0.3">
      <c r="A26" s="57" t="s">
        <v>34</v>
      </c>
      <c r="B26" s="58">
        <v>6</v>
      </c>
      <c r="C26" s="58">
        <v>-0.71329477000000008</v>
      </c>
      <c r="D26" s="58">
        <v>0.10066887400000001</v>
      </c>
      <c r="E26" s="58">
        <v>-0.53842848600000004</v>
      </c>
      <c r="F26" s="58">
        <v>0.42883352900000005</v>
      </c>
      <c r="G26" s="58">
        <v>0.33990155100000008</v>
      </c>
      <c r="H26" s="58">
        <v>-0.34473053300000001</v>
      </c>
      <c r="I26" s="58">
        <v>0.56073948000000007</v>
      </c>
      <c r="J26" s="58">
        <v>-0.31061673900000009</v>
      </c>
      <c r="K26" s="58">
        <v>1.1717277699999999</v>
      </c>
      <c r="L26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3.0109567762014819</v>
      </c>
    </row>
    <row r="27" spans="1:12" x14ac:dyDescent="0.3">
      <c r="A27" s="57" t="s">
        <v>35</v>
      </c>
      <c r="B27" s="58">
        <v>6</v>
      </c>
      <c r="C27" s="58">
        <v>-0.77180833100000001</v>
      </c>
      <c r="D27" s="58">
        <v>-1.00745094</v>
      </c>
      <c r="E27" s="58">
        <v>-0.56855580100000003</v>
      </c>
      <c r="F27" s="58">
        <v>-0.193450816</v>
      </c>
      <c r="G27" s="58">
        <v>-0.43420467800000007</v>
      </c>
      <c r="H27" s="58">
        <v>-3.8627311300000002E-2</v>
      </c>
      <c r="I27" s="58">
        <v>-0.644114509</v>
      </c>
      <c r="J27" s="58">
        <v>-0.76382428899999999</v>
      </c>
      <c r="K27" s="58">
        <v>-0.63202257900000003</v>
      </c>
      <c r="L27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3.5591137714218437</v>
      </c>
    </row>
    <row r="28" spans="1:12" x14ac:dyDescent="0.3">
      <c r="A28" s="57" t="s">
        <v>36</v>
      </c>
      <c r="B28" s="58">
        <v>6</v>
      </c>
      <c r="C28" s="58">
        <v>-0.28344515300000001</v>
      </c>
      <c r="D28" s="58">
        <v>-0.44107859100000008</v>
      </c>
      <c r="E28" s="58">
        <v>-0.50203169800000003</v>
      </c>
      <c r="F28" s="58">
        <v>-0.459995178</v>
      </c>
      <c r="G28" s="58">
        <v>-0.32986862100000014</v>
      </c>
      <c r="H28" s="58">
        <v>-0.48757870300000011</v>
      </c>
      <c r="I28" s="58">
        <v>-0.40724223599999998</v>
      </c>
      <c r="J28" s="58">
        <v>0.57421704899999992</v>
      </c>
      <c r="K28" s="58">
        <v>-0.20021414600000004</v>
      </c>
      <c r="L28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1.620726329203181</v>
      </c>
    </row>
    <row r="29" spans="1:12" x14ac:dyDescent="0.3">
      <c r="A29" s="57" t="s">
        <v>37</v>
      </c>
      <c r="B29" s="58">
        <v>6</v>
      </c>
      <c r="C29" s="58">
        <v>0.301690452</v>
      </c>
      <c r="D29" s="58">
        <v>1.996785</v>
      </c>
      <c r="E29" s="58">
        <v>-0.64474922700000026</v>
      </c>
      <c r="F29" s="58">
        <v>0.56278830899999999</v>
      </c>
      <c r="G29" s="58">
        <v>-0.25649681400000002</v>
      </c>
      <c r="H29" s="58">
        <v>-3.8627311300000002E-2</v>
      </c>
      <c r="I29" s="58">
        <v>0.193809549</v>
      </c>
      <c r="J29" s="58">
        <v>1.13533116</v>
      </c>
      <c r="K29" s="58">
        <v>0.45224920299999999</v>
      </c>
      <c r="L29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6.4089507208204113</v>
      </c>
    </row>
    <row r="30" spans="1:12" x14ac:dyDescent="0.3">
      <c r="A30" s="57" t="s">
        <v>38</v>
      </c>
      <c r="B30" s="58">
        <v>6</v>
      </c>
      <c r="C30" s="58">
        <v>0.189164374</v>
      </c>
      <c r="D30" s="58">
        <v>-0.12588006599999998</v>
      </c>
      <c r="E30" s="58">
        <v>1.7265125599999998</v>
      </c>
      <c r="F30" s="58">
        <v>-0.51090440400000003</v>
      </c>
      <c r="G30" s="58">
        <v>-0.43824349300000004</v>
      </c>
      <c r="H30" s="58">
        <v>-0.18147548200000002</v>
      </c>
      <c r="I30" s="58">
        <v>-0.40830447200000008</v>
      </c>
      <c r="J30" s="58">
        <v>-0.89331216099999977</v>
      </c>
      <c r="K30" s="58">
        <v>-0.41247952700000007</v>
      </c>
      <c r="L30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4.6533471102074229</v>
      </c>
    </row>
    <row r="31" spans="1:12" x14ac:dyDescent="0.3">
      <c r="A31" s="57" t="s">
        <v>39</v>
      </c>
      <c r="B31" s="58">
        <v>5</v>
      </c>
      <c r="C31" s="58">
        <v>-1.62138022</v>
      </c>
      <c r="D31" s="58">
        <v>-1.25862476</v>
      </c>
      <c r="E31" s="58">
        <v>0.48395994600000003</v>
      </c>
      <c r="F31" s="58">
        <v>2.2071345500000001</v>
      </c>
      <c r="G31" s="58">
        <v>-0.76404124600000012</v>
      </c>
      <c r="H31" s="58">
        <v>-0.65083375500000007</v>
      </c>
      <c r="I31" s="58">
        <v>2.9261652100000002</v>
      </c>
      <c r="J31" s="58">
        <v>-1.1522879000000001</v>
      </c>
      <c r="K31" s="58">
        <v>-0.72147727500000003</v>
      </c>
      <c r="L31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20.736753558040665</v>
      </c>
    </row>
    <row r="32" spans="1:12" x14ac:dyDescent="0.3">
      <c r="A32" s="57" t="s">
        <v>40</v>
      </c>
      <c r="B32" s="58">
        <v>2</v>
      </c>
      <c r="C32" s="58">
        <v>0.28368628000000007</v>
      </c>
      <c r="D32" s="58">
        <v>0.80494057800000007</v>
      </c>
      <c r="E32" s="58">
        <v>-0.75382880100000016</v>
      </c>
      <c r="F32" s="58">
        <v>1.1635767800000001</v>
      </c>
      <c r="G32" s="58">
        <v>1.8638811200000001</v>
      </c>
      <c r="H32" s="58">
        <v>3.1448461999999999</v>
      </c>
      <c r="I32" s="58">
        <v>0.726178981</v>
      </c>
      <c r="J32" s="58">
        <v>-1.10912528</v>
      </c>
      <c r="K32" s="58">
        <v>6.3217913000000001</v>
      </c>
      <c r="L32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57.73722651287396</v>
      </c>
    </row>
    <row r="33" spans="1:12" x14ac:dyDescent="0.3">
      <c r="A33" s="57" t="s">
        <v>41</v>
      </c>
      <c r="B33" s="58">
        <v>5</v>
      </c>
      <c r="C33" s="58">
        <v>-1.5639919200000001</v>
      </c>
      <c r="D33" s="58">
        <v>-1.1256503900000001</v>
      </c>
      <c r="E33" s="58">
        <v>0.21073606300000003</v>
      </c>
      <c r="F33" s="58">
        <v>1.29612097</v>
      </c>
      <c r="G33" s="58">
        <v>-0.56479303300000017</v>
      </c>
      <c r="H33" s="58">
        <v>-0.67124063700000025</v>
      </c>
      <c r="I33" s="58">
        <v>1.3162123999999999</v>
      </c>
      <c r="J33" s="58">
        <v>-1.1522879000000001</v>
      </c>
      <c r="K33" s="58">
        <v>-0.571072091</v>
      </c>
      <c r="L33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9.5933597672327089</v>
      </c>
    </row>
    <row r="34" spans="1:12" x14ac:dyDescent="0.3">
      <c r="A34" s="57" t="s">
        <v>42</v>
      </c>
      <c r="B34" s="58">
        <v>6</v>
      </c>
      <c r="C34" s="58">
        <v>0.32307040700000011</v>
      </c>
      <c r="D34" s="58">
        <v>-0.59375287600000004</v>
      </c>
      <c r="E34" s="58">
        <v>-0.69147659899999991</v>
      </c>
      <c r="F34" s="58">
        <v>-0.28282996700000013</v>
      </c>
      <c r="G34" s="58">
        <v>0.88110277599999998</v>
      </c>
      <c r="H34" s="58">
        <v>2.1864515800000001E-3</v>
      </c>
      <c r="I34" s="58">
        <v>-0.36056934600000001</v>
      </c>
      <c r="J34" s="58">
        <v>-1.0443813399999999</v>
      </c>
      <c r="K34" s="58">
        <v>2.9133543899999999E-2</v>
      </c>
      <c r="L34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3.0129879258665668</v>
      </c>
    </row>
    <row r="35" spans="1:12" x14ac:dyDescent="0.3">
      <c r="A35" s="57" t="s">
        <v>43</v>
      </c>
      <c r="B35" s="58">
        <v>6</v>
      </c>
      <c r="C35" s="58">
        <v>-0.5625098260000001</v>
      </c>
      <c r="D35" s="58">
        <v>0.115443805</v>
      </c>
      <c r="E35" s="58">
        <v>0.74399524900000014</v>
      </c>
      <c r="F35" s="58">
        <v>-0.25529812299999999</v>
      </c>
      <c r="G35" s="58">
        <v>-0.49478690500000005</v>
      </c>
      <c r="H35" s="58">
        <v>-0.18147548200000002</v>
      </c>
      <c r="I35" s="58">
        <v>-0.44306932300000001</v>
      </c>
      <c r="J35" s="58">
        <v>-7.3222308300000011E-2</v>
      </c>
      <c r="K35" s="58">
        <v>-0.51871329700000002</v>
      </c>
      <c r="L35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1.6969334866592516</v>
      </c>
    </row>
    <row r="36" spans="1:12" x14ac:dyDescent="0.3">
      <c r="A36" s="57" t="s">
        <v>44</v>
      </c>
      <c r="B36" s="58">
        <v>6</v>
      </c>
      <c r="C36" s="58">
        <v>-0.99573522600000008</v>
      </c>
      <c r="D36" s="58">
        <v>-0.74642716200000003</v>
      </c>
      <c r="E36" s="58">
        <v>-0.127952963</v>
      </c>
      <c r="F36" s="58">
        <v>0.48232877100000016</v>
      </c>
      <c r="G36" s="58">
        <v>0.63204251000000011</v>
      </c>
      <c r="H36" s="58">
        <v>-0.48757870300000011</v>
      </c>
      <c r="I36" s="58">
        <v>-0.10258623700000001</v>
      </c>
      <c r="J36" s="58">
        <v>-7.3222308300000011E-2</v>
      </c>
      <c r="K36" s="58">
        <v>1.04982679</v>
      </c>
      <c r="L36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3.5528876107720562</v>
      </c>
    </row>
    <row r="37" spans="1:12" x14ac:dyDescent="0.3">
      <c r="A37" s="57" t="s">
        <v>45</v>
      </c>
      <c r="B37" s="58">
        <v>6</v>
      </c>
      <c r="C37" s="58">
        <v>-1.6146286500000002</v>
      </c>
      <c r="D37" s="58">
        <v>2.1693350900000002E-3</v>
      </c>
      <c r="E37" s="58">
        <v>-0.70777802400000012</v>
      </c>
      <c r="F37" s="58">
        <v>-0.136713524</v>
      </c>
      <c r="G37" s="58">
        <v>0.20729378800000003</v>
      </c>
      <c r="H37" s="58">
        <v>-0.16106860000000001</v>
      </c>
      <c r="I37" s="58">
        <v>-0.38535324100000007</v>
      </c>
      <c r="J37" s="58">
        <v>-9.4803620200000008E-2</v>
      </c>
      <c r="K37" s="58">
        <v>-0.27935881000000007</v>
      </c>
      <c r="L37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3.4311107031087715</v>
      </c>
    </row>
    <row r="38" spans="1:12" x14ac:dyDescent="0.3">
      <c r="A38" s="57" t="s">
        <v>46</v>
      </c>
      <c r="B38" s="58">
        <v>6</v>
      </c>
      <c r="C38" s="58">
        <v>-0.31945349800000006</v>
      </c>
      <c r="D38" s="58">
        <v>0.43064233000000002</v>
      </c>
      <c r="E38" s="58">
        <v>0.17363694300000002</v>
      </c>
      <c r="F38" s="58">
        <v>0.10189661100000001</v>
      </c>
      <c r="G38" s="58">
        <v>-5.5229193900000001E-2</v>
      </c>
      <c r="H38" s="58">
        <v>0.3899171990000001</v>
      </c>
      <c r="I38" s="58">
        <v>-0.507884483</v>
      </c>
      <c r="J38" s="58">
        <v>9.9428187000000001E-2</v>
      </c>
      <c r="K38" s="58">
        <v>0.12495620200000002</v>
      </c>
      <c r="L38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0.76656841167199696</v>
      </c>
    </row>
    <row r="39" spans="1:12" x14ac:dyDescent="0.3">
      <c r="A39" s="57" t="s">
        <v>47</v>
      </c>
      <c r="B39" s="58">
        <v>6</v>
      </c>
      <c r="C39" s="58">
        <v>0.3714566210000001</v>
      </c>
      <c r="D39" s="58">
        <v>0.25334316000000001</v>
      </c>
      <c r="E39" s="58">
        <v>-0.24591907000000005</v>
      </c>
      <c r="F39" s="58">
        <v>-0.31639823200000006</v>
      </c>
      <c r="G39" s="58">
        <v>-0.47324655799999998</v>
      </c>
      <c r="H39" s="58">
        <v>-0.73246128099999996</v>
      </c>
      <c r="I39" s="58">
        <v>-0.6530271230000001</v>
      </c>
      <c r="J39" s="58">
        <v>-0.245872804</v>
      </c>
      <c r="K39" s="58">
        <v>-0.61766939600000015</v>
      </c>
      <c r="L39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1.9916219830033439</v>
      </c>
    </row>
    <row r="40" spans="1:12" x14ac:dyDescent="0.3">
      <c r="A40" s="57" t="s">
        <v>48</v>
      </c>
      <c r="B40" s="58">
        <v>6</v>
      </c>
      <c r="C40" s="58">
        <v>0.99147531</v>
      </c>
      <c r="D40" s="58">
        <v>3.1719196800000002E-2</v>
      </c>
      <c r="E40" s="58">
        <v>-0.52524393899999999</v>
      </c>
      <c r="F40" s="58">
        <v>-0.44642184000000001</v>
      </c>
      <c r="G40" s="58">
        <v>-0.39852847800000007</v>
      </c>
      <c r="H40" s="58">
        <v>-0.32432365200000007</v>
      </c>
      <c r="I40" s="58">
        <v>-0.60986449800000009</v>
      </c>
      <c r="J40" s="58">
        <v>-0.26745411500000005</v>
      </c>
      <c r="K40" s="58">
        <v>-0.47019549500000002</v>
      </c>
      <c r="L40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2.3877640443914889</v>
      </c>
    </row>
    <row r="41" spans="1:12" x14ac:dyDescent="0.3">
      <c r="A41" s="57" t="s">
        <v>49</v>
      </c>
      <c r="B41" s="58">
        <v>6</v>
      </c>
      <c r="C41" s="58">
        <v>-0.6401528190000001</v>
      </c>
      <c r="D41" s="58">
        <v>0.499592007</v>
      </c>
      <c r="E41" s="58">
        <v>-0.65771264000000007</v>
      </c>
      <c r="F41" s="58">
        <v>0.20246502200000002</v>
      </c>
      <c r="G41" s="58">
        <v>0.3796165660000001</v>
      </c>
      <c r="H41" s="58">
        <v>0.736834184</v>
      </c>
      <c r="I41" s="58">
        <v>-0.16444015800000003</v>
      </c>
      <c r="J41" s="58">
        <v>-9.4803620200000008E-2</v>
      </c>
      <c r="K41" s="58">
        <v>-0.37194694800000005</v>
      </c>
      <c r="L41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1.9943719831572881</v>
      </c>
    </row>
    <row r="42" spans="1:12" x14ac:dyDescent="0.3">
      <c r="A42" s="57" t="s">
        <v>50</v>
      </c>
      <c r="B42" s="58">
        <v>4</v>
      </c>
      <c r="C42" s="58">
        <v>0.27243367200000002</v>
      </c>
      <c r="D42" s="58">
        <v>-0.92372633200000009</v>
      </c>
      <c r="E42" s="58">
        <v>-0.60840497999999998</v>
      </c>
      <c r="F42" s="58">
        <v>0.26535322100000003</v>
      </c>
      <c r="G42" s="58">
        <v>0.15613546300000003</v>
      </c>
      <c r="H42" s="58">
        <v>1.9204333099999999</v>
      </c>
      <c r="I42" s="58">
        <v>0.31897725500000007</v>
      </c>
      <c r="J42" s="58">
        <v>-0.20271018000000005</v>
      </c>
      <c r="K42" s="58">
        <v>1.24555497E-2</v>
      </c>
      <c r="L42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5.2234948213846142</v>
      </c>
    </row>
    <row r="43" spans="1:12" x14ac:dyDescent="0.3">
      <c r="A43" s="57" t="s">
        <v>51</v>
      </c>
      <c r="B43" s="58">
        <v>6</v>
      </c>
      <c r="C43" s="58">
        <v>0.25893054300000001</v>
      </c>
      <c r="D43" s="58">
        <v>-0.50017831400000001</v>
      </c>
      <c r="E43" s="58">
        <v>1.2297753300000001</v>
      </c>
      <c r="F43" s="58">
        <v>-0.44170611900000001</v>
      </c>
      <c r="G43" s="58">
        <v>-0.63951111300000008</v>
      </c>
      <c r="H43" s="58">
        <v>-0.52839246600000001</v>
      </c>
      <c r="I43" s="58">
        <v>-0.67484489500000022</v>
      </c>
      <c r="J43" s="58">
        <v>0.29365999400000004</v>
      </c>
      <c r="K43" s="58">
        <v>-0.40166410100000005</v>
      </c>
      <c r="L43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3.4158339659757897</v>
      </c>
    </row>
    <row r="44" spans="1:12" x14ac:dyDescent="0.3">
      <c r="A44" s="57" t="s">
        <v>52</v>
      </c>
      <c r="B44" s="58">
        <v>6</v>
      </c>
      <c r="C44" s="58">
        <v>0.91270705500000004</v>
      </c>
      <c r="D44" s="58">
        <v>1.2629634300000001</v>
      </c>
      <c r="E44" s="58">
        <v>1.4361019800000001</v>
      </c>
      <c r="F44" s="58">
        <v>-0.69654602600000004</v>
      </c>
      <c r="G44" s="58">
        <v>-0.61931703700000007</v>
      </c>
      <c r="H44" s="58">
        <v>-0.65083375500000007</v>
      </c>
      <c r="I44" s="58">
        <v>-0.63058665999999997</v>
      </c>
      <c r="J44" s="58">
        <v>-0.37536067500000014</v>
      </c>
      <c r="K44" s="58">
        <v>-0.27784262900000006</v>
      </c>
      <c r="L44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6.3985459239942539</v>
      </c>
    </row>
    <row r="45" spans="1:12" x14ac:dyDescent="0.3">
      <c r="A45" s="57" t="s">
        <v>53</v>
      </c>
      <c r="B45" s="58">
        <v>6</v>
      </c>
      <c r="C45" s="58">
        <v>-1.1566475199999999</v>
      </c>
      <c r="D45" s="58">
        <v>0.73599090100000009</v>
      </c>
      <c r="E45" s="58">
        <v>5.3581182199999997</v>
      </c>
      <c r="F45" s="58">
        <v>-0.5110294070000001</v>
      </c>
      <c r="G45" s="58">
        <v>-0.63479916200000019</v>
      </c>
      <c r="H45" s="58">
        <v>0.45113784399999995</v>
      </c>
      <c r="I45" s="58">
        <v>-0.48073680600000002</v>
      </c>
      <c r="J45" s="58">
        <v>1.97700232</v>
      </c>
      <c r="K45" s="58">
        <v>-0.78525796799999992</v>
      </c>
      <c r="L45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36.212869462138691</v>
      </c>
    </row>
    <row r="46" spans="1:12" x14ac:dyDescent="0.3">
      <c r="A46" s="57" t="s">
        <v>54</v>
      </c>
      <c r="B46" s="58">
        <v>6</v>
      </c>
      <c r="C46" s="58">
        <v>1.3774397600000001</v>
      </c>
      <c r="D46" s="58">
        <v>0.28289302100000002</v>
      </c>
      <c r="E46" s="58">
        <v>-0.690151124</v>
      </c>
      <c r="F46" s="58">
        <v>6.3189663099999988E-2</v>
      </c>
      <c r="G46" s="58">
        <v>0.85081166200000014</v>
      </c>
      <c r="H46" s="58">
        <v>-0.18147548200000002</v>
      </c>
      <c r="I46" s="58">
        <v>-0.33686437400000013</v>
      </c>
      <c r="J46" s="58">
        <v>-0.39694198700000005</v>
      </c>
      <c r="K46" s="58">
        <v>0.42596872800000007</v>
      </c>
      <c r="L46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3.6669740004017966</v>
      </c>
    </row>
    <row r="47" spans="1:12" x14ac:dyDescent="0.3">
      <c r="A47" s="57" t="s">
        <v>55</v>
      </c>
      <c r="B47" s="58">
        <v>6</v>
      </c>
      <c r="C47" s="58">
        <v>-0.50512152600000004</v>
      </c>
      <c r="D47" s="58">
        <v>0.19424343600000005</v>
      </c>
      <c r="E47" s="58">
        <v>-0.41641013600000004</v>
      </c>
      <c r="F47" s="58">
        <v>-0.30599285500000006</v>
      </c>
      <c r="G47" s="58">
        <v>-0.26524757999999998</v>
      </c>
      <c r="H47" s="58">
        <v>-0.63042687400000008</v>
      </c>
      <c r="I47" s="58">
        <v>-0.18733441100000001</v>
      </c>
      <c r="J47" s="58">
        <v>1.35114428</v>
      </c>
      <c r="K47" s="58">
        <v>-0.60877446600000018</v>
      </c>
      <c r="L47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3.2589930167475312</v>
      </c>
    </row>
    <row r="48" spans="1:12" x14ac:dyDescent="0.3">
      <c r="A48" s="57" t="s">
        <v>56</v>
      </c>
      <c r="B48" s="58">
        <v>6</v>
      </c>
      <c r="C48" s="58">
        <v>1.5642330499999999</v>
      </c>
      <c r="D48" s="58">
        <v>1.54368712</v>
      </c>
      <c r="E48" s="58">
        <v>-0.31104988000000006</v>
      </c>
      <c r="F48" s="58">
        <v>-2.0733667900000001</v>
      </c>
      <c r="G48" s="58">
        <v>0.64752463500000013</v>
      </c>
      <c r="H48" s="58">
        <v>-0.36513741500000002</v>
      </c>
      <c r="I48" s="58">
        <v>-0.79923932499999994</v>
      </c>
      <c r="J48" s="58">
        <v>0.315241306</v>
      </c>
      <c r="K48" s="58">
        <v>-0.50334932600000004</v>
      </c>
      <c r="L48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10.769531440549327</v>
      </c>
    </row>
    <row r="49" spans="1:23" x14ac:dyDescent="0.3">
      <c r="A49" s="57" t="s">
        <v>57</v>
      </c>
      <c r="B49" s="58">
        <v>3</v>
      </c>
      <c r="C49" s="58">
        <v>1.0634920000000001</v>
      </c>
      <c r="D49" s="58">
        <v>4.7301472100000002</v>
      </c>
      <c r="E49" s="58">
        <v>0.27651410200000004</v>
      </c>
      <c r="F49" s="58">
        <v>-2.2608627800000001</v>
      </c>
      <c r="G49" s="58">
        <v>-0.7142291930000001</v>
      </c>
      <c r="H49" s="58">
        <v>-0.69164751800000013</v>
      </c>
      <c r="I49" s="58">
        <v>-0.8456277310000001</v>
      </c>
      <c r="J49" s="58">
        <v>3.46611285</v>
      </c>
      <c r="K49" s="58">
        <v>-0.77969863700000019</v>
      </c>
      <c r="L49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43.01872256053889</v>
      </c>
    </row>
    <row r="50" spans="1:23" x14ac:dyDescent="0.3">
      <c r="A50" s="57" t="s">
        <v>58</v>
      </c>
      <c r="B50" s="58">
        <v>6</v>
      </c>
      <c r="C50" s="58">
        <v>0.85081771200000011</v>
      </c>
      <c r="D50" s="58">
        <v>0.16961855100000001</v>
      </c>
      <c r="E50" s="58">
        <v>0.72864012300000014</v>
      </c>
      <c r="F50" s="58">
        <v>0.31741530800000006</v>
      </c>
      <c r="G50" s="58">
        <v>-0.74452030600000008</v>
      </c>
      <c r="H50" s="58">
        <v>-0.65083375500000007</v>
      </c>
      <c r="I50" s="58">
        <v>-0.75104593100000017</v>
      </c>
      <c r="J50" s="58">
        <v>2.0201649499999998</v>
      </c>
      <c r="K50" s="58">
        <v>-0.82579054800000007</v>
      </c>
      <c r="L50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7.6892916452750359</v>
      </c>
    </row>
    <row r="51" spans="1:23" x14ac:dyDescent="0.3">
      <c r="A51" s="57" t="s">
        <v>59</v>
      </c>
      <c r="B51" s="58">
        <v>6</v>
      </c>
      <c r="C51" s="58">
        <v>-0.67278538200000015</v>
      </c>
      <c r="D51" s="58">
        <v>0.43064233000000002</v>
      </c>
      <c r="E51" s="58">
        <v>1.1322965899999999</v>
      </c>
      <c r="F51" s="58">
        <v>0.75492571000000019</v>
      </c>
      <c r="G51" s="58">
        <v>-0.54729150100000001</v>
      </c>
      <c r="H51" s="58">
        <v>-0.36513741500000002</v>
      </c>
      <c r="I51" s="58">
        <v>3.7045388799999995E-2</v>
      </c>
      <c r="J51" s="58">
        <v>0.25049737</v>
      </c>
      <c r="K51" s="58">
        <v>-0.6613354170000002</v>
      </c>
      <c r="L51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3.4244405279217389</v>
      </c>
    </row>
    <row r="52" spans="1:23" x14ac:dyDescent="0.3">
      <c r="A52" s="57" t="s">
        <v>60</v>
      </c>
      <c r="B52" s="58">
        <v>6</v>
      </c>
      <c r="C52" s="58">
        <v>-1.2781756799999999</v>
      </c>
      <c r="D52" s="58">
        <v>-0.60360283000000015</v>
      </c>
      <c r="E52" s="58">
        <v>6.0971623600000004E-2</v>
      </c>
      <c r="F52" s="58">
        <v>1.2796273199999999</v>
      </c>
      <c r="G52" s="58">
        <v>-0.4045867010000001</v>
      </c>
      <c r="H52" s="58">
        <v>-0.16106860000000001</v>
      </c>
      <c r="I52" s="58">
        <v>0.54580711800000004</v>
      </c>
      <c r="J52" s="58">
        <v>0.444729178</v>
      </c>
      <c r="K52" s="58">
        <v>-0.55621351399999996</v>
      </c>
      <c r="L52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4.6339294804038156</v>
      </c>
    </row>
    <row r="53" spans="1:23" x14ac:dyDescent="0.3">
      <c r="A53" s="57" t="s">
        <v>61</v>
      </c>
      <c r="B53" s="58">
        <v>6</v>
      </c>
      <c r="C53" s="58">
        <v>1.5338510100000002</v>
      </c>
      <c r="D53" s="58">
        <v>-0.22930458200000001</v>
      </c>
      <c r="E53" s="58">
        <v>-2.4512955800000003E-2</v>
      </c>
      <c r="F53" s="58">
        <v>-1.9659731499999999</v>
      </c>
      <c r="G53" s="58">
        <v>-0.17370110400000002</v>
      </c>
      <c r="H53" s="58">
        <v>0.16544150300000002</v>
      </c>
      <c r="I53" s="58">
        <v>-0.51532624499999991</v>
      </c>
      <c r="J53" s="58">
        <v>0.63896098499999998</v>
      </c>
      <c r="K53" s="58">
        <v>0.57273507700000015</v>
      </c>
      <c r="L53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7.3303315349595479</v>
      </c>
    </row>
    <row r="54" spans="1:23" x14ac:dyDescent="0.3">
      <c r="A54" s="57" t="s">
        <v>62</v>
      </c>
      <c r="B54" s="58">
        <v>6</v>
      </c>
      <c r="C54" s="58">
        <v>-7.6397169299999998E-2</v>
      </c>
      <c r="D54" s="58">
        <v>-3.23055036E-2</v>
      </c>
      <c r="E54" s="58">
        <v>0.63645803000000012</v>
      </c>
      <c r="F54" s="58">
        <v>-0.52428023000000001</v>
      </c>
      <c r="G54" s="58">
        <v>-0.54998404499999998</v>
      </c>
      <c r="H54" s="58">
        <v>-0.81408880700000008</v>
      </c>
      <c r="I54" s="58">
        <v>-0.65165313400000013</v>
      </c>
      <c r="J54" s="58">
        <v>1.0058432900000001</v>
      </c>
      <c r="K54" s="58">
        <v>-0.60776367800000008</v>
      </c>
      <c r="L54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3.4578010114094644</v>
      </c>
    </row>
    <row r="55" spans="1:23" x14ac:dyDescent="0.3">
      <c r="A55" s="57" t="s">
        <v>63</v>
      </c>
      <c r="B55" s="58">
        <v>6</v>
      </c>
      <c r="C55" s="58">
        <v>1.03085944</v>
      </c>
      <c r="D55" s="58">
        <v>0.16961855100000001</v>
      </c>
      <c r="E55" s="58">
        <v>-0.14018981799999999</v>
      </c>
      <c r="F55" s="58">
        <v>-0.57951306599999997</v>
      </c>
      <c r="G55" s="58">
        <v>-0.28813419900000004</v>
      </c>
      <c r="H55" s="58">
        <v>2.1864515800000001E-3</v>
      </c>
      <c r="I55" s="58">
        <v>-0.68879397600000014</v>
      </c>
      <c r="J55" s="58">
        <v>0.70370492100000004</v>
      </c>
      <c r="K55" s="58">
        <v>-0.42026259100000007</v>
      </c>
      <c r="L55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2.6762147158584377</v>
      </c>
    </row>
    <row r="56" spans="1:23" x14ac:dyDescent="0.3">
      <c r="A56" s="57" t="s">
        <v>64</v>
      </c>
      <c r="B56" s="58">
        <v>5</v>
      </c>
      <c r="C56" s="58">
        <v>-2.03660145</v>
      </c>
      <c r="D56" s="58">
        <v>-0.24900449000000005</v>
      </c>
      <c r="E56" s="58">
        <v>0.31354269200000007</v>
      </c>
      <c r="F56" s="58">
        <v>1.7440124100000001</v>
      </c>
      <c r="G56" s="58">
        <v>-0.28140284000000004</v>
      </c>
      <c r="H56" s="58">
        <v>-0.22228924400000002</v>
      </c>
      <c r="I56" s="58">
        <v>1.6609961200000001</v>
      </c>
      <c r="J56" s="58">
        <v>0.66054229700000011</v>
      </c>
      <c r="K56" s="58">
        <v>0.85383508900000005</v>
      </c>
      <c r="L56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11.402495670871842</v>
      </c>
    </row>
    <row r="57" spans="1:23" x14ac:dyDescent="0.3">
      <c r="A57" s="57" t="s">
        <v>65</v>
      </c>
      <c r="B57" s="58">
        <v>6</v>
      </c>
      <c r="C57" s="58">
        <v>0.71916220099999995</v>
      </c>
      <c r="D57" s="58">
        <v>0.23364325200000002</v>
      </c>
      <c r="E57" s="58">
        <v>0.25552188200000003</v>
      </c>
      <c r="F57" s="58">
        <v>-0.86229009300000015</v>
      </c>
      <c r="G57" s="58">
        <v>-0.24976545500000005</v>
      </c>
      <c r="H57" s="58">
        <v>-0.67124063700000025</v>
      </c>
      <c r="I57" s="58">
        <v>-0.77860263000000007</v>
      </c>
      <c r="J57" s="58">
        <v>3.4684251299999996E-2</v>
      </c>
      <c r="K57" s="58">
        <v>-0.7448264670000001</v>
      </c>
      <c r="L57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3.0557573711288684</v>
      </c>
    </row>
    <row r="58" spans="1:23" x14ac:dyDescent="0.3">
      <c r="A58" s="57" t="s">
        <v>66</v>
      </c>
      <c r="B58" s="58">
        <v>4</v>
      </c>
      <c r="C58" s="58">
        <v>0.71691168000000005</v>
      </c>
      <c r="D58" s="58">
        <v>1.6668115500000003</v>
      </c>
      <c r="E58" s="58">
        <v>-0.62574745100000018</v>
      </c>
      <c r="F58" s="58">
        <v>0.10582420100000002</v>
      </c>
      <c r="G58" s="58">
        <v>1.0938137000000001</v>
      </c>
      <c r="H58" s="58">
        <v>4.5733278999999998</v>
      </c>
      <c r="I58" s="58">
        <v>-0.18025893800000001</v>
      </c>
      <c r="J58" s="58">
        <v>-1.51917021</v>
      </c>
      <c r="K58" s="58">
        <v>0.29759871200000004</v>
      </c>
      <c r="L58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28.235674628831138</v>
      </c>
    </row>
    <row r="59" spans="1:23" x14ac:dyDescent="0.3">
      <c r="A59" s="57" t="s">
        <v>67</v>
      </c>
      <c r="B59" s="58">
        <v>6</v>
      </c>
      <c r="C59" s="58">
        <v>2.2900262499999999</v>
      </c>
      <c r="D59" s="58">
        <v>-1.64769794</v>
      </c>
      <c r="E59" s="58">
        <v>0.33908836400000014</v>
      </c>
      <c r="F59" s="58">
        <v>-3.8153166000000009E-2</v>
      </c>
      <c r="G59" s="58">
        <v>-0.72365309400000011</v>
      </c>
      <c r="H59" s="58">
        <v>-0.712054399</v>
      </c>
      <c r="I59" s="58">
        <v>-0.11980098299999999</v>
      </c>
      <c r="J59" s="58">
        <v>3.2287184099999999</v>
      </c>
      <c r="K59" s="58">
        <v>-0.78586444099999997</v>
      </c>
      <c r="L59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20.162818342701694</v>
      </c>
    </row>
    <row r="60" spans="1:23" x14ac:dyDescent="0.3">
      <c r="A60" s="57" t="s">
        <v>68</v>
      </c>
      <c r="B60" s="58">
        <v>6</v>
      </c>
      <c r="C60" s="58">
        <v>-0.778559895</v>
      </c>
      <c r="D60" s="58">
        <v>0.86896527900000009</v>
      </c>
      <c r="E60" s="58">
        <v>1.9098010400000001</v>
      </c>
      <c r="F60" s="58">
        <v>-0.24756474800000003</v>
      </c>
      <c r="G60" s="58">
        <v>-0.62470212400000003</v>
      </c>
      <c r="H60" s="58">
        <v>-0.81408880700000008</v>
      </c>
      <c r="I60" s="58">
        <v>-6.8238141200000019E-2</v>
      </c>
      <c r="J60" s="58">
        <v>1.0058432900000001</v>
      </c>
      <c r="K60" s="58">
        <v>-0.72390316499999996</v>
      </c>
      <c r="L60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7.6632907726185033</v>
      </c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">
      <c r="A61" s="57" t="s">
        <v>69</v>
      </c>
      <c r="B61" s="58">
        <v>6</v>
      </c>
      <c r="C61" s="58">
        <v>0.79905571700000011</v>
      </c>
      <c r="D61" s="58">
        <v>0.23364325200000002</v>
      </c>
      <c r="E61" s="58">
        <v>-0.560360411</v>
      </c>
      <c r="F61" s="58">
        <v>-0.34491609900000009</v>
      </c>
      <c r="G61" s="58">
        <v>1.42432341</v>
      </c>
      <c r="H61" s="58">
        <v>-0.24269612600000001</v>
      </c>
      <c r="I61" s="58">
        <v>-0.46394369800000002</v>
      </c>
      <c r="J61" s="58">
        <v>-0.26745411500000005</v>
      </c>
      <c r="K61" s="58">
        <v>1.86533017</v>
      </c>
      <c r="L61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6.9798808008691484</v>
      </c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x14ac:dyDescent="0.3">
      <c r="A62" s="57" t="s">
        <v>70</v>
      </c>
      <c r="B62" s="58">
        <v>6</v>
      </c>
      <c r="C62" s="58">
        <v>0.29943993100000005</v>
      </c>
      <c r="D62" s="58">
        <v>0.32721781400000005</v>
      </c>
      <c r="E62" s="58">
        <v>-0.49765760799999997</v>
      </c>
      <c r="F62" s="58">
        <v>-0.17999626800000004</v>
      </c>
      <c r="G62" s="58">
        <v>-0.30496259500000011</v>
      </c>
      <c r="H62" s="58">
        <v>-0.34473053300000001</v>
      </c>
      <c r="I62" s="58">
        <v>-0.40352603500000006</v>
      </c>
      <c r="J62" s="58">
        <v>-0.18112886799999997</v>
      </c>
      <c r="K62" s="58">
        <v>-0.35446032300000008</v>
      </c>
      <c r="L62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1.0099218943904942</v>
      </c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x14ac:dyDescent="0.3">
      <c r="A63" s="57" t="s">
        <v>71</v>
      </c>
      <c r="B63" s="58">
        <v>6</v>
      </c>
      <c r="C63" s="58">
        <v>0.46260274400000001</v>
      </c>
      <c r="D63" s="58">
        <v>0.59316656899999975</v>
      </c>
      <c r="E63" s="58">
        <v>-0.74158797899999995</v>
      </c>
      <c r="F63" s="58">
        <v>-0.19203514800000002</v>
      </c>
      <c r="G63" s="58">
        <v>1.5024071699999999</v>
      </c>
      <c r="H63" s="58">
        <v>-7.9441074200000017E-2</v>
      </c>
      <c r="I63" s="58">
        <v>-0.28405370900000004</v>
      </c>
      <c r="J63" s="58">
        <v>-0.33219805100000005</v>
      </c>
      <c r="K63" s="58">
        <v>0.508651148</v>
      </c>
      <c r="L63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3.8659843397925782</v>
      </c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x14ac:dyDescent="0.3">
      <c r="A64" s="57" t="s">
        <v>72</v>
      </c>
      <c r="B64" s="58">
        <v>4</v>
      </c>
      <c r="C64" s="58">
        <v>0.13740237900000002</v>
      </c>
      <c r="D64" s="58">
        <v>-0.21452965100000002</v>
      </c>
      <c r="E64" s="58">
        <v>-0.67967054300000018</v>
      </c>
      <c r="F64" s="58">
        <v>1.26829843</v>
      </c>
      <c r="G64" s="58">
        <v>1.2257483300000001</v>
      </c>
      <c r="H64" s="58">
        <v>0.59398601399999995</v>
      </c>
      <c r="I64" s="58">
        <v>1.3369683400000001</v>
      </c>
      <c r="J64" s="58">
        <v>-1.7781459500000001</v>
      </c>
      <c r="K64" s="58">
        <v>1.6256724500000002</v>
      </c>
      <c r="L64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11.582811969331724</v>
      </c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x14ac:dyDescent="0.3">
      <c r="A65" s="57" t="s">
        <v>73</v>
      </c>
      <c r="B65" s="58">
        <v>6</v>
      </c>
      <c r="C65" s="58">
        <v>0.65277181500000026</v>
      </c>
      <c r="D65" s="58">
        <v>-1.00745094</v>
      </c>
      <c r="E65" s="58">
        <v>-0.29599274500000006</v>
      </c>
      <c r="F65" s="58">
        <v>-0.53335129200000009</v>
      </c>
      <c r="G65" s="58">
        <v>0.37086580000000008</v>
      </c>
      <c r="H65" s="58">
        <v>2.1864515800000001E-3</v>
      </c>
      <c r="I65" s="58">
        <v>-0.55948761700000005</v>
      </c>
      <c r="J65" s="58">
        <v>0.16417212299999998</v>
      </c>
      <c r="K65" s="58">
        <v>-4.6574441999999994E-2</v>
      </c>
      <c r="L65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2.2928380253039928</v>
      </c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x14ac:dyDescent="0.3">
      <c r="A66" s="57" t="s">
        <v>74</v>
      </c>
      <c r="B66" s="58">
        <v>5</v>
      </c>
      <c r="C66" s="58">
        <v>-0.17992116100000002</v>
      </c>
      <c r="D66" s="58">
        <v>-1.72649758</v>
      </c>
      <c r="E66" s="58">
        <v>-0.53123515899999996</v>
      </c>
      <c r="F66" s="58">
        <v>1.5963929399999999</v>
      </c>
      <c r="G66" s="58">
        <v>-0.60720059200000009</v>
      </c>
      <c r="H66" s="58">
        <v>-0.22228924400000002</v>
      </c>
      <c r="I66" s="58">
        <v>2.2486120400000003</v>
      </c>
      <c r="J66" s="58">
        <v>-1.2601944600000001</v>
      </c>
      <c r="K66" s="58">
        <v>-0.22972914200000003</v>
      </c>
      <c r="L66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12.959073460876795</v>
      </c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x14ac:dyDescent="0.3">
      <c r="A67" s="57" t="s">
        <v>75</v>
      </c>
      <c r="B67" s="58">
        <v>6</v>
      </c>
      <c r="C67" s="58">
        <v>-1.17802747</v>
      </c>
      <c r="D67" s="58">
        <v>-0.53465315300000005</v>
      </c>
      <c r="E67" s="58">
        <v>-0.73976757400000004</v>
      </c>
      <c r="F67" s="58">
        <v>0.29442023200000006</v>
      </c>
      <c r="G67" s="58">
        <v>0.98543883200000004</v>
      </c>
      <c r="H67" s="58">
        <v>0.96130987999999995</v>
      </c>
      <c r="I67" s="58">
        <v>-9.6755257700000038E-3</v>
      </c>
      <c r="J67" s="58">
        <v>-1.00121872</v>
      </c>
      <c r="K67" s="58">
        <v>0.7441646420000001</v>
      </c>
      <c r="L67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5.7590619838390928</v>
      </c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x14ac:dyDescent="0.3">
      <c r="A68" s="57" t="s">
        <v>76</v>
      </c>
      <c r="B68" s="58">
        <v>6</v>
      </c>
      <c r="C68" s="58">
        <v>0.9183333589999999</v>
      </c>
      <c r="D68" s="58">
        <v>1.19401376</v>
      </c>
      <c r="E68" s="58">
        <v>-0.50136484999999997</v>
      </c>
      <c r="F68" s="58">
        <v>-1.9062335399999999</v>
      </c>
      <c r="G68" s="58">
        <v>-0.63951111300000008</v>
      </c>
      <c r="H68" s="58">
        <v>-0.73246128099999996</v>
      </c>
      <c r="I68" s="58">
        <v>-0.45995725799999998</v>
      </c>
      <c r="J68" s="58">
        <v>-0.59117379399999992</v>
      </c>
      <c r="K68" s="58">
        <v>4.9753609500000011E-2</v>
      </c>
      <c r="L68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7.6630945860979072</v>
      </c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x14ac:dyDescent="0.3">
      <c r="A69" s="57" t="s">
        <v>77</v>
      </c>
      <c r="B69" s="58">
        <v>6</v>
      </c>
      <c r="C69" s="58">
        <v>-0.50287100400000007</v>
      </c>
      <c r="D69" s="58">
        <v>-0.81045186200000008</v>
      </c>
      <c r="E69" s="58">
        <v>0.23839430300000003</v>
      </c>
      <c r="F69" s="58">
        <v>-0.28588767100000012</v>
      </c>
      <c r="G69" s="58">
        <v>-0.34669701799999997</v>
      </c>
      <c r="H69" s="58">
        <v>2.1864515800000001E-3</v>
      </c>
      <c r="I69" s="58">
        <v>-0.60792642500000005</v>
      </c>
      <c r="J69" s="58">
        <v>0.22891605800000003</v>
      </c>
      <c r="K69" s="58">
        <v>-3.8181295600000003E-3</v>
      </c>
      <c r="L69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1.5904703525651664</v>
      </c>
      <c r="N69" s="5"/>
    </row>
    <row r="70" spans="1:23" x14ac:dyDescent="0.3">
      <c r="A70" s="57" t="s">
        <v>78</v>
      </c>
      <c r="B70" s="58">
        <v>6</v>
      </c>
      <c r="C70" s="58">
        <v>0.94646487899999998</v>
      </c>
      <c r="D70" s="58">
        <v>-5.20054114E-2</v>
      </c>
      <c r="E70" s="58">
        <v>-0.43541354400000004</v>
      </c>
      <c r="F70" s="58">
        <v>-0.67678780200000022</v>
      </c>
      <c r="G70" s="58">
        <v>0.95851339799999991</v>
      </c>
      <c r="H70" s="58">
        <v>1.04293741</v>
      </c>
      <c r="I70" s="58">
        <v>-0.55942575500000002</v>
      </c>
      <c r="J70" s="58">
        <v>-5.16409964E-2</v>
      </c>
      <c r="K70" s="58">
        <v>2.4487531200000009E-3</v>
      </c>
      <c r="L70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3.8682233524617287</v>
      </c>
      <c r="N70" s="5"/>
      <c r="O70" s="5"/>
    </row>
    <row r="71" spans="1:23" x14ac:dyDescent="0.3">
      <c r="A71" s="57" t="s">
        <v>79</v>
      </c>
      <c r="B71" s="58">
        <v>6</v>
      </c>
      <c r="C71" s="58">
        <v>1.2345316399999999</v>
      </c>
      <c r="D71" s="58">
        <v>0.53899182300000015</v>
      </c>
      <c r="E71" s="58">
        <v>0.33708705700000008</v>
      </c>
      <c r="F71" s="58">
        <v>-0.58823574299999992</v>
      </c>
      <c r="G71" s="58">
        <v>-0.40929865199999999</v>
      </c>
      <c r="H71" s="58">
        <v>-0.61001999200000012</v>
      </c>
      <c r="I71" s="58">
        <v>-0.72553474899999992</v>
      </c>
      <c r="J71" s="58">
        <v>-0.59117379399999992</v>
      </c>
      <c r="K71" s="58">
        <v>-0.25378588500000004</v>
      </c>
      <c r="L71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3.754173707707992</v>
      </c>
      <c r="N71" s="5"/>
      <c r="O71" s="5"/>
    </row>
    <row r="72" spans="1:23" x14ac:dyDescent="0.3">
      <c r="A72" s="57" t="s">
        <v>80</v>
      </c>
      <c r="B72" s="58">
        <v>6</v>
      </c>
      <c r="C72" s="58">
        <v>-0.51412361200000012</v>
      </c>
      <c r="D72" s="58">
        <v>-0.77597702300000004</v>
      </c>
      <c r="E72" s="58">
        <v>0.14817077899999997</v>
      </c>
      <c r="F72" s="58">
        <v>-8.2986284800000004E-2</v>
      </c>
      <c r="G72" s="58">
        <v>-0.38035381000000007</v>
      </c>
      <c r="H72" s="58">
        <v>-0.42635805900000007</v>
      </c>
      <c r="I72" s="58">
        <v>-0.43233991800000005</v>
      </c>
      <c r="J72" s="58">
        <v>-0.52642985800000008</v>
      </c>
      <c r="K72" s="58">
        <v>-0.14340788700000004</v>
      </c>
      <c r="L72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1.7063669699221071</v>
      </c>
      <c r="N72" s="5"/>
      <c r="O72" s="5"/>
    </row>
    <row r="73" spans="1:23" x14ac:dyDescent="0.3">
      <c r="A73" s="57" t="s">
        <v>81</v>
      </c>
      <c r="B73" s="58">
        <v>6</v>
      </c>
      <c r="C73" s="58">
        <v>-1.30293142</v>
      </c>
      <c r="D73" s="58">
        <v>-1.1207254099999999</v>
      </c>
      <c r="E73" s="58">
        <v>0.13331336800000002</v>
      </c>
      <c r="F73" s="58">
        <v>8.147568459999999E-3</v>
      </c>
      <c r="G73" s="58">
        <v>-0.24707291200000001</v>
      </c>
      <c r="H73" s="58">
        <v>-5.9034192800000003E-2</v>
      </c>
      <c r="I73" s="58">
        <v>9.4559605099999985E-2</v>
      </c>
      <c r="J73" s="58">
        <v>5.62655632E-2</v>
      </c>
      <c r="K73" s="58">
        <v>0.23826548400000006</v>
      </c>
      <c r="L73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3.1049024007358565</v>
      </c>
      <c r="N73" s="5"/>
      <c r="O73" s="5"/>
    </row>
    <row r="74" spans="1:23" x14ac:dyDescent="0.3">
      <c r="A74" s="57" t="s">
        <v>82</v>
      </c>
      <c r="B74" s="58">
        <v>6</v>
      </c>
      <c r="C74" s="58">
        <v>0.74504319900000004</v>
      </c>
      <c r="D74" s="58">
        <v>-0.38690384400000005</v>
      </c>
      <c r="E74" s="58">
        <v>-0.3290132850000001</v>
      </c>
      <c r="F74" s="58">
        <v>-0.14185514000000002</v>
      </c>
      <c r="G74" s="58">
        <v>-0.17437424000000001</v>
      </c>
      <c r="H74" s="58">
        <v>0.41032408100000012</v>
      </c>
      <c r="I74" s="58">
        <v>-0.22722974300000001</v>
      </c>
      <c r="J74" s="58">
        <v>-0.76382428899999999</v>
      </c>
      <c r="K74" s="58">
        <v>0.23058349800000003</v>
      </c>
      <c r="L74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1.7201584523282263</v>
      </c>
      <c r="N74" s="5"/>
      <c r="O74" s="5"/>
    </row>
    <row r="75" spans="1:23" x14ac:dyDescent="0.3">
      <c r="A75" s="57" t="s">
        <v>83</v>
      </c>
      <c r="B75" s="58">
        <v>4</v>
      </c>
      <c r="C75" s="58">
        <v>1.02748365</v>
      </c>
      <c r="D75" s="58">
        <v>0.49466702999999995</v>
      </c>
      <c r="E75" s="58">
        <v>-0.51803533400000001</v>
      </c>
      <c r="F75" s="58">
        <v>0.89869505000000016</v>
      </c>
      <c r="G75" s="58">
        <v>5.651135740000001E-2</v>
      </c>
      <c r="H75" s="58">
        <v>0.5735791320000001</v>
      </c>
      <c r="I75" s="58">
        <v>0.35288336200000009</v>
      </c>
      <c r="J75" s="58">
        <v>-0.39694198700000005</v>
      </c>
      <c r="K75" s="58">
        <v>2.19798034</v>
      </c>
      <c r="L75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7.8218252580604553</v>
      </c>
      <c r="N75" s="5"/>
      <c r="O75" s="5"/>
    </row>
    <row r="76" spans="1:23" x14ac:dyDescent="0.3">
      <c r="A76" s="57" t="s">
        <v>84</v>
      </c>
      <c r="B76" s="58">
        <v>6</v>
      </c>
      <c r="C76" s="58">
        <v>-0.84607554200000012</v>
      </c>
      <c r="D76" s="58">
        <v>0.28289302100000002</v>
      </c>
      <c r="E76" s="58">
        <v>-0.56361560700000013</v>
      </c>
      <c r="F76" s="58">
        <v>0.22833990500000001</v>
      </c>
      <c r="G76" s="58">
        <v>-7.4365484499999994E-3</v>
      </c>
      <c r="H76" s="58">
        <v>-0.54879934800000008</v>
      </c>
      <c r="I76" s="58">
        <v>-0.48746064200000006</v>
      </c>
      <c r="J76" s="58">
        <v>-8.4783725399999992E-3</v>
      </c>
      <c r="K76" s="58">
        <v>-0.58603174599999996</v>
      </c>
      <c r="L76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2.0480329435506315</v>
      </c>
      <c r="N76" s="5"/>
      <c r="O76" s="5"/>
    </row>
    <row r="77" spans="1:23" x14ac:dyDescent="0.3">
      <c r="A77" s="57" t="s">
        <v>85</v>
      </c>
      <c r="B77" s="58">
        <v>6</v>
      </c>
      <c r="C77" s="58">
        <v>-0.59401712799999984</v>
      </c>
      <c r="D77" s="58">
        <v>3.6644173799999992E-2</v>
      </c>
      <c r="E77" s="58">
        <v>-0.42749969700000007</v>
      </c>
      <c r="F77" s="58">
        <v>-0.30865372600000002</v>
      </c>
      <c r="G77" s="58">
        <v>-0.26726698700000007</v>
      </c>
      <c r="H77" s="58">
        <v>0.3082896730000001</v>
      </c>
      <c r="I77" s="58">
        <v>-0.61313057000000004</v>
      </c>
      <c r="J77" s="58">
        <v>-0.41852329900000007</v>
      </c>
      <c r="K77" s="58">
        <v>-0.54519593000000011</v>
      </c>
      <c r="L77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1.647025872266674</v>
      </c>
      <c r="N77" s="5"/>
      <c r="O77" s="5"/>
    </row>
    <row r="78" spans="1:23" x14ac:dyDescent="0.3">
      <c r="A78" s="57" t="s">
        <v>86</v>
      </c>
      <c r="B78" s="58">
        <v>6</v>
      </c>
      <c r="C78" s="58">
        <v>-1.5932487</v>
      </c>
      <c r="D78" s="58">
        <v>-0.66762753000000019</v>
      </c>
      <c r="E78" s="58">
        <v>-0.71118363700000009</v>
      </c>
      <c r="F78" s="58">
        <v>0.54222945000000011</v>
      </c>
      <c r="G78" s="58">
        <v>-0.34737015300000007</v>
      </c>
      <c r="H78" s="58">
        <v>-0.20188236300000001</v>
      </c>
      <c r="I78" s="58">
        <v>0.52267640500000001</v>
      </c>
      <c r="J78" s="58">
        <v>0.12100949899999999</v>
      </c>
      <c r="K78" s="58">
        <v>0.36471500300000004</v>
      </c>
      <c r="L78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4.3662363498695731</v>
      </c>
      <c r="N78" s="5"/>
      <c r="O78" s="5"/>
    </row>
    <row r="79" spans="1:23" x14ac:dyDescent="0.3">
      <c r="A79" s="57" t="s">
        <v>87</v>
      </c>
      <c r="B79" s="58">
        <v>5</v>
      </c>
      <c r="C79" s="58">
        <v>-0.83707345600000016</v>
      </c>
      <c r="D79" s="58">
        <v>0.60794150000000013</v>
      </c>
      <c r="E79" s="58">
        <v>-0.44033746300000004</v>
      </c>
      <c r="F79" s="58">
        <v>2.7656109</v>
      </c>
      <c r="G79" s="58">
        <v>-7.0711318499999995E-2</v>
      </c>
      <c r="H79" s="58">
        <v>-0.54879934800000008</v>
      </c>
      <c r="I79" s="58">
        <v>1.7907155700000001</v>
      </c>
      <c r="J79" s="58">
        <v>-0.26745411500000005</v>
      </c>
      <c r="K79" s="58">
        <v>1.0137416800000001</v>
      </c>
      <c r="L79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13.524832534606873</v>
      </c>
      <c r="N79" s="5"/>
      <c r="O79" s="5"/>
    </row>
    <row r="80" spans="1:23" x14ac:dyDescent="0.3">
      <c r="A80" s="57" t="s">
        <v>88</v>
      </c>
      <c r="B80" s="58">
        <v>6</v>
      </c>
      <c r="C80" s="58">
        <v>-0.776309374</v>
      </c>
      <c r="D80" s="58">
        <v>0.16961855100000001</v>
      </c>
      <c r="E80" s="58">
        <v>-0.66571604100000004</v>
      </c>
      <c r="F80" s="58">
        <v>-0.14499569300000004</v>
      </c>
      <c r="G80" s="58">
        <v>1.06352259</v>
      </c>
      <c r="H80" s="58">
        <v>0.59398601399999995</v>
      </c>
      <c r="I80" s="58">
        <v>-0.24752416200000002</v>
      </c>
      <c r="J80" s="58">
        <v>-0.26745411500000005</v>
      </c>
      <c r="K80" s="58">
        <v>0.52866474099999994</v>
      </c>
      <c r="L80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2.9918143026115289</v>
      </c>
      <c r="N80" s="5"/>
      <c r="O80" s="5"/>
    </row>
    <row r="81" spans="1:22" x14ac:dyDescent="0.3">
      <c r="A81" s="57" t="s">
        <v>89</v>
      </c>
      <c r="B81" s="58">
        <v>6</v>
      </c>
      <c r="C81" s="58">
        <v>2.4171807200000002</v>
      </c>
      <c r="D81" s="58">
        <v>1.98693505</v>
      </c>
      <c r="E81" s="58">
        <v>-0.54726778999999992</v>
      </c>
      <c r="F81" s="58">
        <v>-2.0802994899999998</v>
      </c>
      <c r="G81" s="58">
        <v>-0.42141509700000007</v>
      </c>
      <c r="H81" s="58">
        <v>0.22666214800000001</v>
      </c>
      <c r="I81" s="58">
        <v>-0.8596919890000001</v>
      </c>
      <c r="J81" s="58">
        <v>1.4158882100000001</v>
      </c>
      <c r="K81" s="58">
        <v>-0.71662549500000017</v>
      </c>
      <c r="L81" s="3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17.904149778851341</v>
      </c>
      <c r="N81" s="5"/>
      <c r="O81" s="5"/>
    </row>
    <row r="82" spans="1:22" x14ac:dyDescent="0.3">
      <c r="A82" s="57" t="s">
        <v>90</v>
      </c>
      <c r="B82" s="58">
        <v>6</v>
      </c>
      <c r="C82" s="58">
        <v>-0.43535535800000003</v>
      </c>
      <c r="D82" s="58">
        <v>1.6944265900000002E-2</v>
      </c>
      <c r="E82" s="58">
        <v>-0.74363944300000018</v>
      </c>
      <c r="F82" s="58">
        <v>-8.9072869499999985E-2</v>
      </c>
      <c r="G82" s="58">
        <v>-0.236975874</v>
      </c>
      <c r="H82" s="58">
        <v>-0.44676494</v>
      </c>
      <c r="I82" s="58">
        <v>-0.63559056800000002</v>
      </c>
      <c r="J82" s="58">
        <v>0.531054425</v>
      </c>
      <c r="K82" s="58">
        <v>-0.53832257499999991</v>
      </c>
      <c r="L82" s="26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1.9822968370951561</v>
      </c>
      <c r="N82" s="5"/>
      <c r="O82" s="5"/>
    </row>
    <row r="83" spans="1:22" x14ac:dyDescent="0.3">
      <c r="A83" s="57" t="s">
        <v>91</v>
      </c>
      <c r="B83" s="58">
        <v>5</v>
      </c>
      <c r="C83" s="58">
        <v>0.43447122400000004</v>
      </c>
      <c r="D83" s="58">
        <v>-2.21407029</v>
      </c>
      <c r="E83" s="58">
        <v>1.68656903</v>
      </c>
      <c r="F83" s="58">
        <v>1.9762518</v>
      </c>
      <c r="G83" s="58">
        <v>-0.82327720000000004</v>
      </c>
      <c r="H83" s="58">
        <v>-0.83449568800000007</v>
      </c>
      <c r="I83" s="58">
        <v>4.0017250500000001</v>
      </c>
      <c r="J83" s="58">
        <v>-1.28177578</v>
      </c>
      <c r="K83" s="58">
        <v>-0.75260953100000016</v>
      </c>
      <c r="L83" s="26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31.438300797835456</v>
      </c>
      <c r="N83" s="5"/>
      <c r="O83" s="5"/>
    </row>
    <row r="84" spans="1:22" x14ac:dyDescent="0.3">
      <c r="A84" s="57" t="s">
        <v>92</v>
      </c>
      <c r="B84" s="58">
        <v>5</v>
      </c>
      <c r="C84" s="58">
        <v>1.4314522700000001</v>
      </c>
      <c r="D84" s="58">
        <v>0.3813925600000001</v>
      </c>
      <c r="E84" s="58">
        <v>-0.6404484960000002</v>
      </c>
      <c r="F84" s="58">
        <v>4.0313083199999999</v>
      </c>
      <c r="G84" s="58">
        <v>-0.60989313600000017</v>
      </c>
      <c r="H84" s="58">
        <v>-0.56920622899999995</v>
      </c>
      <c r="I84" s="58">
        <v>3.2937487700000001</v>
      </c>
      <c r="J84" s="58">
        <v>-1.8644712000000001</v>
      </c>
      <c r="K84" s="58">
        <v>-0.3640628050000001</v>
      </c>
      <c r="L84" s="26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34.009677842637942</v>
      </c>
      <c r="N84" s="5"/>
      <c r="O84" s="5"/>
    </row>
    <row r="85" spans="1:22" x14ac:dyDescent="0.3">
      <c r="A85" s="57" t="s">
        <v>93</v>
      </c>
      <c r="B85" s="58">
        <v>6</v>
      </c>
      <c r="C85" s="58">
        <v>-0.64690438400000005</v>
      </c>
      <c r="D85" s="58">
        <v>-0.91880135500000004</v>
      </c>
      <c r="E85" s="58">
        <v>-0.75930536000000004</v>
      </c>
      <c r="F85" s="58">
        <v>-0.45771125099999999</v>
      </c>
      <c r="G85" s="58">
        <v>-0.39045084800000002</v>
      </c>
      <c r="H85" s="58">
        <v>-0.32432365200000007</v>
      </c>
      <c r="I85" s="58">
        <v>-0.34949888600000006</v>
      </c>
      <c r="J85" s="58">
        <v>-0.93647478499999992</v>
      </c>
      <c r="K85" s="58">
        <v>-0.53680639399999996</v>
      </c>
      <c r="L85" s="26">
        <f>(Таблица1[[#This Row],[х1]]-Таблица1[[#Totals],[х1]])^2+(Таблица1[[#This Row],[x2]]-Таблица1[[#Totals],[x2]])^2+(Таблица1[[#This Row],[x3]]-Таблица1[[#Totals],[x3]])^2+(Таблица1[[#This Row],[x4]]-Таблица1[[#Totals],[x4]])^2+(Таблица1[[#This Row],[x5]]-Таблица1[[#Totals],[x5]])^2+(Таблица1[[#This Row],[x6]]-Таблица1[[#Totals],[x6]])^2+(Таблица1[[#This Row],[x7]]-Таблица1[[#Totals],[x7]])^2+(Таблица1[[#This Row],[x8]]-Таблица1[[#Totals],[x8]])^2+(Таблица1[[#This Row],[x9]]-Таблица1[[#Totals],[x9]])^2</f>
        <v>3.5936587268459972</v>
      </c>
      <c r="N85" s="5"/>
      <c r="O85" s="5"/>
    </row>
    <row r="86" spans="1:22" x14ac:dyDescent="0.3">
      <c r="A86" s="27"/>
      <c r="B86" s="28">
        <f>SUBTOTAL(102,Таблица1[Cluster Membership])</f>
        <v>84</v>
      </c>
      <c r="C86" s="28">
        <f>SUBTOTAL(101,Таблица1[х1])</f>
        <v>1.9761905603995648E-10</v>
      </c>
      <c r="D86" s="28">
        <f>SUBTOTAL(101,Таблица1[x2])</f>
        <v>1.713095353403492E-10</v>
      </c>
      <c r="E86" s="28">
        <f>SUBTOTAL(101,Таблица1[x3])</f>
        <v>2.7380933499357309E-11</v>
      </c>
      <c r="F86" s="28">
        <f>SUBTOTAL(101,Таблица1[x4])</f>
        <v>2.809523116798998E-11</v>
      </c>
      <c r="G86" s="28">
        <f>SUBTOTAL(101,Таблица1[x5])</f>
        <v>-1.1369050740522063E-10</v>
      </c>
      <c r="H86" s="28">
        <f>SUBTOTAL(101,Таблица1[x6])</f>
        <v>1.4071426629722711E-10</v>
      </c>
      <c r="I86" s="28">
        <f>SUBTOTAL(101,Таблица1[x7])</f>
        <v>7.0237737583750141E-12</v>
      </c>
      <c r="J86" s="28">
        <f>SUBTOTAL(101,Таблица1[x8])</f>
        <v>1.2571423531800482E-10</v>
      </c>
      <c r="K86" s="28">
        <f>SUBTOTAL(101,Таблица1[x9])</f>
        <v>1.0667854430511711E-10</v>
      </c>
      <c r="L86" s="28">
        <f>SUBTOTAL(109,Таблица1[расстояния])</f>
        <v>746.9999999181473</v>
      </c>
      <c r="N86" s="5"/>
      <c r="O86" s="5"/>
    </row>
    <row r="87" spans="1:22" s="4" customForma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5"/>
      <c r="O87"/>
      <c r="P87"/>
      <c r="Q87"/>
      <c r="R87"/>
      <c r="S87"/>
      <c r="T87"/>
      <c r="U87"/>
      <c r="V87"/>
    </row>
    <row r="88" spans="1:22" s="5" customForma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O88"/>
      <c r="P88"/>
      <c r="Q88"/>
      <c r="R88"/>
      <c r="S88"/>
      <c r="T88"/>
      <c r="U88"/>
      <c r="V88"/>
    </row>
    <row r="89" spans="1:22" s="5" customForma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/>
      <c r="N89"/>
      <c r="O89"/>
      <c r="P89"/>
      <c r="Q89"/>
      <c r="R89"/>
      <c r="S89"/>
      <c r="T89"/>
      <c r="U89"/>
      <c r="V89"/>
    </row>
    <row r="90" spans="1:22" s="5" customForma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/>
      <c r="N90"/>
      <c r="O90"/>
      <c r="P90"/>
      <c r="Q90"/>
      <c r="R90"/>
      <c r="S90"/>
      <c r="T90"/>
      <c r="U90"/>
      <c r="V90"/>
    </row>
    <row r="91" spans="1:22" s="5" customForma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/>
    </row>
    <row r="92" spans="1:22" s="5" customForma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/>
    </row>
    <row r="93" spans="1:22" s="5" customForma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/>
    </row>
    <row r="94" spans="1:22" s="5" customForma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/>
    </row>
    <row r="95" spans="1:22" s="5" customForma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/>
    </row>
  </sheetData>
  <sortState xmlns:xlrd2="http://schemas.microsoft.com/office/spreadsheetml/2017/richdata2" ref="A2:K81">
    <sortCondition ref="B2:B81"/>
  </sortState>
  <phoneticPr fontId="7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B4AB-0B1F-4491-9D72-6B5B78265700}">
  <dimension ref="A1:CZ87"/>
  <sheetViews>
    <sheetView topLeftCell="A60" zoomScale="95" workbookViewId="0">
      <selection activeCell="CY2" sqref="CY2:CY85"/>
    </sheetView>
  </sheetViews>
  <sheetFormatPr defaultRowHeight="14.4" x14ac:dyDescent="0.3"/>
  <cols>
    <col min="1" max="1" width="42.6640625" style="2" customWidth="1"/>
    <col min="2" max="2" width="10.109375" style="2" customWidth="1"/>
    <col min="3" max="3" width="16.109375" style="2" hidden="1" customWidth="1"/>
    <col min="4" max="4" width="10.109375" style="2" customWidth="1"/>
    <col min="5" max="12" width="8.88671875" style="2" customWidth="1"/>
    <col min="13" max="14" width="8.88671875" customWidth="1"/>
    <col min="15" max="15" width="11.44140625" customWidth="1"/>
    <col min="16" max="17" width="10" hidden="1" customWidth="1"/>
    <col min="18" max="19" width="8.88671875" hidden="1" customWidth="1"/>
    <col min="20" max="20" width="8.88671875" style="149" hidden="1" customWidth="1"/>
    <col min="21" max="21" width="8.88671875" hidden="1" customWidth="1"/>
    <col min="22" max="22" width="8.88671875" style="149" hidden="1" customWidth="1"/>
    <col min="23" max="23" width="14.5546875" style="2" hidden="1" customWidth="1"/>
    <col min="24" max="24" width="8.88671875" style="2" hidden="1" customWidth="1"/>
    <col min="25" max="29" width="8.88671875" hidden="1" customWidth="1"/>
    <col min="30" max="35" width="8.88671875" style="215" hidden="1" customWidth="1"/>
    <col min="36" max="40" width="8.88671875" style="2" hidden="1" customWidth="1"/>
    <col min="41" max="41" width="8.88671875" style="151" hidden="1" customWidth="1"/>
    <col min="42" max="42" width="15.109375" style="2" hidden="1" customWidth="1"/>
    <col min="43" max="55" width="8.88671875" style="2" hidden="1" customWidth="1"/>
    <col min="56" max="56" width="8.88671875" style="151" hidden="1" customWidth="1"/>
    <col min="57" max="57" width="8.88671875" style="2" hidden="1" customWidth="1"/>
    <col min="58" max="58" width="8.88671875" style="151" hidden="1" customWidth="1"/>
    <col min="59" max="59" width="15.109375" style="2" hidden="1" customWidth="1"/>
    <col min="60" max="65" width="8.88671875" style="2" hidden="1" customWidth="1"/>
    <col min="66" max="66" width="8.88671875" style="151" hidden="1" customWidth="1"/>
    <col min="67" max="67" width="14.88671875" style="2" hidden="1" customWidth="1"/>
    <col min="68" max="68" width="8.88671875" style="2" hidden="1" customWidth="1"/>
    <col min="69" max="74" width="8.88671875" hidden="1" customWidth="1"/>
    <col min="75" max="75" width="8.88671875" style="149" hidden="1" customWidth="1"/>
    <col min="76" max="76" width="8.88671875" hidden="1" customWidth="1"/>
    <col min="77" max="77" width="8.88671875" style="149" hidden="1" customWidth="1"/>
    <col min="78" max="78" width="15.21875" style="2" hidden="1" customWidth="1"/>
    <col min="79" max="79" width="11.21875" style="2" hidden="1" customWidth="1"/>
    <col min="80" max="83" width="13.21875" style="2" hidden="1" customWidth="1"/>
    <col min="84" max="84" width="11.21875" style="2" hidden="1" customWidth="1"/>
    <col min="85" max="85" width="11.21875" style="151" hidden="1" customWidth="1"/>
    <col min="86" max="86" width="16.5546875" style="2" hidden="1" customWidth="1"/>
    <col min="87" max="92" width="8.88671875" style="2" hidden="1" customWidth="1"/>
    <col min="93" max="93" width="15.6640625" style="61" hidden="1" customWidth="1"/>
    <col min="94" max="98" width="14.5546875" style="61" hidden="1" customWidth="1"/>
    <col min="99" max="99" width="8.88671875" style="2" hidden="1" customWidth="1"/>
    <col min="100" max="100" width="15.77734375" style="2" hidden="1" customWidth="1"/>
    <col min="101" max="101" width="16.21875" style="2" hidden="1" customWidth="1"/>
    <col min="102" max="102" width="18.5546875" style="2" hidden="1" customWidth="1"/>
    <col min="103" max="103" width="8.5546875" style="270" bestFit="1" customWidth="1"/>
    <col min="104" max="104" width="12.109375" style="2" customWidth="1"/>
  </cols>
  <sheetData>
    <row r="1" spans="1:104" s="132" customFormat="1" ht="118.8" x14ac:dyDescent="0.3">
      <c r="A1" s="96" t="s">
        <v>186</v>
      </c>
      <c r="B1" s="97" t="s">
        <v>105</v>
      </c>
      <c r="C1" s="97" t="s">
        <v>209</v>
      </c>
      <c r="D1" s="97" t="s">
        <v>210</v>
      </c>
      <c r="E1" s="98" t="s">
        <v>207</v>
      </c>
      <c r="F1" s="98" t="s">
        <v>94</v>
      </c>
      <c r="G1" s="98" t="s">
        <v>2</v>
      </c>
      <c r="H1" s="98" t="s">
        <v>3</v>
      </c>
      <c r="I1" s="98" t="s">
        <v>4</v>
      </c>
      <c r="J1" s="98" t="s">
        <v>5</v>
      </c>
      <c r="K1" s="98" t="s">
        <v>6</v>
      </c>
      <c r="L1" s="98" t="s">
        <v>7</v>
      </c>
      <c r="M1" s="98" t="s">
        <v>8</v>
      </c>
      <c r="N1" s="98" t="s">
        <v>9</v>
      </c>
      <c r="O1" s="31" t="s">
        <v>104</v>
      </c>
      <c r="P1" s="113" t="s">
        <v>271</v>
      </c>
      <c r="Q1" s="113" t="s">
        <v>273</v>
      </c>
      <c r="R1" s="31" t="s">
        <v>223</v>
      </c>
      <c r="S1" s="31" t="s">
        <v>333</v>
      </c>
      <c r="T1" s="146" t="s">
        <v>279</v>
      </c>
      <c r="U1" s="31" t="s">
        <v>224</v>
      </c>
      <c r="V1" s="146" t="s">
        <v>280</v>
      </c>
      <c r="W1" s="31" t="s">
        <v>229</v>
      </c>
      <c r="X1" s="31" t="s">
        <v>230</v>
      </c>
      <c r="Y1" s="31" t="s">
        <v>231</v>
      </c>
      <c r="Z1" s="31" t="s">
        <v>232</v>
      </c>
      <c r="AA1" s="31" t="s">
        <v>233</v>
      </c>
      <c r="AB1" s="31" t="s">
        <v>234</v>
      </c>
      <c r="AC1" s="31" t="s">
        <v>235</v>
      </c>
      <c r="AD1" s="211" t="s">
        <v>318</v>
      </c>
      <c r="AE1" s="211" t="s">
        <v>319</v>
      </c>
      <c r="AF1" s="211" t="s">
        <v>320</v>
      </c>
      <c r="AG1" s="211" t="s">
        <v>321</v>
      </c>
      <c r="AH1" s="211" t="s">
        <v>322</v>
      </c>
      <c r="AI1" s="211" t="s">
        <v>323</v>
      </c>
      <c r="AJ1" s="146" t="s">
        <v>281</v>
      </c>
      <c r="AK1" s="31" t="s">
        <v>236</v>
      </c>
      <c r="AL1" s="31" t="s">
        <v>237</v>
      </c>
      <c r="AM1" s="31" t="s">
        <v>238</v>
      </c>
      <c r="AN1" s="31" t="s">
        <v>239</v>
      </c>
      <c r="AO1" s="31" t="s">
        <v>240</v>
      </c>
      <c r="AP1" s="31" t="s">
        <v>241</v>
      </c>
      <c r="AQ1" s="31" t="s">
        <v>242</v>
      </c>
      <c r="AR1" s="211" t="s">
        <v>324</v>
      </c>
      <c r="AS1" s="211" t="s">
        <v>325</v>
      </c>
      <c r="AT1" s="211" t="s">
        <v>326</v>
      </c>
      <c r="AU1" s="211" t="s">
        <v>327</v>
      </c>
      <c r="AV1" s="211" t="s">
        <v>328</v>
      </c>
      <c r="AW1" s="211" t="s">
        <v>329</v>
      </c>
      <c r="AX1" s="31" t="s">
        <v>225</v>
      </c>
      <c r="AY1" s="31" t="s">
        <v>334</v>
      </c>
      <c r="AZ1" s="146" t="s">
        <v>282</v>
      </c>
      <c r="BA1" s="31" t="s">
        <v>226</v>
      </c>
      <c r="BB1" s="146" t="s">
        <v>283</v>
      </c>
      <c r="BC1" s="122" t="s">
        <v>243</v>
      </c>
      <c r="BD1" s="122" t="s">
        <v>244</v>
      </c>
      <c r="BE1" s="122" t="s">
        <v>245</v>
      </c>
      <c r="BF1" s="122" t="s">
        <v>246</v>
      </c>
      <c r="BG1" s="122" t="s">
        <v>247</v>
      </c>
      <c r="BH1" s="122" t="s">
        <v>248</v>
      </c>
      <c r="BI1" s="122" t="s">
        <v>249</v>
      </c>
      <c r="BJ1" s="152" t="s">
        <v>284</v>
      </c>
      <c r="BK1" s="31" t="s">
        <v>250</v>
      </c>
      <c r="BL1" s="122" t="s">
        <v>251</v>
      </c>
      <c r="BM1" s="122" t="s">
        <v>252</v>
      </c>
      <c r="BN1" s="122" t="s">
        <v>253</v>
      </c>
      <c r="BO1" s="122" t="s">
        <v>254</v>
      </c>
      <c r="BP1" s="122" t="s">
        <v>255</v>
      </c>
      <c r="BQ1" s="122" t="s">
        <v>256</v>
      </c>
      <c r="BR1" s="31" t="s">
        <v>227</v>
      </c>
      <c r="BS1" s="31" t="s">
        <v>335</v>
      </c>
      <c r="BT1" s="146" t="s">
        <v>285</v>
      </c>
      <c r="BU1" s="31" t="s">
        <v>228</v>
      </c>
      <c r="BV1" s="146" t="s">
        <v>286</v>
      </c>
      <c r="BW1" s="31" t="s">
        <v>257</v>
      </c>
      <c r="BX1" s="122" t="s">
        <v>258</v>
      </c>
      <c r="BY1" s="122" t="s">
        <v>259</v>
      </c>
      <c r="BZ1" s="122" t="s">
        <v>260</v>
      </c>
      <c r="CA1" s="122" t="s">
        <v>261</v>
      </c>
      <c r="CB1" s="122" t="s">
        <v>262</v>
      </c>
      <c r="CC1" s="122" t="s">
        <v>263</v>
      </c>
      <c r="CD1" s="152" t="s">
        <v>287</v>
      </c>
      <c r="CE1" s="31" t="s">
        <v>264</v>
      </c>
      <c r="CF1" s="122" t="s">
        <v>265</v>
      </c>
      <c r="CG1" s="122" t="s">
        <v>266</v>
      </c>
      <c r="CH1" s="122" t="s">
        <v>267</v>
      </c>
      <c r="CI1" s="122" t="s">
        <v>268</v>
      </c>
      <c r="CJ1" s="122" t="s">
        <v>269</v>
      </c>
      <c r="CK1" s="122" t="s">
        <v>270</v>
      </c>
      <c r="CL1" s="183" t="s">
        <v>305</v>
      </c>
      <c r="CM1" s="183" t="s">
        <v>298</v>
      </c>
      <c r="CN1" s="183" t="s">
        <v>306</v>
      </c>
      <c r="CO1" s="183" t="s">
        <v>313</v>
      </c>
      <c r="CP1" s="183" t="s">
        <v>314</v>
      </c>
      <c r="CQ1" s="129" t="s">
        <v>309</v>
      </c>
      <c r="CR1" s="129" t="s">
        <v>310</v>
      </c>
      <c r="CS1" s="129" t="s">
        <v>336</v>
      </c>
      <c r="CT1" s="129" t="s">
        <v>337</v>
      </c>
      <c r="CU1" s="129" t="s">
        <v>330</v>
      </c>
      <c r="CV1" s="129" t="s">
        <v>331</v>
      </c>
      <c r="CW1" s="129" t="s">
        <v>311</v>
      </c>
      <c r="CX1" s="129" t="s">
        <v>312</v>
      </c>
      <c r="CY1" s="267" t="s">
        <v>346</v>
      </c>
      <c r="CZ1" s="129" t="s">
        <v>350</v>
      </c>
    </row>
    <row r="2" spans="1:104" x14ac:dyDescent="0.3">
      <c r="A2" s="57" t="s">
        <v>10</v>
      </c>
      <c r="B2" s="57">
        <v>4</v>
      </c>
      <c r="C2" s="57">
        <v>6</v>
      </c>
      <c r="D2" s="57">
        <v>1</v>
      </c>
      <c r="E2" s="58">
        <v>4</v>
      </c>
      <c r="F2" s="58">
        <v>-0.50962256899999991</v>
      </c>
      <c r="G2" s="58">
        <v>-0.58390292199999994</v>
      </c>
      <c r="H2" s="58">
        <v>-0.30895468900000012</v>
      </c>
      <c r="I2" s="58">
        <v>-0.33385007600000011</v>
      </c>
      <c r="J2" s="58">
        <v>-2.0226129599999997E-2</v>
      </c>
      <c r="K2" s="58">
        <v>1.3286337500000001</v>
      </c>
      <c r="L2" s="58">
        <v>-0.77242252899999986</v>
      </c>
      <c r="M2" s="58">
        <v>-0.85014953700000018</v>
      </c>
      <c r="N2" s="58">
        <v>9.6253445799999986E-3</v>
      </c>
      <c r="O2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3.8927268423197936</v>
      </c>
      <c r="P2" s="114"/>
      <c r="Q2" s="114"/>
      <c r="R2" s="121" t="str">
        <f>RIGHT(Таблица17[[#This Row],[Классиф ДА2]])</f>
        <v>1</v>
      </c>
      <c r="S2">
        <v>1</v>
      </c>
      <c r="T2" s="147">
        <f>IF(Таблица17[[#This Row],[обуч выборка2]]-Таблица17[[#This Row],[Классиф ДА]]=0,1,0)</f>
        <v>0</v>
      </c>
      <c r="U2" s="117" t="s">
        <v>213</v>
      </c>
      <c r="V2" s="147">
        <f>IF(Таблица17[[#This Row],[обуч выборка2]]-Таблица17[[#This Row],[расстояние Махаланобиса]]=0,1,0)</f>
        <v>0</v>
      </c>
      <c r="W2" s="117">
        <f>MATCH(MIN(Таблица17[[#This Row],[1 класс]:[6 класс]]),Таблица17[[#This Row],[1 класс]:[6 класс]],0)</f>
        <v>1</v>
      </c>
      <c r="X2" s="118">
        <v>21.717500867833657</v>
      </c>
      <c r="Y2" s="118">
        <v>72.833381744134485</v>
      </c>
      <c r="Z2" s="118">
        <v>60.257776948616637</v>
      </c>
      <c r="AA2" s="118">
        <v>130.95181864247573</v>
      </c>
      <c r="AB2" s="118">
        <v>358.29352986784818</v>
      </c>
      <c r="AC2" s="118">
        <v>157.71387021341832</v>
      </c>
      <c r="AD2" s="212">
        <v>21.717500867833657</v>
      </c>
      <c r="AE2" s="212">
        <v>72.833381744134485</v>
      </c>
      <c r="AF2" s="212">
        <v>60.257776948616637</v>
      </c>
      <c r="AG2" s="212">
        <v>130.95181864247573</v>
      </c>
      <c r="AH2" s="212">
        <v>358.29352986784818</v>
      </c>
      <c r="AI2" s="212">
        <v>157.71387021341832</v>
      </c>
      <c r="AJ2" s="147">
        <f>IF(Таблица17[[#This Row],[обуч выборка2]]-Таблица17[[#This Row],[Апосториорная вероятность]]=0,1,0)</f>
        <v>0</v>
      </c>
      <c r="AK2" s="117">
        <f>MATCH(MAX(Таблица17[[#This Row],[1 класс.]:[6 класс.]]),Таблица17[[#This Row],[1 класс.]:[6 класс.]],0)</f>
        <v>1</v>
      </c>
      <c r="AL2" s="120">
        <v>0.99999999785540583</v>
      </c>
      <c r="AM2" s="120">
        <v>6.3594196571914474E-12</v>
      </c>
      <c r="AN2" s="120">
        <v>2.1382347679558861E-9</v>
      </c>
      <c r="AO2" s="120">
        <v>3.811529388703934E-25</v>
      </c>
      <c r="AP2" s="120">
        <v>0</v>
      </c>
      <c r="AQ2" s="120">
        <v>8.8284583189121178E-31</v>
      </c>
      <c r="AR2" s="216">
        <v>0.99999999785540583</v>
      </c>
      <c r="AS2" s="216">
        <v>6.3594196571914474E-12</v>
      </c>
      <c r="AT2" s="216">
        <v>2.1382347679558861E-9</v>
      </c>
      <c r="AU2" s="216">
        <v>3.811529388703934E-25</v>
      </c>
      <c r="AV2" s="216">
        <v>0</v>
      </c>
      <c r="AW2" s="216">
        <v>8.8284583189121178E-31</v>
      </c>
      <c r="AX2" s="121" t="str">
        <f>RIGHT(Таблица17[[#This Row],[Класиф вкл2]])</f>
        <v>1</v>
      </c>
      <c r="AY2" s="221">
        <v>1</v>
      </c>
      <c r="AZ2" s="147">
        <f>IF(Таблица17[[#This Row],[обуч выборка2]]-Таблица17[[#This Row],[Класиф вкл]]=0,1,0)</f>
        <v>0</v>
      </c>
      <c r="BA2" s="117" t="s">
        <v>213</v>
      </c>
      <c r="BB2" s="147">
        <f>IF(Таблица17[[#This Row],[обуч выборка2]]-Таблица17[[#This Row],[Расстояние Махаланобиса вкл
]]=0,1,0)</f>
        <v>0</v>
      </c>
      <c r="BC2" s="117">
        <f>MATCH(MIN(Таблица17[[#This Row],[1 класс вкл]:[6 класс вкл]]),Таблица17[[#This Row],[1 класс вкл]:[6 класс вкл]],0)</f>
        <v>1</v>
      </c>
      <c r="BD2" s="118">
        <v>17.950775287269082</v>
      </c>
      <c r="BE2" s="118">
        <v>49.721217423991874</v>
      </c>
      <c r="BF2" s="118">
        <v>45.374815257900082</v>
      </c>
      <c r="BG2" s="120">
        <v>83.86272585354719</v>
      </c>
      <c r="BH2" s="118">
        <v>238.28488807354648</v>
      </c>
      <c r="BI2" s="118">
        <v>129.18544581680499</v>
      </c>
      <c r="BJ2" s="147">
        <f>IF(Таблица17[[#This Row],[обуч выборка2]]-Таблица17[[#This Row],[Апосториорная вероятность вкл]]=0,1,0)</f>
        <v>0</v>
      </c>
      <c r="BK2" s="117">
        <f>MATCH(MAX(Таблица17[[#This Row],[1 класс вкл.]:[6 класс вкл.]]),Таблица17[[#This Row],[1 класс вкл.]:[6 класс вкл.]],0)</f>
        <v>1</v>
      </c>
      <c r="BL2" s="119">
        <v>0.99999934450490646</v>
      </c>
      <c r="BM2" s="119">
        <v>1.0097778698138051E-7</v>
      </c>
      <c r="BN2" s="119">
        <v>5.545173055414542E-7</v>
      </c>
      <c r="BO2" s="119">
        <v>9.7371419162478647E-16</v>
      </c>
      <c r="BP2" s="119">
        <v>0</v>
      </c>
      <c r="BQ2" s="123">
        <v>2.102902640801239E-25</v>
      </c>
      <c r="BR2" s="121" t="str">
        <f>RIGHT(Таблица17[[#This Row],[Класиф искл2]])</f>
        <v>1</v>
      </c>
      <c r="BS2" s="222">
        <v>1</v>
      </c>
      <c r="BT2" s="147">
        <f>IF(Таблица17[[#This Row],[обуч выборка2]]-Таблица17[[#This Row],[Класиф искл]]=0,1,0)</f>
        <v>0</v>
      </c>
      <c r="BU2" s="117" t="s">
        <v>213</v>
      </c>
      <c r="BV2" s="147">
        <f>IF(Таблица17[[#This Row],[обуч выборка2]]-Таблица17[[#This Row],[Расстояние Махаланобиса искл]]=0,1,0)</f>
        <v>0</v>
      </c>
      <c r="BW2" s="117">
        <f>MATCH(MIN(Таблица17[[#This Row],[1 класс искл]:[6 класс искл]]),Таблица17[[#This Row],[1 класс искл]:[6 класс искл]],0)</f>
        <v>1</v>
      </c>
      <c r="BX2" s="120">
        <v>17.515817815786797</v>
      </c>
      <c r="BY2" s="120">
        <v>59.038115539767361</v>
      </c>
      <c r="BZ2" s="120">
        <v>47.502037389395227</v>
      </c>
      <c r="CA2" s="120">
        <v>98.929500108791061</v>
      </c>
      <c r="CB2" s="120">
        <v>291.0284274744796</v>
      </c>
      <c r="CC2" s="120">
        <v>92.686737869700693</v>
      </c>
      <c r="CD2" s="147">
        <f>IF(Таблица17[[#This Row],[обуч выборка2]]-Таблица17[[#This Row],[Апосториорная вероятность искл]]=0,1,0)</f>
        <v>0</v>
      </c>
      <c r="CE2" s="117">
        <f>MATCH(MAX(Таблица17[[#This Row],[1 класс искл.]:[6 класс искл.]]),Таблица17[[#This Row],[1 класс искл.]:[6 класс искл.]],0)</f>
        <v>1</v>
      </c>
      <c r="CF2" s="120">
        <v>0.99999984522109808</v>
      </c>
      <c r="CG2" s="120">
        <v>7.7026032940549372E-10</v>
      </c>
      <c r="CH2" s="120">
        <v>1.5400864155046173E-7</v>
      </c>
      <c r="CI2" s="120">
        <v>4.1905733118250239E-19</v>
      </c>
      <c r="CJ2" s="120">
        <v>0</v>
      </c>
      <c r="CK2" s="120">
        <v>1.4254871213305092E-17</v>
      </c>
      <c r="CL2" s="198">
        <v>0.31487910497791727</v>
      </c>
      <c r="CM2" s="198">
        <v>0.27717479857018656</v>
      </c>
      <c r="CN2" s="199">
        <v>0.59980801020339758</v>
      </c>
      <c r="CO2" s="192">
        <v>4</v>
      </c>
      <c r="CP2" s="195">
        <v>3</v>
      </c>
      <c r="CQ2" s="209">
        <v>-0.22970000000000002</v>
      </c>
      <c r="CR2" s="209">
        <v>0.34366000000000002</v>
      </c>
      <c r="CS2" s="223">
        <v>4</v>
      </c>
      <c r="CT2" s="223">
        <v>2</v>
      </c>
      <c r="CU2" s="209">
        <v>0.34366000000000002</v>
      </c>
      <c r="CV2" s="209">
        <v>-0.22970000000000002</v>
      </c>
      <c r="CW2" s="209">
        <v>6</v>
      </c>
      <c r="CX2" s="210">
        <v>1</v>
      </c>
      <c r="CY2" s="238" t="s">
        <v>341</v>
      </c>
      <c r="CZ2" s="238">
        <v>5</v>
      </c>
    </row>
    <row r="3" spans="1:104" x14ac:dyDescent="0.3">
      <c r="A3" s="57" t="s">
        <v>11</v>
      </c>
      <c r="B3" s="57">
        <v>5</v>
      </c>
      <c r="C3" s="57">
        <v>6</v>
      </c>
      <c r="D3" s="57">
        <v>1</v>
      </c>
      <c r="E3" s="58">
        <v>6</v>
      </c>
      <c r="F3" s="58">
        <v>-0.67728642500000003</v>
      </c>
      <c r="G3" s="58">
        <v>-1.01730089</v>
      </c>
      <c r="H3" s="58">
        <v>-5.9127443500000001E-2</v>
      </c>
      <c r="I3" s="58">
        <v>0.43913758000000003</v>
      </c>
      <c r="J3" s="58">
        <v>-0.54325268599999998</v>
      </c>
      <c r="K3" s="58">
        <v>-0.61001999200000012</v>
      </c>
      <c r="L3" s="58">
        <v>0.51976563300000012</v>
      </c>
      <c r="M3" s="58">
        <v>0.70370492100000004</v>
      </c>
      <c r="N3" s="58">
        <v>-0.67235300100000006</v>
      </c>
      <c r="O3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3.5746192301564519</v>
      </c>
      <c r="P3" s="114"/>
      <c r="Q3" s="114"/>
      <c r="R3" s="121" t="str">
        <f>RIGHT(Таблица17[[#This Row],[Классиф ДА2]])</f>
        <v>1</v>
      </c>
      <c r="S3">
        <v>1</v>
      </c>
      <c r="T3" s="147">
        <f>IF(Таблица17[[#This Row],[обуч выборка2]]-Таблица17[[#This Row],[Классиф ДА]]=0,1,0)</f>
        <v>0</v>
      </c>
      <c r="U3" s="117" t="s">
        <v>213</v>
      </c>
      <c r="V3" s="147">
        <f>IF(Таблица17[[#This Row],[обуч выборка2]]-Таблица17[[#This Row],[расстояние Махаланобиса]]=0,1,0)</f>
        <v>0</v>
      </c>
      <c r="W3" s="117">
        <f>MATCH(MIN(Таблица17[[#This Row],[1 класс]:[6 класс]]),Таблица17[[#This Row],[1 класс]:[6 класс]],0)</f>
        <v>1</v>
      </c>
      <c r="X3" s="118">
        <v>25.616206007293282</v>
      </c>
      <c r="Y3" s="118">
        <v>75.04692747142191</v>
      </c>
      <c r="Z3" s="118">
        <v>59.803872858904001</v>
      </c>
      <c r="AA3" s="118">
        <v>293.57263508057656</v>
      </c>
      <c r="AB3" s="118">
        <v>384.22486867415722</v>
      </c>
      <c r="AC3" s="118">
        <v>47.563722422197479</v>
      </c>
      <c r="AD3" s="212">
        <v>25.616206007293282</v>
      </c>
      <c r="AE3" s="212">
        <v>75.04692747142191</v>
      </c>
      <c r="AF3" s="212">
        <v>59.803872858904001</v>
      </c>
      <c r="AG3" s="212">
        <v>293.57263508057656</v>
      </c>
      <c r="AH3" s="212">
        <v>384.22486867415722</v>
      </c>
      <c r="AI3" s="212">
        <v>47.563722422197479</v>
      </c>
      <c r="AJ3" s="147">
        <f>IF(Таблица17[[#This Row],[обуч выборка2]]-Таблица17[[#This Row],[Апосториорная вероятность]]=0,1,0)</f>
        <v>0</v>
      </c>
      <c r="AK3" s="117">
        <f>MATCH(MAX(Таблица17[[#This Row],[1 класс.]:[6 класс.]]),Таблица17[[#This Row],[1 класс.]:[6 класс.]],0)</f>
        <v>1</v>
      </c>
      <c r="AL3" s="120">
        <v>0.9999948374307791</v>
      </c>
      <c r="AM3" s="120">
        <v>1.4768723534636363E-11</v>
      </c>
      <c r="AN3" s="120">
        <v>1.884561136582817E-8</v>
      </c>
      <c r="AO3" s="120">
        <v>0</v>
      </c>
      <c r="AP3" s="120">
        <v>0</v>
      </c>
      <c r="AQ3" s="120">
        <v>5.1437088407024896E-6</v>
      </c>
      <c r="AR3" s="216">
        <v>0.9999948374307791</v>
      </c>
      <c r="AS3" s="216">
        <v>1.4768723534636363E-11</v>
      </c>
      <c r="AT3" s="216">
        <v>1.884561136582817E-8</v>
      </c>
      <c r="AU3" s="216">
        <v>0</v>
      </c>
      <c r="AV3" s="216">
        <v>0</v>
      </c>
      <c r="AW3" s="216">
        <v>5.1437088407024896E-6</v>
      </c>
      <c r="AX3" s="121" t="str">
        <f>RIGHT(Таблица17[[#This Row],[Класиф вкл2]])</f>
        <v>1</v>
      </c>
      <c r="AY3" s="221">
        <v>1</v>
      </c>
      <c r="AZ3" s="147">
        <f>IF(Таблица17[[#This Row],[обуч выборка2]]-Таблица17[[#This Row],[Класиф вкл]]=0,1,0)</f>
        <v>0</v>
      </c>
      <c r="BA3" s="117" t="s">
        <v>213</v>
      </c>
      <c r="BB3" s="147">
        <f>IF(Таблица17[[#This Row],[обуч выборка2]]-Таблица17[[#This Row],[Расстояние Махаланобиса вкл
]]=0,1,0)</f>
        <v>0</v>
      </c>
      <c r="BC3" s="117">
        <f>MATCH(MIN(Таблица17[[#This Row],[1 класс вкл]:[6 класс вкл]]),Таблица17[[#This Row],[1 класс вкл]:[6 класс вкл]],0)</f>
        <v>1</v>
      </c>
      <c r="BD3" s="118">
        <v>15.116623962070165</v>
      </c>
      <c r="BE3" s="118">
        <v>29.814218760932761</v>
      </c>
      <c r="BF3" s="118">
        <v>26.506657841107277</v>
      </c>
      <c r="BG3" s="120">
        <v>199.69955695604204</v>
      </c>
      <c r="BH3" s="118">
        <v>214.28137796445586</v>
      </c>
      <c r="BI3" s="118">
        <v>39.243669666835409</v>
      </c>
      <c r="BJ3" s="147">
        <f>IF(Таблица17[[#This Row],[обуч выборка2]]-Таблица17[[#This Row],[Апосториорная вероятность вкл]]=0,1,0)</f>
        <v>0</v>
      </c>
      <c r="BK3" s="117">
        <f>MATCH(MAX(Таблица17[[#This Row],[1 класс вкл.]:[6 класс вкл.]]),Таблица17[[#This Row],[1 класс вкл.]:[6 класс вкл.]],0)</f>
        <v>1</v>
      </c>
      <c r="BL3" s="119">
        <v>0.99780705715764251</v>
      </c>
      <c r="BM3" s="119">
        <v>5.1356379452053213E-4</v>
      </c>
      <c r="BN3" s="119">
        <v>1.6776530254717433E-3</v>
      </c>
      <c r="BO3" s="119">
        <v>0</v>
      </c>
      <c r="BP3" s="119">
        <v>0</v>
      </c>
      <c r="BQ3" s="123">
        <v>1.7260223651901424E-6</v>
      </c>
      <c r="BR3" s="121" t="str">
        <f>RIGHT(Таблица17[[#This Row],[Класиф искл2]])</f>
        <v>1</v>
      </c>
      <c r="BS3" s="222">
        <v>1</v>
      </c>
      <c r="BT3" s="147">
        <f>IF(Таблица17[[#This Row],[обуч выборка2]]-Таблица17[[#This Row],[Класиф искл]]=0,1,0)</f>
        <v>0</v>
      </c>
      <c r="BU3" s="117" t="s">
        <v>213</v>
      </c>
      <c r="BV3" s="147">
        <f>IF(Таблица17[[#This Row],[обуч выборка2]]-Таблица17[[#This Row],[Расстояние Махаланобиса искл]]=0,1,0)</f>
        <v>0</v>
      </c>
      <c r="BW3" s="117">
        <f>MATCH(MIN(Таблица17[[#This Row],[1 класс искл]:[6 класс искл]]),Таблица17[[#This Row],[1 класс искл]:[6 класс искл]],0)</f>
        <v>1</v>
      </c>
      <c r="BX3" s="120">
        <v>11.393940533497865</v>
      </c>
      <c r="BY3" s="120">
        <v>27.232683969101846</v>
      </c>
      <c r="BZ3" s="120">
        <v>18.730188042359604</v>
      </c>
      <c r="CA3" s="120">
        <v>189.21787590955262</v>
      </c>
      <c r="CB3" s="120">
        <v>228.58804388591301</v>
      </c>
      <c r="CC3" s="120">
        <v>28.731718995320762</v>
      </c>
      <c r="CD3" s="147">
        <f>IF(Таблица17[[#This Row],[обуч выборка2]]-Таблица17[[#This Row],[Апосториорная вероятность искл]]=0,1,0)</f>
        <v>0</v>
      </c>
      <c r="CE3" s="117">
        <f>MATCH(MAX(Таблица17[[#This Row],[1 класс искл.]:[6 класс искл.]]),Таблица17[[#This Row],[1 класс искл.]:[6 класс искл.]],0)</f>
        <v>1</v>
      </c>
      <c r="CF3" s="120">
        <v>0.98706489262350339</v>
      </c>
      <c r="CG3" s="120">
        <v>2.8714169205712215E-4</v>
      </c>
      <c r="CH3" s="120">
        <v>1.2597077588313063E-2</v>
      </c>
      <c r="CI3" s="120">
        <v>0</v>
      </c>
      <c r="CJ3" s="120">
        <v>0</v>
      </c>
      <c r="CK3" s="120">
        <v>5.0888096126473431E-5</v>
      </c>
      <c r="CL3" s="198">
        <v>-0.13614383828314655</v>
      </c>
      <c r="CM3" s="198">
        <v>-1.0318367031366553</v>
      </c>
      <c r="CN3" s="199">
        <v>-8.2420506029849322E-2</v>
      </c>
      <c r="CO3" s="192">
        <v>5</v>
      </c>
      <c r="CP3" s="195">
        <v>5</v>
      </c>
      <c r="CQ3" s="209">
        <v>0.54157</v>
      </c>
      <c r="CR3" s="209">
        <v>-0.73274000000000017</v>
      </c>
      <c r="CS3" s="223">
        <v>5</v>
      </c>
      <c r="CT3" s="223">
        <v>6</v>
      </c>
      <c r="CU3" s="209">
        <v>-0.73274000000000017</v>
      </c>
      <c r="CV3" s="209">
        <v>0.54157</v>
      </c>
      <c r="CW3" s="209">
        <v>1</v>
      </c>
      <c r="CX3" s="210">
        <v>3</v>
      </c>
      <c r="CY3" s="238" t="s">
        <v>340</v>
      </c>
      <c r="CZ3" s="238">
        <v>5</v>
      </c>
    </row>
    <row r="4" spans="1:104" x14ac:dyDescent="0.3">
      <c r="A4" s="57" t="s">
        <v>12</v>
      </c>
      <c r="B4" s="57">
        <v>5</v>
      </c>
      <c r="C4" s="57">
        <v>6</v>
      </c>
      <c r="D4" s="57">
        <v>1</v>
      </c>
      <c r="E4" s="58">
        <v>6</v>
      </c>
      <c r="F4" s="58">
        <v>-1.1994074299999999</v>
      </c>
      <c r="G4" s="58">
        <v>-9.6330204000000003E-2</v>
      </c>
      <c r="H4" s="58">
        <v>0.35917219400000006</v>
      </c>
      <c r="I4" s="58">
        <v>0.80851463999999995</v>
      </c>
      <c r="J4" s="58">
        <v>-0.27467148100000005</v>
      </c>
      <c r="K4" s="58">
        <v>0.34910343599999999</v>
      </c>
      <c r="L4" s="58">
        <v>0.4166647750000001</v>
      </c>
      <c r="M4" s="58">
        <v>0.20733474700000001</v>
      </c>
      <c r="N4" s="58">
        <v>-0.67225192200000017</v>
      </c>
      <c r="O4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3.0963957899194785</v>
      </c>
      <c r="P4" s="114"/>
      <c r="Q4" s="114"/>
      <c r="R4" s="121" t="str">
        <f>RIGHT(Таблица17[[#This Row],[Классиф ДА2]])</f>
        <v>1</v>
      </c>
      <c r="S4">
        <v>1</v>
      </c>
      <c r="T4" s="147">
        <f>IF(Таблица17[[#This Row],[обуч выборка2]]-Таблица17[[#This Row],[Классиф ДА]]=0,1,0)</f>
        <v>0</v>
      </c>
      <c r="U4" s="117" t="s">
        <v>213</v>
      </c>
      <c r="V4" s="147">
        <f>IF(Таблица17[[#This Row],[обуч выборка2]]-Таблица17[[#This Row],[расстояние Махаланобиса]]=0,1,0)</f>
        <v>0</v>
      </c>
      <c r="W4" s="117">
        <f>MATCH(MIN(Таблица17[[#This Row],[1 класс]:[6 класс]]),Таблица17[[#This Row],[1 класс]:[6 класс]],0)</f>
        <v>1</v>
      </c>
      <c r="X4" s="118">
        <v>39.816141029599912</v>
      </c>
      <c r="Y4" s="118">
        <v>118.20307132557438</v>
      </c>
      <c r="Z4" s="118">
        <v>93.585611947876714</v>
      </c>
      <c r="AA4" s="118">
        <v>191.2163048567626</v>
      </c>
      <c r="AB4" s="118">
        <v>487.9988844320759</v>
      </c>
      <c r="AC4" s="118">
        <v>64.253278188932271</v>
      </c>
      <c r="AD4" s="212">
        <v>39.816141029599912</v>
      </c>
      <c r="AE4" s="212">
        <v>118.20307132557438</v>
      </c>
      <c r="AF4" s="212">
        <v>93.585611947876714</v>
      </c>
      <c r="AG4" s="212">
        <v>191.2163048567626</v>
      </c>
      <c r="AH4" s="212">
        <v>487.9988844320759</v>
      </c>
      <c r="AI4" s="212">
        <v>64.253278188932271</v>
      </c>
      <c r="AJ4" s="147">
        <f>IF(Таблица17[[#This Row],[обуч выборка2]]-Таблица17[[#This Row],[Апосториорная вероятность]]=0,1,0)</f>
        <v>0</v>
      </c>
      <c r="AK4" s="117">
        <f>MATCH(MAX(Таблица17[[#This Row],[1 класс.]:[6 класс.]]),Таблица17[[#This Row],[1 класс.]:[6 класс.]],0)</f>
        <v>1</v>
      </c>
      <c r="AL4" s="120">
        <v>0.99999851862841593</v>
      </c>
      <c r="AM4" s="120">
        <v>7.6134886248307307E-18</v>
      </c>
      <c r="AN4" s="120">
        <v>1.0545741064533584E-12</v>
      </c>
      <c r="AO4" s="120">
        <v>0</v>
      </c>
      <c r="AP4" s="120">
        <v>0</v>
      </c>
      <c r="AQ4" s="120">
        <v>1.4813705293251394E-6</v>
      </c>
      <c r="AR4" s="216">
        <v>0.99999851862841593</v>
      </c>
      <c r="AS4" s="216">
        <v>7.6134886248307307E-18</v>
      </c>
      <c r="AT4" s="216">
        <v>1.0545741064533584E-12</v>
      </c>
      <c r="AU4" s="216">
        <v>0</v>
      </c>
      <c r="AV4" s="216">
        <v>0</v>
      </c>
      <c r="AW4" s="216">
        <v>1.4813705293251394E-6</v>
      </c>
      <c r="AX4" s="121" t="str">
        <f>RIGHT(Таблица17[[#This Row],[Класиф вкл2]])</f>
        <v>1</v>
      </c>
      <c r="AY4" s="221">
        <v>1</v>
      </c>
      <c r="AZ4" s="147">
        <f>IF(Таблица17[[#This Row],[обуч выборка2]]-Таблица17[[#This Row],[Класиф вкл]]=0,1,0)</f>
        <v>0</v>
      </c>
      <c r="BA4" s="117" t="s">
        <v>213</v>
      </c>
      <c r="BB4" s="147">
        <f>IF(Таблица17[[#This Row],[обуч выборка2]]-Таблица17[[#This Row],[Расстояние Махаланобиса вкл
]]=0,1,0)</f>
        <v>0</v>
      </c>
      <c r="BC4" s="117">
        <f>MATCH(MIN(Таблица17[[#This Row],[1 класс вкл]:[6 класс вкл]]),Таблица17[[#This Row],[1 класс вкл]:[6 класс вкл]],0)</f>
        <v>1</v>
      </c>
      <c r="BD4" s="118">
        <v>28.208788496759826</v>
      </c>
      <c r="BE4" s="118">
        <v>73.369742138523137</v>
      </c>
      <c r="BF4" s="118">
        <v>56.916743101100487</v>
      </c>
      <c r="BG4" s="120">
        <v>123.95003359163107</v>
      </c>
      <c r="BH4" s="118">
        <v>330.81233563381761</v>
      </c>
      <c r="BI4" s="118">
        <v>46.242347738858399</v>
      </c>
      <c r="BJ4" s="147">
        <f>IF(Таблица17[[#This Row],[обуч выборка2]]-Таблица17[[#This Row],[Апосториорная вероятность вкл]]=0,1,0)</f>
        <v>0</v>
      </c>
      <c r="BK4" s="117">
        <f>MATCH(MAX(Таблица17[[#This Row],[1 класс вкл.]:[6 класс вкл.]]),Таблица17[[#This Row],[1 класс вкл.]:[6 класс вкл.]],0)</f>
        <v>1</v>
      </c>
      <c r="BL4" s="119">
        <v>0.99996330250736765</v>
      </c>
      <c r="BM4" s="119">
        <v>1.2488134488485652E-10</v>
      </c>
      <c r="BN4" s="119">
        <v>2.9181051081404913E-7</v>
      </c>
      <c r="BO4" s="119">
        <v>3.2438953878126858E-22</v>
      </c>
      <c r="BP4" s="119">
        <v>0</v>
      </c>
      <c r="BQ4" s="123">
        <v>3.6405557240177668E-5</v>
      </c>
      <c r="BR4" s="121" t="str">
        <f>RIGHT(Таблица17[[#This Row],[Класиф искл2]])</f>
        <v>1</v>
      </c>
      <c r="BS4" s="222">
        <v>1</v>
      </c>
      <c r="BT4" s="147">
        <f>IF(Таблица17[[#This Row],[обуч выборка2]]-Таблица17[[#This Row],[Класиф искл]]=0,1,0)</f>
        <v>0</v>
      </c>
      <c r="BU4" s="117" t="s">
        <v>213</v>
      </c>
      <c r="BV4" s="147">
        <f>IF(Таблица17[[#This Row],[обуч выборка2]]-Таблица17[[#This Row],[Расстояние Махаланобиса искл]]=0,1,0)</f>
        <v>0</v>
      </c>
      <c r="BW4" s="117">
        <f>MATCH(MIN(Таблица17[[#This Row],[1 класс искл]:[6 класс искл]]),Таблица17[[#This Row],[1 класс искл]:[6 класс искл]],0)</f>
        <v>1</v>
      </c>
      <c r="BX4" s="120">
        <v>22.334021389987917</v>
      </c>
      <c r="BY4" s="120">
        <v>61.52867273426849</v>
      </c>
      <c r="BZ4" s="120">
        <v>43.637738674559429</v>
      </c>
      <c r="CA4" s="120">
        <v>97.845235111277844</v>
      </c>
      <c r="CB4" s="120">
        <v>318.67434784251134</v>
      </c>
      <c r="CC4" s="120">
        <v>39.334322863642385</v>
      </c>
      <c r="CD4" s="147">
        <f>IF(Таблица17[[#This Row],[обуч выборка2]]-Таблица17[[#This Row],[Апосториорная вероятность искл]]=0,1,0)</f>
        <v>0</v>
      </c>
      <c r="CE4" s="117">
        <f>MATCH(MAX(Таблица17[[#This Row],[1 класс искл.]:[6 класс искл.]]),Таблица17[[#This Row],[1 класс искл.]:[6 класс искл.]],0)</f>
        <v>1</v>
      </c>
      <c r="CF4" s="120">
        <v>0.99992714311611541</v>
      </c>
      <c r="CG4" s="120">
        <v>2.4663115968406118E-9</v>
      </c>
      <c r="CH4" s="120">
        <v>1.1827553780442845E-5</v>
      </c>
      <c r="CI4" s="120">
        <v>8.0157955700231504E-18</v>
      </c>
      <c r="CJ4" s="120">
        <v>0</v>
      </c>
      <c r="CK4" s="120">
        <v>6.1026863792620034E-5</v>
      </c>
      <c r="CL4" s="198">
        <v>0.2353977000536992</v>
      </c>
      <c r="CM4" s="198">
        <v>-0.7437048566733222</v>
      </c>
      <c r="CN4" s="199">
        <v>-0.81513430295902811</v>
      </c>
      <c r="CO4" s="192">
        <v>5</v>
      </c>
      <c r="CP4" s="195">
        <v>5</v>
      </c>
      <c r="CQ4" s="209">
        <v>0.66937000000000013</v>
      </c>
      <c r="CR4" s="209">
        <v>-0.32400000000000007</v>
      </c>
      <c r="CS4" s="223">
        <v>5</v>
      </c>
      <c r="CT4" s="223">
        <v>6</v>
      </c>
      <c r="CU4" s="209">
        <v>-0.32400000000000007</v>
      </c>
      <c r="CV4" s="209">
        <v>0.66937000000000013</v>
      </c>
      <c r="CW4" s="209">
        <v>1</v>
      </c>
      <c r="CX4" s="210">
        <v>3</v>
      </c>
      <c r="CY4" s="238" t="s">
        <v>341</v>
      </c>
      <c r="CZ4" s="238">
        <v>5</v>
      </c>
    </row>
    <row r="5" spans="1:104" x14ac:dyDescent="0.3">
      <c r="A5" s="57" t="s">
        <v>13</v>
      </c>
      <c r="B5" s="57">
        <v>2</v>
      </c>
      <c r="C5" s="57">
        <v>6</v>
      </c>
      <c r="D5" s="57">
        <v>2</v>
      </c>
      <c r="E5" s="58">
        <v>6</v>
      </c>
      <c r="F5" s="58">
        <v>1.15463812</v>
      </c>
      <c r="G5" s="58">
        <v>-7.1705319200000006E-2</v>
      </c>
      <c r="H5" s="58">
        <v>-0.35571837400000006</v>
      </c>
      <c r="I5" s="58">
        <v>-0.21255969200000002</v>
      </c>
      <c r="J5" s="58">
        <v>-0.15148762100000002</v>
      </c>
      <c r="K5" s="58">
        <v>-0.40595117800000002</v>
      </c>
      <c r="L5" s="58">
        <v>-0.33845121700000008</v>
      </c>
      <c r="M5" s="58">
        <v>-0.20271018000000005</v>
      </c>
      <c r="N5" s="58">
        <v>-0.65446206200000001</v>
      </c>
      <c r="O5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2.2817541172953706</v>
      </c>
      <c r="P5" s="114" t="s">
        <v>214</v>
      </c>
      <c r="Q5" s="114" t="str">
        <f>RIGHT(P5)</f>
        <v>2</v>
      </c>
      <c r="R5" s="121" t="str">
        <f>RIGHT(Таблица17[[#This Row],[Классиф ДА2]])</f>
        <v>2</v>
      </c>
      <c r="S5">
        <v>2</v>
      </c>
      <c r="T5" s="147">
        <f>IF(Таблица17[[#This Row],[обуч выборка2]]-Таблица17[[#This Row],[Классиф ДА]]=0,1,0)</f>
        <v>1</v>
      </c>
      <c r="U5" s="117" t="s">
        <v>214</v>
      </c>
      <c r="V5" s="147">
        <f>IF(Таблица17[[#This Row],[обуч выборка2]]-Таблица17[[#This Row],[расстояние Махаланобиса]]=0,1,0)</f>
        <v>1</v>
      </c>
      <c r="W5" s="117">
        <f>MATCH(MIN(Таблица17[[#This Row],[1 класс]:[6 класс]]),Таблица17[[#This Row],[1 класс]:[6 класс]],0)</f>
        <v>2</v>
      </c>
      <c r="X5" s="118">
        <v>43.904929488025253</v>
      </c>
      <c r="Y5" s="118">
        <v>3.6052417855139893</v>
      </c>
      <c r="Z5" s="118">
        <v>13.674708539713629</v>
      </c>
      <c r="AA5" s="118">
        <v>304.28753948137961</v>
      </c>
      <c r="AB5" s="118">
        <v>171.25938583452972</v>
      </c>
      <c r="AC5" s="118">
        <v>143.60934215219476</v>
      </c>
      <c r="AD5" s="212">
        <v>43.904929488025253</v>
      </c>
      <c r="AE5" s="212">
        <v>3.6052417855139893</v>
      </c>
      <c r="AF5" s="212">
        <v>13.674708539713629</v>
      </c>
      <c r="AG5" s="212">
        <v>304.28753948137961</v>
      </c>
      <c r="AH5" s="212">
        <v>171.25938583452972</v>
      </c>
      <c r="AI5" s="212">
        <v>143.60934215219476</v>
      </c>
      <c r="AJ5" s="147">
        <f>IF(Таблица17[[#This Row],[обуч выборка2]]-Таблица17[[#This Row],[Апосториорная вероятность]]=0,1,0)</f>
        <v>1</v>
      </c>
      <c r="AK5" s="117">
        <f>MATCH(MAX(Таблица17[[#This Row],[1 класс.]:[6 класс.]]),Таблица17[[#This Row],[1 класс.]:[6 класс.]],0)</f>
        <v>2</v>
      </c>
      <c r="AL5" s="120">
        <v>2.2089257831484355E-9</v>
      </c>
      <c r="AM5" s="120">
        <v>0.99594901683965642</v>
      </c>
      <c r="AN5" s="120">
        <v>4.0509809514178057E-3</v>
      </c>
      <c r="AO5" s="120">
        <v>0</v>
      </c>
      <c r="AP5" s="120">
        <v>0</v>
      </c>
      <c r="AQ5" s="120">
        <v>1.4817135703761726E-31</v>
      </c>
      <c r="AR5" s="216">
        <v>2.2089257831484355E-9</v>
      </c>
      <c r="AS5" s="216">
        <v>0.99594901683965642</v>
      </c>
      <c r="AT5" s="216">
        <v>4.0509809514178057E-3</v>
      </c>
      <c r="AU5" s="216">
        <v>0</v>
      </c>
      <c r="AV5" s="216">
        <v>0</v>
      </c>
      <c r="AW5" s="216">
        <v>1.4817135703761726E-31</v>
      </c>
      <c r="AX5" s="121" t="str">
        <f>RIGHT(Таблица17[[#This Row],[Класиф вкл2]])</f>
        <v>2</v>
      </c>
      <c r="AY5" s="221">
        <v>2</v>
      </c>
      <c r="AZ5" s="147">
        <f>IF(Таблица17[[#This Row],[обуч выборка2]]-Таблица17[[#This Row],[Класиф вкл]]=0,1,0)</f>
        <v>1</v>
      </c>
      <c r="BA5" s="117" t="s">
        <v>214</v>
      </c>
      <c r="BB5" s="147">
        <f>IF(Таблица17[[#This Row],[обуч выборка2]]-Таблица17[[#This Row],[Расстояние Махаланобиса вкл
]]=0,1,0)</f>
        <v>1</v>
      </c>
      <c r="BC5" s="117">
        <f>MATCH(MIN(Таблица17[[#This Row],[1 класс вкл]:[6 класс вкл]]),Таблица17[[#This Row],[1 класс вкл]:[6 класс вкл]],0)</f>
        <v>2</v>
      </c>
      <c r="BD5" s="118">
        <v>26.982584213926522</v>
      </c>
      <c r="BE5" s="118">
        <v>1.6464219838772376</v>
      </c>
      <c r="BF5" s="118">
        <v>10.930729905184025</v>
      </c>
      <c r="BG5" s="120">
        <v>217.4077493429802</v>
      </c>
      <c r="BH5" s="118">
        <v>114.09715272954335</v>
      </c>
      <c r="BI5" s="118">
        <v>121.84643296529266</v>
      </c>
      <c r="BJ5" s="147">
        <f>IF(Таблица17[[#This Row],[обуч выборка2]]-Таблица17[[#This Row],[Апосториорная вероятность вкл]]=0,1,0)</f>
        <v>1</v>
      </c>
      <c r="BK5" s="117">
        <f>MATCH(MAX(Таблица17[[#This Row],[1 класс вкл.]:[6 класс вкл.]]),Таблица17[[#This Row],[1 класс вкл.]:[6 класс вкл.]],0)</f>
        <v>2</v>
      </c>
      <c r="BL5" s="119">
        <v>3.9140164540425616E-6</v>
      </c>
      <c r="BM5" s="119">
        <v>0.99400909606716992</v>
      </c>
      <c r="BN5" s="119">
        <v>5.9869899163760088E-3</v>
      </c>
      <c r="BO5" s="119">
        <v>0</v>
      </c>
      <c r="BP5" s="119">
        <v>9.4834081627576876E-26</v>
      </c>
      <c r="BQ5" s="119">
        <v>2.9533905392939222E-27</v>
      </c>
      <c r="BR5" s="121" t="str">
        <f>RIGHT(Таблица17[[#This Row],[Класиф искл2]])</f>
        <v>2</v>
      </c>
      <c r="BS5" s="222">
        <v>2</v>
      </c>
      <c r="BT5" s="147">
        <f>IF(Таблица17[[#This Row],[обуч выборка2]]-Таблица17[[#This Row],[Класиф искл]]=0,1,0)</f>
        <v>1</v>
      </c>
      <c r="BU5" s="117" t="s">
        <v>214</v>
      </c>
      <c r="BV5" s="147">
        <f>IF(Таблица17[[#This Row],[обуч выборка2]]-Таблица17[[#This Row],[Расстояние Махаланобиса искл]]=0,1,0)</f>
        <v>1</v>
      </c>
      <c r="BW5" s="117">
        <f>MATCH(MIN(Таблица17[[#This Row],[1 класс искл]:[6 класс искл]]),Таблица17[[#This Row],[1 класс искл]:[6 класс искл]],0)</f>
        <v>2</v>
      </c>
      <c r="BX5" s="120">
        <v>30.63566830634387</v>
      </c>
      <c r="BY5" s="120">
        <v>1.6987587892665452</v>
      </c>
      <c r="BZ5" s="120">
        <v>12.408513831727387</v>
      </c>
      <c r="CA5" s="120">
        <v>214.87214292212101</v>
      </c>
      <c r="CB5" s="120">
        <v>128.77301199318831</v>
      </c>
      <c r="CC5" s="120">
        <v>86.669899810653618</v>
      </c>
      <c r="CD5" s="147">
        <f>IF(Таблица17[[#This Row],[обуч выборка2]]-Таблица17[[#This Row],[Апосториорная вероятность искл]]=0,1,0)</f>
        <v>1</v>
      </c>
      <c r="CE5" s="117">
        <f>MATCH(MAX(Таблица17[[#This Row],[1 класс искл.]:[6 класс искл.]]),Таблица17[[#This Row],[1 класс искл.]:[6 класс искл.]],0)</f>
        <v>2</v>
      </c>
      <c r="CF5" s="120">
        <v>6.4872258661193145E-7</v>
      </c>
      <c r="CG5" s="120">
        <v>0.99705489352107235</v>
      </c>
      <c r="CH5" s="120">
        <v>2.9444577563408889E-3</v>
      </c>
      <c r="CI5" s="120">
        <v>0</v>
      </c>
      <c r="CJ5" s="120">
        <v>6.3509047426173385E-29</v>
      </c>
      <c r="CK5" s="120">
        <v>1.3228222883324106E-19</v>
      </c>
      <c r="CL5" s="198">
        <v>-0.45381752488339855</v>
      </c>
      <c r="CM5" s="198">
        <v>0.1406067175712564</v>
      </c>
      <c r="CN5" s="199">
        <v>0.97643709709460036</v>
      </c>
      <c r="CO5" s="192">
        <v>5</v>
      </c>
      <c r="CP5" s="195">
        <v>4</v>
      </c>
      <c r="CQ5" s="209">
        <v>-0.27215</v>
      </c>
      <c r="CR5" s="209">
        <v>-0.18746000000000002</v>
      </c>
      <c r="CS5" s="223">
        <v>5</v>
      </c>
      <c r="CT5" s="223">
        <v>1</v>
      </c>
      <c r="CU5" s="209">
        <v>-0.18746000000000002</v>
      </c>
      <c r="CV5" s="209">
        <v>-0.27215</v>
      </c>
      <c r="CW5" s="209">
        <v>5</v>
      </c>
      <c r="CX5" s="210">
        <v>1</v>
      </c>
      <c r="CY5" s="238" t="s">
        <v>339</v>
      </c>
      <c r="CZ5" s="238">
        <v>1</v>
      </c>
    </row>
    <row r="6" spans="1:104" x14ac:dyDescent="0.3">
      <c r="A6" s="57" t="s">
        <v>14</v>
      </c>
      <c r="B6" s="57">
        <v>4</v>
      </c>
      <c r="C6" s="57">
        <v>6</v>
      </c>
      <c r="D6" s="57">
        <v>2</v>
      </c>
      <c r="E6" s="58">
        <v>6</v>
      </c>
      <c r="F6" s="58">
        <v>0.59875929800000005</v>
      </c>
      <c r="G6" s="58">
        <v>0.91329007100000004</v>
      </c>
      <c r="H6" s="58">
        <v>-0.51013152299999998</v>
      </c>
      <c r="I6" s="58">
        <v>-0.422793486</v>
      </c>
      <c r="J6" s="58">
        <v>-0.40795238000000006</v>
      </c>
      <c r="K6" s="58">
        <v>-0.34473053300000001</v>
      </c>
      <c r="L6" s="58">
        <v>-0.35145568000000005</v>
      </c>
      <c r="M6" s="58">
        <v>-0.33219805100000005</v>
      </c>
      <c r="N6" s="58">
        <v>0.55130638099999985</v>
      </c>
      <c r="O6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2.4546796033220981</v>
      </c>
      <c r="P6" s="114" t="s">
        <v>214</v>
      </c>
      <c r="Q6" s="114" t="str">
        <f>RIGHT(P6)</f>
        <v>2</v>
      </c>
      <c r="R6" s="121" t="str">
        <f>RIGHT(Таблица17[[#This Row],[Классиф ДА2]])</f>
        <v>2</v>
      </c>
      <c r="S6">
        <v>2</v>
      </c>
      <c r="T6" s="147">
        <f>IF(Таблица17[[#This Row],[обуч выборка2]]-Таблица17[[#This Row],[Классиф ДА]]=0,1,0)</f>
        <v>1</v>
      </c>
      <c r="U6" s="117" t="s">
        <v>214</v>
      </c>
      <c r="V6" s="147">
        <f>IF(Таблица17[[#This Row],[обуч выборка2]]-Таблица17[[#This Row],[расстояние Махаланобиса]]=0,1,0)</f>
        <v>1</v>
      </c>
      <c r="W6" s="117">
        <f>MATCH(MIN(Таблица17[[#This Row],[1 класс]:[6 класс]]),Таблица17[[#This Row],[1 класс]:[6 класс]],0)</f>
        <v>2</v>
      </c>
      <c r="X6" s="118">
        <v>59.857344509775238</v>
      </c>
      <c r="Y6" s="118">
        <v>9.4239643653159195</v>
      </c>
      <c r="Z6" s="118">
        <v>27.429487098521207</v>
      </c>
      <c r="AA6" s="118">
        <v>286.94556696245388</v>
      </c>
      <c r="AB6" s="118">
        <v>135.33345802670925</v>
      </c>
      <c r="AC6" s="118">
        <v>177.68758738800449</v>
      </c>
      <c r="AD6" s="212">
        <v>59.857344509775238</v>
      </c>
      <c r="AE6" s="212">
        <v>9.4239643653159195</v>
      </c>
      <c r="AF6" s="212">
        <v>27.429487098521207</v>
      </c>
      <c r="AG6" s="212">
        <v>286.94556696245388</v>
      </c>
      <c r="AH6" s="212">
        <v>135.33345802670925</v>
      </c>
      <c r="AI6" s="212">
        <v>177.68758738800449</v>
      </c>
      <c r="AJ6" s="147">
        <f>IF(Таблица17[[#This Row],[обуч выборка2]]-Таблица17[[#This Row],[Апосториорная вероятность]]=0,1,0)</f>
        <v>1</v>
      </c>
      <c r="AK6" s="117">
        <f>MATCH(MAX(Таблица17[[#This Row],[1 класс.]:[6 класс.]]),Таблица17[[#This Row],[1 класс.]:[6 класс.]],0)</f>
        <v>2</v>
      </c>
      <c r="AL6" s="120">
        <v>1.397678416911743E-11</v>
      </c>
      <c r="AM6" s="120">
        <v>0.99992308746798264</v>
      </c>
      <c r="AN6" s="120">
        <v>7.6912518040547916E-5</v>
      </c>
      <c r="AO6" s="120">
        <v>0</v>
      </c>
      <c r="AP6" s="120">
        <v>1.1402693387094807E-28</v>
      </c>
      <c r="AQ6" s="120">
        <v>0</v>
      </c>
      <c r="AR6" s="216">
        <v>1.397678416911743E-11</v>
      </c>
      <c r="AS6" s="216">
        <v>0.99992308746798264</v>
      </c>
      <c r="AT6" s="216">
        <v>7.6912518040547916E-5</v>
      </c>
      <c r="AU6" s="216">
        <v>0</v>
      </c>
      <c r="AV6" s="216">
        <v>1.1402693387094807E-28</v>
      </c>
      <c r="AW6" s="216">
        <v>0</v>
      </c>
      <c r="AX6" s="121" t="str">
        <f>RIGHT(Таблица17[[#This Row],[Класиф вкл2]])</f>
        <v>2</v>
      </c>
      <c r="AY6" s="221">
        <v>2</v>
      </c>
      <c r="AZ6" s="147">
        <f>IF(Таблица17[[#This Row],[обуч выборка2]]-Таблица17[[#This Row],[Класиф вкл]]=0,1,0)</f>
        <v>1</v>
      </c>
      <c r="BA6" s="117" t="s">
        <v>214</v>
      </c>
      <c r="BB6" s="147">
        <f>IF(Таблица17[[#This Row],[обуч выборка2]]-Таблица17[[#This Row],[Расстояние Махаланобиса вкл
]]=0,1,0)</f>
        <v>1</v>
      </c>
      <c r="BC6" s="117">
        <f>MATCH(MIN(Таблица17[[#This Row],[1 класс вкл]:[6 класс вкл]]),Таблица17[[#This Row],[1 класс вкл]:[6 класс вкл]],0)</f>
        <v>2</v>
      </c>
      <c r="BD6" s="118">
        <v>18.216273509128378</v>
      </c>
      <c r="BE6" s="118">
        <v>2.2701180192335628</v>
      </c>
      <c r="BF6" s="118">
        <v>11.934790214562931</v>
      </c>
      <c r="BG6" s="120">
        <v>216.99687453005657</v>
      </c>
      <c r="BH6" s="118">
        <v>110.94435434782793</v>
      </c>
      <c r="BI6" s="118">
        <v>111.56058050723496</v>
      </c>
      <c r="BJ6" s="147">
        <f>IF(Таблица17[[#This Row],[обуч выборка2]]-Таблица17[[#This Row],[Апосториорная вероятность вкл]]=0,1,0)</f>
        <v>1</v>
      </c>
      <c r="BK6" s="117">
        <f>MATCH(MAX(Таблица17[[#This Row],[1 класс вкл.]:[6 класс вкл.]]),Таблица17[[#This Row],[1 класс вкл.]:[6 класс вкл.]],0)</f>
        <v>2</v>
      </c>
      <c r="BL6" s="119">
        <v>4.2845265853344063E-4</v>
      </c>
      <c r="BM6" s="119">
        <v>0.99461841863988754</v>
      </c>
      <c r="BN6" s="119">
        <v>4.9531287015791205E-3</v>
      </c>
      <c r="BO6" s="119">
        <v>0</v>
      </c>
      <c r="BP6" s="119">
        <v>6.2702654182088805E-25</v>
      </c>
      <c r="BQ6" s="119">
        <v>6.9113895736627855E-25</v>
      </c>
      <c r="BR6" s="121" t="str">
        <f>RIGHT(Таблица17[[#This Row],[Класиф искл2]])</f>
        <v>2</v>
      </c>
      <c r="BS6" s="222">
        <v>2</v>
      </c>
      <c r="BT6" s="147">
        <f>IF(Таблица17[[#This Row],[обуч выборка2]]-Таблица17[[#This Row],[Класиф искл]]=0,1,0)</f>
        <v>1</v>
      </c>
      <c r="BU6" s="117" t="s">
        <v>214</v>
      </c>
      <c r="BV6" s="147">
        <f>IF(Таблица17[[#This Row],[обуч выборка2]]-Таблица17[[#This Row],[Расстояние Махаланобиса искл]]=0,1,0)</f>
        <v>1</v>
      </c>
      <c r="BW6" s="117">
        <f>MATCH(MIN(Таблица17[[#This Row],[1 класс искл]:[6 класс искл]]),Таблица17[[#This Row],[1 класс искл]:[6 класс искл]],0)</f>
        <v>2</v>
      </c>
      <c r="BX6" s="120">
        <v>31.345363149722743</v>
      </c>
      <c r="BY6" s="120">
        <v>2.0759680144845447</v>
      </c>
      <c r="BZ6" s="120">
        <v>18.260340447718047</v>
      </c>
      <c r="CA6" s="120">
        <v>205.4051621976586</v>
      </c>
      <c r="CB6" s="120">
        <v>101.76491887960916</v>
      </c>
      <c r="CC6" s="120">
        <v>94.126865876706987</v>
      </c>
      <c r="CD6" s="147">
        <f>IF(Таблица17[[#This Row],[обуч выборка2]]-Таблица17[[#This Row],[Апосториорная вероятность искл]]=0,1,0)</f>
        <v>1</v>
      </c>
      <c r="CE6" s="117">
        <f>MATCH(MAX(Таблица17[[#This Row],[1 класс искл.]:[6 класс искл.]]),Таблица17[[#This Row],[1 класс искл.]:[6 класс искл.]],0)</f>
        <v>2</v>
      </c>
      <c r="CF6" s="120">
        <v>5.5088170129074914E-7</v>
      </c>
      <c r="CG6" s="120">
        <v>0.99980828563807489</v>
      </c>
      <c r="CH6" s="120">
        <v>1.9116348022380213E-4</v>
      </c>
      <c r="CI6" s="120">
        <v>0</v>
      </c>
      <c r="CJ6" s="120">
        <v>5.6321745585681517E-23</v>
      </c>
      <c r="CK6" s="120">
        <v>3.8490140939434786E-21</v>
      </c>
      <c r="CL6" s="198">
        <v>-0.24660909801096273</v>
      </c>
      <c r="CM6" s="198">
        <v>0.55887832602816589</v>
      </c>
      <c r="CN6" s="199">
        <v>0.53191783711657814</v>
      </c>
      <c r="CO6" s="192">
        <v>4</v>
      </c>
      <c r="CP6" s="195">
        <v>3</v>
      </c>
      <c r="CQ6" s="209">
        <v>-0.49475999999999998</v>
      </c>
      <c r="CR6" s="209">
        <v>4.2800000000000005E-2</v>
      </c>
      <c r="CS6" s="223">
        <v>4</v>
      </c>
      <c r="CT6" s="223">
        <v>2</v>
      </c>
      <c r="CU6" s="209">
        <v>4.2800000000000005E-2</v>
      </c>
      <c r="CV6" s="209">
        <v>-0.49475999999999998</v>
      </c>
      <c r="CW6" s="209">
        <v>5</v>
      </c>
      <c r="CX6" s="210">
        <v>1</v>
      </c>
      <c r="CY6" s="238" t="s">
        <v>342</v>
      </c>
      <c r="CZ6" s="238">
        <v>1</v>
      </c>
    </row>
    <row r="7" spans="1:104" x14ac:dyDescent="0.3">
      <c r="A7" s="57" t="s">
        <v>15</v>
      </c>
      <c r="B7" s="57">
        <v>2</v>
      </c>
      <c r="C7" s="57">
        <v>6</v>
      </c>
      <c r="D7" s="57">
        <v>2</v>
      </c>
      <c r="E7" s="58">
        <v>6</v>
      </c>
      <c r="F7" s="58">
        <v>1.2502852899999999</v>
      </c>
      <c r="G7" s="58">
        <v>0.65719127000000022</v>
      </c>
      <c r="H7" s="58">
        <v>-0.51506596599999999</v>
      </c>
      <c r="I7" s="58">
        <v>-0.64861460300000018</v>
      </c>
      <c r="J7" s="58">
        <v>-0.20533848900000004</v>
      </c>
      <c r="K7" s="58">
        <v>6.3407095999999982E-2</v>
      </c>
      <c r="L7" s="58">
        <v>-0.63330248600000005</v>
      </c>
      <c r="M7" s="58">
        <v>0.48789180100000007</v>
      </c>
      <c r="N7" s="58">
        <v>-0.46119948599999999</v>
      </c>
      <c r="O7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3.5791072926077994</v>
      </c>
      <c r="P7" s="114" t="s">
        <v>214</v>
      </c>
      <c r="Q7" s="114" t="str">
        <f>RIGHT(P7)</f>
        <v>2</v>
      </c>
      <c r="R7" s="121" t="str">
        <f>RIGHT(Таблица17[[#This Row],[Классиф ДА2]])</f>
        <v>2</v>
      </c>
      <c r="S7">
        <v>2</v>
      </c>
      <c r="T7" s="147">
        <f>IF(Таблица17[[#This Row],[обуч выборка2]]-Таблица17[[#This Row],[Классиф ДА]]=0,1,0)</f>
        <v>1</v>
      </c>
      <c r="U7" s="117" t="s">
        <v>214</v>
      </c>
      <c r="V7" s="147">
        <f>IF(Таблица17[[#This Row],[обуч выборка2]]-Таблица17[[#This Row],[расстояние Махаланобиса]]=0,1,0)</f>
        <v>1</v>
      </c>
      <c r="W7" s="117">
        <f>MATCH(MIN(Таблица17[[#This Row],[1 класс]:[6 класс]]),Таблица17[[#This Row],[1 класс]:[6 класс]],0)</f>
        <v>2</v>
      </c>
      <c r="X7" s="118">
        <v>47.036200677209855</v>
      </c>
      <c r="Y7" s="118">
        <v>3.0924573616598772</v>
      </c>
      <c r="Z7" s="118">
        <v>20.48433379481579</v>
      </c>
      <c r="AA7" s="118">
        <v>257.59829820194034</v>
      </c>
      <c r="AB7" s="118">
        <v>129.96330812674265</v>
      </c>
      <c r="AC7" s="118">
        <v>181.53386393062686</v>
      </c>
      <c r="AD7" s="212">
        <v>47.036200677209855</v>
      </c>
      <c r="AE7" s="212">
        <v>3.0924573616598772</v>
      </c>
      <c r="AF7" s="212">
        <v>20.48433379481579</v>
      </c>
      <c r="AG7" s="212">
        <v>257.59829820194034</v>
      </c>
      <c r="AH7" s="212">
        <v>129.96330812674265</v>
      </c>
      <c r="AI7" s="212">
        <v>181.53386393062686</v>
      </c>
      <c r="AJ7" s="147">
        <f>IF(Таблица17[[#This Row],[обуч выборка2]]-Таблица17[[#This Row],[Апосториорная вероятность]]=0,1,0)</f>
        <v>1</v>
      </c>
      <c r="AK7" s="117">
        <f>MATCH(MAX(Таблица17[[#This Row],[1 класс.]:[6 класс.]]),Таблица17[[#This Row],[1 класс.]:[6 класс.]],0)</f>
        <v>2</v>
      </c>
      <c r="AL7" s="120">
        <v>3.5859315565107478E-10</v>
      </c>
      <c r="AM7" s="120">
        <v>0.99989547067982232</v>
      </c>
      <c r="AN7" s="120">
        <v>1.0452896158450922E-4</v>
      </c>
      <c r="AO7" s="120">
        <v>0</v>
      </c>
      <c r="AP7" s="120">
        <v>7.0508164482568729E-29</v>
      </c>
      <c r="AQ7" s="120">
        <v>0</v>
      </c>
      <c r="AR7" s="216">
        <v>3.5859315565107478E-10</v>
      </c>
      <c r="AS7" s="216">
        <v>0.99989547067982232</v>
      </c>
      <c r="AT7" s="216">
        <v>1.0452896158450922E-4</v>
      </c>
      <c r="AU7" s="216">
        <v>0</v>
      </c>
      <c r="AV7" s="216">
        <v>7.0508164482568729E-29</v>
      </c>
      <c r="AW7" s="216">
        <v>0</v>
      </c>
      <c r="AX7" s="121" t="str">
        <f>RIGHT(Таблица17[[#This Row],[Класиф вкл2]])</f>
        <v>2</v>
      </c>
      <c r="AY7" s="221">
        <v>2</v>
      </c>
      <c r="AZ7" s="147">
        <f>IF(Таблица17[[#This Row],[обуч выборка2]]-Таблица17[[#This Row],[Класиф вкл]]=0,1,0)</f>
        <v>1</v>
      </c>
      <c r="BA7" s="117" t="s">
        <v>214</v>
      </c>
      <c r="BB7" s="147">
        <f>IF(Таблица17[[#This Row],[обуч выборка2]]-Таблица17[[#This Row],[Расстояние Махаланобиса вкл
]]=0,1,0)</f>
        <v>1</v>
      </c>
      <c r="BC7" s="117">
        <f>MATCH(MIN(Таблица17[[#This Row],[1 класс вкл]:[6 класс вкл]]),Таблица17[[#This Row],[1 класс вкл]:[6 класс вкл]],0)</f>
        <v>2</v>
      </c>
      <c r="BD7" s="118">
        <v>29.364853226497168</v>
      </c>
      <c r="BE7" s="118">
        <v>1.8162863662908695</v>
      </c>
      <c r="BF7" s="118">
        <v>13.951618529148394</v>
      </c>
      <c r="BG7" s="120">
        <v>204.13369862276005</v>
      </c>
      <c r="BH7" s="118">
        <v>88.037775268306859</v>
      </c>
      <c r="BI7" s="118">
        <v>148.22417305781124</v>
      </c>
      <c r="BJ7" s="147">
        <f>IF(Таблица17[[#This Row],[обуч выборка2]]-Таблица17[[#This Row],[Апосториорная вероятность вкл]]=0,1,0)</f>
        <v>1</v>
      </c>
      <c r="BK7" s="117">
        <f>MATCH(MAX(Таблица17[[#This Row],[1 класс вкл.]:[6 класс вкл.]]),Таблица17[[#This Row],[1 класс вкл.]:[6 класс вкл.]],0)</f>
        <v>2</v>
      </c>
      <c r="BL7" s="119">
        <v>1.3007259960464296E-6</v>
      </c>
      <c r="BM7" s="119">
        <v>0.99855293591787098</v>
      </c>
      <c r="BN7" s="119">
        <v>1.4457633561328793E-3</v>
      </c>
      <c r="BO7" s="119">
        <v>0</v>
      </c>
      <c r="BP7" s="119">
        <v>4.7266416306509469E-20</v>
      </c>
      <c r="BQ7" s="119">
        <v>0</v>
      </c>
      <c r="BR7" s="121" t="str">
        <f>RIGHT(Таблица17[[#This Row],[Класиф искл2]])</f>
        <v>2</v>
      </c>
      <c r="BS7" s="222">
        <v>2</v>
      </c>
      <c r="BT7" s="147">
        <f>IF(Таблица17[[#This Row],[обуч выборка2]]-Таблица17[[#This Row],[Класиф искл]]=0,1,0)</f>
        <v>1</v>
      </c>
      <c r="BU7" s="117" t="s">
        <v>214</v>
      </c>
      <c r="BV7" s="147">
        <f>IF(Таблица17[[#This Row],[обуч выборка2]]-Таблица17[[#This Row],[Расстояние Махаланобиса искл]]=0,1,0)</f>
        <v>1</v>
      </c>
      <c r="BW7" s="117">
        <f>MATCH(MIN(Таблица17[[#This Row],[1 класс искл]:[6 класс искл]]),Таблица17[[#This Row],[1 класс искл]:[6 класс искл]],0)</f>
        <v>2</v>
      </c>
      <c r="BX7" s="120">
        <v>38.076293279178572</v>
      </c>
      <c r="BY7" s="120">
        <v>2.3964650959433325</v>
      </c>
      <c r="BZ7" s="120">
        <v>19.575845202788635</v>
      </c>
      <c r="CA7" s="120">
        <v>200.91282525408113</v>
      </c>
      <c r="CB7" s="120">
        <v>95.024163578557776</v>
      </c>
      <c r="CC7" s="120">
        <v>111.10136238411374</v>
      </c>
      <c r="CD7" s="147">
        <f>IF(Таблица17[[#This Row],[обуч выборка2]]-Таблица17[[#This Row],[Апосториорная вероятность искл]]=0,1,0)</f>
        <v>1</v>
      </c>
      <c r="CE7" s="117">
        <f>MATCH(MAX(Таблица17[[#This Row],[1 класс искл.]:[6 класс искл.]]),Таблица17[[#This Row],[1 класс искл.]:[6 класс искл.]],0)</f>
        <v>2</v>
      </c>
      <c r="CF7" s="120">
        <v>2.2340005112203459E-8</v>
      </c>
      <c r="CG7" s="120">
        <v>0.99988373259392815</v>
      </c>
      <c r="CH7" s="120">
        <v>1.1624506606675426E-4</v>
      </c>
      <c r="CI7" s="120">
        <v>0</v>
      </c>
      <c r="CJ7" s="120">
        <v>1.9232704114168699E-21</v>
      </c>
      <c r="CK7" s="120">
        <v>9.3113413166233708E-25</v>
      </c>
      <c r="CL7" s="198">
        <v>-0.71286734834126664</v>
      </c>
      <c r="CM7" s="198">
        <v>0.74803718606105185</v>
      </c>
      <c r="CN7" s="199">
        <v>0.50408623826031529</v>
      </c>
      <c r="CO7" s="192">
        <v>6</v>
      </c>
      <c r="CP7" s="195">
        <v>6</v>
      </c>
      <c r="CQ7" s="209">
        <v>-0.77102999999999999</v>
      </c>
      <c r="CR7" s="209">
        <v>2.7200000000000002E-3</v>
      </c>
      <c r="CS7" s="223">
        <v>2</v>
      </c>
      <c r="CT7" s="223">
        <v>5</v>
      </c>
      <c r="CU7" s="209">
        <v>2.7200000000000002E-3</v>
      </c>
      <c r="CV7" s="209">
        <v>-0.77102999999999999</v>
      </c>
      <c r="CW7" s="209">
        <v>5</v>
      </c>
      <c r="CX7" s="210">
        <v>1</v>
      </c>
      <c r="CY7" s="238" t="s">
        <v>339</v>
      </c>
      <c r="CZ7" s="238">
        <v>1</v>
      </c>
    </row>
    <row r="8" spans="1:104" x14ac:dyDescent="0.3">
      <c r="A8" s="57" t="s">
        <v>16</v>
      </c>
      <c r="B8" s="57">
        <v>5</v>
      </c>
      <c r="C8" s="57">
        <v>6</v>
      </c>
      <c r="D8" s="57">
        <v>1</v>
      </c>
      <c r="E8" s="58">
        <v>6</v>
      </c>
      <c r="F8" s="58">
        <v>-0.59176660599999997</v>
      </c>
      <c r="G8" s="58">
        <v>-0.38690384400000005</v>
      </c>
      <c r="H8" s="58">
        <v>-0.30959152500000003</v>
      </c>
      <c r="I8" s="58">
        <v>-0.510454662</v>
      </c>
      <c r="J8" s="58">
        <v>-0.23024451500000001</v>
      </c>
      <c r="K8" s="58">
        <v>-0.85490257000000003</v>
      </c>
      <c r="L8" s="58">
        <v>-0.52926799999999996</v>
      </c>
      <c r="M8" s="58">
        <v>-1.3465197099999999</v>
      </c>
      <c r="N8" s="58">
        <v>-0.24054456900000001</v>
      </c>
      <c r="O8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3.791265751583802</v>
      </c>
      <c r="P8" s="114"/>
      <c r="Q8" s="114"/>
      <c r="R8" s="121" t="str">
        <f>RIGHT(Таблица17[[#This Row],[Классиф ДА2]])</f>
        <v>2</v>
      </c>
      <c r="S8">
        <v>2</v>
      </c>
      <c r="T8" s="147">
        <f>IF(Таблица17[[#This Row],[обуч выборка2]]-Таблица17[[#This Row],[Классиф ДА]]=0,1,0)</f>
        <v>0</v>
      </c>
      <c r="U8" s="117" t="s">
        <v>214</v>
      </c>
      <c r="V8" s="147">
        <f>IF(Таблица17[[#This Row],[обуч выборка2]]-Таблица17[[#This Row],[расстояние Махаланобиса]]=0,1,0)</f>
        <v>0</v>
      </c>
      <c r="W8" s="117">
        <f>MATCH(MIN(Таблица17[[#This Row],[1 класс]:[6 класс]]),Таблица17[[#This Row],[1 класс]:[6 класс]],0)</f>
        <v>2</v>
      </c>
      <c r="X8" s="118">
        <v>54.865360992942996</v>
      </c>
      <c r="Y8" s="118">
        <v>29.628666661998711</v>
      </c>
      <c r="Z8" s="118">
        <v>30.447331788359001</v>
      </c>
      <c r="AA8" s="118">
        <v>364.65406501029236</v>
      </c>
      <c r="AB8" s="118">
        <v>198.45654051747346</v>
      </c>
      <c r="AC8" s="118">
        <v>182.11883442309477</v>
      </c>
      <c r="AD8" s="212">
        <v>54.865360992942996</v>
      </c>
      <c r="AE8" s="212">
        <v>29.628666661998711</v>
      </c>
      <c r="AF8" s="212">
        <v>30.447331788359001</v>
      </c>
      <c r="AG8" s="212">
        <v>364.65406501029236</v>
      </c>
      <c r="AH8" s="212">
        <v>198.45654051747346</v>
      </c>
      <c r="AI8" s="212">
        <v>182.11883442309477</v>
      </c>
      <c r="AJ8" s="147">
        <f>IF(Таблица17[[#This Row],[обуч выборка2]]-Таблица17[[#This Row],[Апосториорная вероятность]]=0,1,0)</f>
        <v>0</v>
      </c>
      <c r="AK8" s="117">
        <f>MATCH(MAX(Таблица17[[#This Row],[1 класс.]:[6 класс.]]),Таблица17[[#This Row],[1 класс.]:[6 класс.]],0)</f>
        <v>2</v>
      </c>
      <c r="AL8" s="120">
        <v>2.9245284674074137E-6</v>
      </c>
      <c r="AM8" s="120">
        <v>0.70668257825305636</v>
      </c>
      <c r="AN8" s="120">
        <v>0.2933144972184763</v>
      </c>
      <c r="AO8" s="120">
        <v>0</v>
      </c>
      <c r="AP8" s="120">
        <v>0</v>
      </c>
      <c r="AQ8" s="120">
        <v>0</v>
      </c>
      <c r="AR8" s="216">
        <v>2.9245284674074137E-6</v>
      </c>
      <c r="AS8" s="216">
        <v>0.70668257825305636</v>
      </c>
      <c r="AT8" s="216">
        <v>0.2933144972184763</v>
      </c>
      <c r="AU8" s="216">
        <v>0</v>
      </c>
      <c r="AV8" s="216">
        <v>0</v>
      </c>
      <c r="AW8" s="216">
        <v>0</v>
      </c>
      <c r="AX8" s="121" t="str">
        <f>RIGHT(Таблица17[[#This Row],[Класиф вкл2]])</f>
        <v>2</v>
      </c>
      <c r="AY8" s="221">
        <v>1</v>
      </c>
      <c r="AZ8" s="147">
        <f>IF(Таблица17[[#This Row],[обуч выборка2]]-Таблица17[[#This Row],[Класиф вкл]]=0,1,0)</f>
        <v>0</v>
      </c>
      <c r="BA8" s="117" t="s">
        <v>214</v>
      </c>
      <c r="BB8" s="147">
        <f>IF(Таблица17[[#This Row],[обуч выборка2]]-Таблица17[[#This Row],[Расстояние Махаланобиса вкл
]]=0,1,0)</f>
        <v>0</v>
      </c>
      <c r="BC8" s="117">
        <f>MATCH(MIN(Таблица17[[#This Row],[1 класс вкл]:[6 класс вкл]]),Таблица17[[#This Row],[1 класс вкл]:[6 класс вкл]],0)</f>
        <v>2</v>
      </c>
      <c r="BD8" s="118">
        <v>13.804600498810728</v>
      </c>
      <c r="BE8" s="118">
        <v>10.531771856719825</v>
      </c>
      <c r="BF8" s="118">
        <v>15.844934552483474</v>
      </c>
      <c r="BG8" s="120">
        <v>228.82668130521284</v>
      </c>
      <c r="BH8" s="118">
        <v>118.15712908785224</v>
      </c>
      <c r="BI8" s="118">
        <v>132.35437198158792</v>
      </c>
      <c r="BJ8" s="147">
        <f>IF(Таблица17[[#This Row],[обуч выборка2]]-Таблица17[[#This Row],[Апосториорная вероятность вкл]]=0,1,0)</f>
        <v>0</v>
      </c>
      <c r="BK8" s="117">
        <f>MATCH(MAX(Таблица17[[#This Row],[1 класс вкл.]:[6 класс вкл.]]),Таблица17[[#This Row],[1 класс вкл.]:[6 класс вкл.]],0)</f>
        <v>2</v>
      </c>
      <c r="BL8" s="119">
        <v>0.18904872417301408</v>
      </c>
      <c r="BM8" s="119">
        <v>0.77687196177091433</v>
      </c>
      <c r="BN8" s="119">
        <v>3.4079314056071647E-2</v>
      </c>
      <c r="BO8" s="119">
        <v>0</v>
      </c>
      <c r="BP8" s="119">
        <v>8.2744679291715023E-25</v>
      </c>
      <c r="BQ8" s="123">
        <v>1.0255083776559398E-27</v>
      </c>
      <c r="BR8" s="121" t="str">
        <f>RIGHT(Таблица17[[#This Row],[Класиф искл2]])</f>
        <v>1</v>
      </c>
      <c r="BS8" s="222">
        <v>1</v>
      </c>
      <c r="BT8" s="147">
        <f>IF(Таблица17[[#This Row],[обуч выборка2]]-Таблица17[[#This Row],[Класиф искл]]=0,1,0)</f>
        <v>0</v>
      </c>
      <c r="BU8" s="117" t="s">
        <v>213</v>
      </c>
      <c r="BV8" s="147">
        <f>IF(Таблица17[[#This Row],[обуч выборка2]]-Таблица17[[#This Row],[Расстояние Махаланобиса искл]]=0,1,0)</f>
        <v>0</v>
      </c>
      <c r="BW8" s="117">
        <f>MATCH(MIN(Таблица17[[#This Row],[1 класс искл]:[6 класс искл]]),Таблица17[[#This Row],[1 класс искл]:[6 класс искл]],0)</f>
        <v>1</v>
      </c>
      <c r="BX8" s="120">
        <v>11.255052236729382</v>
      </c>
      <c r="BY8" s="120">
        <v>18.039440797356413</v>
      </c>
      <c r="BZ8" s="120">
        <v>16.899846682028187</v>
      </c>
      <c r="CA8" s="120">
        <v>244.44476693361503</v>
      </c>
      <c r="CB8" s="120">
        <v>171.8389430138823</v>
      </c>
      <c r="CC8" s="120">
        <v>85.658530950694967</v>
      </c>
      <c r="CD8" s="147">
        <f>IF(Таблица17[[#This Row],[обуч выборка2]]-Таблица17[[#This Row],[Апосториорная вероятность искл]]=0,1,0)</f>
        <v>0</v>
      </c>
      <c r="CE8" s="117">
        <f>MATCH(MAX(Таблица17[[#This Row],[1 класс искл.]:[6 класс искл.]]),Таблица17[[#This Row],[1 класс искл.]:[6 класс искл.]],0)</f>
        <v>1</v>
      </c>
      <c r="CF8" s="120">
        <v>0.94639661982626921</v>
      </c>
      <c r="CG8" s="120">
        <v>2.54654825429288E-2</v>
      </c>
      <c r="CH8" s="120">
        <v>2.8137897630801895E-2</v>
      </c>
      <c r="CI8" s="120">
        <v>0</v>
      </c>
      <c r="CJ8" s="120">
        <v>0</v>
      </c>
      <c r="CK8" s="120">
        <v>1.9800871950751964E-17</v>
      </c>
      <c r="CL8" s="198">
        <v>-0.12373275751270651</v>
      </c>
      <c r="CM8" s="198">
        <v>-0.37419270560537177</v>
      </c>
      <c r="CN8" s="199">
        <v>1.1428500279738758</v>
      </c>
      <c r="CO8" s="192">
        <v>5</v>
      </c>
      <c r="CP8" s="195">
        <v>5</v>
      </c>
      <c r="CQ8" s="209">
        <v>-0.20889000000000002</v>
      </c>
      <c r="CR8" s="209">
        <v>-0.36255000000000004</v>
      </c>
      <c r="CS8" s="223">
        <v>5</v>
      </c>
      <c r="CT8" s="223">
        <v>6</v>
      </c>
      <c r="CU8" s="209">
        <v>-0.36255000000000004</v>
      </c>
      <c r="CV8" s="209">
        <v>-0.20889000000000002</v>
      </c>
      <c r="CW8" s="209">
        <v>5</v>
      </c>
      <c r="CX8" s="210">
        <v>3</v>
      </c>
      <c r="CY8" s="238" t="s">
        <v>339</v>
      </c>
      <c r="CZ8" s="238">
        <v>2</v>
      </c>
    </row>
    <row r="9" spans="1:104" x14ac:dyDescent="0.3">
      <c r="A9" s="57" t="s">
        <v>17</v>
      </c>
      <c r="B9" s="57">
        <v>4</v>
      </c>
      <c r="C9" s="57">
        <v>6</v>
      </c>
      <c r="D9" s="57">
        <v>2</v>
      </c>
      <c r="E9" s="58">
        <v>4</v>
      </c>
      <c r="F9" s="58">
        <v>0.78217680499999998</v>
      </c>
      <c r="G9" s="58">
        <v>-0.41152872900000009</v>
      </c>
      <c r="H9" s="58">
        <v>-0.53398179300000004</v>
      </c>
      <c r="I9" s="58">
        <v>-0.56338741700000006</v>
      </c>
      <c r="J9" s="58">
        <v>0.58424986499999998</v>
      </c>
      <c r="K9" s="58">
        <v>3.1244393100000001</v>
      </c>
      <c r="L9" s="58">
        <v>-0.511451726</v>
      </c>
      <c r="M9" s="58">
        <v>-5.16409964E-2</v>
      </c>
      <c r="N9" s="58">
        <v>0.13425544700000003</v>
      </c>
      <c r="O9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11.769441477312135</v>
      </c>
      <c r="P9" s="114"/>
      <c r="Q9" s="114"/>
      <c r="R9" s="121" t="str">
        <f>RIGHT(Таблица17[[#This Row],[Классиф ДА2]])</f>
        <v>4</v>
      </c>
      <c r="S9">
        <v>4</v>
      </c>
      <c r="T9" s="147">
        <f>IF(Таблица17[[#This Row],[обуч выборка2]]-Таблица17[[#This Row],[Классиф ДА]]=0,1,0)</f>
        <v>0</v>
      </c>
      <c r="U9" s="117" t="s">
        <v>216</v>
      </c>
      <c r="V9" s="147">
        <f>IF(Таблица17[[#This Row],[обуч выборка2]]-Таблица17[[#This Row],[расстояние Махаланобиса]]=0,1,0)</f>
        <v>0</v>
      </c>
      <c r="W9" s="117">
        <f>MATCH(MIN(Таблица17[[#This Row],[1 класс]:[6 класс]]),Таблица17[[#This Row],[1 класс]:[6 класс]],0)</f>
        <v>4</v>
      </c>
      <c r="X9" s="118">
        <v>110.24386923611948</v>
      </c>
      <c r="Y9" s="118">
        <v>151.74318517708727</v>
      </c>
      <c r="Z9" s="118">
        <v>149.7250671256451</v>
      </c>
      <c r="AA9" s="118">
        <v>61.175215678448026</v>
      </c>
      <c r="AB9" s="118">
        <v>380.94000041486174</v>
      </c>
      <c r="AC9" s="118">
        <v>267.85126983677918</v>
      </c>
      <c r="AD9" s="212">
        <v>110.24386923611948</v>
      </c>
      <c r="AE9" s="212">
        <v>151.74318517708727</v>
      </c>
      <c r="AF9" s="212">
        <v>149.7250671256451</v>
      </c>
      <c r="AG9" s="212">
        <v>61.175215678448026</v>
      </c>
      <c r="AH9" s="212">
        <v>380.94000041486174</v>
      </c>
      <c r="AI9" s="212">
        <v>267.85126983677918</v>
      </c>
      <c r="AJ9" s="147">
        <f>IF(Таблица17[[#This Row],[обуч выборка2]]-Таблица17[[#This Row],[Апосториорная вероятность]]=0,1,0)</f>
        <v>0</v>
      </c>
      <c r="AK9" s="117">
        <f>MATCH(MAX(Таблица17[[#This Row],[1 класс.]:[6 класс.]]),Таблица17[[#This Row],[1 класс.]:[6 класс.]],0)</f>
        <v>4</v>
      </c>
      <c r="AL9" s="120">
        <v>1.1062346742162379E-10</v>
      </c>
      <c r="AM9" s="120">
        <v>8.6193654783893726E-20</v>
      </c>
      <c r="AN9" s="120">
        <v>1.4776925378176869E-19</v>
      </c>
      <c r="AO9" s="120">
        <v>0.9999999998893766</v>
      </c>
      <c r="AP9" s="120">
        <v>0</v>
      </c>
      <c r="AQ9" s="120">
        <v>0</v>
      </c>
      <c r="AR9" s="216">
        <v>1.1062346742162379E-10</v>
      </c>
      <c r="AS9" s="216">
        <v>8.6193654783893726E-20</v>
      </c>
      <c r="AT9" s="216">
        <v>1.4776925378176869E-19</v>
      </c>
      <c r="AU9" s="216">
        <v>0.9999999998893766</v>
      </c>
      <c r="AV9" s="216">
        <v>0</v>
      </c>
      <c r="AW9" s="216">
        <v>0</v>
      </c>
      <c r="AX9" s="121" t="str">
        <f>RIGHT(Таблица17[[#This Row],[Класиф вкл2]])</f>
        <v>4</v>
      </c>
      <c r="AY9" s="221">
        <v>4</v>
      </c>
      <c r="AZ9" s="147">
        <f>IF(Таблица17[[#This Row],[обуч выборка2]]-Таблица17[[#This Row],[Класиф вкл]]=0,1,0)</f>
        <v>0</v>
      </c>
      <c r="BA9" s="117" t="s">
        <v>216</v>
      </c>
      <c r="BB9" s="147">
        <f>IF(Таблица17[[#This Row],[обуч выборка2]]-Таблица17[[#This Row],[Расстояние Махаланобиса вкл
]]=0,1,0)</f>
        <v>0</v>
      </c>
      <c r="BC9" s="117">
        <f>MATCH(MIN(Таблица17[[#This Row],[1 класс вкл]:[6 класс вкл]]),Таблица17[[#This Row],[1 класс вкл]:[6 класс вкл]],0)</f>
        <v>4</v>
      </c>
      <c r="BD9" s="118">
        <v>89.843492999199327</v>
      </c>
      <c r="BE9" s="118">
        <v>100.21359261146139</v>
      </c>
      <c r="BF9" s="118">
        <v>102.88392711932045</v>
      </c>
      <c r="BG9" s="120">
        <v>33.127174682594443</v>
      </c>
      <c r="BH9" s="118">
        <v>233.28547450116804</v>
      </c>
      <c r="BI9" s="118">
        <v>217.55922771357572</v>
      </c>
      <c r="BJ9" s="147">
        <f>IF(Таблица17[[#This Row],[обуч выборка2]]-Таблица17[[#This Row],[Апосториорная вероятность вкл]]=0,1,0)</f>
        <v>0</v>
      </c>
      <c r="BK9" s="117">
        <f>MATCH(MAX(Таблица17[[#This Row],[1 класс вкл.]:[6 класс вкл.]]),Таблица17[[#This Row],[1 класс вкл.]:[6 класс вкл.]],0)</f>
        <v>4</v>
      </c>
      <c r="BL9" s="119">
        <v>2.4164508434643942E-12</v>
      </c>
      <c r="BM9" s="119">
        <v>1.0825038079235703E-14</v>
      </c>
      <c r="BN9" s="119">
        <v>1.7801380338772282E-15</v>
      </c>
      <c r="BO9" s="119">
        <v>0.99999999999757094</v>
      </c>
      <c r="BP9" s="119">
        <v>0</v>
      </c>
      <c r="BQ9" s="119">
        <v>0</v>
      </c>
      <c r="BR9" s="121" t="str">
        <f>RIGHT(Таблица17[[#This Row],[Класиф искл2]])</f>
        <v>4</v>
      </c>
      <c r="BS9" s="222">
        <v>4</v>
      </c>
      <c r="BT9" s="147">
        <f>IF(Таблица17[[#This Row],[обуч выборка2]]-Таблица17[[#This Row],[Класиф искл]]=0,1,0)</f>
        <v>0</v>
      </c>
      <c r="BU9" s="117" t="s">
        <v>216</v>
      </c>
      <c r="BV9" s="147">
        <f>IF(Таблица17[[#This Row],[обуч выборка2]]-Таблица17[[#This Row],[Расстояние Махаланобиса искл]]=0,1,0)</f>
        <v>0</v>
      </c>
      <c r="BW9" s="117">
        <f>MATCH(MIN(Таблица17[[#This Row],[1 класс искл]:[6 класс искл]]),Таблица17[[#This Row],[1 класс искл]:[6 класс искл]],0)</f>
        <v>4</v>
      </c>
      <c r="BX9" s="120">
        <v>73.547042440295371</v>
      </c>
      <c r="BY9" s="120">
        <v>95.19370443182126</v>
      </c>
      <c r="BZ9" s="120">
        <v>93.728279101195909</v>
      </c>
      <c r="CA9" s="120">
        <v>44.190116952969717</v>
      </c>
      <c r="CB9" s="120">
        <v>284.01163322887595</v>
      </c>
      <c r="CC9" s="120">
        <v>130.29847905141517</v>
      </c>
      <c r="CD9" s="147">
        <f>IF(Таблица17[[#This Row],[обуч выборка2]]-Таблица17[[#This Row],[Апосториорная вероятность искл]]=0,1,0)</f>
        <v>0</v>
      </c>
      <c r="CE9" s="117">
        <f>MATCH(MAX(Таблица17[[#This Row],[1 класс искл.]:[6 класс искл.]]),Таблица17[[#This Row],[1 класс искл.]:[6 класс искл.]],0)</f>
        <v>4</v>
      </c>
      <c r="CF9" s="120">
        <v>2.1095689068982473E-6</v>
      </c>
      <c r="CG9" s="120">
        <v>3.3633400239608357E-11</v>
      </c>
      <c r="CH9" s="120">
        <v>4.3738497503989561E-11</v>
      </c>
      <c r="CI9" s="120">
        <v>0.99999789035372133</v>
      </c>
      <c r="CJ9" s="120">
        <v>0</v>
      </c>
      <c r="CK9" s="120">
        <v>3.0053640722034639E-19</v>
      </c>
      <c r="CL9" s="198">
        <v>0.54956734188769396</v>
      </c>
      <c r="CM9" s="198">
        <v>1.345013006803121</v>
      </c>
      <c r="CN9" s="199">
        <v>0.29718666968373597</v>
      </c>
      <c r="CO9" s="192">
        <v>4</v>
      </c>
      <c r="CP9" s="195">
        <v>3</v>
      </c>
      <c r="CQ9" s="209">
        <v>-0.49468999999999996</v>
      </c>
      <c r="CR9" s="209">
        <v>1.2204999999999999</v>
      </c>
      <c r="CS9" s="223">
        <v>4</v>
      </c>
      <c r="CT9" s="223">
        <v>2</v>
      </c>
      <c r="CU9" s="209">
        <v>1.2204999999999999</v>
      </c>
      <c r="CV9" s="209">
        <v>-0.49468999999999996</v>
      </c>
      <c r="CW9" s="209">
        <v>6</v>
      </c>
      <c r="CX9" s="210">
        <v>5</v>
      </c>
      <c r="CY9" s="238" t="s">
        <v>339</v>
      </c>
      <c r="CZ9" s="238">
        <v>4</v>
      </c>
    </row>
    <row r="10" spans="1:104" x14ac:dyDescent="0.3">
      <c r="A10" s="57" t="s">
        <v>18</v>
      </c>
      <c r="B10" s="57">
        <v>6</v>
      </c>
      <c r="C10" s="57">
        <v>6</v>
      </c>
      <c r="D10" s="57">
        <v>3</v>
      </c>
      <c r="E10" s="58">
        <v>6</v>
      </c>
      <c r="F10" s="58">
        <v>-0.59401712799999984</v>
      </c>
      <c r="G10" s="58">
        <v>0.36169265300000003</v>
      </c>
      <c r="H10" s="58">
        <v>1.1258601800000001</v>
      </c>
      <c r="I10" s="58">
        <v>-4.2682522800000004E-2</v>
      </c>
      <c r="J10" s="58">
        <v>-9.2924801599999995E-2</v>
      </c>
      <c r="K10" s="58">
        <v>-0.83449568800000007</v>
      </c>
      <c r="L10" s="58">
        <v>-0.15101731200000004</v>
      </c>
      <c r="M10" s="58">
        <v>-0.31061673900000009</v>
      </c>
      <c r="N10" s="58">
        <v>-0.71460392000000006</v>
      </c>
      <c r="O10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3.0880266883448164</v>
      </c>
      <c r="P10" s="114" t="s">
        <v>215</v>
      </c>
      <c r="Q10" s="114" t="str">
        <f>RIGHT(P10)</f>
        <v>3</v>
      </c>
      <c r="R10" s="121" t="str">
        <f>RIGHT(Таблица17[[#This Row],[Классиф ДА2]])</f>
        <v>3</v>
      </c>
      <c r="S10">
        <v>3</v>
      </c>
      <c r="T10" s="147">
        <f>IF(Таблица17[[#This Row],[обуч выборка2]]-Таблица17[[#This Row],[Классиф ДА]]=0,1,0)</f>
        <v>1</v>
      </c>
      <c r="U10" s="117" t="s">
        <v>215</v>
      </c>
      <c r="V10" s="147">
        <f>IF(Таблица17[[#This Row],[обуч выборка2]]-Таблица17[[#This Row],[расстояние Махаланобиса]]=0,1,0)</f>
        <v>1</v>
      </c>
      <c r="W10" s="117">
        <f>MATCH(MIN(Таблица17[[#This Row],[1 класс]:[6 класс]]),Таблица17[[#This Row],[1 класс]:[6 класс]],0)</f>
        <v>3</v>
      </c>
      <c r="X10" s="118">
        <v>44.02036305331108</v>
      </c>
      <c r="Y10" s="118">
        <v>22.120289779044398</v>
      </c>
      <c r="Z10" s="118">
        <v>6.9880946622961444</v>
      </c>
      <c r="AA10" s="118">
        <v>302.85062947494168</v>
      </c>
      <c r="AB10" s="118">
        <v>210.03354544674698</v>
      </c>
      <c r="AC10" s="118">
        <v>146.74868953150883</v>
      </c>
      <c r="AD10" s="212">
        <v>44.02036305331108</v>
      </c>
      <c r="AE10" s="212">
        <v>22.120289779044398</v>
      </c>
      <c r="AF10" s="212">
        <v>6.9880946622961444</v>
      </c>
      <c r="AG10" s="212">
        <v>302.85062947494168</v>
      </c>
      <c r="AH10" s="212">
        <v>210.03354544674698</v>
      </c>
      <c r="AI10" s="212">
        <v>146.74868953150883</v>
      </c>
      <c r="AJ10" s="147">
        <f>IF(Таблица17[[#This Row],[обуч выборка2]]-Таблица17[[#This Row],[Апосториорная вероятность]]=0,1,0)</f>
        <v>1</v>
      </c>
      <c r="AK10" s="117">
        <f>MATCH(MAX(Таблица17[[#This Row],[1 класс.]:[6 класс.]]),Таблица17[[#This Row],[1 класс.]:[6 класс.]],0)</f>
        <v>3</v>
      </c>
      <c r="AL10" s="120">
        <v>1.8164167097474275E-8</v>
      </c>
      <c r="AM10" s="120">
        <v>8.2764855964252606E-4</v>
      </c>
      <c r="AN10" s="120">
        <v>0.99917233327619037</v>
      </c>
      <c r="AO10" s="120">
        <v>0</v>
      </c>
      <c r="AP10" s="120">
        <v>0</v>
      </c>
      <c r="AQ10" s="120">
        <v>2.6863591876425386E-31</v>
      </c>
      <c r="AR10" s="216">
        <v>1.8164167097474275E-8</v>
      </c>
      <c r="AS10" s="216">
        <v>8.2764855964252606E-4</v>
      </c>
      <c r="AT10" s="216">
        <v>0.99917233327619037</v>
      </c>
      <c r="AU10" s="216">
        <v>0</v>
      </c>
      <c r="AV10" s="216">
        <v>0</v>
      </c>
      <c r="AW10" s="216">
        <v>2.6863591876425386E-31</v>
      </c>
      <c r="AX10" s="121" t="str">
        <f>RIGHT(Таблица17[[#This Row],[Класиф вкл2]])</f>
        <v>3</v>
      </c>
      <c r="AY10" s="221">
        <v>3</v>
      </c>
      <c r="AZ10" s="147">
        <f>IF(Таблица17[[#This Row],[обуч выборка2]]-Таблица17[[#This Row],[Класиф вкл]]=0,1,0)</f>
        <v>1</v>
      </c>
      <c r="BA10" s="117" t="s">
        <v>215</v>
      </c>
      <c r="BB10" s="147">
        <f>IF(Таблица17[[#This Row],[обуч выборка2]]-Таблица17[[#This Row],[Расстояние Махаланобиса вкл
]]=0,1,0)</f>
        <v>1</v>
      </c>
      <c r="BC10" s="117">
        <f>MATCH(MIN(Таблица17[[#This Row],[1 класс вкл]:[6 класс вкл]]),Таблица17[[#This Row],[1 класс вкл]:[6 класс вкл]],0)</f>
        <v>3</v>
      </c>
      <c r="BD10" s="118">
        <v>20.825200336947383</v>
      </c>
      <c r="BE10" s="118">
        <v>15.29412718017843</v>
      </c>
      <c r="BF10" s="118">
        <v>2.4406657473377877</v>
      </c>
      <c r="BG10" s="120">
        <v>192.23388818731516</v>
      </c>
      <c r="BH10" s="118">
        <v>141.41421956923253</v>
      </c>
      <c r="BI10" s="118">
        <v>120.42202321569326</v>
      </c>
      <c r="BJ10" s="147">
        <f>IF(Таблица17[[#This Row],[обуч выборка2]]-Таблица17[[#This Row],[Апосториорная вероятность вкл]]=0,1,0)</f>
        <v>1</v>
      </c>
      <c r="BK10" s="117">
        <f>MATCH(MAX(Таблица17[[#This Row],[1 класс вкл.]:[6 класс вкл.]]),Таблица17[[#This Row],[1 класс вкл.]:[6 класс вкл.]],0)</f>
        <v>3</v>
      </c>
      <c r="BL10" s="119">
        <v>2.0308047256191439E-4</v>
      </c>
      <c r="BM10" s="119">
        <v>2.5811629808479663E-3</v>
      </c>
      <c r="BN10" s="119">
        <v>0.99721575654659012</v>
      </c>
      <c r="BO10" s="119">
        <v>0</v>
      </c>
      <c r="BP10" s="119">
        <v>2.6492646563599907E-31</v>
      </c>
      <c r="BQ10" s="119">
        <v>1.4375207569933937E-26</v>
      </c>
      <c r="BR10" s="121" t="str">
        <f>RIGHT(Таблица17[[#This Row],[Класиф искл2]])</f>
        <v>3</v>
      </c>
      <c r="BS10" s="222">
        <v>3</v>
      </c>
      <c r="BT10" s="147">
        <f>IF(Таблица17[[#This Row],[обуч выборка2]]-Таблица17[[#This Row],[Класиф искл]]=0,1,0)</f>
        <v>1</v>
      </c>
      <c r="BU10" s="117" t="s">
        <v>215</v>
      </c>
      <c r="BV10" s="147">
        <f>IF(Таблица17[[#This Row],[обуч выборка2]]-Таблица17[[#This Row],[Расстояние Махаланобиса искл]]=0,1,0)</f>
        <v>1</v>
      </c>
      <c r="BW10" s="117">
        <f>MATCH(MIN(Таблица17[[#This Row],[1 класс искл]:[6 класс искл]]),Таблица17[[#This Row],[1 класс искл]:[6 класс искл]],0)</f>
        <v>3</v>
      </c>
      <c r="BX10" s="120">
        <v>17.499762055761476</v>
      </c>
      <c r="BY10" s="120">
        <v>17.209397473297358</v>
      </c>
      <c r="BZ10" s="120">
        <v>1.5047903625732657</v>
      </c>
      <c r="CA10" s="120">
        <v>200.39969525745062</v>
      </c>
      <c r="CB10" s="120">
        <v>180.21870201710007</v>
      </c>
      <c r="CC10" s="120">
        <v>67.644017337428522</v>
      </c>
      <c r="CD10" s="147">
        <f>IF(Таблица17[[#This Row],[обуч выборка2]]-Таблица17[[#This Row],[Апосториорная вероятность искл]]=0,1,0)</f>
        <v>1</v>
      </c>
      <c r="CE10" s="117">
        <f>MATCH(MAX(Таблица17[[#This Row],[1 класс искл.]:[6 класс искл.]]),Таблица17[[#This Row],[1 класс искл.]:[6 класс искл.]],0)</f>
        <v>3</v>
      </c>
      <c r="CF10" s="120">
        <v>6.7174442413362628E-4</v>
      </c>
      <c r="CG10" s="120">
        <v>6.2136376716761469E-4</v>
      </c>
      <c r="CH10" s="120">
        <v>0.99870689180869598</v>
      </c>
      <c r="CI10" s="120">
        <v>0</v>
      </c>
      <c r="CJ10" s="120">
        <v>0</v>
      </c>
      <c r="CK10" s="120">
        <v>2.6039859759186777E-15</v>
      </c>
      <c r="CL10" s="198">
        <v>-0.44316822585800819</v>
      </c>
      <c r="CM10" s="198">
        <v>-0.57811526202185071</v>
      </c>
      <c r="CN10" s="199">
        <v>-0.57975423589251374</v>
      </c>
      <c r="CO10" s="192">
        <v>5</v>
      </c>
      <c r="CP10" s="195">
        <v>5</v>
      </c>
      <c r="CQ10" s="209">
        <v>-1.193E-2</v>
      </c>
      <c r="CR10" s="209">
        <v>-0.53752</v>
      </c>
      <c r="CS10" s="223">
        <v>5</v>
      </c>
      <c r="CT10" s="223">
        <v>6</v>
      </c>
      <c r="CU10" s="209">
        <v>-0.53752</v>
      </c>
      <c r="CV10" s="209">
        <v>-1.193E-2</v>
      </c>
      <c r="CW10" s="209">
        <v>5</v>
      </c>
      <c r="CX10" s="210">
        <v>3</v>
      </c>
      <c r="CY10" s="271" t="str">
        <f>RIGHT(CX10)</f>
        <v>3</v>
      </c>
      <c r="CZ10" s="238">
        <v>5</v>
      </c>
    </row>
    <row r="11" spans="1:104" x14ac:dyDescent="0.3">
      <c r="A11" s="57" t="s">
        <v>19</v>
      </c>
      <c r="B11" s="57">
        <v>4</v>
      </c>
      <c r="C11" s="57">
        <v>6</v>
      </c>
      <c r="D11" s="57">
        <v>2</v>
      </c>
      <c r="E11" s="58">
        <v>6</v>
      </c>
      <c r="F11" s="58">
        <v>0.408590226</v>
      </c>
      <c r="G11" s="58">
        <v>0.24841818300000007</v>
      </c>
      <c r="H11" s="58">
        <v>-0.63389257500000007</v>
      </c>
      <c r="I11" s="58">
        <v>-0.43240516000000007</v>
      </c>
      <c r="J11" s="58">
        <v>0.12247867100000001</v>
      </c>
      <c r="K11" s="58">
        <v>0.10422085900000001</v>
      </c>
      <c r="L11" s="58">
        <v>-0.38164518000000003</v>
      </c>
      <c r="M11" s="58">
        <v>-0.41852329900000007</v>
      </c>
      <c r="N11" s="58">
        <v>0.6668393960000002</v>
      </c>
      <c r="O11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1.6088041728230946</v>
      </c>
      <c r="P11" s="114" t="s">
        <v>214</v>
      </c>
      <c r="Q11" s="114" t="str">
        <f>RIGHT(P11)</f>
        <v>2</v>
      </c>
      <c r="R11" s="121" t="str">
        <f>RIGHT(Таблица17[[#This Row],[Классиф ДА2]])</f>
        <v>2</v>
      </c>
      <c r="S11">
        <v>2</v>
      </c>
      <c r="T11" s="147">
        <f>IF(Таблица17[[#This Row],[обуч выборка2]]-Таблица17[[#This Row],[Классиф ДА]]=0,1,0)</f>
        <v>1</v>
      </c>
      <c r="U11" s="117" t="s">
        <v>214</v>
      </c>
      <c r="V11" s="147">
        <f>IF(Таблица17[[#This Row],[обуч выборка2]]-Таблица17[[#This Row],[расстояние Махаланобиса]]=0,1,0)</f>
        <v>1</v>
      </c>
      <c r="W11" s="117">
        <f>MATCH(MIN(Таблица17[[#This Row],[1 класс]:[6 класс]]),Таблица17[[#This Row],[1 класс]:[6 класс]],0)</f>
        <v>2</v>
      </c>
      <c r="X11" s="118">
        <v>35.315079760668965</v>
      </c>
      <c r="Y11" s="118">
        <v>5.5733537948291785</v>
      </c>
      <c r="Z11" s="118">
        <v>18.342453777694669</v>
      </c>
      <c r="AA11" s="118">
        <v>229.14824658069051</v>
      </c>
      <c r="AB11" s="118">
        <v>152.75747708829437</v>
      </c>
      <c r="AC11" s="118">
        <v>172.13766665856616</v>
      </c>
      <c r="AD11" s="212">
        <v>35.315079760668965</v>
      </c>
      <c r="AE11" s="212">
        <v>5.5733537948291785</v>
      </c>
      <c r="AF11" s="212">
        <v>18.342453777694669</v>
      </c>
      <c r="AG11" s="212">
        <v>229.14824658069051</v>
      </c>
      <c r="AH11" s="212">
        <v>152.75747708829437</v>
      </c>
      <c r="AI11" s="212">
        <v>172.13766665856616</v>
      </c>
      <c r="AJ11" s="147">
        <f>IF(Таблица17[[#This Row],[обуч выборка2]]-Таблица17[[#This Row],[Апосториорная вероятность]]=0,1,0)</f>
        <v>1</v>
      </c>
      <c r="AK11" s="117">
        <f>MATCH(MAX(Таблица17[[#This Row],[1 класс.]:[6 класс.]]),Таблица17[[#This Row],[1 класс.]:[6 класс.]],0)</f>
        <v>2</v>
      </c>
      <c r="AL11" s="120">
        <v>4.3462860471969657E-7</v>
      </c>
      <c r="AM11" s="120">
        <v>0.99894603462680753</v>
      </c>
      <c r="AN11" s="120">
        <v>1.0535307445876968E-3</v>
      </c>
      <c r="AO11" s="120">
        <v>0</v>
      </c>
      <c r="AP11" s="120">
        <v>0</v>
      </c>
      <c r="AQ11" s="120">
        <v>0</v>
      </c>
      <c r="AR11" s="216">
        <v>4.3462860471969657E-7</v>
      </c>
      <c r="AS11" s="216">
        <v>0.99894603462680753</v>
      </c>
      <c r="AT11" s="216">
        <v>1.0535307445876968E-3</v>
      </c>
      <c r="AU11" s="216">
        <v>0</v>
      </c>
      <c r="AV11" s="216">
        <v>0</v>
      </c>
      <c r="AW11" s="216">
        <v>0</v>
      </c>
      <c r="AX11" s="121" t="str">
        <f>RIGHT(Таблица17[[#This Row],[Класиф вкл2]])</f>
        <v>2</v>
      </c>
      <c r="AY11" s="221">
        <v>2</v>
      </c>
      <c r="AZ11" s="147">
        <f>IF(Таблица17[[#This Row],[обуч выборка2]]-Таблица17[[#This Row],[Класиф вкл]]=0,1,0)</f>
        <v>1</v>
      </c>
      <c r="BA11" s="117" t="s">
        <v>214</v>
      </c>
      <c r="BB11" s="147">
        <f>IF(Таблица17[[#This Row],[обуч выборка2]]-Таблица17[[#This Row],[Расстояние Махаланобиса вкл
]]=0,1,0)</f>
        <v>1</v>
      </c>
      <c r="BC11" s="117">
        <f>MATCH(MIN(Таблица17[[#This Row],[1 класс вкл]:[6 класс вкл]]),Таблица17[[#This Row],[1 класс вкл]:[6 класс вкл]],0)</f>
        <v>2</v>
      </c>
      <c r="BD11" s="118">
        <v>17.648739883418326</v>
      </c>
      <c r="BE11" s="118">
        <v>4.2499743799469432</v>
      </c>
      <c r="BF11" s="118">
        <v>15.015070695538572</v>
      </c>
      <c r="BG11" s="120">
        <v>168.80187390329056</v>
      </c>
      <c r="BH11" s="118">
        <v>104.47119053155575</v>
      </c>
      <c r="BI11" s="118">
        <v>133.92957396448614</v>
      </c>
      <c r="BJ11" s="147">
        <f>IF(Таблица17[[#This Row],[обуч выборка2]]-Таблица17[[#This Row],[Апосториорная вероятность вкл]]=0,1,0)</f>
        <v>1</v>
      </c>
      <c r="BK11" s="117">
        <f>MATCH(MAX(Таблица17[[#This Row],[1 класс вкл.]:[6 класс вкл.]]),Таблица17[[#This Row],[1 класс вкл.]:[6 класс вкл.]],0)</f>
        <v>2</v>
      </c>
      <c r="BL11" s="119">
        <v>1.5328268331103116E-3</v>
      </c>
      <c r="BM11" s="119">
        <v>0.99560723201772527</v>
      </c>
      <c r="BN11" s="119">
        <v>2.8599411491642157E-3</v>
      </c>
      <c r="BO11" s="119">
        <v>0</v>
      </c>
      <c r="BP11" s="119">
        <v>4.2980105695797788E-23</v>
      </c>
      <c r="BQ11" s="119">
        <v>2.5855447144270083E-29</v>
      </c>
      <c r="BR11" s="121" t="str">
        <f>RIGHT(Таблица17[[#This Row],[Класиф искл2]])</f>
        <v>2</v>
      </c>
      <c r="BS11" s="222">
        <v>2</v>
      </c>
      <c r="BT11" s="147">
        <f>IF(Таблица17[[#This Row],[обуч выборка2]]-Таблица17[[#This Row],[Класиф искл]]=0,1,0)</f>
        <v>1</v>
      </c>
      <c r="BU11" s="117" t="s">
        <v>214</v>
      </c>
      <c r="BV11" s="147">
        <f>IF(Таблица17[[#This Row],[обуч выборка2]]-Таблица17[[#This Row],[Расстояние Махаланобиса искл]]=0,1,0)</f>
        <v>1</v>
      </c>
      <c r="BW11" s="117">
        <f>MATCH(MIN(Таблица17[[#This Row],[1 класс искл]:[6 класс искл]]),Таблица17[[#This Row],[1 класс искл]:[6 класс искл]],0)</f>
        <v>2</v>
      </c>
      <c r="BX11" s="120">
        <v>15.612856467687715</v>
      </c>
      <c r="BY11" s="120">
        <v>3.3567840770283341</v>
      </c>
      <c r="BZ11" s="120">
        <v>14.3007743539979</v>
      </c>
      <c r="CA11" s="120">
        <v>172.49707445795397</v>
      </c>
      <c r="CB11" s="120">
        <v>132.4906088680479</v>
      </c>
      <c r="CC11" s="120">
        <v>78.225637087450025</v>
      </c>
      <c r="CD11" s="147">
        <f>IF(Таблица17[[#This Row],[обуч выборка2]]-Таблица17[[#This Row],[Апосториорная вероятность искл]]=0,1,0)</f>
        <v>1</v>
      </c>
      <c r="CE11" s="117">
        <f>MATCH(MAX(Таблица17[[#This Row],[1 класс искл.]:[6 класс искл.]]),Таблица17[[#This Row],[1 класс искл.]:[6 класс искл.]],0)</f>
        <v>2</v>
      </c>
      <c r="CF11" s="120">
        <v>2.7115598562803237E-3</v>
      </c>
      <c r="CG11" s="120">
        <v>0.99467565191415874</v>
      </c>
      <c r="CH11" s="120">
        <v>2.6127882295608807E-3</v>
      </c>
      <c r="CI11" s="120">
        <v>0</v>
      </c>
      <c r="CJ11" s="120">
        <v>2.2623913362369982E-29</v>
      </c>
      <c r="CK11" s="120">
        <v>2.0613317401656163E-17</v>
      </c>
      <c r="CL11" s="198">
        <v>9.2910548556283681E-2</v>
      </c>
      <c r="CM11" s="198">
        <v>0.61711236088415244</v>
      </c>
      <c r="CN11" s="199">
        <v>0.64673022071679098</v>
      </c>
      <c r="CO11" s="192">
        <v>4</v>
      </c>
      <c r="CP11" s="195">
        <v>3</v>
      </c>
      <c r="CQ11" s="209">
        <v>-0.39745000000000003</v>
      </c>
      <c r="CR11" s="209">
        <v>0.37058000000000008</v>
      </c>
      <c r="CS11" s="223">
        <v>4</v>
      </c>
      <c r="CT11" s="223">
        <v>2</v>
      </c>
      <c r="CU11" s="209">
        <v>0.37058000000000008</v>
      </c>
      <c r="CV11" s="209">
        <v>-0.39745000000000003</v>
      </c>
      <c r="CW11" s="209">
        <v>6</v>
      </c>
      <c r="CX11" s="210">
        <v>1</v>
      </c>
      <c r="CY11" s="238" t="s">
        <v>339</v>
      </c>
      <c r="CZ11" s="238">
        <v>4</v>
      </c>
    </row>
    <row r="12" spans="1:104" x14ac:dyDescent="0.3">
      <c r="A12" s="57" t="s">
        <v>20</v>
      </c>
      <c r="B12" s="57">
        <v>3</v>
      </c>
      <c r="C12" s="57">
        <v>1</v>
      </c>
      <c r="D12" s="57">
        <v>4</v>
      </c>
      <c r="E12" s="58">
        <v>1</v>
      </c>
      <c r="F12" s="58">
        <v>-1.2545451999999999</v>
      </c>
      <c r="G12" s="58">
        <v>1.7259112700000001</v>
      </c>
      <c r="H12" s="58">
        <v>-0.71721293799999997</v>
      </c>
      <c r="I12" s="58">
        <v>0.92777866700000011</v>
      </c>
      <c r="J12" s="58">
        <v>6.8915327899999994</v>
      </c>
      <c r="K12" s="58">
        <v>3.8590870500000003</v>
      </c>
      <c r="L12" s="58">
        <v>3.06948211</v>
      </c>
      <c r="M12" s="58">
        <v>-0.18112886799999997</v>
      </c>
      <c r="N12" s="58">
        <v>1.3464929300000001</v>
      </c>
      <c r="O12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79.581169380314577</v>
      </c>
      <c r="P12" s="115"/>
      <c r="Q12" s="115"/>
      <c r="R12" s="121" t="str">
        <f>RIGHT(Таблица17[[#This Row],[Классиф ДА2]])</f>
        <v>4</v>
      </c>
      <c r="S12">
        <v>4</v>
      </c>
      <c r="T12" s="147">
        <f>IF(Таблица17[[#This Row],[обуч выборка2]]-Таблица17[[#This Row],[Классиф ДА]]=0,1,0)</f>
        <v>0</v>
      </c>
      <c r="U12" s="117" t="s">
        <v>216</v>
      </c>
      <c r="V12" s="147">
        <f>IF(Таблица17[[#This Row],[обуч выборка2]]-Таблица17[[#This Row],[расстояние Махаланобиса]]=0,1,0)</f>
        <v>0</v>
      </c>
      <c r="W12" s="117">
        <f>MATCH(MIN(Таблица17[[#This Row],[1 класс]:[6 класс]]),Таблица17[[#This Row],[1 класс]:[6 класс]],0)</f>
        <v>4</v>
      </c>
      <c r="X12" s="118">
        <v>1331.9694763097862</v>
      </c>
      <c r="Y12" s="118">
        <v>1291.0974789886411</v>
      </c>
      <c r="Z12" s="118">
        <v>1313.521283643983</v>
      </c>
      <c r="AA12" s="118">
        <v>1048.8457934989572</v>
      </c>
      <c r="AB12" s="118">
        <v>1248.5198612770032</v>
      </c>
      <c r="AC12" s="118">
        <v>1533.2639450837869</v>
      </c>
      <c r="AD12" s="212">
        <v>1331.9694763097862</v>
      </c>
      <c r="AE12" s="212">
        <v>1291.0974789886411</v>
      </c>
      <c r="AF12" s="212">
        <v>1313.521283643983</v>
      </c>
      <c r="AG12" s="212">
        <v>1048.8457934989572</v>
      </c>
      <c r="AH12" s="212">
        <v>1248.5198612770032</v>
      </c>
      <c r="AI12" s="212">
        <v>1533.2639450837869</v>
      </c>
      <c r="AJ12" s="147">
        <f>IF(Таблица17[[#This Row],[обуч выборка2]]-Таблица17[[#This Row],[Апосториорная вероятность]]=0,1,0)</f>
        <v>0</v>
      </c>
      <c r="AK12" s="117">
        <f>MATCH(MAX(Таблица17[[#This Row],[1 класс.]:[6 класс.]]),Таблица17[[#This Row],[1 класс.]:[6 класс.]],0)</f>
        <v>4</v>
      </c>
      <c r="AL12" s="120">
        <v>0</v>
      </c>
      <c r="AM12" s="120">
        <v>0</v>
      </c>
      <c r="AN12" s="120">
        <v>0</v>
      </c>
      <c r="AO12" s="120">
        <v>1</v>
      </c>
      <c r="AP12" s="120">
        <v>0</v>
      </c>
      <c r="AQ12" s="120">
        <v>0</v>
      </c>
      <c r="AR12" s="216">
        <v>0</v>
      </c>
      <c r="AS12" s="216">
        <v>0</v>
      </c>
      <c r="AT12" s="216">
        <v>0</v>
      </c>
      <c r="AU12" s="216">
        <v>1</v>
      </c>
      <c r="AV12" s="216">
        <v>0</v>
      </c>
      <c r="AW12" s="216">
        <v>0</v>
      </c>
      <c r="AX12" s="121" t="str">
        <f>RIGHT(Таблица17[[#This Row],[Класиф вкл2]])</f>
        <v>4</v>
      </c>
      <c r="AY12" s="221">
        <v>4</v>
      </c>
      <c r="AZ12" s="147">
        <f>IF(Таблица17[[#This Row],[обуч выборка2]]-Таблица17[[#This Row],[Класиф вкл]]=0,1,0)</f>
        <v>0</v>
      </c>
      <c r="BA12" s="117" t="s">
        <v>216</v>
      </c>
      <c r="BB12" s="147">
        <f>IF(Таблица17[[#This Row],[обуч выборка2]]-Таблица17[[#This Row],[Расстояние Махаланобиса вкл
]]=0,1,0)</f>
        <v>0</v>
      </c>
      <c r="BC12" s="117">
        <f>MATCH(MIN(Таблица17[[#This Row],[1 класс вкл]:[6 класс вкл]]),Таблица17[[#This Row],[1 класс вкл]:[6 класс вкл]],0)</f>
        <v>4</v>
      </c>
      <c r="BD12" s="118">
        <v>1246.690134632257</v>
      </c>
      <c r="BE12" s="118">
        <v>1186.8260372927011</v>
      </c>
      <c r="BF12" s="118">
        <v>1211.4034119628709</v>
      </c>
      <c r="BG12" s="120">
        <v>848.26924007098171</v>
      </c>
      <c r="BH12" s="118">
        <v>1043.6756777170037</v>
      </c>
      <c r="BI12" s="118">
        <v>1489.1208669811531</v>
      </c>
      <c r="BJ12" s="147">
        <f>IF(Таблица17[[#This Row],[обуч выборка2]]-Таблица17[[#This Row],[Апосториорная вероятность вкл]]=0,1,0)</f>
        <v>0</v>
      </c>
      <c r="BK12" s="117">
        <f>MATCH(MAX(Таблица17[[#This Row],[1 класс вкл.]:[6 класс вкл.]]),Таблица17[[#This Row],[1 класс вкл.]:[6 класс вкл.]],0)</f>
        <v>4</v>
      </c>
      <c r="BL12" s="119">
        <v>0</v>
      </c>
      <c r="BM12" s="119">
        <v>0</v>
      </c>
      <c r="BN12" s="119">
        <v>0</v>
      </c>
      <c r="BO12" s="119">
        <v>1</v>
      </c>
      <c r="BP12" s="119">
        <v>0</v>
      </c>
      <c r="BQ12" s="119">
        <v>0</v>
      </c>
      <c r="BR12" s="121" t="str">
        <f>RIGHT(Таблица17[[#This Row],[Класиф искл2]])</f>
        <v>4</v>
      </c>
      <c r="BS12" s="222">
        <v>4</v>
      </c>
      <c r="BT12" s="147">
        <f>IF(Таблица17[[#This Row],[обуч выборка2]]-Таблица17[[#This Row],[Класиф искл]]=0,1,0)</f>
        <v>0</v>
      </c>
      <c r="BU12" s="117" t="s">
        <v>216</v>
      </c>
      <c r="BV12" s="147">
        <f>IF(Таблица17[[#This Row],[обуч выборка2]]-Таблица17[[#This Row],[Расстояние Махаланобиса искл]]=0,1,0)</f>
        <v>0</v>
      </c>
      <c r="BW12" s="117">
        <f>MATCH(MIN(Таблица17[[#This Row],[1 класс искл]:[6 класс искл]]),Таблица17[[#This Row],[1 класс искл]:[6 класс искл]],0)</f>
        <v>4</v>
      </c>
      <c r="BX12" s="120">
        <v>337.31104584532932</v>
      </c>
      <c r="BY12" s="120">
        <v>350.54739894563488</v>
      </c>
      <c r="BZ12" s="120">
        <v>363.99217995294867</v>
      </c>
      <c r="CA12" s="120">
        <v>143.09794001638824</v>
      </c>
      <c r="CB12" s="120">
        <v>470.06918506333415</v>
      </c>
      <c r="CC12" s="120">
        <v>234.70001602996678</v>
      </c>
      <c r="CD12" s="147">
        <f>IF(Таблица17[[#This Row],[обуч выборка2]]-Таблица17[[#This Row],[Апосториорная вероятность искл]]=0,1,0)</f>
        <v>0</v>
      </c>
      <c r="CE12" s="117">
        <f>MATCH(MAX(Таблица17[[#This Row],[1 класс искл.]:[6 класс искл.]]),Таблица17[[#This Row],[1 класс искл.]:[6 класс искл.]],0)</f>
        <v>4</v>
      </c>
      <c r="CF12" s="120">
        <v>0</v>
      </c>
      <c r="CG12" s="120">
        <v>0</v>
      </c>
      <c r="CH12" s="120">
        <v>0</v>
      </c>
      <c r="CI12" s="120">
        <v>1</v>
      </c>
      <c r="CJ12" s="120">
        <v>0</v>
      </c>
      <c r="CK12" s="120">
        <v>1.927317155892862E-20</v>
      </c>
      <c r="CL12" s="198">
        <v>3.8561089628134808</v>
      </c>
      <c r="CM12" s="198">
        <v>2.4828261942325693</v>
      </c>
      <c r="CN12" s="199">
        <v>-3.1767247713862439</v>
      </c>
      <c r="CO12" s="192">
        <v>3</v>
      </c>
      <c r="CP12" s="195">
        <v>1</v>
      </c>
      <c r="CQ12" s="209">
        <v>1.2853300000000001</v>
      </c>
      <c r="CR12" s="209">
        <v>4.5312900000000003</v>
      </c>
      <c r="CS12" s="223">
        <v>1</v>
      </c>
      <c r="CT12" s="223">
        <v>4</v>
      </c>
      <c r="CU12" s="209">
        <v>4.5312900000000003</v>
      </c>
      <c r="CV12" s="209">
        <v>1.2853300000000001</v>
      </c>
      <c r="CW12" s="209">
        <v>2</v>
      </c>
      <c r="CX12" s="210">
        <v>6</v>
      </c>
      <c r="CY12" s="238" t="s">
        <v>339</v>
      </c>
      <c r="CZ12" s="238">
        <v>6</v>
      </c>
    </row>
    <row r="13" spans="1:104" x14ac:dyDescent="0.3">
      <c r="A13" s="57" t="s">
        <v>21</v>
      </c>
      <c r="B13" s="57">
        <v>5</v>
      </c>
      <c r="C13" s="57">
        <v>6</v>
      </c>
      <c r="D13" s="57">
        <v>3</v>
      </c>
      <c r="E13" s="58">
        <v>6</v>
      </c>
      <c r="F13" s="58">
        <v>9.6892990599999992E-2</v>
      </c>
      <c r="G13" s="58">
        <v>-2.1992953599999998</v>
      </c>
      <c r="H13" s="58">
        <v>1.7329891800000001</v>
      </c>
      <c r="I13" s="58">
        <v>-0.17048649300000004</v>
      </c>
      <c r="J13" s="58">
        <v>-0.79567863100000014</v>
      </c>
      <c r="K13" s="58">
        <v>-0.79368192500000001</v>
      </c>
      <c r="L13" s="58">
        <v>7.2950210500000001E-2</v>
      </c>
      <c r="M13" s="58">
        <v>-1.1522879000000001</v>
      </c>
      <c r="N13" s="58">
        <v>-0.8272056510000001</v>
      </c>
      <c r="O13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11.158999284221458</v>
      </c>
      <c r="P13" s="114"/>
      <c r="Q13" s="114"/>
      <c r="R13" s="121" t="str">
        <f>RIGHT(Таблица17[[#This Row],[Классиф ДА2]])</f>
        <v>3</v>
      </c>
      <c r="S13">
        <v>3</v>
      </c>
      <c r="T13" s="147">
        <f>IF(Таблица17[[#This Row],[обуч выборка2]]-Таблица17[[#This Row],[Классиф ДА]]=0,1,0)</f>
        <v>0</v>
      </c>
      <c r="U13" s="117" t="s">
        <v>215</v>
      </c>
      <c r="V13" s="147">
        <f>IF(Таблица17[[#This Row],[обуч выборка2]]-Таблица17[[#This Row],[расстояние Махаланобиса]]=0,1,0)</f>
        <v>0</v>
      </c>
      <c r="W13" s="117">
        <f>MATCH(MIN(Таблица17[[#This Row],[1 класс]:[6 класс]]),Таблица17[[#This Row],[1 класс]:[6 класс]],0)</f>
        <v>3</v>
      </c>
      <c r="X13" s="118">
        <v>88.730024477835684</v>
      </c>
      <c r="Y13" s="118">
        <v>66.377966502997978</v>
      </c>
      <c r="Z13" s="118">
        <v>34.174084538193789</v>
      </c>
      <c r="AA13" s="118">
        <v>410.7595690138869</v>
      </c>
      <c r="AB13" s="118">
        <v>276.80793340459468</v>
      </c>
      <c r="AC13" s="118">
        <v>157.03006898590945</v>
      </c>
      <c r="AD13" s="212">
        <v>88.730024477835684</v>
      </c>
      <c r="AE13" s="212">
        <v>66.377966502997978</v>
      </c>
      <c r="AF13" s="212">
        <v>34.174084538193789</v>
      </c>
      <c r="AG13" s="212">
        <v>410.7595690138869</v>
      </c>
      <c r="AH13" s="212">
        <v>276.80793340459468</v>
      </c>
      <c r="AI13" s="212">
        <v>157.03006898590945</v>
      </c>
      <c r="AJ13" s="147">
        <f>IF(Таблица17[[#This Row],[обуч выборка2]]-Таблица17[[#This Row],[Апосториорная вероятность]]=0,1,0)</f>
        <v>0</v>
      </c>
      <c r="AK13" s="117">
        <f>MATCH(MAX(Таблица17[[#This Row],[1 класс.]:[6 класс.]]),Таблица17[[#This Row],[1 класс.]:[6 класс.]],0)</f>
        <v>3</v>
      </c>
      <c r="AL13" s="120">
        <v>2.8468074233708946E-12</v>
      </c>
      <c r="AM13" s="120">
        <v>1.6260571127372047E-7</v>
      </c>
      <c r="AN13" s="120">
        <v>0.99999983739144183</v>
      </c>
      <c r="AO13" s="120">
        <v>0</v>
      </c>
      <c r="AP13" s="120">
        <v>0</v>
      </c>
      <c r="AQ13" s="120">
        <v>1.2598334133640706E-27</v>
      </c>
      <c r="AR13" s="216">
        <v>2.8468074233708946E-12</v>
      </c>
      <c r="AS13" s="216">
        <v>1.6260571127372047E-7</v>
      </c>
      <c r="AT13" s="216">
        <v>0.99999983739144183</v>
      </c>
      <c r="AU13" s="216">
        <v>0</v>
      </c>
      <c r="AV13" s="216">
        <v>0</v>
      </c>
      <c r="AW13" s="216">
        <v>1.2598334133640706E-27</v>
      </c>
      <c r="AX13" s="121" t="str">
        <f>RIGHT(Таблица17[[#This Row],[Класиф вкл2]])</f>
        <v>3</v>
      </c>
      <c r="AY13" s="221">
        <v>3</v>
      </c>
      <c r="AZ13" s="147">
        <f>IF(Таблица17[[#This Row],[обуч выборка2]]-Таблица17[[#This Row],[Класиф вкл]]=0,1,0)</f>
        <v>0</v>
      </c>
      <c r="BA13" s="117" t="s">
        <v>215</v>
      </c>
      <c r="BB13" s="147">
        <f>IF(Таблица17[[#This Row],[обуч выборка2]]-Таблица17[[#This Row],[Расстояние Махаланобиса вкл
]]=0,1,0)</f>
        <v>0</v>
      </c>
      <c r="BC13" s="117">
        <f>MATCH(MIN(Таблица17[[#This Row],[1 класс вкл]:[6 класс вкл]]),Таблица17[[#This Row],[1 класс вкл]:[6 класс вкл]],0)</f>
        <v>3</v>
      </c>
      <c r="BD13" s="118">
        <v>45.390422307539922</v>
      </c>
      <c r="BE13" s="118">
        <v>25.66408650126284</v>
      </c>
      <c r="BF13" s="118">
        <v>8.0960733196023824</v>
      </c>
      <c r="BG13" s="120">
        <v>234.98529155852231</v>
      </c>
      <c r="BH13" s="118">
        <v>133.87297447644093</v>
      </c>
      <c r="BI13" s="118">
        <v>114.22759398439412</v>
      </c>
      <c r="BJ13" s="147">
        <f>IF(Таблица17[[#This Row],[обуч выборка2]]-Таблица17[[#This Row],[Апосториорная вероятность вкл]]=0,1,0)</f>
        <v>0</v>
      </c>
      <c r="BK13" s="117">
        <f>MATCH(MAX(Таблица17[[#This Row],[1 класс вкл.]:[6 класс вкл.]]),Таблица17[[#This Row],[1 класс вкл.]:[6 класс вкл.]],0)</f>
        <v>3</v>
      </c>
      <c r="BL13" s="119">
        <v>1.594257935085274E-8</v>
      </c>
      <c r="BM13" s="119">
        <v>2.450010630102401E-4</v>
      </c>
      <c r="BN13" s="119">
        <v>0.99975498299441046</v>
      </c>
      <c r="BO13" s="119">
        <v>0</v>
      </c>
      <c r="BP13" s="119">
        <v>1.9491555870590447E-28</v>
      </c>
      <c r="BQ13" s="119">
        <v>5.3935900928850664E-24</v>
      </c>
      <c r="BR13" s="121" t="str">
        <f>RIGHT(Таблица17[[#This Row],[Класиф искл2]])</f>
        <v>3</v>
      </c>
      <c r="BS13" s="222">
        <v>3</v>
      </c>
      <c r="BT13" s="147">
        <f>IF(Таблица17[[#This Row],[обуч выборка2]]-Таблица17[[#This Row],[Класиф искл]]=0,1,0)</f>
        <v>0</v>
      </c>
      <c r="BU13" s="117" t="s">
        <v>215</v>
      </c>
      <c r="BV13" s="147">
        <f>IF(Таблица17[[#This Row],[обуч выборка2]]-Таблица17[[#This Row],[Расстояние Махаланобиса искл]]=0,1,0)</f>
        <v>0</v>
      </c>
      <c r="BW13" s="117">
        <f>MATCH(MIN(Таблица17[[#This Row],[1 класс искл]:[6 класс искл]]),Таблица17[[#This Row],[1 класс искл]:[6 класс искл]],0)</f>
        <v>3</v>
      </c>
      <c r="BX13" s="120">
        <v>52.870149662259315</v>
      </c>
      <c r="BY13" s="120">
        <v>55.134589785763509</v>
      </c>
      <c r="BZ13" s="120">
        <v>22.764483546968133</v>
      </c>
      <c r="CA13" s="120">
        <v>278.50826165209099</v>
      </c>
      <c r="CB13" s="120">
        <v>233.80642484371916</v>
      </c>
      <c r="CC13" s="120">
        <v>85.700345781912702</v>
      </c>
      <c r="CD13" s="147">
        <f>IF(Таблица17[[#This Row],[обуч выборка2]]-Таблица17[[#This Row],[Апосториорная вероятность искл]]=0,1,0)</f>
        <v>0</v>
      </c>
      <c r="CE13" s="117">
        <f>MATCH(MAX(Таблица17[[#This Row],[1 класс искл.]:[6 класс искл.]]),Таблица17[[#This Row],[1 класс искл.]:[6 класс искл.]],0)</f>
        <v>3</v>
      </c>
      <c r="CF13" s="120">
        <v>5.8031974139128138E-7</v>
      </c>
      <c r="CG13" s="120">
        <v>1.4963748717000113E-7</v>
      </c>
      <c r="CH13" s="120">
        <v>0.99999927004275846</v>
      </c>
      <c r="CI13" s="120">
        <v>0</v>
      </c>
      <c r="CJ13" s="120">
        <v>0</v>
      </c>
      <c r="CK13" s="120">
        <v>1.2936062111578224E-14</v>
      </c>
      <c r="CL13" s="198">
        <v>-0.37087827546333718</v>
      </c>
      <c r="CM13" s="198">
        <v>-1.5215214439673252</v>
      </c>
      <c r="CN13" s="199">
        <v>0.78947782498378594</v>
      </c>
      <c r="CO13" s="192">
        <v>5</v>
      </c>
      <c r="CP13" s="195">
        <v>5</v>
      </c>
      <c r="CQ13" s="209">
        <v>0.34099000000000002</v>
      </c>
      <c r="CR13" s="209">
        <v>-1.0431300000000001</v>
      </c>
      <c r="CS13" s="223">
        <v>5</v>
      </c>
      <c r="CT13" s="223">
        <v>6</v>
      </c>
      <c r="CU13" s="209">
        <v>-1.0431300000000001</v>
      </c>
      <c r="CV13" s="209">
        <v>0.34099000000000002</v>
      </c>
      <c r="CW13" s="209">
        <v>1</v>
      </c>
      <c r="CX13" s="210">
        <v>3</v>
      </c>
      <c r="CY13" s="238" t="s">
        <v>341</v>
      </c>
      <c r="CZ13" s="238">
        <v>2</v>
      </c>
    </row>
    <row r="14" spans="1:104" x14ac:dyDescent="0.3">
      <c r="A14" s="57" t="s">
        <v>22</v>
      </c>
      <c r="B14" s="57">
        <v>5</v>
      </c>
      <c r="C14" s="57">
        <v>6</v>
      </c>
      <c r="D14" s="57">
        <v>1</v>
      </c>
      <c r="E14" s="58">
        <v>6</v>
      </c>
      <c r="F14" s="58">
        <v>-0.39597123000000001</v>
      </c>
      <c r="G14" s="58">
        <v>-0.97790107900000001</v>
      </c>
      <c r="H14" s="58">
        <v>-0.22288951599999998</v>
      </c>
      <c r="I14" s="58">
        <v>3.2830160300000008E-2</v>
      </c>
      <c r="J14" s="58">
        <v>-0.41333746700000007</v>
      </c>
      <c r="K14" s="58">
        <v>-7.9441074200000017E-2</v>
      </c>
      <c r="L14" s="58">
        <v>8.0467671800000001E-2</v>
      </c>
      <c r="M14" s="58">
        <v>-1.6702393900000001</v>
      </c>
      <c r="N14" s="58">
        <v>-0.78455041700000006</v>
      </c>
      <c r="O14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4.7526940609049886</v>
      </c>
      <c r="P14" s="114"/>
      <c r="Q14" s="114"/>
      <c r="R14" s="121" t="str">
        <f>RIGHT(Таблица17[[#This Row],[Классиф ДА2]])</f>
        <v>3</v>
      </c>
      <c r="S14">
        <v>3</v>
      </c>
      <c r="T14" s="147">
        <f>IF(Таблица17[[#This Row],[обуч выборка2]]-Таблица17[[#This Row],[Классиф ДА]]=0,1,0)</f>
        <v>0</v>
      </c>
      <c r="U14" s="117" t="s">
        <v>215</v>
      </c>
      <c r="V14" s="147">
        <f>IF(Таблица17[[#This Row],[обуч выборка2]]-Таблица17[[#This Row],[расстояние Махаланобиса]]=0,1,0)</f>
        <v>0</v>
      </c>
      <c r="W14" s="117">
        <f>MATCH(MIN(Таблица17[[#This Row],[1 класс]:[6 класс]]),Таблица17[[#This Row],[1 класс]:[6 класс]],0)</f>
        <v>3</v>
      </c>
      <c r="X14" s="118">
        <v>24.755551503767943</v>
      </c>
      <c r="Y14" s="118">
        <v>29.148441198900777</v>
      </c>
      <c r="Z14" s="118">
        <v>21.553976240310028</v>
      </c>
      <c r="AA14" s="118">
        <v>282.61207578161662</v>
      </c>
      <c r="AB14" s="118">
        <v>272.20291514259168</v>
      </c>
      <c r="AC14" s="118">
        <v>87.32927573085405</v>
      </c>
      <c r="AD14" s="212">
        <v>24.755551503767943</v>
      </c>
      <c r="AE14" s="212">
        <v>29.148441198900777</v>
      </c>
      <c r="AF14" s="212">
        <v>21.553976240310028</v>
      </c>
      <c r="AG14" s="212">
        <v>282.61207578161662</v>
      </c>
      <c r="AH14" s="212">
        <v>272.20291514259168</v>
      </c>
      <c r="AI14" s="212">
        <v>87.32927573085405</v>
      </c>
      <c r="AJ14" s="147">
        <f>IF(Таблица17[[#This Row],[обуч выборка2]]-Таблица17[[#This Row],[Апосториорная вероятность]]=0,1,0)</f>
        <v>0</v>
      </c>
      <c r="AK14" s="117">
        <f>MATCH(MAX(Таблица17[[#This Row],[1 класс.]:[6 класс.]]),Таблица17[[#This Row],[1 класс.]:[6 класс.]],0)</f>
        <v>3</v>
      </c>
      <c r="AL14" s="120">
        <v>0.28031417029354411</v>
      </c>
      <c r="AM14" s="120">
        <v>2.4936251096148249E-2</v>
      </c>
      <c r="AN14" s="120">
        <v>0.6947495786103054</v>
      </c>
      <c r="AO14" s="120">
        <v>0</v>
      </c>
      <c r="AP14" s="120">
        <v>0</v>
      </c>
      <c r="AQ14" s="120">
        <v>2.1729750273851464E-15</v>
      </c>
      <c r="AR14" s="216">
        <v>0.28031417029354411</v>
      </c>
      <c r="AS14" s="216">
        <v>2.4936251096148249E-2</v>
      </c>
      <c r="AT14" s="216">
        <v>0.6947495786103054</v>
      </c>
      <c r="AU14" s="216">
        <v>0</v>
      </c>
      <c r="AV14" s="216">
        <v>0</v>
      </c>
      <c r="AW14" s="216">
        <v>2.1729750273851464E-15</v>
      </c>
      <c r="AX14" s="121" t="str">
        <f>RIGHT(Таблица17[[#This Row],[Класиф вкл2]])</f>
        <v>1</v>
      </c>
      <c r="AY14" s="221">
        <v>1</v>
      </c>
      <c r="AZ14" s="147">
        <f>IF(Таблица17[[#This Row],[обуч выборка2]]-Таблица17[[#This Row],[Класиф вкл]]=0,1,0)</f>
        <v>0</v>
      </c>
      <c r="BA14" s="117" t="s">
        <v>213</v>
      </c>
      <c r="BB14" s="147">
        <f>IF(Таблица17[[#This Row],[обуч выборка2]]-Таблица17[[#This Row],[Расстояние Махаланобиса вкл
]]=0,1,0)</f>
        <v>0</v>
      </c>
      <c r="BC14" s="117">
        <f>MATCH(MIN(Таблица17[[#This Row],[1 класс вкл]:[6 класс вкл]]),Таблица17[[#This Row],[1 класс вкл]:[6 класс вкл]],0)</f>
        <v>1</v>
      </c>
      <c r="BD14" s="118">
        <v>5.5180109008360532</v>
      </c>
      <c r="BE14" s="118">
        <v>16.508235798336038</v>
      </c>
      <c r="BF14" s="118">
        <v>16.22560051567466</v>
      </c>
      <c r="BG14" s="120">
        <v>165.23224812408449</v>
      </c>
      <c r="BH14" s="118">
        <v>178.72261229516175</v>
      </c>
      <c r="BI14" s="118">
        <v>64.320806308247754</v>
      </c>
      <c r="BJ14" s="147">
        <f>IF(Таблица17[[#This Row],[обуч выборка2]]-Таблица17[[#This Row],[Апосториорная вероятность вкл]]=0,1,0)</f>
        <v>0</v>
      </c>
      <c r="BK14" s="117">
        <f>MATCH(MAX(Таблица17[[#This Row],[1 класс вкл.]:[6 класс вкл.]]),Таблица17[[#This Row],[1 класс вкл.]:[6 класс вкл.]],0)</f>
        <v>1</v>
      </c>
      <c r="BL14" s="119">
        <v>0.99438122984681609</v>
      </c>
      <c r="BM14" s="119">
        <v>3.2669756004272119E-3</v>
      </c>
      <c r="BN14" s="119">
        <v>2.3517945527058467E-3</v>
      </c>
      <c r="BO14" s="119">
        <v>0</v>
      </c>
      <c r="BP14" s="119">
        <v>0</v>
      </c>
      <c r="BQ14" s="123">
        <v>5.0793646204995165E-14</v>
      </c>
      <c r="BR14" s="121" t="str">
        <f>RIGHT(Таблица17[[#This Row],[Класиф искл2]])</f>
        <v>1</v>
      </c>
      <c r="BS14" s="222">
        <v>1</v>
      </c>
      <c r="BT14" s="147">
        <f>IF(Таблица17[[#This Row],[обуч выборка2]]-Таблица17[[#This Row],[Класиф искл]]=0,1,0)</f>
        <v>0</v>
      </c>
      <c r="BU14" s="117" t="s">
        <v>213</v>
      </c>
      <c r="BV14" s="147">
        <f>IF(Таблица17[[#This Row],[обуч выборка2]]-Таблица17[[#This Row],[Расстояние Махаланобиса искл]]=0,1,0)</f>
        <v>0</v>
      </c>
      <c r="BW14" s="117">
        <f>MATCH(MIN(Таблица17[[#This Row],[1 класс искл]:[6 класс искл]]),Таблица17[[#This Row],[1 класс искл]:[6 класс искл]],0)</f>
        <v>1</v>
      </c>
      <c r="BX14" s="120">
        <v>5.2835936819127349</v>
      </c>
      <c r="BY14" s="120">
        <v>21.388966067852245</v>
      </c>
      <c r="BZ14" s="120">
        <v>15.032526733940609</v>
      </c>
      <c r="CA14" s="120">
        <v>168.60954469568188</v>
      </c>
      <c r="CB14" s="120">
        <v>212.83287393879237</v>
      </c>
      <c r="CC14" s="120">
        <v>43.422353010126685</v>
      </c>
      <c r="CD14" s="147">
        <f>IF(Таблица17[[#This Row],[обуч выборка2]]-Таблица17[[#This Row],[Апосториорная вероятность искл]]=0,1,0)</f>
        <v>0</v>
      </c>
      <c r="CE14" s="117">
        <f>MATCH(MAX(Таблица17[[#This Row],[1 класс искл.]:[6 класс искл.]]),Таблица17[[#This Row],[1 класс искл.]:[6 класс искл.]],0)</f>
        <v>1</v>
      </c>
      <c r="CF14" s="120">
        <v>0.99594234910459256</v>
      </c>
      <c r="CG14" s="120">
        <v>2.5356365807728673E-4</v>
      </c>
      <c r="CH14" s="120">
        <v>3.8040856755171141E-3</v>
      </c>
      <c r="CI14" s="120">
        <v>0</v>
      </c>
      <c r="CJ14" s="120">
        <v>0</v>
      </c>
      <c r="CK14" s="120">
        <v>1.56181321408518E-9</v>
      </c>
      <c r="CL14" s="198">
        <v>0.25347253807895676</v>
      </c>
      <c r="CM14" s="198">
        <v>-0.74512044153099644</v>
      </c>
      <c r="CN14" s="199">
        <v>1.3362660915278128</v>
      </c>
      <c r="CO14" s="192">
        <v>5</v>
      </c>
      <c r="CP14" s="195">
        <v>5</v>
      </c>
      <c r="CQ14" s="209">
        <v>0.35738000000000009</v>
      </c>
      <c r="CR14" s="209">
        <v>-0.37621000000000004</v>
      </c>
      <c r="CS14" s="223">
        <v>5</v>
      </c>
      <c r="CT14" s="223">
        <v>6</v>
      </c>
      <c r="CU14" s="209">
        <v>-0.37621000000000004</v>
      </c>
      <c r="CV14" s="209">
        <v>0.35738000000000009</v>
      </c>
      <c r="CW14" s="209">
        <v>1</v>
      </c>
      <c r="CX14" s="210">
        <v>3</v>
      </c>
      <c r="CY14" s="238" t="s">
        <v>341</v>
      </c>
      <c r="CZ14" s="238">
        <v>2</v>
      </c>
    </row>
    <row r="15" spans="1:104" x14ac:dyDescent="0.3">
      <c r="A15" s="57" t="s">
        <v>23</v>
      </c>
      <c r="B15" s="57">
        <v>6</v>
      </c>
      <c r="C15" s="57">
        <v>6</v>
      </c>
      <c r="D15" s="57">
        <v>1</v>
      </c>
      <c r="E15" s="58">
        <v>6</v>
      </c>
      <c r="F15" s="58">
        <v>-2.35099127E-2</v>
      </c>
      <c r="G15" s="58">
        <v>-0.10125518100000001</v>
      </c>
      <c r="H15" s="58">
        <v>-0.23314975900000001</v>
      </c>
      <c r="I15" s="58">
        <v>-0.72464517800000017</v>
      </c>
      <c r="J15" s="58">
        <v>-0.47728537300000007</v>
      </c>
      <c r="K15" s="58">
        <v>-0.24269612600000001</v>
      </c>
      <c r="L15" s="58">
        <v>-0.81386441200000015</v>
      </c>
      <c r="M15" s="58">
        <v>1.97700232</v>
      </c>
      <c r="N15" s="58">
        <v>-0.39004004399999997</v>
      </c>
      <c r="O15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5.6000221986339032</v>
      </c>
      <c r="P15" s="114"/>
      <c r="Q15" s="114"/>
      <c r="R15" s="121" t="str">
        <f>RIGHT(Таблица17[[#This Row],[Классиф ДА2]])</f>
        <v>1</v>
      </c>
      <c r="S15">
        <v>1</v>
      </c>
      <c r="T15" s="147">
        <f>IF(Таблица17[[#This Row],[обуч выборка2]]-Таблица17[[#This Row],[Классиф ДА]]=0,1,0)</f>
        <v>0</v>
      </c>
      <c r="U15" s="117" t="s">
        <v>213</v>
      </c>
      <c r="V15" s="147">
        <f>IF(Таблица17[[#This Row],[обуч выборка2]]-Таблица17[[#This Row],[расстояние Махаланобиса]]=0,1,0)</f>
        <v>0</v>
      </c>
      <c r="W15" s="117">
        <f>MATCH(MIN(Таблица17[[#This Row],[1 класс]:[6 класс]]),Таблица17[[#This Row],[1 класс]:[6 класс]],0)</f>
        <v>1</v>
      </c>
      <c r="X15" s="118">
        <v>20.845163286813989</v>
      </c>
      <c r="Y15" s="118">
        <v>48.007958584780319</v>
      </c>
      <c r="Z15" s="118">
        <v>45.171418654594937</v>
      </c>
      <c r="AA15" s="118">
        <v>251.4966256437055</v>
      </c>
      <c r="AB15" s="118">
        <v>265.65760920296827</v>
      </c>
      <c r="AC15" s="118">
        <v>158.07233429976296</v>
      </c>
      <c r="AD15" s="212">
        <v>20.845163286813989</v>
      </c>
      <c r="AE15" s="212">
        <v>48.007958584780319</v>
      </c>
      <c r="AF15" s="212">
        <v>45.171418654594937</v>
      </c>
      <c r="AG15" s="212">
        <v>251.4966256437055</v>
      </c>
      <c r="AH15" s="212">
        <v>265.65760920296827</v>
      </c>
      <c r="AI15" s="212">
        <v>158.07233429976296</v>
      </c>
      <c r="AJ15" s="147">
        <f>IF(Таблица17[[#This Row],[обуч выборка2]]-Таблица17[[#This Row],[Апосториорная вероятность]]=0,1,0)</f>
        <v>0</v>
      </c>
      <c r="AK15" s="117">
        <f>MATCH(MAX(Таблица17[[#This Row],[1 класс.]:[6 класс.]]),Таблица17[[#This Row],[1 класс.]:[6 класс.]],0)</f>
        <v>1</v>
      </c>
      <c r="AL15" s="120">
        <v>0.99999637928226848</v>
      </c>
      <c r="AM15" s="120">
        <v>1.0110260810066291E-6</v>
      </c>
      <c r="AN15" s="120">
        <v>2.6096916505133424E-6</v>
      </c>
      <c r="AO15" s="120">
        <v>0</v>
      </c>
      <c r="AP15" s="120">
        <v>0</v>
      </c>
      <c r="AQ15" s="120">
        <v>4.7710955390710017E-31</v>
      </c>
      <c r="AR15" s="216">
        <v>0.99999637928226848</v>
      </c>
      <c r="AS15" s="216">
        <v>1.0110260810066291E-6</v>
      </c>
      <c r="AT15" s="216">
        <v>2.6096916505133424E-6</v>
      </c>
      <c r="AU15" s="216">
        <v>0</v>
      </c>
      <c r="AV15" s="216">
        <v>0</v>
      </c>
      <c r="AW15" s="216">
        <v>4.7710955390710017E-31</v>
      </c>
      <c r="AX15" s="121" t="str">
        <f>RIGHT(Таблица17[[#This Row],[Класиф вкл2]])</f>
        <v>2</v>
      </c>
      <c r="AY15" s="221">
        <v>2</v>
      </c>
      <c r="AZ15" s="147">
        <f>IF(Таблица17[[#This Row],[обуч выборка2]]-Таблица17[[#This Row],[Класиф вкл]]=0,1,0)</f>
        <v>0</v>
      </c>
      <c r="BA15" s="117" t="s">
        <v>214</v>
      </c>
      <c r="BB15" s="147">
        <f>IF(Таблица17[[#This Row],[обуч выборка2]]-Таблица17[[#This Row],[Расстояние Махаланобиса вкл
]]=0,1,0)</f>
        <v>0</v>
      </c>
      <c r="BC15" s="117">
        <f>MATCH(MIN(Таблица17[[#This Row],[1 класс вкл]:[6 класс вкл]]),Таблица17[[#This Row],[1 класс вкл]:[6 класс вкл]],0)</f>
        <v>2</v>
      </c>
      <c r="BD15" s="118">
        <v>10.368857713374545</v>
      </c>
      <c r="BE15" s="118">
        <v>6.5347337356269577</v>
      </c>
      <c r="BF15" s="118">
        <v>10.468479901784312</v>
      </c>
      <c r="BG15" s="120">
        <v>203.05947883081981</v>
      </c>
      <c r="BH15" s="118">
        <v>119.37853310298473</v>
      </c>
      <c r="BI15" s="118">
        <v>131.82827503628337</v>
      </c>
      <c r="BJ15" s="147">
        <f>IF(Таблица17[[#This Row],[обуч выборка2]]-Таблица17[[#This Row],[Апосториорная вероятность вкл]]=0,1,0)</f>
        <v>0</v>
      </c>
      <c r="BK15" s="117">
        <f>MATCH(MAX(Таблица17[[#This Row],[1 класс вкл.]:[6 класс вкл.]]),Таблица17[[#This Row],[1 класс вкл.]:[6 класс вкл.]],0)</f>
        <v>2</v>
      </c>
      <c r="BL15" s="119">
        <v>0.14458257417136677</v>
      </c>
      <c r="BM15" s="119">
        <v>0.78663883497042808</v>
      </c>
      <c r="BN15" s="119">
        <v>6.8778590858205105E-2</v>
      </c>
      <c r="BO15" s="119">
        <v>0</v>
      </c>
      <c r="BP15" s="119">
        <v>6.1658889763187473E-26</v>
      </c>
      <c r="BQ15" s="123">
        <v>1.8308798633701204E-28</v>
      </c>
      <c r="BR15" s="121" t="str">
        <f>RIGHT(Таблица17[[#This Row],[Класиф искл2]])</f>
        <v>2</v>
      </c>
      <c r="BS15" s="222">
        <v>2</v>
      </c>
      <c r="BT15" s="147">
        <f>IF(Таблица17[[#This Row],[обуч выборка2]]-Таблица17[[#This Row],[Класиф искл]]=0,1,0)</f>
        <v>0</v>
      </c>
      <c r="BU15" s="117" t="s">
        <v>214</v>
      </c>
      <c r="BV15" s="147">
        <f>IF(Таблица17[[#This Row],[обуч выборка2]]-Таблица17[[#This Row],[Расстояние Махаланобиса искл]]=0,1,0)</f>
        <v>0</v>
      </c>
      <c r="BW15" s="117">
        <f>MATCH(MIN(Таблица17[[#This Row],[1 класс искл]:[6 класс искл]]),Таблица17[[#This Row],[1 класс искл]:[6 класс искл]],0)</f>
        <v>2</v>
      </c>
      <c r="BX15" s="120">
        <v>10.188245084246832</v>
      </c>
      <c r="BY15" s="120">
        <v>9.6297103002201858</v>
      </c>
      <c r="BZ15" s="120">
        <v>10.447331543231417</v>
      </c>
      <c r="CA15" s="120">
        <v>207.61650125008546</v>
      </c>
      <c r="CB15" s="120">
        <v>151.69536982272263</v>
      </c>
      <c r="CC15" s="120">
        <v>95.157763881014446</v>
      </c>
      <c r="CD15" s="147">
        <f>IF(Таблица17[[#This Row],[обуч выборка2]]-Таблица17[[#This Row],[Апосториорная вероятность искл]]=0,1,0)</f>
        <v>0</v>
      </c>
      <c r="CE15" s="117">
        <f>MATCH(MAX(Таблица17[[#This Row],[1 класс искл.]:[6 класс искл.]]),Таблица17[[#This Row],[1 класс искл.]:[6 класс искл.]],0)</f>
        <v>2</v>
      </c>
      <c r="CF15" s="120">
        <v>0.40048427025727207</v>
      </c>
      <c r="CG15" s="120">
        <v>0.42360369272632331</v>
      </c>
      <c r="CH15" s="120">
        <v>0.17591203701640468</v>
      </c>
      <c r="CI15" s="120">
        <v>0</v>
      </c>
      <c r="CJ15" s="120">
        <v>1.4987657043896169E-32</v>
      </c>
      <c r="CK15" s="120">
        <v>4.2541240139279559E-20</v>
      </c>
      <c r="CL15" s="198">
        <v>-1.0337243333738841</v>
      </c>
      <c r="CM15" s="198">
        <v>0.19895696132898522</v>
      </c>
      <c r="CN15" s="199">
        <v>-0.46795023651825757</v>
      </c>
      <c r="CO15" s="192">
        <v>6</v>
      </c>
      <c r="CP15" s="195">
        <v>4</v>
      </c>
      <c r="CQ15" s="209">
        <v>-0.77775000000000005</v>
      </c>
      <c r="CR15" s="209">
        <v>-0.46984000000000004</v>
      </c>
      <c r="CS15" s="223">
        <v>2</v>
      </c>
      <c r="CT15" s="223">
        <v>1</v>
      </c>
      <c r="CU15" s="209">
        <v>-0.46984000000000004</v>
      </c>
      <c r="CV15" s="209">
        <v>-0.77775000000000005</v>
      </c>
      <c r="CW15" s="209">
        <v>5</v>
      </c>
      <c r="CX15" s="210">
        <v>2</v>
      </c>
      <c r="CY15" s="238" t="s">
        <v>342</v>
      </c>
      <c r="CZ15" s="238">
        <v>1</v>
      </c>
    </row>
    <row r="16" spans="1:104" x14ac:dyDescent="0.3">
      <c r="A16" s="57" t="s">
        <v>24</v>
      </c>
      <c r="B16" s="57">
        <v>5</v>
      </c>
      <c r="C16" s="57">
        <v>6</v>
      </c>
      <c r="D16" s="57">
        <v>1</v>
      </c>
      <c r="E16" s="58">
        <v>6</v>
      </c>
      <c r="F16" s="58">
        <v>-1.36819654</v>
      </c>
      <c r="G16" s="58">
        <v>-0.57405296799999994</v>
      </c>
      <c r="H16" s="58">
        <v>-0.45614134199999995</v>
      </c>
      <c r="I16" s="58">
        <v>0.29532124700000006</v>
      </c>
      <c r="J16" s="58">
        <v>8.0744248100000013E-2</v>
      </c>
      <c r="K16" s="58">
        <v>-9.9847955699999991E-2</v>
      </c>
      <c r="L16" s="58">
        <v>0.28194914900000001</v>
      </c>
      <c r="M16" s="58">
        <v>1.3079816500000001</v>
      </c>
      <c r="N16" s="58">
        <v>-1.3622768599999998E-2</v>
      </c>
      <c r="O16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4.303764292452728</v>
      </c>
      <c r="P16" s="114"/>
      <c r="Q16" s="114"/>
      <c r="R16" s="121" t="str">
        <f>RIGHT(Таблица17[[#This Row],[Классиф ДА2]])</f>
        <v>1</v>
      </c>
      <c r="S16">
        <v>1</v>
      </c>
      <c r="T16" s="147">
        <f>IF(Таблица17[[#This Row],[обуч выборка2]]-Таблица17[[#This Row],[Классиф ДА]]=0,1,0)</f>
        <v>0</v>
      </c>
      <c r="U16" s="117" t="s">
        <v>213</v>
      </c>
      <c r="V16" s="147">
        <f>IF(Таблица17[[#This Row],[обуч выборка2]]-Таблица17[[#This Row],[расстояние Махаланобиса]]=0,1,0)</f>
        <v>0</v>
      </c>
      <c r="W16" s="117">
        <f>MATCH(MIN(Таблица17[[#This Row],[1 класс]:[6 класс]]),Таблица17[[#This Row],[1 класс]:[6 класс]],0)</f>
        <v>1</v>
      </c>
      <c r="X16" s="118">
        <v>36.79009176866785</v>
      </c>
      <c r="Y16" s="118">
        <v>115.85230636226382</v>
      </c>
      <c r="Z16" s="118">
        <v>101.97246624986784</v>
      </c>
      <c r="AA16" s="118">
        <v>232.71191959332691</v>
      </c>
      <c r="AB16" s="118">
        <v>434.907186440994</v>
      </c>
      <c r="AC16" s="118">
        <v>104.10538291768917</v>
      </c>
      <c r="AD16" s="212">
        <v>36.79009176866785</v>
      </c>
      <c r="AE16" s="212">
        <v>115.85230636226382</v>
      </c>
      <c r="AF16" s="212">
        <v>101.97246624986784</v>
      </c>
      <c r="AG16" s="212">
        <v>232.71191959332691</v>
      </c>
      <c r="AH16" s="212">
        <v>434.907186440994</v>
      </c>
      <c r="AI16" s="212">
        <v>104.10538291768917</v>
      </c>
      <c r="AJ16" s="147">
        <f>IF(Таблица17[[#This Row],[обуч выборка2]]-Таблица17[[#This Row],[Апосториорная вероятность]]=0,1,0)</f>
        <v>0</v>
      </c>
      <c r="AK16" s="117">
        <f>MATCH(MAX(Таблица17[[#This Row],[1 класс.]:[6 класс.]]),Таблица17[[#This Row],[1 класс.]:[6 класс.]],0)</f>
        <v>1</v>
      </c>
      <c r="AL16" s="120">
        <v>0.99999999999999589</v>
      </c>
      <c r="AM16" s="120">
        <v>5.4318557036842005E-18</v>
      </c>
      <c r="AN16" s="120">
        <v>3.505881454508646E-15</v>
      </c>
      <c r="AO16" s="120">
        <v>0</v>
      </c>
      <c r="AP16" s="120">
        <v>0</v>
      </c>
      <c r="AQ16" s="120">
        <v>7.2408826291307944E-16</v>
      </c>
      <c r="AR16" s="216">
        <v>0.99999999999999589</v>
      </c>
      <c r="AS16" s="216">
        <v>5.4318557036842005E-18</v>
      </c>
      <c r="AT16" s="216">
        <v>3.505881454508646E-15</v>
      </c>
      <c r="AU16" s="216">
        <v>0</v>
      </c>
      <c r="AV16" s="216">
        <v>0</v>
      </c>
      <c r="AW16" s="216">
        <v>7.2408826291307944E-16</v>
      </c>
      <c r="AX16" s="121" t="str">
        <f>RIGHT(Таблица17[[#This Row],[Класиф вкл2]])</f>
        <v>1</v>
      </c>
      <c r="AY16" s="221">
        <v>1</v>
      </c>
      <c r="AZ16" s="147">
        <f>IF(Таблица17[[#This Row],[обуч выборка2]]-Таблица17[[#This Row],[Класиф вкл]]=0,1,0)</f>
        <v>0</v>
      </c>
      <c r="BA16" s="117" t="s">
        <v>213</v>
      </c>
      <c r="BB16" s="147">
        <f>IF(Таблица17[[#This Row],[обуч выборка2]]-Таблица17[[#This Row],[Расстояние Махаланобиса вкл
]]=0,1,0)</f>
        <v>0</v>
      </c>
      <c r="BC16" s="117">
        <f>MATCH(MIN(Таблица17[[#This Row],[1 класс вкл]:[6 класс вкл]]),Таблица17[[#This Row],[1 класс вкл]:[6 класс вкл]],0)</f>
        <v>1</v>
      </c>
      <c r="BD16" s="118">
        <v>7.5839025049775897</v>
      </c>
      <c r="BE16" s="118">
        <v>35.082337860247137</v>
      </c>
      <c r="BF16" s="118">
        <v>34.38310668733552</v>
      </c>
      <c r="BG16" s="120">
        <v>142.0871734574952</v>
      </c>
      <c r="BH16" s="118">
        <v>215.49200060995219</v>
      </c>
      <c r="BI16" s="118">
        <v>70.681482151168524</v>
      </c>
      <c r="BJ16" s="147">
        <f>IF(Таблица17[[#This Row],[обуч выборка2]]-Таблица17[[#This Row],[Апосториорная вероятность вкл]]=0,1,0)</f>
        <v>0</v>
      </c>
      <c r="BK16" s="117">
        <f>MATCH(MAX(Таблица17[[#This Row],[1 класс вкл.]:[6 класс вкл.]]),Таблица17[[#This Row],[1 класс вкл.]:[6 класс вкл.]],0)</f>
        <v>1</v>
      </c>
      <c r="BL16" s="119">
        <v>0.9999983872973337</v>
      </c>
      <c r="BM16" s="119">
        <v>8.5483032187385471E-7</v>
      </c>
      <c r="BN16" s="119">
        <v>7.5787233843228253E-7</v>
      </c>
      <c r="BO16" s="119">
        <v>1.2416955050340777E-30</v>
      </c>
      <c r="BP16" s="119">
        <v>0</v>
      </c>
      <c r="BQ16" s="123">
        <v>5.9656150186427997E-15</v>
      </c>
      <c r="BR16" s="121" t="str">
        <f>RIGHT(Таблица17[[#This Row],[Класиф искл2]])</f>
        <v>1</v>
      </c>
      <c r="BS16" s="222">
        <v>1</v>
      </c>
      <c r="BT16" s="147">
        <f>IF(Таблица17[[#This Row],[обуч выборка2]]-Таблица17[[#This Row],[Класиф искл]]=0,1,0)</f>
        <v>0</v>
      </c>
      <c r="BU16" s="117" t="s">
        <v>213</v>
      </c>
      <c r="BV16" s="147">
        <f>IF(Таблица17[[#This Row],[обуч выборка2]]-Таблица17[[#This Row],[Расстояние Махаланобиса искл]]=0,1,0)</f>
        <v>0</v>
      </c>
      <c r="BW16" s="117">
        <f>MATCH(MIN(Таблица17[[#This Row],[1 класс искл]:[6 класс искл]]),Таблица17[[#This Row],[1 класс искл]:[6 класс искл]],0)</f>
        <v>1</v>
      </c>
      <c r="BX16" s="120">
        <v>7.6586746602116573</v>
      </c>
      <c r="BY16" s="120">
        <v>43.359623441457934</v>
      </c>
      <c r="BZ16" s="120">
        <v>35.880524863276676</v>
      </c>
      <c r="CA16" s="120">
        <v>153.77649539827013</v>
      </c>
      <c r="CB16" s="120">
        <v>262.53463122857727</v>
      </c>
      <c r="CC16" s="120">
        <v>39.516053720275806</v>
      </c>
      <c r="CD16" s="147">
        <f>IF(Таблица17[[#This Row],[обуч выборка2]]-Таблица17[[#This Row],[Апосториорная вероятность искл]]=0,1,0)</f>
        <v>0</v>
      </c>
      <c r="CE16" s="117">
        <f>MATCH(MAX(Таблица17[[#This Row],[1 класс искл.]:[6 класс искл.]]),Таблица17[[#This Row],[1 класс искл.]:[6 класс искл.]],0)</f>
        <v>1</v>
      </c>
      <c r="CF16" s="120">
        <v>0.99999957748366741</v>
      </c>
      <c r="CG16" s="120">
        <v>1.4149049836810891E-8</v>
      </c>
      <c r="CH16" s="120">
        <v>3.7211134810114371E-7</v>
      </c>
      <c r="CI16" s="120">
        <v>0</v>
      </c>
      <c r="CJ16" s="120">
        <v>0</v>
      </c>
      <c r="CK16" s="120">
        <v>3.6255934566186821E-8</v>
      </c>
      <c r="CL16" s="198">
        <v>0.13029648603905444</v>
      </c>
      <c r="CM16" s="198">
        <v>-0.45858727837088781</v>
      </c>
      <c r="CN16" s="199">
        <v>-0.77060860665161246</v>
      </c>
      <c r="CO16" s="192">
        <v>5</v>
      </c>
      <c r="CP16" s="195">
        <v>5</v>
      </c>
      <c r="CQ16" s="209">
        <v>0.32751000000000008</v>
      </c>
      <c r="CR16" s="209">
        <v>-0.18464</v>
      </c>
      <c r="CS16" s="223">
        <v>5</v>
      </c>
      <c r="CT16" s="223">
        <v>6</v>
      </c>
      <c r="CU16" s="209">
        <v>-0.18464</v>
      </c>
      <c r="CV16" s="209">
        <v>0.32751000000000008</v>
      </c>
      <c r="CW16" s="209">
        <v>1</v>
      </c>
      <c r="CX16" s="210">
        <v>3</v>
      </c>
      <c r="CY16" s="238" t="s">
        <v>339</v>
      </c>
      <c r="CZ16" s="238">
        <v>5</v>
      </c>
    </row>
    <row r="17" spans="1:104" x14ac:dyDescent="0.3">
      <c r="A17" s="57" t="s">
        <v>25</v>
      </c>
      <c r="B17" s="57">
        <v>2</v>
      </c>
      <c r="C17" s="57">
        <v>6</v>
      </c>
      <c r="D17" s="57">
        <v>2</v>
      </c>
      <c r="E17" s="58">
        <v>6</v>
      </c>
      <c r="F17" s="58">
        <v>1.5799867000000001</v>
      </c>
      <c r="G17" s="58">
        <v>0.76061578600000002</v>
      </c>
      <c r="H17" s="58">
        <v>-0.21339163900000002</v>
      </c>
      <c r="I17" s="58">
        <v>-1.4099379999999999</v>
      </c>
      <c r="J17" s="58">
        <v>-0.43689722200000003</v>
      </c>
      <c r="K17" s="58">
        <v>-0.44676494</v>
      </c>
      <c r="L17" s="58">
        <v>-0.84844856000000002</v>
      </c>
      <c r="M17" s="58">
        <v>-7.3222308300000011E-2</v>
      </c>
      <c r="N17" s="58">
        <v>-0.60361944900000009</v>
      </c>
      <c r="O17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6.5884164997341763</v>
      </c>
      <c r="P17" s="114"/>
      <c r="Q17" s="114"/>
      <c r="R17" s="121" t="str">
        <f>RIGHT(Таблица17[[#This Row],[Классиф ДА2]])</f>
        <v>5</v>
      </c>
      <c r="S17">
        <v>5</v>
      </c>
      <c r="T17" s="147">
        <f>IF(Таблица17[[#This Row],[обуч выборка2]]-Таблица17[[#This Row],[Классиф ДА]]=0,1,0)</f>
        <v>0</v>
      </c>
      <c r="U17" s="117" t="s">
        <v>212</v>
      </c>
      <c r="V17" s="147">
        <f>IF(Таблица17[[#This Row],[обуч выборка2]]-Таблица17[[#This Row],[расстояние Махаланобиса]]=0,1,0)</f>
        <v>0</v>
      </c>
      <c r="W17" s="117">
        <f>MATCH(MIN(Таблица17[[#This Row],[1 класс]:[6 класс]]),Таблица17[[#This Row],[1 класс]:[6 класс]],0)</f>
        <v>5</v>
      </c>
      <c r="X17" s="118">
        <v>171.12976768540349</v>
      </c>
      <c r="Y17" s="118">
        <v>60.397328763324801</v>
      </c>
      <c r="Z17" s="118">
        <v>86.63099351867001</v>
      </c>
      <c r="AA17" s="118">
        <v>451.55176994076754</v>
      </c>
      <c r="AB17" s="118">
        <v>51.593049188045789</v>
      </c>
      <c r="AC17" s="118">
        <v>346.06983358332729</v>
      </c>
      <c r="AD17" s="212">
        <v>171.12976768540349</v>
      </c>
      <c r="AE17" s="212">
        <v>60.397328763324801</v>
      </c>
      <c r="AF17" s="212">
        <v>86.63099351867001</v>
      </c>
      <c r="AG17" s="212">
        <v>451.55176994076754</v>
      </c>
      <c r="AH17" s="212">
        <v>51.593049188045789</v>
      </c>
      <c r="AI17" s="212">
        <v>346.06983358332729</v>
      </c>
      <c r="AJ17" s="147">
        <f>IF(Таблица17[[#This Row],[обуч выборка2]]-Таблица17[[#This Row],[Апосториорная вероятность]]=0,1,0)</f>
        <v>0</v>
      </c>
      <c r="AK17" s="117">
        <f>MATCH(MAX(Таблица17[[#This Row],[1 класс.]:[6 класс.]]),Таблица17[[#This Row],[1 класс.]:[6 класс.]],0)</f>
        <v>5</v>
      </c>
      <c r="AL17" s="120">
        <v>5.2616754892314976E-26</v>
      </c>
      <c r="AM17" s="120">
        <v>4.6715138683960815E-2</v>
      </c>
      <c r="AN17" s="120">
        <v>5.871779497061609E-8</v>
      </c>
      <c r="AO17" s="120">
        <v>0</v>
      </c>
      <c r="AP17" s="120">
        <v>0.95328480259824411</v>
      </c>
      <c r="AQ17" s="120">
        <v>0</v>
      </c>
      <c r="AR17" s="216">
        <v>5.2616754892314976E-26</v>
      </c>
      <c r="AS17" s="216">
        <v>4.6715138683960815E-2</v>
      </c>
      <c r="AT17" s="216">
        <v>5.871779497061609E-8</v>
      </c>
      <c r="AU17" s="216">
        <v>0</v>
      </c>
      <c r="AV17" s="216">
        <v>0.95328480259824411</v>
      </c>
      <c r="AW17" s="216">
        <v>0</v>
      </c>
      <c r="AX17" s="121" t="str">
        <f>RIGHT(Таблица17[[#This Row],[Класиф вкл2]])</f>
        <v>5</v>
      </c>
      <c r="AY17" s="221">
        <v>2</v>
      </c>
      <c r="AZ17" s="147">
        <f>IF(Таблица17[[#This Row],[обуч выборка2]]-Таблица17[[#This Row],[Класиф вкл]]=0,1,0)</f>
        <v>0</v>
      </c>
      <c r="BA17" s="117" t="s">
        <v>212</v>
      </c>
      <c r="BB17" s="147">
        <f>IF(Таблица17[[#This Row],[обуч выборка2]]-Таблица17[[#This Row],[Расстояние Махаланобиса вкл
]]=0,1,0)</f>
        <v>0</v>
      </c>
      <c r="BC17" s="117">
        <f>MATCH(MIN(Таблица17[[#This Row],[1 класс вкл]:[6 класс вкл]]),Таблица17[[#This Row],[1 класс вкл]:[6 класс вкл]],0)</f>
        <v>5</v>
      </c>
      <c r="BD17" s="118">
        <v>95.521251799186288</v>
      </c>
      <c r="BE17" s="118">
        <v>36.027408494509174</v>
      </c>
      <c r="BF17" s="118">
        <v>53.029415857297309</v>
      </c>
      <c r="BG17" s="120">
        <v>321.95866952903009</v>
      </c>
      <c r="BH17" s="118">
        <v>22.613736440288342</v>
      </c>
      <c r="BI17" s="118">
        <v>253.8848001379688</v>
      </c>
      <c r="BJ17" s="147">
        <f>IF(Таблица17[[#This Row],[обуч выборка2]]-Таблица17[[#This Row],[Апосториорная вероятность вкл]]=0,1,0)</f>
        <v>0</v>
      </c>
      <c r="BK17" s="117">
        <f>MATCH(MAX(Таблица17[[#This Row],[1 класс вкл.]:[6 класс вкл.]]),Таблица17[[#This Row],[1 класс вкл.]:[6 класс вкл.]],0)</f>
        <v>5</v>
      </c>
      <c r="BL17" s="119">
        <v>7.3313737728677444E-16</v>
      </c>
      <c r="BM17" s="119">
        <v>4.8663044456174675E-3</v>
      </c>
      <c r="BN17" s="119">
        <v>6.1821608943308338E-7</v>
      </c>
      <c r="BO17" s="119">
        <v>0</v>
      </c>
      <c r="BP17" s="119">
        <v>0.99513307733829237</v>
      </c>
      <c r="BQ17" s="119">
        <v>0</v>
      </c>
      <c r="BR17" s="121" t="str">
        <f>RIGHT(Таблица17[[#This Row],[Класиф искл2]])</f>
        <v>2</v>
      </c>
      <c r="BS17" s="222">
        <v>2</v>
      </c>
      <c r="BT17" s="147">
        <f>IF(Таблица17[[#This Row],[обуч выборка2]]-Таблица17[[#This Row],[Класиф искл]]=0,1,0)</f>
        <v>0</v>
      </c>
      <c r="BU17" s="117" t="s">
        <v>214</v>
      </c>
      <c r="BV17" s="147">
        <f>IF(Таблица17[[#This Row],[обуч выборка2]]-Таблица17[[#This Row],[Расстояние Махаланобиса искл]]=0,1,0)</f>
        <v>0</v>
      </c>
      <c r="BW17" s="117">
        <f>MATCH(MIN(Таблица17[[#This Row],[1 класс искл]:[6 класс искл]]),Таблица17[[#This Row],[1 класс искл]:[6 класс искл]],0)</f>
        <v>2</v>
      </c>
      <c r="BX17" s="120">
        <v>92.651143191430663</v>
      </c>
      <c r="BY17" s="120">
        <v>30.617120467198482</v>
      </c>
      <c r="BZ17" s="120">
        <v>51.797451721309372</v>
      </c>
      <c r="CA17" s="120">
        <v>322.60839379469314</v>
      </c>
      <c r="CB17" s="120">
        <v>41.802119470141029</v>
      </c>
      <c r="CC17" s="120">
        <v>182.42595501491513</v>
      </c>
      <c r="CD17" s="147">
        <f>IF(Таблица17[[#This Row],[обуч выборка2]]-Таблица17[[#This Row],[Апосториорная вероятность искл]]=0,1,0)</f>
        <v>0</v>
      </c>
      <c r="CE17" s="117">
        <f>MATCH(MAX(Таблица17[[#This Row],[1 класс искл.]:[6 класс искл.]]),Таблица17[[#This Row],[1 класс искл.]:[6 класс искл.]],0)</f>
        <v>2</v>
      </c>
      <c r="CF17" s="120">
        <v>4.2265108183007989E-14</v>
      </c>
      <c r="CG17" s="120">
        <v>0.99905374388757362</v>
      </c>
      <c r="CH17" s="120">
        <v>1.5711526226797755E-5</v>
      </c>
      <c r="CI17" s="120">
        <v>0</v>
      </c>
      <c r="CJ17" s="120">
        <v>9.3054458615752221E-4</v>
      </c>
      <c r="CK17" s="120">
        <v>0</v>
      </c>
      <c r="CL17" s="198">
        <v>-1.1236311727474124</v>
      </c>
      <c r="CM17" s="198">
        <v>0.7756887293156608</v>
      </c>
      <c r="CN17" s="199">
        <v>0.9652764030658757</v>
      </c>
      <c r="CO17" s="192">
        <v>6</v>
      </c>
      <c r="CP17" s="195">
        <v>6</v>
      </c>
      <c r="CQ17" s="209">
        <v>-1.2376800000000001</v>
      </c>
      <c r="CR17" s="209">
        <v>-0.23866000000000001</v>
      </c>
      <c r="CS17" s="223">
        <v>2</v>
      </c>
      <c r="CT17" s="223">
        <v>5</v>
      </c>
      <c r="CU17" s="209">
        <v>-0.23866000000000001</v>
      </c>
      <c r="CV17" s="209">
        <v>-1.2376800000000001</v>
      </c>
      <c r="CW17" s="209">
        <v>3</v>
      </c>
      <c r="CX17" s="210">
        <v>2</v>
      </c>
      <c r="CY17" s="238" t="s">
        <v>339</v>
      </c>
      <c r="CZ17" s="238">
        <v>1</v>
      </c>
    </row>
    <row r="18" spans="1:104" x14ac:dyDescent="0.3">
      <c r="A18" s="57" t="s">
        <v>26</v>
      </c>
      <c r="B18" s="57">
        <v>6</v>
      </c>
      <c r="C18" s="57">
        <v>4</v>
      </c>
      <c r="D18" s="57">
        <v>3</v>
      </c>
      <c r="E18" s="58">
        <v>6</v>
      </c>
      <c r="F18" s="58">
        <v>-0.443232183</v>
      </c>
      <c r="G18" s="58">
        <v>0.30751790600000006</v>
      </c>
      <c r="H18" s="58">
        <v>4.1533658899999999</v>
      </c>
      <c r="I18" s="58">
        <v>2.9875726600000003E-2</v>
      </c>
      <c r="J18" s="58">
        <v>-0.41804941800000001</v>
      </c>
      <c r="K18" s="58">
        <v>-0.120254837</v>
      </c>
      <c r="L18" s="58">
        <v>-0.35390574300000005</v>
      </c>
      <c r="M18" s="58">
        <v>0.68212360900000002</v>
      </c>
      <c r="N18" s="58">
        <v>0.11717313800000001</v>
      </c>
      <c r="O18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18.335860784265257</v>
      </c>
      <c r="P18" s="115"/>
      <c r="Q18" s="115"/>
      <c r="R18" s="121" t="str">
        <f>RIGHT(Таблица17[[#This Row],[Классиф ДА2]])</f>
        <v>3</v>
      </c>
      <c r="S18">
        <v>3</v>
      </c>
      <c r="T18" s="147">
        <f>IF(Таблица17[[#This Row],[обуч выборка2]]-Таблица17[[#This Row],[Классиф ДА]]=0,1,0)</f>
        <v>0</v>
      </c>
      <c r="U18" s="117" t="s">
        <v>215</v>
      </c>
      <c r="V18" s="147">
        <f>IF(Таблица17[[#This Row],[обуч выборка2]]-Таблица17[[#This Row],[расстояние Махаланобиса]]=0,1,0)</f>
        <v>0</v>
      </c>
      <c r="W18" s="117">
        <f>MATCH(MIN(Таблица17[[#This Row],[1 класс]:[6 класс]]),Таблица17[[#This Row],[1 класс]:[6 класс]],0)</f>
        <v>3</v>
      </c>
      <c r="X18" s="118">
        <v>143.89718595430969</v>
      </c>
      <c r="Y18" s="118">
        <v>135.33114035935574</v>
      </c>
      <c r="Z18" s="118">
        <v>78.963025593814933</v>
      </c>
      <c r="AA18" s="118">
        <v>277.63700859067865</v>
      </c>
      <c r="AB18" s="118">
        <v>355.45169702978217</v>
      </c>
      <c r="AC18" s="118">
        <v>269.2971745603021</v>
      </c>
      <c r="AD18" s="212">
        <v>143.89718595430969</v>
      </c>
      <c r="AE18" s="212">
        <v>135.33114035935574</v>
      </c>
      <c r="AF18" s="212">
        <v>78.963025593814933</v>
      </c>
      <c r="AG18" s="212">
        <v>277.63700859067865</v>
      </c>
      <c r="AH18" s="212">
        <v>355.45169702978217</v>
      </c>
      <c r="AI18" s="212">
        <v>269.2971745603021</v>
      </c>
      <c r="AJ18" s="147">
        <f>IF(Таблица17[[#This Row],[обуч выборка2]]-Таблица17[[#This Row],[Апосториорная вероятность]]=0,1,0)</f>
        <v>0</v>
      </c>
      <c r="AK18" s="117">
        <f>MATCH(MAX(Таблица17[[#This Row],[1 класс.]:[6 класс.]]),Таблица17[[#This Row],[1 класс.]:[6 класс.]],0)</f>
        <v>3</v>
      </c>
      <c r="AL18" s="120">
        <v>1.5876553451793253E-14</v>
      </c>
      <c r="AM18" s="120">
        <v>9.2032110966041022E-13</v>
      </c>
      <c r="AN18" s="120">
        <v>0.99999999999906397</v>
      </c>
      <c r="AO18" s="120">
        <v>0</v>
      </c>
      <c r="AP18" s="120">
        <v>0</v>
      </c>
      <c r="AQ18" s="120">
        <v>0</v>
      </c>
      <c r="AR18" s="216">
        <v>1.5876553451793253E-14</v>
      </c>
      <c r="AS18" s="216">
        <v>9.2032110966041022E-13</v>
      </c>
      <c r="AT18" s="216">
        <v>0.99999999999906397</v>
      </c>
      <c r="AU18" s="216">
        <v>0</v>
      </c>
      <c r="AV18" s="216">
        <v>0</v>
      </c>
      <c r="AW18" s="216">
        <v>0</v>
      </c>
      <c r="AX18" s="121" t="str">
        <f>RIGHT(Таблица17[[#This Row],[Класиф вкл2]])</f>
        <v>3</v>
      </c>
      <c r="AY18" s="221">
        <v>3</v>
      </c>
      <c r="AZ18" s="147">
        <f>IF(Таблица17[[#This Row],[обуч выборка2]]-Таблица17[[#This Row],[Класиф вкл]]=0,1,0)</f>
        <v>0</v>
      </c>
      <c r="BA18" s="117" t="s">
        <v>215</v>
      </c>
      <c r="BB18" s="147">
        <f>IF(Таблица17[[#This Row],[обуч выборка2]]-Таблица17[[#This Row],[Расстояние Махаланобиса вкл
]]=0,1,0)</f>
        <v>0</v>
      </c>
      <c r="BC18" s="117">
        <f>MATCH(MIN(Таблица17[[#This Row],[1 класс вкл]:[6 класс вкл]]),Таблица17[[#This Row],[1 класс вкл]:[6 класс вкл]],0)</f>
        <v>3</v>
      </c>
      <c r="BD18" s="118">
        <v>131.86275305268219</v>
      </c>
      <c r="BE18" s="118">
        <v>127.17076330618723</v>
      </c>
      <c r="BF18" s="118">
        <v>75.080485051857295</v>
      </c>
      <c r="BG18" s="120">
        <v>213.04636941138136</v>
      </c>
      <c r="BH18" s="118">
        <v>276.94406903530813</v>
      </c>
      <c r="BI18" s="118">
        <v>233.76612068030764</v>
      </c>
      <c r="BJ18" s="147">
        <f>IF(Таблица17[[#This Row],[обуч выборка2]]-Таблица17[[#This Row],[Апосториорная вероятность вкл]]=0,1,0)</f>
        <v>0</v>
      </c>
      <c r="BK18" s="117">
        <f>MATCH(MAX(Таблица17[[#This Row],[1 класс вкл.]:[6 класс вкл.]]),Таблица17[[#This Row],[1 класс вкл.]:[6 класс вкл.]],0)</f>
        <v>3</v>
      </c>
      <c r="BL18" s="119">
        <v>9.3522727540433934E-13</v>
      </c>
      <c r="BM18" s="119">
        <v>7.8137548112139981E-12</v>
      </c>
      <c r="BN18" s="119">
        <v>0.999999999991251</v>
      </c>
      <c r="BO18" s="119">
        <v>4.396922969507778E-31</v>
      </c>
      <c r="BP18" s="119">
        <v>0</v>
      </c>
      <c r="BQ18" s="119">
        <v>0</v>
      </c>
      <c r="BR18" s="121" t="str">
        <f>RIGHT(Таблица17[[#This Row],[Класиф искл2]])</f>
        <v>3</v>
      </c>
      <c r="BS18" s="222">
        <v>3</v>
      </c>
      <c r="BT18" s="147">
        <f>IF(Таблица17[[#This Row],[обуч выборка2]]-Таблица17[[#This Row],[Класиф искл]]=0,1,0)</f>
        <v>0</v>
      </c>
      <c r="BU18" s="117" t="s">
        <v>215</v>
      </c>
      <c r="BV18" s="147">
        <f>IF(Таблица17[[#This Row],[обуч выборка2]]-Таблица17[[#This Row],[Расстояние Махаланобиса искл]]=0,1,0)</f>
        <v>0</v>
      </c>
      <c r="BW18" s="117">
        <f>MATCH(MIN(Таблица17[[#This Row],[1 класс искл]:[6 класс искл]]),Таблица17[[#This Row],[1 класс искл]:[6 класс искл]],0)</f>
        <v>3</v>
      </c>
      <c r="BX18" s="120">
        <v>124.22659863975598</v>
      </c>
      <c r="BY18" s="120">
        <v>131.60187533432565</v>
      </c>
      <c r="BZ18" s="120">
        <v>73.204546181425783</v>
      </c>
      <c r="CA18" s="120">
        <v>230.19468273905582</v>
      </c>
      <c r="CB18" s="120">
        <v>335.11167098933095</v>
      </c>
      <c r="CC18" s="120">
        <v>169.81777066960689</v>
      </c>
      <c r="CD18" s="147">
        <f>IF(Таблица17[[#This Row],[обуч выборка2]]-Таблица17[[#This Row],[Апосториорная вероятность искл]]=0,1,0)</f>
        <v>0</v>
      </c>
      <c r="CE18" s="117">
        <f>MATCH(MAX(Таблица17[[#This Row],[1 класс искл.]:[6 класс искл.]]),Таблица17[[#This Row],[1 класс искл.]:[6 класс искл.]],0)</f>
        <v>3</v>
      </c>
      <c r="CF18" s="120">
        <v>1.6662189777156623E-11</v>
      </c>
      <c r="CG18" s="120">
        <v>3.3365764345514794E-13</v>
      </c>
      <c r="CH18" s="120">
        <v>0.99999999998300415</v>
      </c>
      <c r="CI18" s="120">
        <v>0</v>
      </c>
      <c r="CJ18" s="120">
        <v>0</v>
      </c>
      <c r="CK18" s="120">
        <v>6.2929765488687648E-22</v>
      </c>
      <c r="CL18" s="198">
        <v>-0.82992785060055119</v>
      </c>
      <c r="CM18" s="198">
        <v>-0.72568069932029255</v>
      </c>
      <c r="CN18" s="199">
        <v>-2.8413070095803903</v>
      </c>
      <c r="CO18" s="192">
        <v>1</v>
      </c>
      <c r="CP18" s="195">
        <v>4</v>
      </c>
      <c r="CQ18" s="209">
        <v>-0.12827</v>
      </c>
      <c r="CR18" s="209">
        <v>-0.65498000000000012</v>
      </c>
      <c r="CS18" s="223">
        <v>2</v>
      </c>
      <c r="CT18" s="223">
        <v>1</v>
      </c>
      <c r="CU18" s="209">
        <v>-0.65498000000000012</v>
      </c>
      <c r="CV18" s="209">
        <v>-0.12827</v>
      </c>
      <c r="CW18" s="209">
        <v>5</v>
      </c>
      <c r="CX18" s="210">
        <v>3</v>
      </c>
      <c r="CY18" s="238" t="s">
        <v>341</v>
      </c>
      <c r="CZ18" s="238">
        <v>5</v>
      </c>
    </row>
    <row r="19" spans="1:104" x14ac:dyDescent="0.3">
      <c r="A19" s="57" t="s">
        <v>27</v>
      </c>
      <c r="B19" s="57">
        <v>5</v>
      </c>
      <c r="C19" s="57">
        <v>6</v>
      </c>
      <c r="D19" s="57">
        <v>1</v>
      </c>
      <c r="E19" s="58">
        <v>6</v>
      </c>
      <c r="F19" s="58">
        <v>-0.70541794499999988</v>
      </c>
      <c r="G19" s="58">
        <v>0.39124251399999999</v>
      </c>
      <c r="H19" s="58">
        <v>-0.48169671700000005</v>
      </c>
      <c r="I19" s="58">
        <v>0.16635461699999998</v>
      </c>
      <c r="J19" s="58">
        <v>-0.37294931600000003</v>
      </c>
      <c r="K19" s="58">
        <v>-0.69164751800000013</v>
      </c>
      <c r="L19" s="58">
        <v>-3.3762251799999997E-2</v>
      </c>
      <c r="M19" s="58">
        <v>1.04900591</v>
      </c>
      <c r="N19" s="58">
        <v>1.5815010300000001</v>
      </c>
      <c r="O19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5.1305570455388221</v>
      </c>
      <c r="P19" s="114"/>
      <c r="Q19" s="114"/>
      <c r="R19" s="121" t="str">
        <f>RIGHT(Таблица17[[#This Row],[Классиф ДА2]])</f>
        <v>1</v>
      </c>
      <c r="S19">
        <v>1</v>
      </c>
      <c r="T19" s="147">
        <f>IF(Таблица17[[#This Row],[обуч выборка2]]-Таблица17[[#This Row],[Классиф ДА]]=0,1,0)</f>
        <v>0</v>
      </c>
      <c r="U19" s="117" t="s">
        <v>213</v>
      </c>
      <c r="V19" s="147">
        <f>IF(Таблица17[[#This Row],[обуч выборка2]]-Таблица17[[#This Row],[расстояние Махаланобиса]]=0,1,0)</f>
        <v>0</v>
      </c>
      <c r="W19" s="117">
        <f>MATCH(MIN(Таблица17[[#This Row],[1 класс]:[6 класс]]),Таблица17[[#This Row],[1 класс]:[6 класс]],0)</f>
        <v>1</v>
      </c>
      <c r="X19" s="118">
        <v>15.462367144069072</v>
      </c>
      <c r="Y19" s="118">
        <v>45.756116622432863</v>
      </c>
      <c r="Z19" s="118">
        <v>46.36604898078177</v>
      </c>
      <c r="AA19" s="118">
        <v>229.97344481636719</v>
      </c>
      <c r="AB19" s="118">
        <v>301.97754642735305</v>
      </c>
      <c r="AC19" s="118">
        <v>102.42156282995174</v>
      </c>
      <c r="AD19" s="212">
        <v>15.462367144069072</v>
      </c>
      <c r="AE19" s="212">
        <v>45.756116622432863</v>
      </c>
      <c r="AF19" s="212">
        <v>46.36604898078177</v>
      </c>
      <c r="AG19" s="212">
        <v>229.97344481636719</v>
      </c>
      <c r="AH19" s="212">
        <v>301.97754642735305</v>
      </c>
      <c r="AI19" s="212">
        <v>102.42156282995174</v>
      </c>
      <c r="AJ19" s="147">
        <f>IF(Таблица17[[#This Row],[обуч выборка2]]-Таблица17[[#This Row],[Апосториорная вероятность]]=0,1,0)</f>
        <v>0</v>
      </c>
      <c r="AK19" s="117">
        <f>MATCH(MAX(Таблица17[[#This Row],[1 класс.]:[6 класс.]]),Таблица17[[#This Row],[1 класс.]:[6 класс.]],0)</f>
        <v>1</v>
      </c>
      <c r="AL19" s="120">
        <v>0.999999691360132</v>
      </c>
      <c r="AM19" s="120">
        <v>2.1129330468278154E-7</v>
      </c>
      <c r="AN19" s="120">
        <v>9.7346563369294448E-8</v>
      </c>
      <c r="AO19" s="120">
        <v>0</v>
      </c>
      <c r="AP19" s="120">
        <v>0</v>
      </c>
      <c r="AQ19" s="120">
        <v>3.928002016955896E-20</v>
      </c>
      <c r="AR19" s="216">
        <v>0.999999691360132</v>
      </c>
      <c r="AS19" s="216">
        <v>2.1129330468278154E-7</v>
      </c>
      <c r="AT19" s="216">
        <v>9.7346563369294448E-8</v>
      </c>
      <c r="AU19" s="216">
        <v>0</v>
      </c>
      <c r="AV19" s="216">
        <v>0</v>
      </c>
      <c r="AW19" s="216">
        <v>3.928002016955896E-20</v>
      </c>
      <c r="AX19" s="121" t="str">
        <f>RIGHT(Таблица17[[#This Row],[Класиф вкл2]])</f>
        <v>1</v>
      </c>
      <c r="AY19" s="221">
        <v>1</v>
      </c>
      <c r="AZ19" s="147">
        <f>IF(Таблица17[[#This Row],[обуч выборка2]]-Таблица17[[#This Row],[Класиф вкл]]=0,1,0)</f>
        <v>0</v>
      </c>
      <c r="BA19" s="117" t="s">
        <v>213</v>
      </c>
      <c r="BB19" s="147">
        <f>IF(Таблица17[[#This Row],[обуч выборка2]]-Таблица17[[#This Row],[Расстояние Махаланобиса вкл
]]=0,1,0)</f>
        <v>0</v>
      </c>
      <c r="BC19" s="117">
        <f>MATCH(MIN(Таблица17[[#This Row],[1 класс вкл]:[6 класс вкл]]),Таблица17[[#This Row],[1 класс вкл]:[6 класс вкл]],0)</f>
        <v>1</v>
      </c>
      <c r="BD19" s="118">
        <v>6.0514534772932951</v>
      </c>
      <c r="BE19" s="118">
        <v>22.399799321855266</v>
      </c>
      <c r="BF19" s="118">
        <v>24.303469103599603</v>
      </c>
      <c r="BG19" s="120">
        <v>204.76143172262027</v>
      </c>
      <c r="BH19" s="118">
        <v>202.62134023210871</v>
      </c>
      <c r="BI19" s="118">
        <v>66.323718907908273</v>
      </c>
      <c r="BJ19" s="147">
        <f>IF(Таблица17[[#This Row],[обуч выборка2]]-Таблица17[[#This Row],[Апосториорная вероятность вкл]]=0,1,0)</f>
        <v>0</v>
      </c>
      <c r="BK19" s="117">
        <f>MATCH(MAX(Таблица17[[#This Row],[1 класс вкл.]:[6 класс вкл.]]),Таблица17[[#This Row],[1 класс вкл.]:[6 класс вкл.]],0)</f>
        <v>1</v>
      </c>
      <c r="BL19" s="119">
        <v>0.99972020720119237</v>
      </c>
      <c r="BM19" s="119">
        <v>2.2540848665352975E-4</v>
      </c>
      <c r="BN19" s="119">
        <v>5.4384312129667937E-5</v>
      </c>
      <c r="BO19" s="119">
        <v>0</v>
      </c>
      <c r="BP19" s="119">
        <v>0</v>
      </c>
      <c r="BQ19" s="123">
        <v>2.4493090156162568E-14</v>
      </c>
      <c r="BR19" s="121" t="str">
        <f>RIGHT(Таблица17[[#This Row],[Класиф искл2]])</f>
        <v>1</v>
      </c>
      <c r="BS19" s="222">
        <v>1</v>
      </c>
      <c r="BT19" s="147">
        <f>IF(Таблица17[[#This Row],[обуч выборка2]]-Таблица17[[#This Row],[Класиф искл]]=0,1,0)</f>
        <v>0</v>
      </c>
      <c r="BU19" s="117" t="s">
        <v>213</v>
      </c>
      <c r="BV19" s="147">
        <f>IF(Таблица17[[#This Row],[обуч выборка2]]-Таблица17[[#This Row],[Расстояние Махаланобиса искл]]=0,1,0)</f>
        <v>0</v>
      </c>
      <c r="BW19" s="117">
        <f>MATCH(MIN(Таблица17[[#This Row],[1 класс искл]:[6 класс искл]]),Таблица17[[#This Row],[1 класс искл]:[6 класс искл]],0)</f>
        <v>1</v>
      </c>
      <c r="BX19" s="120">
        <v>7.292618622436196</v>
      </c>
      <c r="BY19" s="120">
        <v>14.774156129251356</v>
      </c>
      <c r="BZ19" s="120">
        <v>18.330145056859259</v>
      </c>
      <c r="CA19" s="120">
        <v>183.89267623074699</v>
      </c>
      <c r="CB19" s="120">
        <v>191.16805405535405</v>
      </c>
      <c r="CC19" s="120">
        <v>55.300096738561002</v>
      </c>
      <c r="CD19" s="147">
        <f>IF(Таблица17[[#This Row],[обуч выборка2]]-Таблица17[[#This Row],[Апосториорная вероятность искл]]=0,1,0)</f>
        <v>0</v>
      </c>
      <c r="CE19" s="117">
        <f>MATCH(MAX(Таблица17[[#This Row],[1 класс искл.]:[6 класс искл.]]),Таблица17[[#This Row],[1 класс искл.]:[6 класс искл.]],0)</f>
        <v>1</v>
      </c>
      <c r="CF19" s="120">
        <v>0.97943760659534618</v>
      </c>
      <c r="CG19" s="120">
        <v>1.8598226587116466E-2</v>
      </c>
      <c r="CH19" s="120">
        <v>1.9641668064861555E-3</v>
      </c>
      <c r="CI19" s="120">
        <v>0</v>
      </c>
      <c r="CJ19" s="120">
        <v>0</v>
      </c>
      <c r="CK19" s="120">
        <v>1.1051128071533512E-11</v>
      </c>
      <c r="CL19" s="198">
        <v>5.6630355757247952E-2</v>
      </c>
      <c r="CM19" s="198">
        <v>0.11045861529005846</v>
      </c>
      <c r="CN19" s="199">
        <v>-0.63732668444658747</v>
      </c>
      <c r="CO19" s="192">
        <v>4</v>
      </c>
      <c r="CP19" s="195">
        <v>3</v>
      </c>
      <c r="CQ19" s="209">
        <v>-3.0219999999999997E-2</v>
      </c>
      <c r="CR19" s="209">
        <v>-3.8620000000000002E-2</v>
      </c>
      <c r="CS19" s="223">
        <v>4</v>
      </c>
      <c r="CT19" s="223">
        <v>2</v>
      </c>
      <c r="CU19" s="209">
        <v>-3.8620000000000002E-2</v>
      </c>
      <c r="CV19" s="209">
        <v>-3.0219999999999997E-2</v>
      </c>
      <c r="CW19" s="209">
        <v>6</v>
      </c>
      <c r="CX19" s="210">
        <v>1</v>
      </c>
      <c r="CY19" s="238" t="s">
        <v>341</v>
      </c>
      <c r="CZ19" s="238">
        <v>5</v>
      </c>
    </row>
    <row r="20" spans="1:104" x14ac:dyDescent="0.3">
      <c r="A20" s="57" t="s">
        <v>28</v>
      </c>
      <c r="B20" s="57">
        <v>1</v>
      </c>
      <c r="C20" s="57">
        <v>6</v>
      </c>
      <c r="D20" s="57">
        <v>6</v>
      </c>
      <c r="E20" s="58">
        <v>5</v>
      </c>
      <c r="F20" s="58">
        <v>-1.6517622599999999</v>
      </c>
      <c r="G20" s="58">
        <v>-1.47532375</v>
      </c>
      <c r="H20" s="58">
        <v>0.31847076200000013</v>
      </c>
      <c r="I20" s="58">
        <v>1.3915135599999999</v>
      </c>
      <c r="J20" s="58">
        <v>-0.6529738300000002</v>
      </c>
      <c r="K20" s="58">
        <v>-0.54879934800000008</v>
      </c>
      <c r="L20" s="58">
        <v>2.15484462</v>
      </c>
      <c r="M20" s="58">
        <v>3.4684251299999996E-2</v>
      </c>
      <c r="N20" s="58">
        <v>-0.40115870700000006</v>
      </c>
      <c r="O20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12.475674534765552</v>
      </c>
      <c r="P20" s="114"/>
      <c r="Q20" s="114"/>
      <c r="R20" s="121" t="str">
        <f>RIGHT(Таблица17[[#This Row],[Классиф ДА2]])</f>
        <v>6</v>
      </c>
      <c r="S20">
        <v>6</v>
      </c>
      <c r="T20" s="147">
        <f>IF(Таблица17[[#This Row],[обуч выборка2]]-Таблица17[[#This Row],[Классиф ДА]]=0,1,0)</f>
        <v>0</v>
      </c>
      <c r="U20" s="117" t="s">
        <v>217</v>
      </c>
      <c r="V20" s="147">
        <f>IF(Таблица17[[#This Row],[обуч выборка2]]-Таблица17[[#This Row],[расстояние Махаланобиса]]=0,1,0)</f>
        <v>0</v>
      </c>
      <c r="W20" s="117">
        <f>MATCH(MIN(Таблица17[[#This Row],[1 класс]:[6 класс]]),Таблица17[[#This Row],[1 класс]:[6 класс]],0)</f>
        <v>6</v>
      </c>
      <c r="X20" s="118">
        <v>98.495539988108547</v>
      </c>
      <c r="Y20" s="118">
        <v>168.93671300214442</v>
      </c>
      <c r="Z20" s="118">
        <v>142.4249341750627</v>
      </c>
      <c r="AA20" s="118">
        <v>347.7126357535912</v>
      </c>
      <c r="AB20" s="118">
        <v>527.0783808263343</v>
      </c>
      <c r="AC20" s="118">
        <v>13.074574236966617</v>
      </c>
      <c r="AD20" s="212">
        <v>98.495539988108547</v>
      </c>
      <c r="AE20" s="212">
        <v>168.93671300214442</v>
      </c>
      <c r="AF20" s="212">
        <v>142.4249341750627</v>
      </c>
      <c r="AG20" s="212">
        <v>347.7126357535912</v>
      </c>
      <c r="AH20" s="212">
        <v>527.0783808263343</v>
      </c>
      <c r="AI20" s="212">
        <v>13.074574236966617</v>
      </c>
      <c r="AJ20" s="147">
        <f>IF(Таблица17[[#This Row],[обуч выборка2]]-Таблица17[[#This Row],[Апосториорная вероятность]]=0,1,0)</f>
        <v>0</v>
      </c>
      <c r="AK20" s="117">
        <f>MATCH(MAX(Таблица17[[#This Row],[1 класс.]:[6 класс.]]),Таблица17[[#This Row],[1 класс.]:[6 класс.]],0)</f>
        <v>6</v>
      </c>
      <c r="AL20" s="120">
        <v>9.4178487841151963E-19</v>
      </c>
      <c r="AM20" s="120">
        <v>0</v>
      </c>
      <c r="AN20" s="120">
        <v>1.3607394409190433E-28</v>
      </c>
      <c r="AO20" s="120">
        <v>0</v>
      </c>
      <c r="AP20" s="120">
        <v>0</v>
      </c>
      <c r="AQ20" s="120">
        <v>1</v>
      </c>
      <c r="AR20" s="216">
        <v>9.4178487841151963E-19</v>
      </c>
      <c r="AS20" s="216">
        <v>0</v>
      </c>
      <c r="AT20" s="216">
        <v>1.3607394409190433E-28</v>
      </c>
      <c r="AU20" s="216">
        <v>0</v>
      </c>
      <c r="AV20" s="216">
        <v>0</v>
      </c>
      <c r="AW20" s="216">
        <v>1</v>
      </c>
      <c r="AX20" s="121" t="str">
        <f>RIGHT(Таблица17[[#This Row],[Класиф вкл2]])</f>
        <v>6</v>
      </c>
      <c r="AY20" s="221">
        <v>6</v>
      </c>
      <c r="AZ20" s="147">
        <f>IF(Таблица17[[#This Row],[обуч выборка2]]-Таблица17[[#This Row],[Класиф вкл]]=0,1,0)</f>
        <v>0</v>
      </c>
      <c r="BA20" s="117" t="s">
        <v>217</v>
      </c>
      <c r="BB20" s="147">
        <f>IF(Таблица17[[#This Row],[обуч выборка2]]-Таблица17[[#This Row],[Расстояние Махаланобиса вкл
]]=0,1,0)</f>
        <v>0</v>
      </c>
      <c r="BC20" s="117">
        <f>MATCH(MIN(Таблица17[[#This Row],[1 класс вкл]:[6 класс вкл]]),Таблица17[[#This Row],[1 класс вкл]:[6 класс вкл]],0)</f>
        <v>5</v>
      </c>
      <c r="BD20" s="118">
        <v>197.57924522165058</v>
      </c>
      <c r="BE20" s="118">
        <v>116.80979921222695</v>
      </c>
      <c r="BF20" s="118">
        <v>137.53154804939655</v>
      </c>
      <c r="BG20" s="120">
        <v>377.97822508956131</v>
      </c>
      <c r="BH20" s="118">
        <v>5.1866239485286298</v>
      </c>
      <c r="BI20" s="118">
        <v>384.29206148157448</v>
      </c>
      <c r="BJ20" s="147">
        <f>IF(Таблица17[[#This Row],[обуч выборка2]]-Таблица17[[#This Row],[Апосториорная вероятность вкл]]=0,1,0)</f>
        <v>0</v>
      </c>
      <c r="BK20" s="117">
        <f>MATCH(MAX(Таблица17[[#This Row],[1 класс вкл.]:[6 класс вкл.]]),Таблица17[[#This Row],[1 класс вкл.]:[6 класс вкл.]],0)</f>
        <v>5</v>
      </c>
      <c r="BL20" s="119">
        <v>0</v>
      </c>
      <c r="BM20" s="119">
        <v>2.3088486055778468E-24</v>
      </c>
      <c r="BN20" s="119">
        <v>4.5667252761064938E-29</v>
      </c>
      <c r="BO20" s="119">
        <v>0</v>
      </c>
      <c r="BP20" s="119">
        <v>1</v>
      </c>
      <c r="BQ20" s="119">
        <v>0</v>
      </c>
      <c r="BR20" s="121" t="str">
        <f>RIGHT(Таблица17[[#This Row],[Класиф искл2]])</f>
        <v>6</v>
      </c>
      <c r="BS20" s="222">
        <v>6</v>
      </c>
      <c r="BT20" s="147">
        <f>IF(Таблица17[[#This Row],[обуч выборка2]]-Таблица17[[#This Row],[Класиф искл]]=0,1,0)</f>
        <v>0</v>
      </c>
      <c r="BU20" s="117" t="s">
        <v>217</v>
      </c>
      <c r="BV20" s="147">
        <f>IF(Таблица17[[#This Row],[обуч выборка2]]-Таблица17[[#This Row],[Расстояние Махаланобиса искл]]=0,1,0)</f>
        <v>0</v>
      </c>
      <c r="BW20" s="117">
        <f>MATCH(MIN(Таблица17[[#This Row],[1 класс искл]:[6 класс искл]]),Таблица17[[#This Row],[1 класс искл]:[6 класс искл]],0)</f>
        <v>5</v>
      </c>
      <c r="BX20" s="120">
        <v>138.45668756239112</v>
      </c>
      <c r="BY20" s="120">
        <v>76.276927255532726</v>
      </c>
      <c r="BZ20" s="120">
        <v>92.75492181259375</v>
      </c>
      <c r="CA20" s="120">
        <v>368.80640151330431</v>
      </c>
      <c r="CB20" s="120">
        <v>46.486558571875392</v>
      </c>
      <c r="CC20" s="120">
        <v>215.5078474881328</v>
      </c>
      <c r="CD20" s="147">
        <f>IF(Таблица17[[#This Row],[обуч выборка2]]-Таблица17[[#This Row],[Апосториорная вероятность искл]]=0,1,0)</f>
        <v>0</v>
      </c>
      <c r="CE20" s="117">
        <f>MATCH(MAX(Таблица17[[#This Row],[1 класс искл.]:[6 класс искл.]]),Таблица17[[#This Row],[1 класс искл.]:[6 класс искл.]],0)</f>
        <v>5</v>
      </c>
      <c r="CF20" s="120">
        <v>5.3445316570454075E-20</v>
      </c>
      <c r="CG20" s="120">
        <v>1.3588234543167318E-6</v>
      </c>
      <c r="CH20" s="120">
        <v>2.243323972861015E-10</v>
      </c>
      <c r="CI20" s="120">
        <v>0</v>
      </c>
      <c r="CJ20" s="120">
        <v>0.99999864095221336</v>
      </c>
      <c r="CK20" s="120">
        <v>0</v>
      </c>
      <c r="CL20" s="198">
        <v>0.83515241087902459</v>
      </c>
      <c r="CM20" s="198">
        <v>-2.0048492791874573</v>
      </c>
      <c r="CN20" s="199">
        <v>-0.53493984989436338</v>
      </c>
      <c r="CO20" s="192">
        <v>2</v>
      </c>
      <c r="CP20" s="195">
        <v>2</v>
      </c>
      <c r="CQ20" s="209">
        <v>1.7328400000000002</v>
      </c>
      <c r="CR20" s="209">
        <v>-0.8220400000000001</v>
      </c>
      <c r="CS20" s="223">
        <v>3</v>
      </c>
      <c r="CT20" s="223">
        <v>3</v>
      </c>
      <c r="CU20" s="209">
        <v>-0.8220400000000001</v>
      </c>
      <c r="CV20" s="209">
        <v>1.7328400000000002</v>
      </c>
      <c r="CW20" s="209">
        <v>4</v>
      </c>
      <c r="CX20" s="210">
        <v>4</v>
      </c>
      <c r="CY20" s="238" t="s">
        <v>339</v>
      </c>
      <c r="CZ20" s="238">
        <v>3</v>
      </c>
    </row>
    <row r="21" spans="1:104" x14ac:dyDescent="0.3">
      <c r="A21" s="57" t="s">
        <v>29</v>
      </c>
      <c r="B21" s="57">
        <v>2</v>
      </c>
      <c r="C21" s="57">
        <v>6</v>
      </c>
      <c r="D21" s="57">
        <v>2</v>
      </c>
      <c r="E21" s="58">
        <v>6</v>
      </c>
      <c r="F21" s="58">
        <v>0.94083857500000001</v>
      </c>
      <c r="G21" s="58">
        <v>0.60794150000000013</v>
      </c>
      <c r="H21" s="58">
        <v>0.20178942600000002</v>
      </c>
      <c r="I21" s="58">
        <v>-1.06562632</v>
      </c>
      <c r="J21" s="58">
        <v>-0.5903721959999999</v>
      </c>
      <c r="K21" s="58">
        <v>-0.85490257000000003</v>
      </c>
      <c r="L21" s="58">
        <v>-0.80178299499999994</v>
      </c>
      <c r="M21" s="58">
        <v>-0.93647478499999992</v>
      </c>
      <c r="N21" s="58">
        <v>-0.74836422300000005</v>
      </c>
      <c r="O21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5.590336256214683</v>
      </c>
      <c r="P21" s="114"/>
      <c r="Q21" s="114"/>
      <c r="R21" s="121" t="str">
        <f>RIGHT(Таблица17[[#This Row],[Классиф ДА2]])</f>
        <v>2</v>
      </c>
      <c r="S21">
        <v>2</v>
      </c>
      <c r="T21" s="147">
        <f>IF(Таблица17[[#This Row],[обуч выборка2]]-Таблица17[[#This Row],[Классиф ДА]]=0,1,0)</f>
        <v>0</v>
      </c>
      <c r="U21" s="117" t="s">
        <v>214</v>
      </c>
      <c r="V21" s="147">
        <f>IF(Таблица17[[#This Row],[обуч выборка2]]-Таблица17[[#This Row],[расстояние Махаланобиса]]=0,1,0)</f>
        <v>0</v>
      </c>
      <c r="W21" s="117">
        <f>MATCH(MIN(Таблица17[[#This Row],[1 класс]:[6 класс]]),Таблица17[[#This Row],[1 класс]:[6 класс]],0)</f>
        <v>2</v>
      </c>
      <c r="X21" s="118">
        <v>160.43197431348159</v>
      </c>
      <c r="Y21" s="118">
        <v>60.80408817975141</v>
      </c>
      <c r="Z21" s="118">
        <v>75.758187621239045</v>
      </c>
      <c r="AA21" s="118">
        <v>473.86860113155979</v>
      </c>
      <c r="AB21" s="118">
        <v>101.54979367757156</v>
      </c>
      <c r="AC21" s="118">
        <v>313.0050258083337</v>
      </c>
      <c r="AD21" s="212">
        <v>160.43197431348159</v>
      </c>
      <c r="AE21" s="212">
        <v>60.80408817975141</v>
      </c>
      <c r="AF21" s="212">
        <v>75.758187621239045</v>
      </c>
      <c r="AG21" s="212">
        <v>473.86860113155979</v>
      </c>
      <c r="AH21" s="212">
        <v>101.54979367757156</v>
      </c>
      <c r="AI21" s="212">
        <v>313.0050258083337</v>
      </c>
      <c r="AJ21" s="147">
        <f>IF(Таблица17[[#This Row],[обуч выборка2]]-Таблица17[[#This Row],[Апосториорная вероятность]]=0,1,0)</f>
        <v>0</v>
      </c>
      <c r="AK21" s="117">
        <f>MATCH(MAX(Таблица17[[#This Row],[1 класс.]:[6 класс.]]),Таблица17[[#This Row],[1 класс.]:[6 класс.]],0)</f>
        <v>2</v>
      </c>
      <c r="AL21" s="120">
        <v>2.9029251168900495E-22</v>
      </c>
      <c r="AM21" s="120">
        <v>0.99964642183768027</v>
      </c>
      <c r="AN21" s="120">
        <v>3.5357780753183257E-4</v>
      </c>
      <c r="AO21" s="120">
        <v>0</v>
      </c>
      <c r="AP21" s="120">
        <v>3.5478797772669118E-10</v>
      </c>
      <c r="AQ21" s="120">
        <v>0</v>
      </c>
      <c r="AR21" s="216">
        <v>2.9029251168900495E-22</v>
      </c>
      <c r="AS21" s="216">
        <v>0.99964642183768027</v>
      </c>
      <c r="AT21" s="216">
        <v>3.5357780753183257E-4</v>
      </c>
      <c r="AU21" s="216">
        <v>0</v>
      </c>
      <c r="AV21" s="216">
        <v>3.5478797772669118E-10</v>
      </c>
      <c r="AW21" s="216">
        <v>0</v>
      </c>
      <c r="AX21" s="121" t="str">
        <f>RIGHT(Таблица17[[#This Row],[Класиф вкл2]])</f>
        <v>2</v>
      </c>
      <c r="AY21" s="221">
        <v>2</v>
      </c>
      <c r="AZ21" s="147">
        <f>IF(Таблица17[[#This Row],[обуч выборка2]]-Таблица17[[#This Row],[Класиф вкл]]=0,1,0)</f>
        <v>0</v>
      </c>
      <c r="BA21" s="117" t="s">
        <v>214</v>
      </c>
      <c r="BB21" s="147">
        <f>IF(Таблица17[[#This Row],[обуч выборка2]]-Таблица17[[#This Row],[Расстояние Махаланобиса вкл
]]=0,1,0)</f>
        <v>0</v>
      </c>
      <c r="BC21" s="117">
        <f>MATCH(MIN(Таблица17[[#This Row],[1 класс вкл]:[6 класс вкл]]),Таблица17[[#This Row],[1 класс вкл]:[6 класс вкл]],0)</f>
        <v>2</v>
      </c>
      <c r="BD21" s="118">
        <v>60.170309021023591</v>
      </c>
      <c r="BE21" s="118">
        <v>17.712838703541635</v>
      </c>
      <c r="BF21" s="118">
        <v>25.425644961430987</v>
      </c>
      <c r="BG21" s="120">
        <v>300.39304342153196</v>
      </c>
      <c r="BH21" s="118">
        <v>52.906362332173408</v>
      </c>
      <c r="BI21" s="118">
        <v>198.99059516850738</v>
      </c>
      <c r="BJ21" s="147">
        <f>IF(Таблица17[[#This Row],[обуч выборка2]]-Таблица17[[#This Row],[Апосториорная вероятность вкл]]=0,1,0)</f>
        <v>0</v>
      </c>
      <c r="BK21" s="117">
        <f>MATCH(MAX(Таблица17[[#This Row],[1 класс вкл.]:[6 класс вкл.]]),Таблица17[[#This Row],[1 класс вкл.]:[6 класс вкл.]],0)</f>
        <v>2</v>
      </c>
      <c r="BL21" s="119">
        <v>7.4419352186510747E-10</v>
      </c>
      <c r="BM21" s="119">
        <v>0.98695740406296406</v>
      </c>
      <c r="BN21" s="119">
        <v>1.3042589568627996E-2</v>
      </c>
      <c r="BO21" s="119">
        <v>0</v>
      </c>
      <c r="BP21" s="119">
        <v>5.6242143321627361E-9</v>
      </c>
      <c r="BQ21" s="119">
        <v>0</v>
      </c>
      <c r="BR21" s="121" t="str">
        <f>RIGHT(Таблица17[[#This Row],[Класиф искл2]])</f>
        <v>2</v>
      </c>
      <c r="BS21" s="222">
        <v>2</v>
      </c>
      <c r="BT21" s="147">
        <f>IF(Таблица17[[#This Row],[обуч выборка2]]-Таблица17[[#This Row],[Класиф искл]]=0,1,0)</f>
        <v>0</v>
      </c>
      <c r="BU21" s="117" t="s">
        <v>214</v>
      </c>
      <c r="BV21" s="147">
        <f>IF(Таблица17[[#This Row],[обуч выборка2]]-Таблица17[[#This Row],[Расстояние Махаланобиса искл]]=0,1,0)</f>
        <v>0</v>
      </c>
      <c r="BW21" s="117">
        <f>MATCH(MIN(Таблица17[[#This Row],[1 класс искл]:[6 класс искл]]),Таблица17[[#This Row],[1 класс искл]:[6 класс искл]],0)</f>
        <v>2</v>
      </c>
      <c r="BX21" s="120">
        <v>61.774340698478774</v>
      </c>
      <c r="BY21" s="120">
        <v>16.776587130521399</v>
      </c>
      <c r="BZ21" s="120">
        <v>26.821244556931259</v>
      </c>
      <c r="CA21" s="120">
        <v>301.2265908998628</v>
      </c>
      <c r="CB21" s="120">
        <v>72.438675864531888</v>
      </c>
      <c r="CC21" s="120">
        <v>148.11134644505955</v>
      </c>
      <c r="CD21" s="147">
        <f>IF(Таблица17[[#This Row],[обуч выборка2]]-Таблица17[[#This Row],[Апосториорная вероятность искл]]=0,1,0)</f>
        <v>0</v>
      </c>
      <c r="CE21" s="117">
        <f>MATCH(MAX(Таблица17[[#This Row],[1 класс искл.]:[6 класс искл.]]),Таблица17[[#This Row],[1 класс искл.]:[6 класс искл.]],0)</f>
        <v>2</v>
      </c>
      <c r="CF21" s="120">
        <v>2.1085656422202245E-10</v>
      </c>
      <c r="CG21" s="120">
        <v>0.99589866218583278</v>
      </c>
      <c r="CH21" s="120">
        <v>4.1013376031067998E-3</v>
      </c>
      <c r="CI21" s="120">
        <v>0</v>
      </c>
      <c r="CJ21" s="120">
        <v>2.0383847590105434E-13</v>
      </c>
      <c r="CK21" s="120">
        <v>1.1304875673306268E-29</v>
      </c>
      <c r="CL21" s="198">
        <v>-0.95306631457546787</v>
      </c>
      <c r="CM21" s="198">
        <v>0.19932319917675709</v>
      </c>
      <c r="CN21" s="199">
        <v>1.0539736600225309</v>
      </c>
      <c r="CO21" s="192">
        <v>6</v>
      </c>
      <c r="CP21" s="195">
        <v>4</v>
      </c>
      <c r="CQ21" s="209">
        <v>-0.88119999999999998</v>
      </c>
      <c r="CR21" s="209">
        <v>-0.50312000000000001</v>
      </c>
      <c r="CS21" s="223">
        <v>2</v>
      </c>
      <c r="CT21" s="223">
        <v>1</v>
      </c>
      <c r="CU21" s="209">
        <v>-0.50312000000000001</v>
      </c>
      <c r="CV21" s="209">
        <v>-0.88119999999999998</v>
      </c>
      <c r="CW21" s="209">
        <v>5</v>
      </c>
      <c r="CX21" s="210">
        <v>2</v>
      </c>
      <c r="CY21" s="238" t="s">
        <v>341</v>
      </c>
      <c r="CZ21" s="238">
        <v>1</v>
      </c>
    </row>
    <row r="22" spans="1:104" x14ac:dyDescent="0.3">
      <c r="A22" s="57" t="s">
        <v>30</v>
      </c>
      <c r="B22" s="57">
        <v>4</v>
      </c>
      <c r="C22" s="57">
        <v>6</v>
      </c>
      <c r="D22" s="57">
        <v>2</v>
      </c>
      <c r="E22" s="58">
        <v>6</v>
      </c>
      <c r="F22" s="58">
        <v>1.22102851</v>
      </c>
      <c r="G22" s="58">
        <v>-0.77597702300000004</v>
      </c>
      <c r="H22" s="58">
        <v>-0.76107067100000003</v>
      </c>
      <c r="I22" s="58">
        <v>-0.16066322599999999</v>
      </c>
      <c r="J22" s="58">
        <v>5.8530765000000005E-2</v>
      </c>
      <c r="K22" s="58">
        <v>0.32869655500000006</v>
      </c>
      <c r="L22" s="58">
        <v>-6.5466078400000004E-3</v>
      </c>
      <c r="M22" s="58">
        <v>0.14259081100000001</v>
      </c>
      <c r="N22" s="58">
        <v>7.3041432099999999E-4</v>
      </c>
      <c r="O22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2.8299350073020251</v>
      </c>
      <c r="P22" s="114"/>
      <c r="Q22" s="114"/>
      <c r="R22" s="121" t="str">
        <f>RIGHT(Таблица17[[#This Row],[Классиф ДА2]])</f>
        <v>2</v>
      </c>
      <c r="S22">
        <v>2</v>
      </c>
      <c r="T22" s="147">
        <f>IF(Таблица17[[#This Row],[обуч выборка2]]-Таблица17[[#This Row],[Классиф ДА]]=0,1,0)</f>
        <v>0</v>
      </c>
      <c r="U22" s="117" t="s">
        <v>214</v>
      </c>
      <c r="V22" s="147">
        <f>IF(Таблица17[[#This Row],[обуч выборка2]]-Таблица17[[#This Row],[расстояние Махаланобиса]]=0,1,0)</f>
        <v>0</v>
      </c>
      <c r="W22" s="117">
        <f>MATCH(MIN(Таблица17[[#This Row],[1 класс]:[6 класс]]),Таблица17[[#This Row],[1 класс]:[6 класс]],0)</f>
        <v>2</v>
      </c>
      <c r="X22" s="118">
        <v>29.563850282741271</v>
      </c>
      <c r="Y22" s="118">
        <v>15.188877954736975</v>
      </c>
      <c r="Z22" s="118">
        <v>25.166113720378899</v>
      </c>
      <c r="AA22" s="118">
        <v>229.59201827543265</v>
      </c>
      <c r="AB22" s="118">
        <v>204.51409936007963</v>
      </c>
      <c r="AC22" s="118">
        <v>122.37802521209115</v>
      </c>
      <c r="AD22" s="212">
        <v>29.563850282741271</v>
      </c>
      <c r="AE22" s="212">
        <v>15.188877954736975</v>
      </c>
      <c r="AF22" s="212">
        <v>25.166113720378899</v>
      </c>
      <c r="AG22" s="212">
        <v>229.59201827543265</v>
      </c>
      <c r="AH22" s="212">
        <v>204.51409936007963</v>
      </c>
      <c r="AI22" s="212">
        <v>122.37802521209115</v>
      </c>
      <c r="AJ22" s="147">
        <f>IF(Таблица17[[#This Row],[обуч выборка2]]-Таблица17[[#This Row],[Апосториорная вероятность]]=0,1,0)</f>
        <v>0</v>
      </c>
      <c r="AK22" s="117">
        <f>MATCH(MAX(Таблица17[[#This Row],[1 класс.]:[6 класс.]]),Таблица17[[#This Row],[1 класс.]:[6 класс.]],0)</f>
        <v>2</v>
      </c>
      <c r="AL22" s="120">
        <v>9.4009133382009309E-4</v>
      </c>
      <c r="AM22" s="120">
        <v>0.99482253840324442</v>
      </c>
      <c r="AN22" s="120">
        <v>4.2373702629354745E-3</v>
      </c>
      <c r="AO22" s="120">
        <v>0</v>
      </c>
      <c r="AP22" s="120">
        <v>0</v>
      </c>
      <c r="AQ22" s="120">
        <v>1.976738845439607E-24</v>
      </c>
      <c r="AR22" s="216">
        <v>9.4009133382009309E-4</v>
      </c>
      <c r="AS22" s="216">
        <v>0.99482253840324442</v>
      </c>
      <c r="AT22" s="216">
        <v>4.2373702629354745E-3</v>
      </c>
      <c r="AU22" s="216">
        <v>0</v>
      </c>
      <c r="AV22" s="216">
        <v>0</v>
      </c>
      <c r="AW22" s="216">
        <v>1.976738845439607E-24</v>
      </c>
      <c r="AX22" s="121" t="str">
        <f>RIGHT(Таблица17[[#This Row],[Класиф вкл2]])</f>
        <v>2</v>
      </c>
      <c r="AY22" s="221">
        <v>2</v>
      </c>
      <c r="AZ22" s="147">
        <f>IF(Таблица17[[#This Row],[обуч выборка2]]-Таблица17[[#This Row],[Класиф вкл]]=0,1,0)</f>
        <v>0</v>
      </c>
      <c r="BA22" s="117" t="s">
        <v>214</v>
      </c>
      <c r="BB22" s="147">
        <f>IF(Таблица17[[#This Row],[обуч выборка2]]-Таблица17[[#This Row],[Расстояние Махаланобиса вкл
]]=0,1,0)</f>
        <v>0</v>
      </c>
      <c r="BC22" s="117">
        <f>MATCH(MIN(Таблица17[[#This Row],[1 класс вкл]:[6 класс вкл]]),Таблица17[[#This Row],[1 класс вкл]:[6 класс вкл]],0)</f>
        <v>2</v>
      </c>
      <c r="BD22" s="118">
        <v>27.493569236318148</v>
      </c>
      <c r="BE22" s="118">
        <v>4.6731267076193177</v>
      </c>
      <c r="BF22" s="118">
        <v>18.318313829824977</v>
      </c>
      <c r="BG22" s="120">
        <v>168.29045250563473</v>
      </c>
      <c r="BH22" s="118">
        <v>111.5714810808543</v>
      </c>
      <c r="BI22" s="118">
        <v>111.86097420159813</v>
      </c>
      <c r="BJ22" s="147">
        <f>IF(Таблица17[[#This Row],[обуч выборка2]]-Таблица17[[#This Row],[Апосториорная вероятность вкл]]=0,1,0)</f>
        <v>0</v>
      </c>
      <c r="BK22" s="117">
        <f>MATCH(MAX(Таблица17[[#This Row],[1 класс вкл.]:[6 класс вкл.]]),Таблица17[[#This Row],[1 класс вкл.]:[6 класс вкл.]],0)</f>
        <v>2</v>
      </c>
      <c r="BL22" s="119">
        <v>1.3842432254202933E-5</v>
      </c>
      <c r="BM22" s="119">
        <v>0.9993060716101938</v>
      </c>
      <c r="BN22" s="119">
        <v>6.8008595755209272E-4</v>
      </c>
      <c r="BO22" s="119">
        <v>0</v>
      </c>
      <c r="BP22" s="119">
        <v>1.5309317161281408E-24</v>
      </c>
      <c r="BQ22" s="119">
        <v>1.9869386006949033E-24</v>
      </c>
      <c r="BR22" s="121" t="str">
        <f>RIGHT(Таблица17[[#This Row],[Класиф искл2]])</f>
        <v>2</v>
      </c>
      <c r="BS22" s="222">
        <v>2</v>
      </c>
      <c r="BT22" s="147">
        <f>IF(Таблица17[[#This Row],[обуч выборка2]]-Таблица17[[#This Row],[Класиф искл]]=0,1,0)</f>
        <v>0</v>
      </c>
      <c r="BU22" s="117" t="s">
        <v>214</v>
      </c>
      <c r="BV22" s="147">
        <f>IF(Таблица17[[#This Row],[обуч выборка2]]-Таблица17[[#This Row],[Расстояние Махаланобиса искл]]=0,1,0)</f>
        <v>0</v>
      </c>
      <c r="BW22" s="117">
        <f>MATCH(MIN(Таблица17[[#This Row],[1 класс искл]:[6 класс искл]]),Таблица17[[#This Row],[1 класс искл]:[6 класс искл]],0)</f>
        <v>2</v>
      </c>
      <c r="BX22" s="120">
        <v>26.11341615414608</v>
      </c>
      <c r="BY22" s="120">
        <v>6.2739052422232264</v>
      </c>
      <c r="BZ22" s="120">
        <v>18.041955320123986</v>
      </c>
      <c r="CA22" s="120">
        <v>173.60617928016936</v>
      </c>
      <c r="CB22" s="120">
        <v>144.10437089252983</v>
      </c>
      <c r="CC22" s="120">
        <v>64.781629231785786</v>
      </c>
      <c r="CD22" s="147">
        <f>IF(Таблица17[[#This Row],[обуч выборка2]]-Таблица17[[#This Row],[Апосториорная вероятность искл]]=0,1,0)</f>
        <v>0</v>
      </c>
      <c r="CE22" s="117">
        <f>MATCH(MAX(Таблица17[[#This Row],[1 класс искл.]:[6 класс искл.]]),Таблица17[[#This Row],[1 класс искл.]:[6 класс искл.]],0)</f>
        <v>2</v>
      </c>
      <c r="CF22" s="120">
        <v>6.1380921238462019E-5</v>
      </c>
      <c r="CG22" s="120">
        <v>0.99820202283551185</v>
      </c>
      <c r="CH22" s="120">
        <v>1.7365962431758026E-3</v>
      </c>
      <c r="CI22" s="120">
        <v>0</v>
      </c>
      <c r="CJ22" s="120">
        <v>2.9353042220489254E-31</v>
      </c>
      <c r="CK22" s="120">
        <v>7.386843102610153E-14</v>
      </c>
      <c r="CL22" s="198">
        <v>2.1114207833418847E-2</v>
      </c>
      <c r="CM22" s="198">
        <v>0.33185936800214466</v>
      </c>
      <c r="CN22" s="199">
        <v>1.0337581565671432</v>
      </c>
      <c r="CO22" s="192">
        <v>4</v>
      </c>
      <c r="CP22" s="195">
        <v>3</v>
      </c>
      <c r="CQ22" s="209">
        <v>-0.10676000000000002</v>
      </c>
      <c r="CR22" s="209">
        <v>0.21414000000000002</v>
      </c>
      <c r="CS22" s="223">
        <v>4</v>
      </c>
      <c r="CT22" s="223">
        <v>2</v>
      </c>
      <c r="CU22" s="209">
        <v>0.21414000000000002</v>
      </c>
      <c r="CV22" s="209">
        <v>-0.10676000000000002</v>
      </c>
      <c r="CW22" s="209">
        <v>6</v>
      </c>
      <c r="CX22" s="210">
        <v>1</v>
      </c>
      <c r="CY22" s="238" t="s">
        <v>339</v>
      </c>
      <c r="CZ22" s="238">
        <v>4</v>
      </c>
    </row>
    <row r="23" spans="1:104" x14ac:dyDescent="0.3">
      <c r="A23" s="57" t="s">
        <v>31</v>
      </c>
      <c r="B23" s="57">
        <v>6</v>
      </c>
      <c r="C23" s="57">
        <v>6</v>
      </c>
      <c r="D23" s="57">
        <v>1</v>
      </c>
      <c r="E23" s="58">
        <v>6</v>
      </c>
      <c r="F23" s="58">
        <v>-0.62439916900000003</v>
      </c>
      <c r="G23" s="58">
        <v>-0.56420301400000006</v>
      </c>
      <c r="H23" s="58">
        <v>-0.38504044900000006</v>
      </c>
      <c r="I23" s="58">
        <v>-0.12648505000000002</v>
      </c>
      <c r="J23" s="58">
        <v>-0.28072970400000002</v>
      </c>
      <c r="K23" s="58">
        <v>-0.79368192500000001</v>
      </c>
      <c r="L23" s="58">
        <v>-0.64246702499999997</v>
      </c>
      <c r="M23" s="58">
        <v>1.9122583899999999</v>
      </c>
      <c r="N23" s="58">
        <v>-0.70479928100000011</v>
      </c>
      <c r="O23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6.1474321984161113</v>
      </c>
      <c r="P23" s="114"/>
      <c r="Q23" s="114"/>
      <c r="R23" s="121" t="str">
        <f>RIGHT(Таблица17[[#This Row],[Классиф ДА2]])</f>
        <v>1</v>
      </c>
      <c r="S23">
        <v>1</v>
      </c>
      <c r="T23" s="147">
        <f>IF(Таблица17[[#This Row],[обуч выборка2]]-Таблица17[[#This Row],[Классиф ДА]]=0,1,0)</f>
        <v>0</v>
      </c>
      <c r="U23" s="117" t="s">
        <v>213</v>
      </c>
      <c r="V23" s="147">
        <f>IF(Таблица17[[#This Row],[обуч выборка2]]-Таблица17[[#This Row],[расстояние Махаланобиса]]=0,1,0)</f>
        <v>0</v>
      </c>
      <c r="W23" s="117">
        <f>MATCH(MIN(Таблица17[[#This Row],[1 класс]:[6 класс]]),Таблица17[[#This Row],[1 класс]:[6 класс]],0)</f>
        <v>1</v>
      </c>
      <c r="X23" s="118">
        <v>31.112475165855649</v>
      </c>
      <c r="Y23" s="118">
        <v>95.173811697445203</v>
      </c>
      <c r="Z23" s="118">
        <v>83.422667022359292</v>
      </c>
      <c r="AA23" s="118">
        <v>304.59913773481293</v>
      </c>
      <c r="AB23" s="118">
        <v>405.74022632118937</v>
      </c>
      <c r="AC23" s="118">
        <v>132.88396135570778</v>
      </c>
      <c r="AD23" s="212">
        <v>31.112475165855649</v>
      </c>
      <c r="AE23" s="212">
        <v>95.173811697445203</v>
      </c>
      <c r="AF23" s="212">
        <v>83.422667022359292</v>
      </c>
      <c r="AG23" s="212">
        <v>304.59913773481293</v>
      </c>
      <c r="AH23" s="212">
        <v>405.74022632118937</v>
      </c>
      <c r="AI23" s="212">
        <v>132.88396135570778</v>
      </c>
      <c r="AJ23" s="147">
        <f>IF(Таблица17[[#This Row],[обуч выборка2]]-Таблица17[[#This Row],[Апосториорная вероятность]]=0,1,0)</f>
        <v>0</v>
      </c>
      <c r="AK23" s="117">
        <f>MATCH(MAX(Таблица17[[#This Row],[1 класс.]:[6 класс.]]),Таблица17[[#This Row],[1 класс.]:[6 класс.]],0)</f>
        <v>1</v>
      </c>
      <c r="AL23" s="120">
        <v>0.99999999999780265</v>
      </c>
      <c r="AM23" s="120">
        <v>9.8253381827541682E-15</v>
      </c>
      <c r="AN23" s="120">
        <v>2.1875408363357444E-12</v>
      </c>
      <c r="AO23" s="120">
        <v>0</v>
      </c>
      <c r="AP23" s="120">
        <v>0</v>
      </c>
      <c r="AQ23" s="120">
        <v>2.386293295441403E-23</v>
      </c>
      <c r="AR23" s="216">
        <v>0.99999999999780265</v>
      </c>
      <c r="AS23" s="216">
        <v>9.8253381827541682E-15</v>
      </c>
      <c r="AT23" s="216">
        <v>2.1875408363357444E-12</v>
      </c>
      <c r="AU23" s="216">
        <v>0</v>
      </c>
      <c r="AV23" s="216">
        <v>0</v>
      </c>
      <c r="AW23" s="216">
        <v>2.386293295441403E-23</v>
      </c>
      <c r="AX23" s="121" t="str">
        <f>RIGHT(Таблица17[[#This Row],[Класиф вкл2]])</f>
        <v>1</v>
      </c>
      <c r="AY23" s="221">
        <v>1</v>
      </c>
      <c r="AZ23" s="147">
        <f>IF(Таблица17[[#This Row],[обуч выборка2]]-Таблица17[[#This Row],[Класиф вкл]]=0,1,0)</f>
        <v>0</v>
      </c>
      <c r="BA23" s="117" t="s">
        <v>213</v>
      </c>
      <c r="BB23" s="147">
        <f>IF(Таблица17[[#This Row],[обуч выборка2]]-Таблица17[[#This Row],[Расстояние Махаланобиса вкл
]]=0,1,0)</f>
        <v>0</v>
      </c>
      <c r="BC23" s="117">
        <f>MATCH(MIN(Таблица17[[#This Row],[1 класс вкл]:[6 класс вкл]]),Таблица17[[#This Row],[1 класс вкл]:[6 класс вкл]],0)</f>
        <v>1</v>
      </c>
      <c r="BD23" s="118">
        <v>4.5870673693453474</v>
      </c>
      <c r="BE23" s="118">
        <v>18.944096656025078</v>
      </c>
      <c r="BF23" s="118">
        <v>20.262643692593517</v>
      </c>
      <c r="BG23" s="120">
        <v>213.19642232396936</v>
      </c>
      <c r="BH23" s="118">
        <v>192.17256306009216</v>
      </c>
      <c r="BI23" s="118">
        <v>103.46245493883289</v>
      </c>
      <c r="BJ23" s="147">
        <f>IF(Таблица17[[#This Row],[обуч выборка2]]-Таблица17[[#This Row],[Апосториорная вероятность вкл]]=0,1,0)</f>
        <v>0</v>
      </c>
      <c r="BK23" s="117">
        <f>MATCH(MAX(Таблица17[[#This Row],[1 класс вкл.]:[6 класс вкл.]]),Таблица17[[#This Row],[1 класс вкл.]:[6 класс вкл.]],0)</f>
        <v>1</v>
      </c>
      <c r="BL23" s="119">
        <v>0.99919314115363844</v>
      </c>
      <c r="BM23" s="119">
        <v>6.0974764739514379E-4</v>
      </c>
      <c r="BN23" s="119">
        <v>1.9711119896646589E-4</v>
      </c>
      <c r="BO23" s="119">
        <v>0</v>
      </c>
      <c r="BP23" s="119">
        <v>0</v>
      </c>
      <c r="BQ23" s="123">
        <v>1.0145024266700662E-22</v>
      </c>
      <c r="BR23" s="121" t="str">
        <f>RIGHT(Таблица17[[#This Row],[Класиф искл2]])</f>
        <v>1</v>
      </c>
      <c r="BS23" s="222">
        <v>1</v>
      </c>
      <c r="BT23" s="147">
        <f>IF(Таблица17[[#This Row],[обуч выборка2]]-Таблица17[[#This Row],[Класиф искл]]=0,1,0)</f>
        <v>0</v>
      </c>
      <c r="BU23" s="117" t="s">
        <v>213</v>
      </c>
      <c r="BV23" s="147">
        <f>IF(Таблица17[[#This Row],[обуч выборка2]]-Таблица17[[#This Row],[Расстояние Махаланобиса искл]]=0,1,0)</f>
        <v>0</v>
      </c>
      <c r="BW23" s="117">
        <f>MATCH(MIN(Таблица17[[#This Row],[1 класс искл]:[6 класс искл]]),Таблица17[[#This Row],[1 класс искл]:[6 класс искл]],0)</f>
        <v>1</v>
      </c>
      <c r="BX23" s="120">
        <v>4.6547267103489309</v>
      </c>
      <c r="BY23" s="120">
        <v>25.03724976225616</v>
      </c>
      <c r="BZ23" s="120">
        <v>20.067329792598763</v>
      </c>
      <c r="CA23" s="120">
        <v>219.22048975575299</v>
      </c>
      <c r="CB23" s="120">
        <v>230.29252010462807</v>
      </c>
      <c r="CC23" s="120">
        <v>79.804018574006506</v>
      </c>
      <c r="CD23" s="147">
        <f>IF(Таблица17[[#This Row],[обуч выборка2]]-Таблица17[[#This Row],[Апосториорная вероятность искл]]=0,1,0)</f>
        <v>0</v>
      </c>
      <c r="CE23" s="117">
        <f>MATCH(MAX(Таблица17[[#This Row],[1 класс искл.]:[6 класс искл.]]),Таблица17[[#This Row],[1 класс искл.]:[6 класс искл.]],0)</f>
        <v>1</v>
      </c>
      <c r="CF23" s="120">
        <v>0.99974507643666188</v>
      </c>
      <c r="CG23" s="120">
        <v>2.9989596093610995E-5</v>
      </c>
      <c r="CH23" s="120">
        <v>2.2493396724445898E-4</v>
      </c>
      <c r="CI23" s="120">
        <v>0</v>
      </c>
      <c r="CJ23" s="120">
        <v>0</v>
      </c>
      <c r="CK23" s="120">
        <v>1.4406190091435747E-17</v>
      </c>
      <c r="CL23" s="198">
        <v>-0.83243682646702744</v>
      </c>
      <c r="CM23" s="198">
        <v>-0.37899252472610234</v>
      </c>
      <c r="CN23" s="199">
        <v>-0.41734251946222678</v>
      </c>
      <c r="CO23" s="192">
        <v>1</v>
      </c>
      <c r="CP23" s="195">
        <v>4</v>
      </c>
      <c r="CQ23" s="209">
        <v>-0.26874999999999999</v>
      </c>
      <c r="CR23" s="209">
        <v>-0.66684000000000021</v>
      </c>
      <c r="CS23" s="223">
        <v>2</v>
      </c>
      <c r="CT23" s="223">
        <v>1</v>
      </c>
      <c r="CU23" s="209">
        <v>-0.66684000000000021</v>
      </c>
      <c r="CV23" s="209">
        <v>-0.26874999999999999</v>
      </c>
      <c r="CW23" s="209">
        <v>5</v>
      </c>
      <c r="CX23" s="210">
        <v>3</v>
      </c>
      <c r="CY23" s="238" t="s">
        <v>339</v>
      </c>
      <c r="CZ23" s="238">
        <v>5</v>
      </c>
    </row>
    <row r="24" spans="1:104" x14ac:dyDescent="0.3">
      <c r="A24" s="57" t="s">
        <v>32</v>
      </c>
      <c r="B24" s="57">
        <v>5</v>
      </c>
      <c r="C24" s="57">
        <v>6</v>
      </c>
      <c r="D24" s="57">
        <v>1</v>
      </c>
      <c r="E24" s="58">
        <v>6</v>
      </c>
      <c r="F24" s="58">
        <v>-0.95860162000000015</v>
      </c>
      <c r="G24" s="58">
        <v>-0.77105204699999996</v>
      </c>
      <c r="H24" s="58">
        <v>6.2179609000000011E-2</v>
      </c>
      <c r="I24" s="58">
        <v>-0.46777220400000002</v>
      </c>
      <c r="J24" s="58">
        <v>-0.53786759899999992</v>
      </c>
      <c r="K24" s="58">
        <v>-0.83449568800000007</v>
      </c>
      <c r="L24" s="58">
        <v>-0.66205450700000013</v>
      </c>
      <c r="M24" s="58">
        <v>-0.15954755600000003</v>
      </c>
      <c r="N24" s="58">
        <v>-0.65719118800000009</v>
      </c>
      <c r="O24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3.6174719224220953</v>
      </c>
      <c r="P24" s="114"/>
      <c r="Q24" s="114"/>
      <c r="R24" s="121" t="str">
        <f>RIGHT(Таблица17[[#This Row],[Классиф ДА2]])</f>
        <v>1</v>
      </c>
      <c r="S24">
        <v>1</v>
      </c>
      <c r="T24" s="147">
        <f>IF(Таблица17[[#This Row],[обуч выборка2]]-Таблица17[[#This Row],[Классиф ДА]]=0,1,0)</f>
        <v>0</v>
      </c>
      <c r="U24" s="117" t="s">
        <v>213</v>
      </c>
      <c r="V24" s="147">
        <f>IF(Таблица17[[#This Row],[обуч выборка2]]-Таблица17[[#This Row],[расстояние Махаланобиса]]=0,1,0)</f>
        <v>0</v>
      </c>
      <c r="W24" s="117">
        <f>MATCH(MIN(Таблица17[[#This Row],[1 класс]:[6 класс]]),Таблица17[[#This Row],[1 класс]:[6 класс]],0)</f>
        <v>1</v>
      </c>
      <c r="X24" s="118">
        <v>12.775472498389076</v>
      </c>
      <c r="Y24" s="118">
        <v>33.933241585402939</v>
      </c>
      <c r="Z24" s="118">
        <v>20.312919640243589</v>
      </c>
      <c r="AA24" s="118">
        <v>318.85286610082073</v>
      </c>
      <c r="AB24" s="118">
        <v>275.21868588255114</v>
      </c>
      <c r="AC24" s="118">
        <v>128.95423077131278</v>
      </c>
      <c r="AD24" s="212">
        <v>12.775472498389076</v>
      </c>
      <c r="AE24" s="212">
        <v>33.933241585402939</v>
      </c>
      <c r="AF24" s="212">
        <v>20.312919640243589</v>
      </c>
      <c r="AG24" s="212">
        <v>318.85286610082073</v>
      </c>
      <c r="AH24" s="212">
        <v>275.21868588255114</v>
      </c>
      <c r="AI24" s="212">
        <v>128.95423077131278</v>
      </c>
      <c r="AJ24" s="147">
        <f>IF(Таблица17[[#This Row],[обуч выборка2]]-Таблица17[[#This Row],[Апосториорная вероятность]]=0,1,0)</f>
        <v>0</v>
      </c>
      <c r="AK24" s="117">
        <f>MATCH(MAX(Таблица17[[#This Row],[1 класс.]:[6 класс.]]),Таблица17[[#This Row],[1 класс.]:[6 класс.]],0)</f>
        <v>1</v>
      </c>
      <c r="AL24" s="120">
        <v>0.98857102033456601</v>
      </c>
      <c r="AM24" s="120">
        <v>2.0125500061271093E-5</v>
      </c>
      <c r="AN24" s="120">
        <v>1.1408854165372672E-2</v>
      </c>
      <c r="AO24" s="120">
        <v>0</v>
      </c>
      <c r="AP24" s="120">
        <v>0</v>
      </c>
      <c r="AQ24" s="120">
        <v>1.7548189420544533E-26</v>
      </c>
      <c r="AR24" s="216">
        <v>0.98857102033456601</v>
      </c>
      <c r="AS24" s="216">
        <v>2.0125500061271093E-5</v>
      </c>
      <c r="AT24" s="216">
        <v>1.1408854165372672E-2</v>
      </c>
      <c r="AU24" s="216">
        <v>0</v>
      </c>
      <c r="AV24" s="216">
        <v>0</v>
      </c>
      <c r="AW24" s="216">
        <v>1.7548189420544533E-26</v>
      </c>
      <c r="AX24" s="121" t="str">
        <f>RIGHT(Таблица17[[#This Row],[Класиф вкл2]])</f>
        <v>1</v>
      </c>
      <c r="AY24" s="221">
        <v>1</v>
      </c>
      <c r="AZ24" s="147">
        <f>IF(Таблица17[[#This Row],[обуч выборка2]]-Таблица17[[#This Row],[Класиф вкл]]=0,1,0)</f>
        <v>0</v>
      </c>
      <c r="BA24" s="117" t="s">
        <v>213</v>
      </c>
      <c r="BB24" s="147">
        <f>IF(Таблица17[[#This Row],[обуч выборка2]]-Таблица17[[#This Row],[Расстояние Махаланобиса вкл
]]=0,1,0)</f>
        <v>0</v>
      </c>
      <c r="BC24" s="117">
        <f>MATCH(MIN(Таблица17[[#This Row],[1 класс вкл]:[6 класс вкл]]),Таблица17[[#This Row],[1 класс вкл]:[6 класс вкл]],0)</f>
        <v>1</v>
      </c>
      <c r="BD24" s="118">
        <v>6.5442438319469414</v>
      </c>
      <c r="BE24" s="118">
        <v>17.137769916104116</v>
      </c>
      <c r="BF24" s="118">
        <v>14.458683352063469</v>
      </c>
      <c r="BG24" s="120">
        <v>222.33040565838928</v>
      </c>
      <c r="BH24" s="118">
        <v>157.06340632831697</v>
      </c>
      <c r="BI24" s="118">
        <v>115.24447385034958</v>
      </c>
      <c r="BJ24" s="147">
        <f>IF(Таблица17[[#This Row],[обуч выборка2]]-Таблица17[[#This Row],[Апосториорная вероятность вкл]]=0,1,0)</f>
        <v>0</v>
      </c>
      <c r="BK24" s="117">
        <f>MATCH(MAX(Таблица17[[#This Row],[1 класс вкл.]:[6 класс вкл.]]),Таблица17[[#This Row],[1 класс вкл.]:[6 класс вкл.]],0)</f>
        <v>1</v>
      </c>
      <c r="BL24" s="119">
        <v>0.9866172121986384</v>
      </c>
      <c r="BM24" s="119">
        <v>3.9526077115505341E-3</v>
      </c>
      <c r="BN24" s="119">
        <v>9.4301800898110508E-3</v>
      </c>
      <c r="BO24" s="119">
        <v>0</v>
      </c>
      <c r="BP24" s="119">
        <v>0</v>
      </c>
      <c r="BQ24" s="123">
        <v>7.3674110846412401E-25</v>
      </c>
      <c r="BR24" s="121" t="str">
        <f>RIGHT(Таблица17[[#This Row],[Класиф искл2]])</f>
        <v>1</v>
      </c>
      <c r="BS24" s="222">
        <v>1</v>
      </c>
      <c r="BT24" s="147">
        <f>IF(Таблица17[[#This Row],[обуч выборка2]]-Таблица17[[#This Row],[Класиф искл]]=0,1,0)</f>
        <v>0</v>
      </c>
      <c r="BU24" s="117" t="s">
        <v>213</v>
      </c>
      <c r="BV24" s="147">
        <f>IF(Таблица17[[#This Row],[обуч выборка2]]-Таблица17[[#This Row],[Расстояние Махаланобиса искл]]=0,1,0)</f>
        <v>0</v>
      </c>
      <c r="BW24" s="117">
        <f>MATCH(MIN(Таблица17[[#This Row],[1 класс искл]:[6 класс искл]]),Таблица17[[#This Row],[1 класс искл]:[6 класс искл]],0)</f>
        <v>1</v>
      </c>
      <c r="BX24" s="120">
        <v>8.0795357770617358</v>
      </c>
      <c r="BY24" s="120">
        <v>30.591076811264607</v>
      </c>
      <c r="BZ24" s="120">
        <v>18.63737401020412</v>
      </c>
      <c r="CA24" s="120">
        <v>241.28930681681763</v>
      </c>
      <c r="CB24" s="120">
        <v>217.07876232735589</v>
      </c>
      <c r="CC24" s="120">
        <v>87.159595011930378</v>
      </c>
      <c r="CD24" s="147">
        <f>IF(Таблица17[[#This Row],[обуч выборка2]]-Таблица17[[#This Row],[Апосториорная вероятность искл]]=0,1,0)</f>
        <v>0</v>
      </c>
      <c r="CE24" s="117">
        <f>MATCH(MAX(Таблица17[[#This Row],[1 класс искл.]:[6 класс искл.]]),Таблица17[[#This Row],[1 класс искл.]:[6 класс искл.]],0)</f>
        <v>1</v>
      </c>
      <c r="CF24" s="120">
        <v>0.99744721836209205</v>
      </c>
      <c r="CG24" s="120">
        <v>1.0319552988090749E-5</v>
      </c>
      <c r="CH24" s="120">
        <v>2.5424620849199089E-3</v>
      </c>
      <c r="CI24" s="120">
        <v>0</v>
      </c>
      <c r="CJ24" s="120">
        <v>0</v>
      </c>
      <c r="CK24" s="120">
        <v>2.0136987528948693E-18</v>
      </c>
      <c r="CL24" s="198">
        <v>-0.53732615886278245</v>
      </c>
      <c r="CM24" s="198">
        <v>-0.70069206906462911</v>
      </c>
      <c r="CN24" s="199">
        <v>0.43909186418279833</v>
      </c>
      <c r="CO24" s="192">
        <v>5</v>
      </c>
      <c r="CP24" s="195">
        <v>5</v>
      </c>
      <c r="CQ24" s="209">
        <v>-0.23275000000000001</v>
      </c>
      <c r="CR24" s="209">
        <v>-0.75420000000000009</v>
      </c>
      <c r="CS24" s="223">
        <v>5</v>
      </c>
      <c r="CT24" s="223">
        <v>6</v>
      </c>
      <c r="CU24" s="209">
        <v>-0.75420000000000009</v>
      </c>
      <c r="CV24" s="209">
        <v>-0.23275000000000001</v>
      </c>
      <c r="CW24" s="209">
        <v>5</v>
      </c>
      <c r="CX24" s="210">
        <v>3</v>
      </c>
      <c r="CY24" s="238" t="s">
        <v>339</v>
      </c>
      <c r="CZ24" s="238">
        <v>5</v>
      </c>
    </row>
    <row r="25" spans="1:104" x14ac:dyDescent="0.3">
      <c r="A25" s="57" t="s">
        <v>33</v>
      </c>
      <c r="B25" s="57">
        <v>4</v>
      </c>
      <c r="C25" s="57">
        <v>6</v>
      </c>
      <c r="D25" s="57">
        <v>2</v>
      </c>
      <c r="E25" s="58">
        <v>4</v>
      </c>
      <c r="F25" s="58">
        <v>1.40444602</v>
      </c>
      <c r="G25" s="58">
        <v>0.55869173100000014</v>
      </c>
      <c r="H25" s="58">
        <v>-0.70671943500000012</v>
      </c>
      <c r="I25" s="58">
        <v>-0.26184054500000004</v>
      </c>
      <c r="J25" s="58">
        <v>2.4798004200000001</v>
      </c>
      <c r="K25" s="58">
        <v>1.2470062200000001</v>
      </c>
      <c r="L25" s="58">
        <v>-0.37069152500000002</v>
      </c>
      <c r="M25" s="58">
        <v>1.3102939400000001E-2</v>
      </c>
      <c r="N25" s="58">
        <v>2.0049199299999998</v>
      </c>
      <c r="O25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14.714340358478019</v>
      </c>
      <c r="P25" s="114"/>
      <c r="Q25" s="114"/>
      <c r="R25" s="121" t="str">
        <f>RIGHT(Таблица17[[#This Row],[Классиф ДА2]])</f>
        <v>2</v>
      </c>
      <c r="S25">
        <v>2</v>
      </c>
      <c r="T25" s="147">
        <f>IF(Таблица17[[#This Row],[обуч выборка2]]-Таблица17[[#This Row],[Классиф ДА]]=0,1,0)</f>
        <v>0</v>
      </c>
      <c r="U25" s="117" t="s">
        <v>214</v>
      </c>
      <c r="V25" s="147">
        <f>IF(Таблица17[[#This Row],[обуч выборка2]]-Таблица17[[#This Row],[расстояние Махаланобиса]]=0,1,0)</f>
        <v>0</v>
      </c>
      <c r="W25" s="117">
        <f>MATCH(MIN(Таблица17[[#This Row],[1 класс]:[6 класс]]),Таблица17[[#This Row],[1 класс]:[6 класс]],0)</f>
        <v>2</v>
      </c>
      <c r="X25" s="118">
        <v>189.80594092857018</v>
      </c>
      <c r="Y25" s="118">
        <v>136.18175011411321</v>
      </c>
      <c r="Z25" s="118">
        <v>157.79381366955789</v>
      </c>
      <c r="AA25" s="118">
        <v>220.64964780795449</v>
      </c>
      <c r="AB25" s="118">
        <v>215.85751261453834</v>
      </c>
      <c r="AC25" s="118">
        <v>414.34308901093755</v>
      </c>
      <c r="AD25" s="212">
        <v>189.80594092857018</v>
      </c>
      <c r="AE25" s="212">
        <v>136.18175011411321</v>
      </c>
      <c r="AF25" s="212">
        <v>157.79381366955789</v>
      </c>
      <c r="AG25" s="212">
        <v>220.64964780795449</v>
      </c>
      <c r="AH25" s="212">
        <v>215.85751261453834</v>
      </c>
      <c r="AI25" s="212">
        <v>414.34308901093755</v>
      </c>
      <c r="AJ25" s="147">
        <f>IF(Таблица17[[#This Row],[обуч выборка2]]-Таблица17[[#This Row],[Апосториорная вероятность]]=0,1,0)</f>
        <v>0</v>
      </c>
      <c r="AK25" s="117">
        <f>MATCH(MAX(Таблица17[[#This Row],[1 класс.]:[6 класс.]]),Таблица17[[#This Row],[1 класс.]:[6 класс.]],0)</f>
        <v>2</v>
      </c>
      <c r="AL25" s="120">
        <v>2.8350415327543441E-12</v>
      </c>
      <c r="AM25" s="120">
        <v>0.99998732713996408</v>
      </c>
      <c r="AN25" s="120">
        <v>1.2672857200882101E-5</v>
      </c>
      <c r="AO25" s="120">
        <v>1.1375318664430505E-19</v>
      </c>
      <c r="AP25" s="120">
        <v>1.2490001979372798E-18</v>
      </c>
      <c r="AQ25" s="120">
        <v>0</v>
      </c>
      <c r="AR25" s="216">
        <v>2.8350415327543441E-12</v>
      </c>
      <c r="AS25" s="216">
        <v>0.99998732713996408</v>
      </c>
      <c r="AT25" s="216">
        <v>1.2672857200882101E-5</v>
      </c>
      <c r="AU25" s="216">
        <v>1.1375318664430505E-19</v>
      </c>
      <c r="AV25" s="216">
        <v>1.2490001979372798E-18</v>
      </c>
      <c r="AW25" s="216">
        <v>0</v>
      </c>
      <c r="AX25" s="121" t="str">
        <f>RIGHT(Таблица17[[#This Row],[Класиф вкл2]])</f>
        <v>2</v>
      </c>
      <c r="AY25" s="221">
        <v>2</v>
      </c>
      <c r="AZ25" s="147">
        <f>IF(Таблица17[[#This Row],[обуч выборка2]]-Таблица17[[#This Row],[Класиф вкл]]=0,1,0)</f>
        <v>0</v>
      </c>
      <c r="BA25" s="117" t="s">
        <v>214</v>
      </c>
      <c r="BB25" s="147">
        <f>IF(Таблица17[[#This Row],[обуч выборка2]]-Таблица17[[#This Row],[Расстояние Махаланобиса вкл
]]=0,1,0)</f>
        <v>0</v>
      </c>
      <c r="BC25" s="117">
        <f>MATCH(MIN(Таблица17[[#This Row],[1 класс вкл]:[6 класс вкл]]),Таблица17[[#This Row],[1 класс вкл]:[6 класс вкл]],0)</f>
        <v>2</v>
      </c>
      <c r="BD25" s="118">
        <v>179.74243930432687</v>
      </c>
      <c r="BE25" s="118">
        <v>132.91716388612915</v>
      </c>
      <c r="BF25" s="118">
        <v>151.86698721705233</v>
      </c>
      <c r="BG25" s="120">
        <v>173.47911593135282</v>
      </c>
      <c r="BH25" s="118">
        <v>158.54680269135275</v>
      </c>
      <c r="BI25" s="118">
        <v>388.73452243666947</v>
      </c>
      <c r="BJ25" s="147">
        <f>IF(Таблица17[[#This Row],[обуч выборка2]]-Таблица17[[#This Row],[Апосториорная вероятность вкл]]=0,1,0)</f>
        <v>0</v>
      </c>
      <c r="BK25" s="117">
        <f>MATCH(MAX(Таблица17[[#This Row],[1 класс вкл.]:[6 класс вкл.]]),Таблица17[[#This Row],[1 класс вкл.]:[6 класс вкл.]],0)</f>
        <v>2</v>
      </c>
      <c r="BL25" s="119">
        <v>8.4900357817139394E-11</v>
      </c>
      <c r="BM25" s="119">
        <v>0.99995135091965148</v>
      </c>
      <c r="BN25" s="119">
        <v>4.7968599175532194E-5</v>
      </c>
      <c r="BO25" s="119">
        <v>3.8904774813458976E-10</v>
      </c>
      <c r="BP25" s="119">
        <v>6.8000722488933303E-7</v>
      </c>
      <c r="BQ25" s="119">
        <v>0</v>
      </c>
      <c r="BR25" s="121" t="str">
        <f>RIGHT(Таблица17[[#This Row],[Класиф искл2]])</f>
        <v>2</v>
      </c>
      <c r="BS25" s="222">
        <v>2</v>
      </c>
      <c r="BT25" s="147">
        <f>IF(Таблица17[[#This Row],[обуч выборка2]]-Таблица17[[#This Row],[Класиф искл]]=0,1,0)</f>
        <v>0</v>
      </c>
      <c r="BU25" s="117" t="s">
        <v>214</v>
      </c>
      <c r="BV25" s="147">
        <f>IF(Таблица17[[#This Row],[обуч выборка2]]-Таблица17[[#This Row],[Расстояние Махаланобиса искл]]=0,1,0)</f>
        <v>0</v>
      </c>
      <c r="BW25" s="117">
        <f>MATCH(MIN(Таблица17[[#This Row],[1 класс искл]:[6 класс искл]]),Таблица17[[#This Row],[1 класс искл]:[6 класс искл]],0)</f>
        <v>2</v>
      </c>
      <c r="BX25" s="120">
        <v>37.783556507489479</v>
      </c>
      <c r="BY25" s="120">
        <v>16.476260993285425</v>
      </c>
      <c r="BZ25" s="120">
        <v>32.099439500756453</v>
      </c>
      <c r="CA25" s="120">
        <v>105.24197981893633</v>
      </c>
      <c r="CB25" s="120">
        <v>150.93272402279106</v>
      </c>
      <c r="CC25" s="120">
        <v>91.561579297108722</v>
      </c>
      <c r="CD25" s="147">
        <f>IF(Таблица17[[#This Row],[обуч выборка2]]-Таблица17[[#This Row],[Апосториорная вероятность искл]]=0,1,0)</f>
        <v>0</v>
      </c>
      <c r="CE25" s="117">
        <f>MATCH(MAX(Таблица17[[#This Row],[1 класс искл.]:[6 класс искл.]]),Таблица17[[#This Row],[1 класс искл.]:[6 класс искл.]],0)</f>
        <v>2</v>
      </c>
      <c r="CF25" s="120">
        <v>2.9509839209698741E-5</v>
      </c>
      <c r="CG25" s="120">
        <v>0.99971742802285091</v>
      </c>
      <c r="CH25" s="120">
        <v>2.5306213793931473E-4</v>
      </c>
      <c r="CI25" s="120">
        <v>1.3261307265253062E-20</v>
      </c>
      <c r="CJ25" s="120">
        <v>1.5884271329081649E-30</v>
      </c>
      <c r="CK25" s="120">
        <v>1.8592544314644334E-17</v>
      </c>
      <c r="CL25" s="198">
        <v>0.99117733961336074</v>
      </c>
      <c r="CM25" s="198">
        <v>2.0882362408117352</v>
      </c>
      <c r="CN25" s="199">
        <v>-4.5774108309404371E-2</v>
      </c>
      <c r="CO25" s="192">
        <v>3</v>
      </c>
      <c r="CP25" s="195">
        <v>1</v>
      </c>
      <c r="CQ25" s="209">
        <v>-0.47765000000000002</v>
      </c>
      <c r="CR25" s="209">
        <v>2.1166700000000001</v>
      </c>
      <c r="CS25" s="223">
        <v>1</v>
      </c>
      <c r="CT25" s="223">
        <v>2</v>
      </c>
      <c r="CU25" s="209">
        <v>2.1166700000000001</v>
      </c>
      <c r="CV25" s="209">
        <v>-0.47765000000000002</v>
      </c>
      <c r="CW25" s="209">
        <v>6</v>
      </c>
      <c r="CX25" s="210">
        <v>5</v>
      </c>
      <c r="CY25" s="238" t="s">
        <v>341</v>
      </c>
      <c r="CZ25" s="238">
        <v>4</v>
      </c>
    </row>
    <row r="26" spans="1:104" x14ac:dyDescent="0.3">
      <c r="A26" s="57" t="s">
        <v>34</v>
      </c>
      <c r="B26" s="57">
        <v>5</v>
      </c>
      <c r="C26" s="57">
        <v>6</v>
      </c>
      <c r="D26" s="57">
        <v>1</v>
      </c>
      <c r="E26" s="58">
        <v>6</v>
      </c>
      <c r="F26" s="58">
        <v>-0.71329477000000008</v>
      </c>
      <c r="G26" s="58">
        <v>0.10066887400000001</v>
      </c>
      <c r="H26" s="58">
        <v>-0.53842848600000004</v>
      </c>
      <c r="I26" s="58">
        <v>0.42883352900000005</v>
      </c>
      <c r="J26" s="58">
        <v>0.33990155100000008</v>
      </c>
      <c r="K26" s="58">
        <v>-0.34473053300000001</v>
      </c>
      <c r="L26" s="58">
        <v>0.56073948000000007</v>
      </c>
      <c r="M26" s="58">
        <v>-0.31061673900000009</v>
      </c>
      <c r="N26" s="58">
        <v>1.1717277699999999</v>
      </c>
      <c r="O26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3.0109567762014819</v>
      </c>
      <c r="P26" s="114"/>
      <c r="Q26" s="114"/>
      <c r="R26" s="121" t="str">
        <f>RIGHT(Таблица17[[#This Row],[Классиф ДА2]])</f>
        <v>1</v>
      </c>
      <c r="S26">
        <v>1</v>
      </c>
      <c r="T26" s="147">
        <f>IF(Таблица17[[#This Row],[обуч выборка2]]-Таблица17[[#This Row],[Классиф ДА]]=0,1,0)</f>
        <v>0</v>
      </c>
      <c r="U26" s="117" t="s">
        <v>213</v>
      </c>
      <c r="V26" s="147">
        <f>IF(Таблица17[[#This Row],[обуч выборка2]]-Таблица17[[#This Row],[расстояние Махаланобиса]]=0,1,0)</f>
        <v>0</v>
      </c>
      <c r="W26" s="117">
        <f>MATCH(MIN(Таблица17[[#This Row],[1 класс]:[6 класс]]),Таблица17[[#This Row],[1 класс]:[6 класс]],0)</f>
        <v>1</v>
      </c>
      <c r="X26" s="118">
        <v>17.811395062707088</v>
      </c>
      <c r="Y26" s="118">
        <v>24.742779842888005</v>
      </c>
      <c r="Z26" s="118">
        <v>27.617198545367302</v>
      </c>
      <c r="AA26" s="118">
        <v>215.90876724300975</v>
      </c>
      <c r="AB26" s="118">
        <v>246.96257988689331</v>
      </c>
      <c r="AC26" s="118">
        <v>90.334255309621099</v>
      </c>
      <c r="AD26" s="212">
        <v>17.811395062707088</v>
      </c>
      <c r="AE26" s="212">
        <v>24.742779842888005</v>
      </c>
      <c r="AF26" s="212">
        <v>27.617198545367302</v>
      </c>
      <c r="AG26" s="212">
        <v>215.90876724300975</v>
      </c>
      <c r="AH26" s="212">
        <v>246.96257988689331</v>
      </c>
      <c r="AI26" s="212">
        <v>90.334255309621099</v>
      </c>
      <c r="AJ26" s="147">
        <f>IF(Таблица17[[#This Row],[обуч выборка2]]-Таблица17[[#This Row],[Апосториорная вероятность]]=0,1,0)</f>
        <v>0</v>
      </c>
      <c r="AK26" s="117">
        <f>MATCH(MAX(Таблица17[[#This Row],[1 класс.]:[6 класс.]]),Таблица17[[#This Row],[1 класс.]:[6 класс.]],0)</f>
        <v>1</v>
      </c>
      <c r="AL26" s="120">
        <v>0.972087866575292</v>
      </c>
      <c r="AM26" s="120">
        <v>2.4303254141807021E-2</v>
      </c>
      <c r="AN26" s="120">
        <v>3.6088792829009225E-3</v>
      </c>
      <c r="AO26" s="120">
        <v>0</v>
      </c>
      <c r="AP26" s="120">
        <v>0</v>
      </c>
      <c r="AQ26" s="120">
        <v>5.2082013832618975E-17</v>
      </c>
      <c r="AR26" s="216">
        <v>0.972087866575292</v>
      </c>
      <c r="AS26" s="216">
        <v>2.4303254141807021E-2</v>
      </c>
      <c r="AT26" s="216">
        <v>3.6088792829009225E-3</v>
      </c>
      <c r="AU26" s="216">
        <v>0</v>
      </c>
      <c r="AV26" s="216">
        <v>0</v>
      </c>
      <c r="AW26" s="216">
        <v>5.2082013832618975E-17</v>
      </c>
      <c r="AX26" s="121" t="str">
        <f>RIGHT(Таблица17[[#This Row],[Класиф вкл2]])</f>
        <v>1</v>
      </c>
      <c r="AY26" s="221">
        <v>1</v>
      </c>
      <c r="AZ26" s="147">
        <f>IF(Таблица17[[#This Row],[обуч выборка2]]-Таблица17[[#This Row],[Класиф вкл]]=0,1,0)</f>
        <v>0</v>
      </c>
      <c r="BA26" s="117" t="s">
        <v>213</v>
      </c>
      <c r="BB26" s="147">
        <f>IF(Таблица17[[#This Row],[обуч выборка2]]-Таблица17[[#This Row],[Расстояние Махаланобиса вкл
]]=0,1,0)</f>
        <v>0</v>
      </c>
      <c r="BC26" s="117">
        <f>MATCH(MIN(Таблица17[[#This Row],[1 класс вкл]:[6 класс вкл]]),Таблица17[[#This Row],[1 класс вкл]:[6 класс вкл]],0)</f>
        <v>1</v>
      </c>
      <c r="BD26" s="118">
        <v>13.56206822249492</v>
      </c>
      <c r="BE26" s="118">
        <v>20.676905714440661</v>
      </c>
      <c r="BF26" s="118">
        <v>25.49726435122993</v>
      </c>
      <c r="BG26" s="120">
        <v>156.37917151449304</v>
      </c>
      <c r="BH26" s="118">
        <v>172.09249655114837</v>
      </c>
      <c r="BI26" s="118">
        <v>73.900599586456778</v>
      </c>
      <c r="BJ26" s="147">
        <f>IF(Таблица17[[#This Row],[обуч выборка2]]-Таблица17[[#This Row],[Апосториорная вероятность вкл]]=0,1,0)</f>
        <v>0</v>
      </c>
      <c r="BK26" s="117">
        <f>MATCH(MAX(Таблица17[[#This Row],[1 класс вкл.]:[6 класс вкл.]]),Таблица17[[#This Row],[1 класс вкл.]:[6 класс вкл.]],0)</f>
        <v>1</v>
      </c>
      <c r="BL26" s="119">
        <v>0.97647662550517245</v>
      </c>
      <c r="BM26" s="119">
        <v>2.2273296971433279E-2</v>
      </c>
      <c r="BN26" s="119">
        <v>1.2500775233712329E-3</v>
      </c>
      <c r="BO26" s="119">
        <v>1.8982434364295329E-32</v>
      </c>
      <c r="BP26" s="119">
        <v>0</v>
      </c>
      <c r="BQ26" s="123">
        <v>2.3143950818205573E-14</v>
      </c>
      <c r="BR26" s="121" t="str">
        <f>RIGHT(Таблица17[[#This Row],[Класиф искл2]])</f>
        <v>1</v>
      </c>
      <c r="BS26" s="222">
        <v>1</v>
      </c>
      <c r="BT26" s="147">
        <f>IF(Таблица17[[#This Row],[обуч выборка2]]-Таблица17[[#This Row],[Класиф искл]]=0,1,0)</f>
        <v>0</v>
      </c>
      <c r="BU26" s="117" t="s">
        <v>213</v>
      </c>
      <c r="BV26" s="147">
        <f>IF(Таблица17[[#This Row],[обуч выборка2]]-Таблица17[[#This Row],[Расстояние Махаланобиса искл]]=0,1,0)</f>
        <v>0</v>
      </c>
      <c r="BW26" s="117">
        <f>MATCH(MIN(Таблица17[[#This Row],[1 класс искл]:[6 класс искл]]),Таблица17[[#This Row],[1 класс искл]:[6 класс искл]],0)</f>
        <v>1</v>
      </c>
      <c r="BX26" s="120">
        <v>13.86832111287886</v>
      </c>
      <c r="BY26" s="120">
        <v>21.903357365386071</v>
      </c>
      <c r="BZ26" s="120">
        <v>25.695140853692656</v>
      </c>
      <c r="CA26" s="120">
        <v>158.91618907052089</v>
      </c>
      <c r="CB26" s="120">
        <v>198.72997782423232</v>
      </c>
      <c r="CC26" s="120">
        <v>32.276302227936881</v>
      </c>
      <c r="CD26" s="147">
        <f>IF(Таблица17[[#This Row],[обуч выборка2]]-Таблица17[[#This Row],[Апосториорная вероятность искл]]=0,1,0)</f>
        <v>0</v>
      </c>
      <c r="CE26" s="117">
        <f>MATCH(MAX(Таблица17[[#This Row],[1 класс искл.]:[6 класс искл.]]),Таблица17[[#This Row],[1 класс искл.]:[6 класс искл.]],0)</f>
        <v>1</v>
      </c>
      <c r="CF26" s="120">
        <v>0.98446540163768437</v>
      </c>
      <c r="CG26" s="120">
        <v>1.4174393708525917E-2</v>
      </c>
      <c r="CH26" s="120">
        <v>1.3304825598925497E-3</v>
      </c>
      <c r="CI26" s="120">
        <v>0</v>
      </c>
      <c r="CJ26" s="120">
        <v>0</v>
      </c>
      <c r="CK26" s="120">
        <v>2.9722093897070513E-5</v>
      </c>
      <c r="CL26" s="198">
        <v>0.744261293994261</v>
      </c>
      <c r="CM26" s="198">
        <v>-4.292699226516633E-2</v>
      </c>
      <c r="CN26" s="199">
        <v>-8.3944175737247093E-2</v>
      </c>
      <c r="CO26" s="192">
        <v>4</v>
      </c>
      <c r="CP26" s="195">
        <v>3</v>
      </c>
      <c r="CQ26" s="209">
        <v>0.45074999999999998</v>
      </c>
      <c r="CR26" s="209">
        <v>0.34032000000000007</v>
      </c>
      <c r="CS26" s="223">
        <v>4</v>
      </c>
      <c r="CT26" s="223">
        <v>2</v>
      </c>
      <c r="CU26" s="209">
        <v>0.34032000000000007</v>
      </c>
      <c r="CV26" s="209">
        <v>0.45074999999999998</v>
      </c>
      <c r="CW26" s="209">
        <v>6</v>
      </c>
      <c r="CX26" s="210">
        <v>1</v>
      </c>
      <c r="CY26" s="238" t="s">
        <v>341</v>
      </c>
      <c r="CZ26" s="238">
        <v>5</v>
      </c>
    </row>
    <row r="27" spans="1:104" x14ac:dyDescent="0.3">
      <c r="A27" s="57" t="s">
        <v>35</v>
      </c>
      <c r="B27" s="57">
        <v>5</v>
      </c>
      <c r="C27" s="57">
        <v>6</v>
      </c>
      <c r="D27" s="57">
        <v>1</v>
      </c>
      <c r="E27" s="58">
        <v>6</v>
      </c>
      <c r="F27" s="58">
        <v>-0.77180833100000001</v>
      </c>
      <c r="G27" s="58">
        <v>-1.00745094</v>
      </c>
      <c r="H27" s="58">
        <v>-0.56855580100000003</v>
      </c>
      <c r="I27" s="58">
        <v>-0.193450816</v>
      </c>
      <c r="J27" s="58">
        <v>-0.43420467800000007</v>
      </c>
      <c r="K27" s="58">
        <v>-3.8627311300000002E-2</v>
      </c>
      <c r="L27" s="58">
        <v>-0.644114509</v>
      </c>
      <c r="M27" s="58">
        <v>-0.76382428899999999</v>
      </c>
      <c r="N27" s="58">
        <v>-0.63202257900000003</v>
      </c>
      <c r="O27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3.5591137714218437</v>
      </c>
      <c r="P27" s="114" t="s">
        <v>213</v>
      </c>
      <c r="Q27" s="114" t="str">
        <f>RIGHT(P27)</f>
        <v>1</v>
      </c>
      <c r="R27" s="121" t="str">
        <f>RIGHT(Таблица17[[#This Row],[Классиф ДА2]])</f>
        <v>1</v>
      </c>
      <c r="S27">
        <v>1</v>
      </c>
      <c r="T27" s="147">
        <f>IF(Таблица17[[#This Row],[обуч выборка2]]-Таблица17[[#This Row],[Классиф ДА]]=0,1,0)</f>
        <v>1</v>
      </c>
      <c r="U27" s="117" t="s">
        <v>213</v>
      </c>
      <c r="V27" s="147">
        <f>IF(Таблица17[[#This Row],[обуч выборка2]]-Таблица17[[#This Row],[расстояние Махаланобиса]]=0,1,0)</f>
        <v>1</v>
      </c>
      <c r="W27" s="117">
        <f>MATCH(MIN(Таблица17[[#This Row],[1 класс]:[6 класс]]),Таблица17[[#This Row],[1 класс]:[6 класс]],0)</f>
        <v>1</v>
      </c>
      <c r="X27" s="118">
        <v>4.6524944292030126</v>
      </c>
      <c r="Y27" s="118">
        <v>52.052292336791552</v>
      </c>
      <c r="Z27" s="118">
        <v>40.735210849135242</v>
      </c>
      <c r="AA27" s="118">
        <v>253.53599875950653</v>
      </c>
      <c r="AB27" s="118">
        <v>353.40273402425066</v>
      </c>
      <c r="AC27" s="118">
        <v>103.86280183467029</v>
      </c>
      <c r="AD27" s="212">
        <v>4.6524944292030126</v>
      </c>
      <c r="AE27" s="212">
        <v>52.052292336791552</v>
      </c>
      <c r="AF27" s="212">
        <v>40.735210849135242</v>
      </c>
      <c r="AG27" s="212">
        <v>253.53599875950653</v>
      </c>
      <c r="AH27" s="212">
        <v>353.40273402425066</v>
      </c>
      <c r="AI27" s="212">
        <v>103.86280183467029</v>
      </c>
      <c r="AJ27" s="147">
        <f>IF(Таблица17[[#This Row],[обуч выборка2]]-Таблица17[[#This Row],[Апосториорная вероятность]]=0,1,0)</f>
        <v>1</v>
      </c>
      <c r="AK27" s="117">
        <f>MATCH(MAX(Таблица17[[#This Row],[1 класс.]:[6 класс.]]),Таблица17[[#This Row],[1 класс.]:[6 класс.]],0)</f>
        <v>1</v>
      </c>
      <c r="AL27" s="120">
        <v>0.99999999265275741</v>
      </c>
      <c r="AM27" s="120">
        <v>4.0771308193368239E-11</v>
      </c>
      <c r="AN27" s="120">
        <v>7.3064713303770821E-9</v>
      </c>
      <c r="AO27" s="120">
        <v>0</v>
      </c>
      <c r="AP27" s="120">
        <v>0</v>
      </c>
      <c r="AQ27" s="120">
        <v>8.5876972305853243E-23</v>
      </c>
      <c r="AR27" s="216">
        <v>0.99999999265275741</v>
      </c>
      <c r="AS27" s="216">
        <v>4.0771308193368239E-11</v>
      </c>
      <c r="AT27" s="216">
        <v>7.3064713303770821E-9</v>
      </c>
      <c r="AU27" s="216">
        <v>0</v>
      </c>
      <c r="AV27" s="216">
        <v>0</v>
      </c>
      <c r="AW27" s="216">
        <v>8.5876972305853243E-23</v>
      </c>
      <c r="AX27" s="121" t="str">
        <f>RIGHT(Таблица17[[#This Row],[Класиф вкл2]])</f>
        <v>1</v>
      </c>
      <c r="AY27" s="221">
        <v>1</v>
      </c>
      <c r="AZ27" s="147">
        <f>IF(Таблица17[[#This Row],[обуч выборка2]]-Таблица17[[#This Row],[Класиф вкл]]=0,1,0)</f>
        <v>1</v>
      </c>
      <c r="BA27" s="117" t="s">
        <v>213</v>
      </c>
      <c r="BB27" s="147">
        <f>IF(Таблица17[[#This Row],[обуч выборка2]]-Таблица17[[#This Row],[Расстояние Махаланобиса вкл
]]=0,1,0)</f>
        <v>1</v>
      </c>
      <c r="BC27" s="117">
        <f>MATCH(MIN(Таблица17[[#This Row],[1 класс вкл]:[6 класс вкл]]),Таблица17[[#This Row],[1 класс вкл]:[6 класс вкл]],0)</f>
        <v>1</v>
      </c>
      <c r="BD27" s="118">
        <v>2.6648132807212241</v>
      </c>
      <c r="BE27" s="118">
        <v>30.998025680086265</v>
      </c>
      <c r="BF27" s="118">
        <v>31.183824687667347</v>
      </c>
      <c r="BG27" s="120">
        <v>172.2013515151653</v>
      </c>
      <c r="BH27" s="118">
        <v>224.02551058340583</v>
      </c>
      <c r="BI27" s="118">
        <v>91.461312694491042</v>
      </c>
      <c r="BJ27" s="147">
        <f>IF(Таблица17[[#This Row],[обуч выборка2]]-Таблица17[[#This Row],[Апосториорная вероятность вкл]]=0,1,0)</f>
        <v>1</v>
      </c>
      <c r="BK27" s="117">
        <f>MATCH(MAX(Таблица17[[#This Row],[1 класс вкл.]:[6 класс вкл.]]),Таблица17[[#This Row],[1 класс вкл.]:[6 класс вкл.]],0)</f>
        <v>1</v>
      </c>
      <c r="BL27" s="119">
        <v>0.99999911613337233</v>
      </c>
      <c r="BM27" s="119">
        <v>5.631326437529856E-7</v>
      </c>
      <c r="BN27" s="119">
        <v>3.2073398392524801E-7</v>
      </c>
      <c r="BO27" s="119">
        <v>0</v>
      </c>
      <c r="BP27" s="119">
        <v>0</v>
      </c>
      <c r="BQ27" s="123">
        <v>1.5674944687381956E-20</v>
      </c>
      <c r="BR27" s="121" t="str">
        <f>RIGHT(Таблица17[[#This Row],[Класиф искл2]])</f>
        <v>1</v>
      </c>
      <c r="BS27" s="222">
        <v>1</v>
      </c>
      <c r="BT27" s="147">
        <f>IF(Таблица17[[#This Row],[обуч выборка2]]-Таблица17[[#This Row],[Класиф искл]]=0,1,0)</f>
        <v>1</v>
      </c>
      <c r="BU27" s="117" t="s">
        <v>213</v>
      </c>
      <c r="BV27" s="147">
        <f>IF(Таблица17[[#This Row],[обуч выборка2]]-Таблица17[[#This Row],[Расстояние Махаланобиса искл]]=0,1,0)</f>
        <v>1</v>
      </c>
      <c r="BW27" s="117">
        <f>MATCH(MIN(Таблица17[[#This Row],[1 класс искл]:[6 класс искл]]),Таблица17[[#This Row],[1 класс искл]:[6 класс искл]],0)</f>
        <v>1</v>
      </c>
      <c r="BX27" s="120">
        <v>2.7819765670177268</v>
      </c>
      <c r="BY27" s="120">
        <v>38.902890227422155</v>
      </c>
      <c r="BZ27" s="120">
        <v>30.708782391032077</v>
      </c>
      <c r="CA27" s="120">
        <v>178.91997202615542</v>
      </c>
      <c r="CB27" s="120">
        <v>265.62376545985074</v>
      </c>
      <c r="CC27" s="120">
        <v>76.542187348499525</v>
      </c>
      <c r="CD27" s="147">
        <f>IF(Таблица17[[#This Row],[обуч выборка2]]-Таблица17[[#This Row],[Апосториорная вероятность искл]]=0,1,0)</f>
        <v>1</v>
      </c>
      <c r="CE27" s="117">
        <f>MATCH(MAX(Таблица17[[#This Row],[1 класс искл.]:[6 класс искл.]]),Таблица17[[#This Row],[1 класс искл.]:[6 класс искл.]],0)</f>
        <v>1</v>
      </c>
      <c r="CF27" s="120">
        <v>0.99999955726901435</v>
      </c>
      <c r="CG27" s="120">
        <v>1.1469198063501364E-8</v>
      </c>
      <c r="CH27" s="120">
        <v>4.3126178764785901E-7</v>
      </c>
      <c r="CI27" s="120">
        <v>0</v>
      </c>
      <c r="CJ27" s="120">
        <v>0</v>
      </c>
      <c r="CK27" s="120">
        <v>2.8859898492319746E-17</v>
      </c>
      <c r="CL27" s="198">
        <v>-5.9127238767861384E-2</v>
      </c>
      <c r="CM27" s="198">
        <v>-0.49287047364693615</v>
      </c>
      <c r="CN27" s="199">
        <v>1.0749732439170618</v>
      </c>
      <c r="CO27" s="192">
        <v>5</v>
      </c>
      <c r="CP27" s="195">
        <v>5</v>
      </c>
      <c r="CQ27" s="209">
        <v>-2.2209999999999997E-2</v>
      </c>
      <c r="CR27" s="209">
        <v>-0.39037000000000005</v>
      </c>
      <c r="CS27" s="223">
        <v>5</v>
      </c>
      <c r="CT27" s="223">
        <v>6</v>
      </c>
      <c r="CU27" s="209">
        <v>-0.39037000000000005</v>
      </c>
      <c r="CV27" s="209">
        <v>-2.2209999999999997E-2</v>
      </c>
      <c r="CW27" s="209">
        <v>5</v>
      </c>
      <c r="CX27" s="210">
        <v>3</v>
      </c>
      <c r="CY27" s="238" t="s">
        <v>341</v>
      </c>
      <c r="CZ27" s="238">
        <v>5</v>
      </c>
    </row>
    <row r="28" spans="1:104" x14ac:dyDescent="0.3">
      <c r="A28" s="57" t="s">
        <v>36</v>
      </c>
      <c r="B28" s="57">
        <v>5</v>
      </c>
      <c r="C28" s="57">
        <v>6</v>
      </c>
      <c r="D28" s="57">
        <v>1</v>
      </c>
      <c r="E28" s="58">
        <v>6</v>
      </c>
      <c r="F28" s="58">
        <v>-0.28344515300000001</v>
      </c>
      <c r="G28" s="58">
        <v>-0.44107859100000008</v>
      </c>
      <c r="H28" s="58">
        <v>-0.50203169800000003</v>
      </c>
      <c r="I28" s="58">
        <v>-0.459995178</v>
      </c>
      <c r="J28" s="58">
        <v>-0.32986862100000014</v>
      </c>
      <c r="K28" s="58">
        <v>-0.48757870300000011</v>
      </c>
      <c r="L28" s="58">
        <v>-0.40724223599999998</v>
      </c>
      <c r="M28" s="58">
        <v>0.57421704899999992</v>
      </c>
      <c r="N28" s="58">
        <v>-0.20021414600000004</v>
      </c>
      <c r="O28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1.620726329203181</v>
      </c>
      <c r="P28" s="114" t="s">
        <v>213</v>
      </c>
      <c r="Q28" s="114" t="str">
        <f>RIGHT(P28)</f>
        <v>1</v>
      </c>
      <c r="R28" s="121" t="str">
        <f>RIGHT(Таблица17[[#This Row],[Классиф ДА2]])</f>
        <v>1</v>
      </c>
      <c r="S28">
        <v>1</v>
      </c>
      <c r="T28" s="147">
        <f>IF(Таблица17[[#This Row],[обуч выборка2]]-Таблица17[[#This Row],[Классиф ДА]]=0,1,0)</f>
        <v>1</v>
      </c>
      <c r="U28" s="117" t="s">
        <v>213</v>
      </c>
      <c r="V28" s="147">
        <f>IF(Таблица17[[#This Row],[обуч выборка2]]-Таблица17[[#This Row],[расстояние Махаланобиса]]=0,1,0)</f>
        <v>1</v>
      </c>
      <c r="W28" s="117">
        <f>MATCH(MIN(Таблица17[[#This Row],[1 класс]:[6 класс]]),Таблица17[[#This Row],[1 класс]:[6 класс]],0)</f>
        <v>1</v>
      </c>
      <c r="X28" s="118">
        <v>10.251096932908297</v>
      </c>
      <c r="Y28" s="118">
        <v>21.576028513626508</v>
      </c>
      <c r="Z28" s="118">
        <v>21.820727690926226</v>
      </c>
      <c r="AA28" s="118">
        <v>274.6372395753084</v>
      </c>
      <c r="AB28" s="118">
        <v>230.8105080005609</v>
      </c>
      <c r="AC28" s="118">
        <v>123.79222723392675</v>
      </c>
      <c r="AD28" s="212">
        <v>10.251096932908297</v>
      </c>
      <c r="AE28" s="212">
        <v>21.576028513626508</v>
      </c>
      <c r="AF28" s="212">
        <v>21.820727690926226</v>
      </c>
      <c r="AG28" s="212">
        <v>274.6372395753084</v>
      </c>
      <c r="AH28" s="212">
        <v>230.8105080005609</v>
      </c>
      <c r="AI28" s="212">
        <v>123.79222723392675</v>
      </c>
      <c r="AJ28" s="147">
        <f>IF(Таблица17[[#This Row],[обуч выборка2]]-Таблица17[[#This Row],[Апосториорная вероятность]]=0,1,0)</f>
        <v>1</v>
      </c>
      <c r="AK28" s="117">
        <f>MATCH(MAX(Таблица17[[#This Row],[1 класс.]:[6 класс.]]),Таблица17[[#This Row],[1 класс.]:[6 класс.]],0)</f>
        <v>1</v>
      </c>
      <c r="AL28" s="120">
        <v>0.99570245741667429</v>
      </c>
      <c r="AM28" s="120">
        <v>2.767208730823251E-3</v>
      </c>
      <c r="AN28" s="120">
        <v>1.5303338525025363E-3</v>
      </c>
      <c r="AO28" s="120">
        <v>0</v>
      </c>
      <c r="AP28" s="120">
        <v>0</v>
      </c>
      <c r="AQ28" s="120">
        <v>6.6085724310924529E-26</v>
      </c>
      <c r="AR28" s="216">
        <v>0.99570245741667429</v>
      </c>
      <c r="AS28" s="216">
        <v>2.767208730823251E-3</v>
      </c>
      <c r="AT28" s="216">
        <v>1.5303338525025363E-3</v>
      </c>
      <c r="AU28" s="216">
        <v>0</v>
      </c>
      <c r="AV28" s="216">
        <v>0</v>
      </c>
      <c r="AW28" s="216">
        <v>6.6085724310924529E-26</v>
      </c>
      <c r="AX28" s="121" t="str">
        <f>RIGHT(Таблица17[[#This Row],[Класиф вкл2]])</f>
        <v>2</v>
      </c>
      <c r="AY28" s="221">
        <v>1</v>
      </c>
      <c r="AZ28" s="147">
        <f>IF(Таблица17[[#This Row],[обуч выборка2]]-Таблица17[[#This Row],[Класиф вкл]]=0,1,0)</f>
        <v>0</v>
      </c>
      <c r="BA28" s="117" t="s">
        <v>214</v>
      </c>
      <c r="BB28" s="147">
        <f>IF(Таблица17[[#This Row],[обуч выборка2]]-Таблица17[[#This Row],[Расстояние Махаланобиса вкл
]]=0,1,0)</f>
        <v>0</v>
      </c>
      <c r="BC28" s="117">
        <f>MATCH(MIN(Таблица17[[#This Row],[1 класс вкл]:[6 класс вкл]]),Таблица17[[#This Row],[1 класс вкл]:[6 класс вкл]],0)</f>
        <v>2</v>
      </c>
      <c r="BD28" s="118">
        <v>10.080727193068435</v>
      </c>
      <c r="BE28" s="118">
        <v>7.6080048298518488</v>
      </c>
      <c r="BF28" s="118">
        <v>14.7377787604188</v>
      </c>
      <c r="BG28" s="120">
        <v>209.64286673127853</v>
      </c>
      <c r="BH28" s="118">
        <v>123.32885266607521</v>
      </c>
      <c r="BI28" s="118">
        <v>113.2841770064985</v>
      </c>
      <c r="BJ28" s="147">
        <f>IF(Таблица17[[#This Row],[обуч выборка2]]-Таблица17[[#This Row],[Апосториорная вероятность вкл]]=0,1,0)</f>
        <v>0</v>
      </c>
      <c r="BK28" s="117">
        <f>MATCH(MAX(Таблица17[[#This Row],[1 класс вкл.]:[6 класс вкл.]]),Таблица17[[#This Row],[1 класс вкл.]:[6 класс вкл.]],0)</f>
        <v>2</v>
      </c>
      <c r="BL28" s="119">
        <v>0.26293860283494169</v>
      </c>
      <c r="BM28" s="119">
        <v>0.72425112206115871</v>
      </c>
      <c r="BN28" s="119">
        <v>1.2810275103899739E-2</v>
      </c>
      <c r="BO28" s="119">
        <v>0</v>
      </c>
      <c r="BP28" s="119">
        <v>1.3469961585295493E-26</v>
      </c>
      <c r="BQ28" s="123">
        <v>3.0664170565209518E-24</v>
      </c>
      <c r="BR28" s="121" t="str">
        <f>RIGHT(Таблица17[[#This Row],[Класиф искл2]])</f>
        <v>1</v>
      </c>
      <c r="BS28" s="222">
        <v>1</v>
      </c>
      <c r="BT28" s="147">
        <f>IF(Таблица17[[#This Row],[обуч выборка2]]-Таблица17[[#This Row],[Класиф искл]]=0,1,0)</f>
        <v>1</v>
      </c>
      <c r="BU28" s="117" t="s">
        <v>213</v>
      </c>
      <c r="BV28" s="147">
        <f>IF(Таблица17[[#This Row],[обуч выборка2]]-Таблица17[[#This Row],[Расстояние Махаланобиса искл]]=0,1,0)</f>
        <v>1</v>
      </c>
      <c r="BW28" s="117">
        <f>MATCH(MIN(Таблица17[[#This Row],[1 класс искл]:[6 класс искл]]),Таблица17[[#This Row],[1 класс искл]:[6 класс искл]],0)</f>
        <v>1</v>
      </c>
      <c r="BX28" s="120">
        <v>9.4091103600165393</v>
      </c>
      <c r="BY28" s="120">
        <v>12.793584570745212</v>
      </c>
      <c r="BZ28" s="120">
        <v>15.188645707200877</v>
      </c>
      <c r="CA28" s="120">
        <v>218.01189514885669</v>
      </c>
      <c r="CB28" s="120">
        <v>163.41039426592437</v>
      </c>
      <c r="CC28" s="120">
        <v>76.246875743640146</v>
      </c>
      <c r="CD28" s="147">
        <f>IF(Таблица17[[#This Row],[обуч выборка2]]-Таблица17[[#This Row],[Апосториорная вероятность искл]]=0,1,0)</f>
        <v>1</v>
      </c>
      <c r="CE28" s="117">
        <f>MATCH(MAX(Таблица17[[#This Row],[1 класс искл.]:[6 класс искл.]]),Таблица17[[#This Row],[1 класс искл.]:[6 класс искл.]],0)</f>
        <v>1</v>
      </c>
      <c r="CF28" s="120">
        <v>0.85100565752198776</v>
      </c>
      <c r="CG28" s="120">
        <v>0.12534101214503487</v>
      </c>
      <c r="CH28" s="120">
        <v>2.3653330332976535E-2</v>
      </c>
      <c r="CI28" s="120">
        <v>0</v>
      </c>
      <c r="CJ28" s="120">
        <v>0</v>
      </c>
      <c r="CK28" s="120">
        <v>7.8237931102823545E-16</v>
      </c>
      <c r="CL28" s="198">
        <v>-0.43793553770023014</v>
      </c>
      <c r="CM28" s="198">
        <v>-0.12976085990879424</v>
      </c>
      <c r="CN28" s="199">
        <v>0.32881430100753944</v>
      </c>
      <c r="CO28" s="192">
        <v>5</v>
      </c>
      <c r="CP28" s="195">
        <v>4</v>
      </c>
      <c r="CQ28" s="209">
        <v>-0.33123000000000002</v>
      </c>
      <c r="CR28" s="209">
        <v>-0.37042000000000008</v>
      </c>
      <c r="CS28" s="223">
        <v>5</v>
      </c>
      <c r="CT28" s="223">
        <v>1</v>
      </c>
      <c r="CU28" s="209">
        <v>-0.37042000000000008</v>
      </c>
      <c r="CV28" s="209">
        <v>-0.33123000000000002</v>
      </c>
      <c r="CW28" s="209">
        <v>5</v>
      </c>
      <c r="CX28" s="210">
        <v>3</v>
      </c>
      <c r="CY28" s="238" t="s">
        <v>343</v>
      </c>
      <c r="CZ28" s="238">
        <v>5</v>
      </c>
    </row>
    <row r="29" spans="1:104" x14ac:dyDescent="0.3">
      <c r="A29" s="57" t="s">
        <v>37</v>
      </c>
      <c r="B29" s="57">
        <v>5</v>
      </c>
      <c r="C29" s="57">
        <v>6</v>
      </c>
      <c r="D29" s="57">
        <v>2</v>
      </c>
      <c r="E29" s="58">
        <v>6</v>
      </c>
      <c r="F29" s="58">
        <v>0.301690452</v>
      </c>
      <c r="G29" s="58">
        <v>1.996785</v>
      </c>
      <c r="H29" s="58">
        <v>-0.64474922700000026</v>
      </c>
      <c r="I29" s="58">
        <v>0.56278830899999999</v>
      </c>
      <c r="J29" s="58">
        <v>-0.25649681400000002</v>
      </c>
      <c r="K29" s="58">
        <v>-3.8627311300000002E-2</v>
      </c>
      <c r="L29" s="58">
        <v>0.193809549</v>
      </c>
      <c r="M29" s="58">
        <v>1.13533116</v>
      </c>
      <c r="N29" s="58">
        <v>0.45224920299999999</v>
      </c>
      <c r="O29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6.4089507208204113</v>
      </c>
      <c r="P29" s="114"/>
      <c r="Q29" s="114"/>
      <c r="R29" s="121" t="str">
        <f>RIGHT(Таблица17[[#This Row],[Классиф ДА2]])</f>
        <v>1</v>
      </c>
      <c r="S29">
        <v>1</v>
      </c>
      <c r="T29" s="147">
        <f>IF(Таблица17[[#This Row],[обуч выборка2]]-Таблица17[[#This Row],[Классиф ДА]]=0,1,0)</f>
        <v>0</v>
      </c>
      <c r="U29" s="117" t="s">
        <v>213</v>
      </c>
      <c r="V29" s="147">
        <f>IF(Таблица17[[#This Row],[обуч выборка2]]-Таблица17[[#This Row],[расстояние Махаланобиса]]=0,1,0)</f>
        <v>0</v>
      </c>
      <c r="W29" s="117">
        <f>MATCH(MIN(Таблица17[[#This Row],[1 класс]:[6 класс]]),Таблица17[[#This Row],[1 класс]:[6 класс]],0)</f>
        <v>1</v>
      </c>
      <c r="X29" s="118">
        <v>55.936474947926364</v>
      </c>
      <c r="Y29" s="118">
        <v>63.199431971920355</v>
      </c>
      <c r="Z29" s="118">
        <v>77.867989478539997</v>
      </c>
      <c r="AA29" s="118">
        <v>198.23479169060505</v>
      </c>
      <c r="AB29" s="118">
        <v>307.85701833094447</v>
      </c>
      <c r="AC29" s="118">
        <v>109.53886940353178</v>
      </c>
      <c r="AD29" s="212">
        <v>55.936474947926364</v>
      </c>
      <c r="AE29" s="212">
        <v>63.199431971920355</v>
      </c>
      <c r="AF29" s="212">
        <v>77.867989478539997</v>
      </c>
      <c r="AG29" s="212">
        <v>198.23479169060505</v>
      </c>
      <c r="AH29" s="212">
        <v>307.85701833094447</v>
      </c>
      <c r="AI29" s="212">
        <v>109.53886940353178</v>
      </c>
      <c r="AJ29" s="147">
        <f>IF(Таблица17[[#This Row],[обуч выборка2]]-Таблица17[[#This Row],[Апосториорная вероятность]]=0,1,0)</f>
        <v>0</v>
      </c>
      <c r="AK29" s="117">
        <f>MATCH(MAX(Таблица17[[#This Row],[1 класс.]:[6 класс.]]),Таблица17[[#This Row],[1 класс.]:[6 класс.]],0)</f>
        <v>1</v>
      </c>
      <c r="AL29" s="120">
        <v>0.97924946023823145</v>
      </c>
      <c r="AM29" s="120">
        <v>2.0742077323579907E-2</v>
      </c>
      <c r="AN29" s="120">
        <v>8.4624375150230693E-6</v>
      </c>
      <c r="AO29" s="120">
        <v>2.4673824068722643E-32</v>
      </c>
      <c r="AP29" s="120">
        <v>0</v>
      </c>
      <c r="AQ29" s="120">
        <v>6.7360070203869787E-13</v>
      </c>
      <c r="AR29" s="216">
        <v>0.97924946023823145</v>
      </c>
      <c r="AS29" s="216">
        <v>2.0742077323579907E-2</v>
      </c>
      <c r="AT29" s="216">
        <v>8.4624375150230693E-6</v>
      </c>
      <c r="AU29" s="216">
        <v>2.4673824068722643E-32</v>
      </c>
      <c r="AV29" s="216">
        <v>0</v>
      </c>
      <c r="AW29" s="216">
        <v>6.7360070203869787E-13</v>
      </c>
      <c r="AX29" s="121" t="str">
        <f>RIGHT(Таблица17[[#This Row],[Класиф вкл2]])</f>
        <v>1</v>
      </c>
      <c r="AY29" s="221">
        <v>2</v>
      </c>
      <c r="AZ29" s="147">
        <f>IF(Таблица17[[#This Row],[обуч выборка2]]-Таблица17[[#This Row],[Класиф вкл]]=0,1,0)</f>
        <v>0</v>
      </c>
      <c r="BA29" s="117" t="s">
        <v>213</v>
      </c>
      <c r="BB29" s="147">
        <f>IF(Таблица17[[#This Row],[обуч выборка2]]-Таблица17[[#This Row],[Расстояние Махаланобиса вкл
]]=0,1,0)</f>
        <v>0</v>
      </c>
      <c r="BC29" s="117">
        <f>MATCH(MIN(Таблица17[[#This Row],[1 класс вкл]:[6 класс вкл]]),Таблица17[[#This Row],[1 класс вкл]:[6 класс вкл]],0)</f>
        <v>1</v>
      </c>
      <c r="BD29" s="118">
        <v>16.336359025051728</v>
      </c>
      <c r="BE29" s="118">
        <v>29.895743333395114</v>
      </c>
      <c r="BF29" s="118">
        <v>32.99536456680373</v>
      </c>
      <c r="BG29" s="120">
        <v>171.16317019765674</v>
      </c>
      <c r="BH29" s="118">
        <v>242.87961629954731</v>
      </c>
      <c r="BI29" s="118">
        <v>47.631994510856742</v>
      </c>
      <c r="BJ29" s="147">
        <f>IF(Таблица17[[#This Row],[обуч выборка2]]-Таблица17[[#This Row],[Апосториорная вероятность вкл]]=0,1,0)</f>
        <v>0</v>
      </c>
      <c r="BK29" s="117">
        <f>MATCH(MAX(Таблица17[[#This Row],[1 класс вкл.]:[6 класс вкл.]]),Таблица17[[#This Row],[1 класс вкл.]:[6 класс вкл.]],0)</f>
        <v>1</v>
      </c>
      <c r="BL29" s="119">
        <v>0.99897106598654262</v>
      </c>
      <c r="BM29" s="119">
        <v>9.0836419023115293E-4</v>
      </c>
      <c r="BN29" s="119">
        <v>1.2052185946159646E-4</v>
      </c>
      <c r="BO29" s="119">
        <v>0</v>
      </c>
      <c r="BP29" s="119">
        <v>0</v>
      </c>
      <c r="BQ29" s="119">
        <v>4.7963764807727438E-8</v>
      </c>
      <c r="BR29" s="121" t="str">
        <f>RIGHT(Таблица17[[#This Row],[Класиф искл2]])</f>
        <v>2</v>
      </c>
      <c r="BS29" s="222">
        <v>2</v>
      </c>
      <c r="BT29" s="147">
        <f>IF(Таблица17[[#This Row],[обуч выборка2]]-Таблица17[[#This Row],[Класиф искл]]=0,1,0)</f>
        <v>0</v>
      </c>
      <c r="BU29" s="117" t="s">
        <v>214</v>
      </c>
      <c r="BV29" s="147">
        <f>IF(Таблица17[[#This Row],[обуч выборка2]]-Таблица17[[#This Row],[Расстояние Махаланобиса искл]]=0,1,0)</f>
        <v>0</v>
      </c>
      <c r="BW29" s="117">
        <f>MATCH(MIN(Таблица17[[#This Row],[1 класс искл]:[6 класс искл]]),Таблица17[[#This Row],[1 класс искл]:[6 класс искл]],0)</f>
        <v>2</v>
      </c>
      <c r="BX29" s="120">
        <v>45.10155058659948</v>
      </c>
      <c r="BY29" s="120">
        <v>24.664812719142994</v>
      </c>
      <c r="BZ29" s="120">
        <v>43.581347856798985</v>
      </c>
      <c r="CA29" s="120">
        <v>132.23726699325633</v>
      </c>
      <c r="CB29" s="120">
        <v>175.03175368338859</v>
      </c>
      <c r="CC29" s="120">
        <v>76.797409327540009</v>
      </c>
      <c r="CD29" s="147">
        <f>IF(Таблица17[[#This Row],[обуч выборка2]]-Таблица17[[#This Row],[Апосториорная вероятность искл]]=0,1,0)</f>
        <v>0</v>
      </c>
      <c r="CE29" s="117">
        <f>MATCH(MAX(Таблица17[[#This Row],[1 класс искл.]:[6 класс искл.]]),Таблица17[[#This Row],[1 класс искл.]:[6 класс искл.]],0)</f>
        <v>2</v>
      </c>
      <c r="CF29" s="120">
        <v>4.5612909829145139E-5</v>
      </c>
      <c r="CG29" s="120">
        <v>0.99990561564469849</v>
      </c>
      <c r="CH29" s="120">
        <v>4.8771443679635848E-5</v>
      </c>
      <c r="CI29" s="120">
        <v>1.0935467850161989E-24</v>
      </c>
      <c r="CJ29" s="120">
        <v>0</v>
      </c>
      <c r="CK29" s="120">
        <v>1.7928368001146853E-12</v>
      </c>
      <c r="CL29" s="198">
        <v>-0.12212939757241779</v>
      </c>
      <c r="CM29" s="198">
        <v>0.67138208743299133</v>
      </c>
      <c r="CN29" s="199">
        <v>-0.91833300218820135</v>
      </c>
      <c r="CO29" s="192">
        <v>4</v>
      </c>
      <c r="CP29" s="195">
        <v>3</v>
      </c>
      <c r="CQ29" s="209">
        <v>-4.2010000000000006E-2</v>
      </c>
      <c r="CR29" s="209">
        <v>0.17597000000000002</v>
      </c>
      <c r="CS29" s="223">
        <v>4</v>
      </c>
      <c r="CT29" s="223">
        <v>2</v>
      </c>
      <c r="CU29" s="209">
        <v>0.17597000000000002</v>
      </c>
      <c r="CV29" s="209">
        <v>-4.2010000000000006E-2</v>
      </c>
      <c r="CW29" s="209">
        <v>6</v>
      </c>
      <c r="CX29" s="210">
        <v>1</v>
      </c>
      <c r="CY29" s="238" t="s">
        <v>341</v>
      </c>
      <c r="CZ29" s="238">
        <v>1</v>
      </c>
    </row>
    <row r="30" spans="1:104" x14ac:dyDescent="0.3">
      <c r="A30" s="57" t="s">
        <v>38</v>
      </c>
      <c r="B30" s="57">
        <v>2</v>
      </c>
      <c r="C30" s="57">
        <v>6</v>
      </c>
      <c r="D30" s="57">
        <v>3</v>
      </c>
      <c r="E30" s="58">
        <v>6</v>
      </c>
      <c r="F30" s="58">
        <v>0.189164374</v>
      </c>
      <c r="G30" s="58">
        <v>-0.12588006599999998</v>
      </c>
      <c r="H30" s="58">
        <v>1.7265125599999998</v>
      </c>
      <c r="I30" s="58">
        <v>-0.51090440400000003</v>
      </c>
      <c r="J30" s="58">
        <v>-0.43824349300000004</v>
      </c>
      <c r="K30" s="58">
        <v>-0.18147548200000002</v>
      </c>
      <c r="L30" s="58">
        <v>-0.40830447200000008</v>
      </c>
      <c r="M30" s="58">
        <v>-0.89331216099999977</v>
      </c>
      <c r="N30" s="58">
        <v>-0.41247952700000007</v>
      </c>
      <c r="O30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4.6533471102074229</v>
      </c>
      <c r="P30" s="114"/>
      <c r="Q30" s="114"/>
      <c r="R30" s="121" t="str">
        <f>RIGHT(Таблица17[[#This Row],[Классиф ДА2]])</f>
        <v>3</v>
      </c>
      <c r="S30">
        <v>3</v>
      </c>
      <c r="T30" s="147">
        <f>IF(Таблица17[[#This Row],[обуч выборка2]]-Таблица17[[#This Row],[Классиф ДА]]=0,1,0)</f>
        <v>0</v>
      </c>
      <c r="U30" s="117" t="s">
        <v>215</v>
      </c>
      <c r="V30" s="147">
        <f>IF(Таблица17[[#This Row],[обуч выборка2]]-Таблица17[[#This Row],[расстояние Махаланобиса]]=0,1,0)</f>
        <v>0</v>
      </c>
      <c r="W30" s="117">
        <f>MATCH(MIN(Таблица17[[#This Row],[1 класс]:[6 класс]]),Таблица17[[#This Row],[1 класс]:[6 класс]],0)</f>
        <v>3</v>
      </c>
      <c r="X30" s="118">
        <v>94.566425980216351</v>
      </c>
      <c r="Y30" s="118">
        <v>45.008498440159407</v>
      </c>
      <c r="Z30" s="118">
        <v>26.491068870450739</v>
      </c>
      <c r="AA30" s="118">
        <v>318.35149905193839</v>
      </c>
      <c r="AB30" s="118">
        <v>182.13117312850096</v>
      </c>
      <c r="AC30" s="118">
        <v>223.22978387313691</v>
      </c>
      <c r="AD30" s="212">
        <v>94.566425980216351</v>
      </c>
      <c r="AE30" s="212">
        <v>45.008498440159407</v>
      </c>
      <c r="AF30" s="212">
        <v>26.491068870450739</v>
      </c>
      <c r="AG30" s="212">
        <v>318.35149905193839</v>
      </c>
      <c r="AH30" s="212">
        <v>182.13117312850096</v>
      </c>
      <c r="AI30" s="212">
        <v>223.22978387313691</v>
      </c>
      <c r="AJ30" s="147">
        <f>IF(Таблица17[[#This Row],[обуч выборка2]]-Таблица17[[#This Row],[Апосториорная вероятность]]=0,1,0)</f>
        <v>0</v>
      </c>
      <c r="AK30" s="117">
        <f>MATCH(MAX(Таблица17[[#This Row],[1 класс.]:[6 класс.]]),Таблица17[[#This Row],[1 класс.]:[6 класс.]],0)</f>
        <v>3</v>
      </c>
      <c r="AL30" s="120">
        <v>3.3005614418265821E-15</v>
      </c>
      <c r="AM30" s="120">
        <v>1.5242108240197874E-4</v>
      </c>
      <c r="AN30" s="120">
        <v>0.99984757891759479</v>
      </c>
      <c r="AO30" s="120">
        <v>0</v>
      </c>
      <c r="AP30" s="120">
        <v>0</v>
      </c>
      <c r="AQ30" s="120">
        <v>0</v>
      </c>
      <c r="AR30" s="216">
        <v>3.3005614418265821E-15</v>
      </c>
      <c r="AS30" s="216">
        <v>1.5242108240197874E-4</v>
      </c>
      <c r="AT30" s="216">
        <v>0.99984757891759479</v>
      </c>
      <c r="AU30" s="216">
        <v>0</v>
      </c>
      <c r="AV30" s="216">
        <v>0</v>
      </c>
      <c r="AW30" s="216">
        <v>0</v>
      </c>
      <c r="AX30" s="121" t="str">
        <f>RIGHT(Таблица17[[#This Row],[Класиф вкл2]])</f>
        <v>3</v>
      </c>
      <c r="AY30" s="221">
        <v>3</v>
      </c>
      <c r="AZ30" s="147">
        <f>IF(Таблица17[[#This Row],[обуч выборка2]]-Таблица17[[#This Row],[Класиф вкл]]=0,1,0)</f>
        <v>0</v>
      </c>
      <c r="BA30" s="117" t="s">
        <v>215</v>
      </c>
      <c r="BB30" s="147">
        <f>IF(Таблица17[[#This Row],[обуч выборка2]]-Таблица17[[#This Row],[Расстояние Махаланобиса вкл
]]=0,1,0)</f>
        <v>0</v>
      </c>
      <c r="BC30" s="117">
        <f>MATCH(MIN(Таблица17[[#This Row],[1 класс вкл]:[6 класс вкл]]),Таблица17[[#This Row],[1 класс вкл]:[6 класс вкл]],0)</f>
        <v>3</v>
      </c>
      <c r="BD30" s="118">
        <v>45.805228438044537</v>
      </c>
      <c r="BE30" s="118">
        <v>25.73534235670909</v>
      </c>
      <c r="BF30" s="118">
        <v>8.4489202331956026</v>
      </c>
      <c r="BG30" s="120">
        <v>191.48282469744237</v>
      </c>
      <c r="BH30" s="118">
        <v>116.93976182174454</v>
      </c>
      <c r="BI30" s="118">
        <v>158.81962962965133</v>
      </c>
      <c r="BJ30" s="147">
        <f>IF(Таблица17[[#This Row],[обуч выборка2]]-Таблица17[[#This Row],[Апосториорная вероятность вкл]]=0,1,0)</f>
        <v>0</v>
      </c>
      <c r="BK30" s="117">
        <f>MATCH(MAX(Таблица17[[#This Row],[1 класс вкл.]:[6 класс вкл.]]),Таблица17[[#This Row],[1 класс вкл.]:[6 класс вкл.]],0)</f>
        <v>3</v>
      </c>
      <c r="BL30" s="119">
        <v>1.5455683931626446E-8</v>
      </c>
      <c r="BM30" s="119">
        <v>2.820321405638012E-4</v>
      </c>
      <c r="BN30" s="119">
        <v>0.99971795240375227</v>
      </c>
      <c r="BO30" s="119">
        <v>0</v>
      </c>
      <c r="BP30" s="119">
        <v>1.1052246509454924E-24</v>
      </c>
      <c r="BQ30" s="119">
        <v>0</v>
      </c>
      <c r="BR30" s="121" t="str">
        <f>RIGHT(Таблица17[[#This Row],[Класиф искл2]])</f>
        <v>3</v>
      </c>
      <c r="BS30" s="222">
        <v>3</v>
      </c>
      <c r="BT30" s="147">
        <f>IF(Таблица17[[#This Row],[обуч выборка2]]-Таблица17[[#This Row],[Класиф искл]]=0,1,0)</f>
        <v>0</v>
      </c>
      <c r="BU30" s="117" t="s">
        <v>215</v>
      </c>
      <c r="BV30" s="147">
        <f>IF(Таблица17[[#This Row],[обуч выборка2]]-Таблица17[[#This Row],[Расстояние Махаланобиса искл]]=0,1,0)</f>
        <v>0</v>
      </c>
      <c r="BW30" s="117">
        <f>MATCH(MIN(Таблица17[[#This Row],[1 класс искл]:[6 класс искл]]),Таблица17[[#This Row],[1 класс искл]:[6 класс искл]],0)</f>
        <v>3</v>
      </c>
      <c r="BX30" s="120">
        <v>39.243411777564901</v>
      </c>
      <c r="BY30" s="120">
        <v>28.556417374854714</v>
      </c>
      <c r="BZ30" s="120">
        <v>6.4552725208313628</v>
      </c>
      <c r="CA30" s="120">
        <v>204.78813092640212</v>
      </c>
      <c r="CB30" s="120">
        <v>167.17086133529932</v>
      </c>
      <c r="CC30" s="120">
        <v>97.479667040939844</v>
      </c>
      <c r="CD30" s="147">
        <f>IF(Таблица17[[#This Row],[обуч выборка2]]-Таблица17[[#This Row],[Апосториорная вероятность искл]]=0,1,0)</f>
        <v>0</v>
      </c>
      <c r="CE30" s="117">
        <f>MATCH(MAX(Таблица17[[#This Row],[1 класс искл.]:[6 класс искл.]]),Таблица17[[#This Row],[1 класс искл.]:[6 класс искл.]],0)</f>
        <v>3</v>
      </c>
      <c r="CF30" s="120">
        <v>1.5176265691300046E-7</v>
      </c>
      <c r="CG30" s="120">
        <v>2.5404242912316122E-5</v>
      </c>
      <c r="CH30" s="120">
        <v>0.9999744439944307</v>
      </c>
      <c r="CI30" s="120">
        <v>0</v>
      </c>
      <c r="CJ30" s="120">
        <v>0</v>
      </c>
      <c r="CK30" s="120">
        <v>1.0290678780387507E-20</v>
      </c>
      <c r="CL30" s="198">
        <v>-0.51279440621154393</v>
      </c>
      <c r="CM30" s="198">
        <v>-0.3777045991724946</v>
      </c>
      <c r="CN30" s="199">
        <v>-0.13545469172616176</v>
      </c>
      <c r="CO30" s="192">
        <v>5</v>
      </c>
      <c r="CP30" s="195">
        <v>4</v>
      </c>
      <c r="CQ30" s="209">
        <v>-0.30683000000000005</v>
      </c>
      <c r="CR30" s="209">
        <v>-0.45441000000000004</v>
      </c>
      <c r="CS30" s="223">
        <v>5</v>
      </c>
      <c r="CT30" s="223">
        <v>1</v>
      </c>
      <c r="CU30" s="209">
        <v>-0.45441000000000004</v>
      </c>
      <c r="CV30" s="209">
        <v>-0.30683000000000005</v>
      </c>
      <c r="CW30" s="209">
        <v>5</v>
      </c>
      <c r="CX30" s="210">
        <v>3</v>
      </c>
      <c r="CY30" s="238" t="s">
        <v>339</v>
      </c>
      <c r="CZ30" s="238">
        <v>2</v>
      </c>
    </row>
    <row r="31" spans="1:104" x14ac:dyDescent="0.3">
      <c r="A31" s="57" t="s">
        <v>39</v>
      </c>
      <c r="B31" s="57">
        <v>1</v>
      </c>
      <c r="C31" s="57">
        <v>6</v>
      </c>
      <c r="D31" s="57">
        <v>6</v>
      </c>
      <c r="E31" s="58">
        <v>5</v>
      </c>
      <c r="F31" s="58">
        <v>-1.62138022</v>
      </c>
      <c r="G31" s="58">
        <v>-1.25862476</v>
      </c>
      <c r="H31" s="58">
        <v>0.48395994600000003</v>
      </c>
      <c r="I31" s="58">
        <v>2.2071345500000001</v>
      </c>
      <c r="J31" s="58">
        <v>-0.76404124600000012</v>
      </c>
      <c r="K31" s="58">
        <v>-0.65083375500000007</v>
      </c>
      <c r="L31" s="58">
        <v>2.9261652100000002</v>
      </c>
      <c r="M31" s="58">
        <v>-1.1522879000000001</v>
      </c>
      <c r="N31" s="58">
        <v>-0.72147727500000003</v>
      </c>
      <c r="O31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20.736753558040665</v>
      </c>
      <c r="P31" s="114" t="s">
        <v>217</v>
      </c>
      <c r="Q31" s="114" t="str">
        <f>RIGHT(P31)</f>
        <v>6</v>
      </c>
      <c r="R31" s="121" t="str">
        <f>RIGHT(Таблица17[[#This Row],[Классиф ДА2]])</f>
        <v>6</v>
      </c>
      <c r="S31">
        <v>6</v>
      </c>
      <c r="T31" s="147">
        <f>IF(Таблица17[[#This Row],[обуч выборка2]]-Таблица17[[#This Row],[Классиф ДА]]=0,1,0)</f>
        <v>1</v>
      </c>
      <c r="U31" s="117" t="s">
        <v>217</v>
      </c>
      <c r="V31" s="147">
        <f>IF(Таблица17[[#This Row],[обуч выборка2]]-Таблица17[[#This Row],[расстояние Махаланобиса]]=0,1,0)</f>
        <v>1</v>
      </c>
      <c r="W31" s="117">
        <f>MATCH(MIN(Таблица17[[#This Row],[1 класс]:[6 класс]]),Таблица17[[#This Row],[1 класс]:[6 класс]],0)</f>
        <v>6</v>
      </c>
      <c r="X31" s="118">
        <v>169.82230681522091</v>
      </c>
      <c r="Y31" s="118">
        <v>231.46586501379016</v>
      </c>
      <c r="Z31" s="118">
        <v>203.69285685658571</v>
      </c>
      <c r="AA31" s="118">
        <v>422.12892222638095</v>
      </c>
      <c r="AB31" s="118">
        <v>626.90552669747012</v>
      </c>
      <c r="AC31" s="118">
        <v>8.7558728128998862</v>
      </c>
      <c r="AD31" s="212">
        <v>169.82230681522091</v>
      </c>
      <c r="AE31" s="212">
        <v>231.46586501379016</v>
      </c>
      <c r="AF31" s="212">
        <v>203.69285685658571</v>
      </c>
      <c r="AG31" s="212">
        <v>422.12892222638095</v>
      </c>
      <c r="AH31" s="212">
        <v>626.90552669747012</v>
      </c>
      <c r="AI31" s="212">
        <v>8.7558728128998862</v>
      </c>
      <c r="AJ31" s="147">
        <f>IF(Таблица17[[#This Row],[обуч выборка2]]-Таблица17[[#This Row],[Апосториорная вероятность]]=0,1,0)</f>
        <v>1</v>
      </c>
      <c r="AK31" s="117">
        <f>MATCH(MAX(Таблица17[[#This Row],[1 класс.]:[6 класс.]]),Таблица17[[#This Row],[1 класс.]:[6 класс.]],0)</f>
        <v>6</v>
      </c>
      <c r="AL31" s="120">
        <v>0</v>
      </c>
      <c r="AM31" s="120">
        <v>0</v>
      </c>
      <c r="AN31" s="120">
        <v>0</v>
      </c>
      <c r="AO31" s="120">
        <v>0</v>
      </c>
      <c r="AP31" s="120">
        <v>0</v>
      </c>
      <c r="AQ31" s="120">
        <v>1</v>
      </c>
      <c r="AR31" s="216">
        <v>0</v>
      </c>
      <c r="AS31" s="216">
        <v>0</v>
      </c>
      <c r="AT31" s="216">
        <v>0</v>
      </c>
      <c r="AU31" s="216">
        <v>0</v>
      </c>
      <c r="AV31" s="216">
        <v>0</v>
      </c>
      <c r="AW31" s="216">
        <v>1</v>
      </c>
      <c r="AX31" s="121" t="str">
        <f>RIGHT(Таблица17[[#This Row],[Класиф вкл2]])</f>
        <v>6</v>
      </c>
      <c r="AY31" s="221">
        <v>6</v>
      </c>
      <c r="AZ31" s="147">
        <f>IF(Таблица17[[#This Row],[обуч выборка2]]-Таблица17[[#This Row],[Класиф вкл]]=0,1,0)</f>
        <v>1</v>
      </c>
      <c r="BA31" s="117" t="s">
        <v>217</v>
      </c>
      <c r="BB31" s="147">
        <f>IF(Таблица17[[#This Row],[обуч выборка2]]-Таблица17[[#This Row],[Расстояние Махаланобиса вкл
]]=0,1,0)</f>
        <v>1</v>
      </c>
      <c r="BC31" s="117">
        <f>MATCH(MIN(Таблица17[[#This Row],[1 класс вкл]:[6 класс вкл]]),Таблица17[[#This Row],[1 класс вкл]:[6 класс вкл]],0)</f>
        <v>6</v>
      </c>
      <c r="BD31" s="118">
        <v>149.96089198535748</v>
      </c>
      <c r="BE31" s="118">
        <v>191.15335464797309</v>
      </c>
      <c r="BF31" s="118">
        <v>173.65548091236263</v>
      </c>
      <c r="BG31" s="120">
        <v>286.52903521089928</v>
      </c>
      <c r="BH31" s="118">
        <v>472.08857789759196</v>
      </c>
      <c r="BI31" s="118">
        <v>7.4923258364410312</v>
      </c>
      <c r="BJ31" s="147">
        <f>IF(Таблица17[[#This Row],[обуч выборка2]]-Таблица17[[#This Row],[Апосториорная вероятность вкл]]=0,1,0)</f>
        <v>1</v>
      </c>
      <c r="BK31" s="117">
        <f>MATCH(MAX(Таблица17[[#This Row],[1 класс вкл.]:[6 класс вкл.]]),Таблица17[[#This Row],[1 класс вкл.]:[6 класс вкл.]],0)</f>
        <v>6</v>
      </c>
      <c r="BL31" s="119">
        <v>3.8567606167727349E-31</v>
      </c>
      <c r="BM31" s="119">
        <v>0</v>
      </c>
      <c r="BN31" s="119">
        <v>0</v>
      </c>
      <c r="BO31" s="119">
        <v>0</v>
      </c>
      <c r="BP31" s="119">
        <v>0</v>
      </c>
      <c r="BQ31" s="119">
        <v>1</v>
      </c>
      <c r="BR31" s="121" t="str">
        <f>RIGHT(Таблица17[[#This Row],[Класиф искл2]])</f>
        <v>6</v>
      </c>
      <c r="BS31" s="222">
        <v>6</v>
      </c>
      <c r="BT31" s="147">
        <f>IF(Таблица17[[#This Row],[обуч выборка2]]-Таблица17[[#This Row],[Класиф искл]]=0,1,0)</f>
        <v>1</v>
      </c>
      <c r="BU31" s="117" t="s">
        <v>217</v>
      </c>
      <c r="BV31" s="147">
        <f>IF(Таблица17[[#This Row],[обуч выборка2]]-Таблица17[[#This Row],[Расстояние Махаланобиса искл]]=0,1,0)</f>
        <v>1</v>
      </c>
      <c r="BW31" s="117">
        <f>MATCH(MIN(Таблица17[[#This Row],[1 класс искл]:[6 класс искл]]),Таблица17[[#This Row],[1 класс искл]:[6 класс искл]],0)</f>
        <v>6</v>
      </c>
      <c r="BX31" s="120">
        <v>108.5561669593058</v>
      </c>
      <c r="BY31" s="120">
        <v>134.58260821915593</v>
      </c>
      <c r="BZ31" s="120">
        <v>116.65595989983187</v>
      </c>
      <c r="CA31" s="120">
        <v>198.5039500494382</v>
      </c>
      <c r="CB31" s="120">
        <v>384.35764204890035</v>
      </c>
      <c r="CC31" s="120">
        <v>6.1176568776846789</v>
      </c>
      <c r="CD31" s="147">
        <f>IF(Таблица17[[#This Row],[обуч выборка2]]-Таблица17[[#This Row],[Апосториорная вероятность искл]]=0,1,0)</f>
        <v>1</v>
      </c>
      <c r="CE31" s="117">
        <f>MATCH(MAX(Таблица17[[#This Row],[1 класс искл.]:[6 класс искл.]]),Таблица17[[#This Row],[1 класс искл.]:[6 класс искл.]],0)</f>
        <v>6</v>
      </c>
      <c r="CF31" s="120">
        <v>1.8994983203466671E-22</v>
      </c>
      <c r="CG31" s="120">
        <v>3.3896822522830233E-28</v>
      </c>
      <c r="CH31" s="120">
        <v>1.6548598865487567E-24</v>
      </c>
      <c r="CI31" s="120">
        <v>0</v>
      </c>
      <c r="CJ31" s="120">
        <v>0</v>
      </c>
      <c r="CK31" s="120">
        <v>1</v>
      </c>
      <c r="CL31" s="198">
        <v>1.3427118487526655</v>
      </c>
      <c r="CM31" s="198">
        <v>-2.5000966528853699</v>
      </c>
      <c r="CN31" s="199">
        <v>-0.24999294276591416</v>
      </c>
      <c r="CO31" s="192">
        <v>2</v>
      </c>
      <c r="CP31" s="195">
        <v>2</v>
      </c>
      <c r="CQ31" s="209">
        <v>2.4770400000000001</v>
      </c>
      <c r="CR31" s="209">
        <v>-0.89207999999999998</v>
      </c>
      <c r="CS31" s="223">
        <v>3</v>
      </c>
      <c r="CT31" s="223">
        <v>3</v>
      </c>
      <c r="CU31" s="209">
        <v>-0.89207999999999998</v>
      </c>
      <c r="CV31" s="209">
        <v>2.4770400000000001</v>
      </c>
      <c r="CW31" s="209">
        <v>4</v>
      </c>
      <c r="CX31" s="210">
        <v>4</v>
      </c>
      <c r="CY31" s="271" t="str">
        <f>RIGHT(CX31)</f>
        <v>4</v>
      </c>
      <c r="CZ31" s="238">
        <v>3</v>
      </c>
    </row>
    <row r="32" spans="1:104" x14ac:dyDescent="0.3">
      <c r="A32" s="57" t="s">
        <v>40</v>
      </c>
      <c r="B32" s="57">
        <v>3</v>
      </c>
      <c r="C32" s="57">
        <v>2</v>
      </c>
      <c r="D32" s="57">
        <v>4</v>
      </c>
      <c r="E32" s="58">
        <v>2</v>
      </c>
      <c r="F32" s="58">
        <v>0.28368628000000007</v>
      </c>
      <c r="G32" s="58">
        <v>0.80494057800000007</v>
      </c>
      <c r="H32" s="58">
        <v>-0.75382880100000016</v>
      </c>
      <c r="I32" s="58">
        <v>1.1635767800000001</v>
      </c>
      <c r="J32" s="58">
        <v>1.8638811200000001</v>
      </c>
      <c r="K32" s="58">
        <v>3.1448461999999999</v>
      </c>
      <c r="L32" s="58">
        <v>0.726178981</v>
      </c>
      <c r="M32" s="58">
        <v>-1.10912528</v>
      </c>
      <c r="N32" s="58">
        <v>6.3217913000000001</v>
      </c>
      <c r="O32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57.73722651287396</v>
      </c>
      <c r="P32" s="114" t="s">
        <v>216</v>
      </c>
      <c r="Q32" s="114" t="str">
        <f>RIGHT(P32)</f>
        <v>4</v>
      </c>
      <c r="R32" s="121" t="str">
        <f>RIGHT(Таблица17[[#This Row],[Классиф ДА2]])</f>
        <v>4</v>
      </c>
      <c r="S32">
        <v>4</v>
      </c>
      <c r="T32" s="147">
        <f>IF(Таблица17[[#This Row],[обуч выборка2]]-Таблица17[[#This Row],[Классиф ДА]]=0,1,0)</f>
        <v>1</v>
      </c>
      <c r="U32" s="117" t="s">
        <v>216</v>
      </c>
      <c r="V32" s="147">
        <f>IF(Таблица17[[#This Row],[обуч выборка2]]-Таблица17[[#This Row],[расстояние Махаланобиса]]=0,1,0)</f>
        <v>1</v>
      </c>
      <c r="W32" s="117">
        <f>MATCH(MIN(Таблица17[[#This Row],[1 класс]:[6 класс]]),Таблица17[[#This Row],[1 класс]:[6 класс]],0)</f>
        <v>4</v>
      </c>
      <c r="X32" s="118">
        <v>237.1376215872121</v>
      </c>
      <c r="Y32" s="118">
        <v>277.32422114643595</v>
      </c>
      <c r="Z32" s="118">
        <v>284.25467868399517</v>
      </c>
      <c r="AA32" s="118">
        <v>10.953921201161281</v>
      </c>
      <c r="AB32" s="118">
        <v>550.09941713578121</v>
      </c>
      <c r="AC32" s="118">
        <v>370.68570667979668</v>
      </c>
      <c r="AD32" s="212">
        <v>237.1376215872121</v>
      </c>
      <c r="AE32" s="212">
        <v>277.32422114643595</v>
      </c>
      <c r="AF32" s="212">
        <v>284.25467868399517</v>
      </c>
      <c r="AG32" s="212">
        <v>10.953921201161281</v>
      </c>
      <c r="AH32" s="212">
        <v>550.09941713578121</v>
      </c>
      <c r="AI32" s="212">
        <v>370.68570667979668</v>
      </c>
      <c r="AJ32" s="147">
        <f>IF(Таблица17[[#This Row],[обуч выборка2]]-Таблица17[[#This Row],[Апосториорная вероятность]]=0,1,0)</f>
        <v>1</v>
      </c>
      <c r="AK32" s="117">
        <f>MATCH(MAX(Таблица17[[#This Row],[1 класс.]:[6 класс.]]),Таблица17[[#This Row],[1 класс.]:[6 класс.]],0)</f>
        <v>4</v>
      </c>
      <c r="AL32" s="120">
        <v>0</v>
      </c>
      <c r="AM32" s="120">
        <v>0</v>
      </c>
      <c r="AN32" s="120">
        <v>0</v>
      </c>
      <c r="AO32" s="120">
        <v>1</v>
      </c>
      <c r="AP32" s="120">
        <v>0</v>
      </c>
      <c r="AQ32" s="120">
        <v>0</v>
      </c>
      <c r="AR32" s="216">
        <v>0</v>
      </c>
      <c r="AS32" s="216">
        <v>0</v>
      </c>
      <c r="AT32" s="216">
        <v>0</v>
      </c>
      <c r="AU32" s="216">
        <v>1</v>
      </c>
      <c r="AV32" s="216">
        <v>0</v>
      </c>
      <c r="AW32" s="216">
        <v>0</v>
      </c>
      <c r="AX32" s="121" t="str">
        <f>RIGHT(Таблица17[[#This Row],[Класиф вкл2]])</f>
        <v>4</v>
      </c>
      <c r="AY32" s="221">
        <v>4</v>
      </c>
      <c r="AZ32" s="147">
        <f>IF(Таблица17[[#This Row],[обуч выборка2]]-Таблица17[[#This Row],[Класиф вкл]]=0,1,0)</f>
        <v>1</v>
      </c>
      <c r="BA32" s="117" t="s">
        <v>216</v>
      </c>
      <c r="BB32" s="147">
        <f>IF(Таблица17[[#This Row],[обуч выборка2]]-Таблица17[[#This Row],[Расстояние Махаланобиса вкл
]]=0,1,0)</f>
        <v>1</v>
      </c>
      <c r="BC32" s="117">
        <f>MATCH(MIN(Таблица17[[#This Row],[1 класс вкл]:[6 класс вкл]]),Таблица17[[#This Row],[1 класс вкл]:[6 класс вкл]],0)</f>
        <v>4</v>
      </c>
      <c r="BD32" s="118">
        <v>146.62926608749734</v>
      </c>
      <c r="BE32" s="118">
        <v>180.24899343284906</v>
      </c>
      <c r="BF32" s="118">
        <v>178.68310865625619</v>
      </c>
      <c r="BG32" s="120">
        <v>5.7561007000830067</v>
      </c>
      <c r="BH32" s="118">
        <v>417.82103917130974</v>
      </c>
      <c r="BI32" s="118">
        <v>209.17301577449794</v>
      </c>
      <c r="BJ32" s="147">
        <f>IF(Таблица17[[#This Row],[обуч выборка2]]-Таблица17[[#This Row],[Апосториорная вероятность вкл]]=0,1,0)</f>
        <v>1</v>
      </c>
      <c r="BK32" s="117">
        <f>MATCH(MAX(Таблица17[[#This Row],[1 класс вкл.]:[6 класс вкл.]]),Таблица17[[#This Row],[1 класс вкл.]:[6 класс вкл.]],0)</f>
        <v>4</v>
      </c>
      <c r="BL32" s="119">
        <v>1.2845494169250097E-30</v>
      </c>
      <c r="BM32" s="119">
        <v>0</v>
      </c>
      <c r="BN32" s="119">
        <v>0</v>
      </c>
      <c r="BO32" s="119">
        <v>1</v>
      </c>
      <c r="BP32" s="119">
        <v>0</v>
      </c>
      <c r="BQ32" s="119">
        <v>0</v>
      </c>
      <c r="BR32" s="121" t="str">
        <f>RIGHT(Таблица17[[#This Row],[Класиф искл2]])</f>
        <v>4</v>
      </c>
      <c r="BS32" s="222">
        <v>4</v>
      </c>
      <c r="BT32" s="147">
        <f>IF(Таблица17[[#This Row],[обуч выборка2]]-Таблица17[[#This Row],[Класиф искл]]=0,1,0)</f>
        <v>1</v>
      </c>
      <c r="BU32" s="117" t="s">
        <v>216</v>
      </c>
      <c r="BV32" s="147">
        <f>IF(Таблица17[[#This Row],[обуч выборка2]]-Таблица17[[#This Row],[Расстояние Махаланобиса искл]]=0,1,0)</f>
        <v>1</v>
      </c>
      <c r="BW32" s="117">
        <f>MATCH(MIN(Таблица17[[#This Row],[1 класс искл]:[6 класс искл]]),Таблица17[[#This Row],[1 класс искл]:[6 класс искл]],0)</f>
        <v>4</v>
      </c>
      <c r="BX32" s="120">
        <v>141.70616860265741</v>
      </c>
      <c r="BY32" s="120">
        <v>173.27409726722482</v>
      </c>
      <c r="BZ32" s="120">
        <v>175.97103545446907</v>
      </c>
      <c r="CA32" s="120">
        <v>6.0745943634972752</v>
      </c>
      <c r="CB32" s="120">
        <v>437.39204146645096</v>
      </c>
      <c r="CC32" s="120">
        <v>132.27701526417894</v>
      </c>
      <c r="CD32" s="147">
        <f>IF(Таблица17[[#This Row],[обуч выборка2]]-Таблица17[[#This Row],[Апосториорная вероятность искл]]=0,1,0)</f>
        <v>1</v>
      </c>
      <c r="CE32" s="117">
        <f>MATCH(MAX(Таблица17[[#This Row],[1 класс искл.]:[6 класс искл.]]),Таблица17[[#This Row],[1 класс искл.]:[6 класс искл.]],0)</f>
        <v>4</v>
      </c>
      <c r="CF32" s="120">
        <v>1.7658258589106644E-29</v>
      </c>
      <c r="CG32" s="120">
        <v>0</v>
      </c>
      <c r="CH32" s="120">
        <v>0</v>
      </c>
      <c r="CI32" s="120">
        <v>1</v>
      </c>
      <c r="CJ32" s="120">
        <v>0</v>
      </c>
      <c r="CK32" s="120">
        <v>5.9099493525961869E-28</v>
      </c>
      <c r="CL32" s="198">
        <v>3.2488353767908791</v>
      </c>
      <c r="CM32" s="198">
        <v>2.4658023062022982</v>
      </c>
      <c r="CN32" s="199">
        <v>-0.86876580898775568</v>
      </c>
      <c r="CO32" s="192">
        <v>3</v>
      </c>
      <c r="CP32" s="195">
        <v>1</v>
      </c>
      <c r="CQ32" s="209">
        <v>0.66459000000000013</v>
      </c>
      <c r="CR32" s="209">
        <v>3.3225899999999999</v>
      </c>
      <c r="CS32" s="223">
        <v>1</v>
      </c>
      <c r="CT32" s="223">
        <v>4</v>
      </c>
      <c r="CU32" s="209">
        <v>3.3225899999999999</v>
      </c>
      <c r="CV32" s="209">
        <v>0.66459000000000013</v>
      </c>
      <c r="CW32" s="209">
        <v>2</v>
      </c>
      <c r="CX32" s="210">
        <v>6</v>
      </c>
      <c r="CY32" s="271" t="str">
        <f>RIGHT(CX32)</f>
        <v>6</v>
      </c>
      <c r="CZ32" s="238">
        <v>4</v>
      </c>
    </row>
    <row r="33" spans="1:104" x14ac:dyDescent="0.3">
      <c r="A33" s="57" t="s">
        <v>41</v>
      </c>
      <c r="B33" s="57">
        <v>1</v>
      </c>
      <c r="C33" s="57">
        <v>6</v>
      </c>
      <c r="D33" s="57">
        <v>6</v>
      </c>
      <c r="E33" s="58">
        <v>5</v>
      </c>
      <c r="F33" s="58">
        <v>-1.5639919200000001</v>
      </c>
      <c r="G33" s="58">
        <v>-1.1256503900000001</v>
      </c>
      <c r="H33" s="58">
        <v>0.21073606300000003</v>
      </c>
      <c r="I33" s="58">
        <v>1.29612097</v>
      </c>
      <c r="J33" s="58">
        <v>-0.56479303300000017</v>
      </c>
      <c r="K33" s="58">
        <v>-0.67124063700000025</v>
      </c>
      <c r="L33" s="58">
        <v>1.3162123999999999</v>
      </c>
      <c r="M33" s="58">
        <v>-1.1522879000000001</v>
      </c>
      <c r="N33" s="58">
        <v>-0.571072091</v>
      </c>
      <c r="O33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9.5933597672327089</v>
      </c>
      <c r="P33" s="114" t="s">
        <v>217</v>
      </c>
      <c r="Q33" s="114" t="str">
        <f>RIGHT(P33)</f>
        <v>6</v>
      </c>
      <c r="R33" s="121" t="str">
        <f>RIGHT(Таблица17[[#This Row],[Классиф ДА2]])</f>
        <v>6</v>
      </c>
      <c r="S33">
        <v>6</v>
      </c>
      <c r="T33" s="147">
        <f>IF(Таблица17[[#This Row],[обуч выборка2]]-Таблица17[[#This Row],[Классиф ДА]]=0,1,0)</f>
        <v>1</v>
      </c>
      <c r="U33" s="117" t="s">
        <v>217</v>
      </c>
      <c r="V33" s="147">
        <f>IF(Таблица17[[#This Row],[обуч выборка2]]-Таблица17[[#This Row],[расстояние Махаланобиса]]=0,1,0)</f>
        <v>1</v>
      </c>
      <c r="W33" s="117">
        <f>MATCH(MIN(Таблица17[[#This Row],[1 класс]:[6 класс]]),Таблица17[[#This Row],[1 класс]:[6 класс]],0)</f>
        <v>6</v>
      </c>
      <c r="X33" s="118">
        <v>58.928217759869256</v>
      </c>
      <c r="Y33" s="118">
        <v>119.17448336528476</v>
      </c>
      <c r="Z33" s="118">
        <v>94.035071842044601</v>
      </c>
      <c r="AA33" s="118">
        <v>324.77384065957142</v>
      </c>
      <c r="AB33" s="118">
        <v>491.96778221089988</v>
      </c>
      <c r="AC33" s="118">
        <v>11.540464037615475</v>
      </c>
      <c r="AD33" s="212">
        <v>58.928217759869256</v>
      </c>
      <c r="AE33" s="212">
        <v>119.17448336528476</v>
      </c>
      <c r="AF33" s="212">
        <v>94.035071842044601</v>
      </c>
      <c r="AG33" s="212">
        <v>324.77384065957142</v>
      </c>
      <c r="AH33" s="212">
        <v>491.96778221089988</v>
      </c>
      <c r="AI33" s="212">
        <v>11.540464037615475</v>
      </c>
      <c r="AJ33" s="147">
        <f>IF(Таблица17[[#This Row],[обуч выборка2]]-Таблица17[[#This Row],[Апосториорная вероятность]]=0,1,0)</f>
        <v>1</v>
      </c>
      <c r="AK33" s="117">
        <f>MATCH(MAX(Таблица17[[#This Row],[1 класс.]:[6 класс.]]),Таблица17[[#This Row],[1 класс.]:[6 класс.]],0)</f>
        <v>6</v>
      </c>
      <c r="AL33" s="120">
        <v>1.7090657445038101E-10</v>
      </c>
      <c r="AM33" s="120">
        <v>1.13119741148825E-23</v>
      </c>
      <c r="AN33" s="120">
        <v>2.0340998670655497E-18</v>
      </c>
      <c r="AO33" s="120">
        <v>0</v>
      </c>
      <c r="AP33" s="120">
        <v>0</v>
      </c>
      <c r="AQ33" s="120">
        <v>0.99999999982909338</v>
      </c>
      <c r="AR33" s="216">
        <v>1.7090657445038101E-10</v>
      </c>
      <c r="AS33" s="216">
        <v>1.13119741148825E-23</v>
      </c>
      <c r="AT33" s="216">
        <v>2.0340998670655497E-18</v>
      </c>
      <c r="AU33" s="216">
        <v>0</v>
      </c>
      <c r="AV33" s="216">
        <v>0</v>
      </c>
      <c r="AW33" s="216">
        <v>0.99999999982909338</v>
      </c>
      <c r="AX33" s="121" t="str">
        <f>RIGHT(Таблица17[[#This Row],[Класиф вкл2]])</f>
        <v>6</v>
      </c>
      <c r="AY33" s="221">
        <v>6</v>
      </c>
      <c r="AZ33" s="147">
        <f>IF(Таблица17[[#This Row],[обуч выборка2]]-Таблица17[[#This Row],[Класиф вкл]]=0,1,0)</f>
        <v>1</v>
      </c>
      <c r="BA33" s="117" t="s">
        <v>217</v>
      </c>
      <c r="BB33" s="147">
        <f>IF(Таблица17[[#This Row],[обуч выборка2]]-Таблица17[[#This Row],[Расстояние Махаланобиса вкл
]]=0,1,0)</f>
        <v>1</v>
      </c>
      <c r="BC33" s="117">
        <f>MATCH(MIN(Таблица17[[#This Row],[1 класс вкл]:[6 класс вкл]]),Таблица17[[#This Row],[1 класс вкл]:[6 класс вкл]],0)</f>
        <v>6</v>
      </c>
      <c r="BD33" s="118">
        <v>50.839490245498368</v>
      </c>
      <c r="BE33" s="118">
        <v>92.215213874417486</v>
      </c>
      <c r="BF33" s="118">
        <v>78.800842371208972</v>
      </c>
      <c r="BG33" s="120">
        <v>210.47758101983169</v>
      </c>
      <c r="BH33" s="118">
        <v>351.55704649869205</v>
      </c>
      <c r="BI33" s="118">
        <v>10.266651034399846</v>
      </c>
      <c r="BJ33" s="147">
        <f>IF(Таблица17[[#This Row],[обуч выборка2]]-Таблица17[[#This Row],[Апосториорная вероятность вкл]]=0,1,0)</f>
        <v>1</v>
      </c>
      <c r="BK33" s="117">
        <f>MATCH(MAX(Таблица17[[#This Row],[1 класс вкл.]:[6 класс вкл.]]),Таблица17[[#This Row],[1 класс вкл.]:[6 класс вкл.]],0)</f>
        <v>6</v>
      </c>
      <c r="BL33" s="119">
        <v>5.1593934831707215E-9</v>
      </c>
      <c r="BM33" s="119">
        <v>4.2762630187492944E-18</v>
      </c>
      <c r="BN33" s="119">
        <v>2.1869466453261892E-15</v>
      </c>
      <c r="BO33" s="119">
        <v>0</v>
      </c>
      <c r="BP33" s="119">
        <v>0</v>
      </c>
      <c r="BQ33" s="119">
        <v>0.99999999484060431</v>
      </c>
      <c r="BR33" s="121" t="str">
        <f>RIGHT(Таблица17[[#This Row],[Класиф искл2]])</f>
        <v>6</v>
      </c>
      <c r="BS33" s="222">
        <v>6</v>
      </c>
      <c r="BT33" s="147">
        <f>IF(Таблица17[[#This Row],[обуч выборка2]]-Таблица17[[#This Row],[Класиф искл]]=0,1,0)</f>
        <v>1</v>
      </c>
      <c r="BU33" s="117" t="s">
        <v>217</v>
      </c>
      <c r="BV33" s="147">
        <f>IF(Таблица17[[#This Row],[обуч выборка2]]-Таблица17[[#This Row],[Расстояние Махаланобиса искл]]=0,1,0)</f>
        <v>1</v>
      </c>
      <c r="BW33" s="117">
        <f>MATCH(MIN(Таблица17[[#This Row],[1 класс искл]:[6 класс искл]]),Таблица17[[#This Row],[1 класс искл]:[6 класс искл]],0)</f>
        <v>6</v>
      </c>
      <c r="BX33" s="120">
        <v>33.046443350641518</v>
      </c>
      <c r="BY33" s="120">
        <v>70.683380539122652</v>
      </c>
      <c r="BZ33" s="120">
        <v>52.334607087602407</v>
      </c>
      <c r="CA33" s="120">
        <v>171.28856167794299</v>
      </c>
      <c r="CB33" s="120">
        <v>329.92764207540267</v>
      </c>
      <c r="CC33" s="120">
        <v>9.8626594999315742</v>
      </c>
      <c r="CD33" s="147">
        <f>IF(Таблица17[[#This Row],[обуч выборка2]]-Таблица17[[#This Row],[Апосториорная вероятность искл]]=0,1,0)</f>
        <v>1</v>
      </c>
      <c r="CE33" s="117">
        <f>MATCH(MAX(Таблица17[[#This Row],[1 класс искл.]:[6 класс искл.]]),Таблица17[[#This Row],[1 класс искл.]:[6 класс искл.]],0)</f>
        <v>6</v>
      </c>
      <c r="CF33" s="120">
        <v>3.0801415109800292E-5</v>
      </c>
      <c r="CG33" s="120">
        <v>1.655402430098946E-13</v>
      </c>
      <c r="CH33" s="120">
        <v>9.9808869286743149E-10</v>
      </c>
      <c r="CI33" s="120">
        <v>0</v>
      </c>
      <c r="CJ33" s="120">
        <v>0</v>
      </c>
      <c r="CK33" s="120">
        <v>0.99996919758663594</v>
      </c>
      <c r="CL33" s="198">
        <v>0.77969586727480056</v>
      </c>
      <c r="CM33" s="198">
        <v>-1.7895749805900687</v>
      </c>
      <c r="CN33" s="199">
        <v>0.20585690954252903</v>
      </c>
      <c r="CO33" s="192">
        <v>2</v>
      </c>
      <c r="CP33" s="195">
        <v>2</v>
      </c>
      <c r="CQ33" s="209">
        <v>1.4858899999999999</v>
      </c>
      <c r="CR33" s="209">
        <v>-0.73268000000000011</v>
      </c>
      <c r="CS33" s="223">
        <v>3</v>
      </c>
      <c r="CT33" s="223">
        <v>3</v>
      </c>
      <c r="CU33" s="209">
        <v>-0.73268000000000011</v>
      </c>
      <c r="CV33" s="209">
        <v>1.4858899999999999</v>
      </c>
      <c r="CW33" s="209">
        <v>4</v>
      </c>
      <c r="CX33" s="210">
        <v>4</v>
      </c>
      <c r="CY33" s="271" t="str">
        <f>RIGHT(CX33)</f>
        <v>4</v>
      </c>
      <c r="CZ33" s="238">
        <v>3</v>
      </c>
    </row>
    <row r="34" spans="1:104" x14ac:dyDescent="0.3">
      <c r="A34" s="57" t="s">
        <v>42</v>
      </c>
      <c r="B34" s="57">
        <v>4</v>
      </c>
      <c r="C34" s="57">
        <v>6</v>
      </c>
      <c r="D34" s="57">
        <v>2</v>
      </c>
      <c r="E34" s="58">
        <v>6</v>
      </c>
      <c r="F34" s="58">
        <v>0.32307040700000011</v>
      </c>
      <c r="G34" s="58">
        <v>-0.59375287600000004</v>
      </c>
      <c r="H34" s="58">
        <v>-0.69147659899999991</v>
      </c>
      <c r="I34" s="58">
        <v>-0.28282996700000013</v>
      </c>
      <c r="J34" s="58">
        <v>0.88110277599999998</v>
      </c>
      <c r="K34" s="58">
        <v>2.1864515800000001E-3</v>
      </c>
      <c r="L34" s="58">
        <v>-0.36056934600000001</v>
      </c>
      <c r="M34" s="58">
        <v>-1.0443813399999999</v>
      </c>
      <c r="N34" s="58">
        <v>2.9133543899999999E-2</v>
      </c>
      <c r="O34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3.0129879258665668</v>
      </c>
      <c r="P34" s="114"/>
      <c r="Q34" s="114"/>
      <c r="R34" s="121" t="str">
        <f>RIGHT(Таблица17[[#This Row],[Классиф ДА2]])</f>
        <v>2</v>
      </c>
      <c r="S34">
        <v>2</v>
      </c>
      <c r="T34" s="147">
        <f>IF(Таблица17[[#This Row],[обуч выборка2]]-Таблица17[[#This Row],[Классиф ДА]]=0,1,0)</f>
        <v>0</v>
      </c>
      <c r="U34" s="117" t="s">
        <v>214</v>
      </c>
      <c r="V34" s="147">
        <f>IF(Таблица17[[#This Row],[обуч выборка2]]-Таблица17[[#This Row],[расстояние Махаланобиса]]=0,1,0)</f>
        <v>0</v>
      </c>
      <c r="W34" s="117">
        <f>MATCH(MIN(Таблица17[[#This Row],[1 класс]:[6 класс]]),Таблица17[[#This Row],[1 класс]:[6 класс]],0)</f>
        <v>2</v>
      </c>
      <c r="X34" s="118">
        <v>54.358218930777142</v>
      </c>
      <c r="Y34" s="118">
        <v>27.359945189778699</v>
      </c>
      <c r="Z34" s="118">
        <v>34.90797078336503</v>
      </c>
      <c r="AA34" s="118">
        <v>275.45901004946836</v>
      </c>
      <c r="AB34" s="118">
        <v>188.60844499118974</v>
      </c>
      <c r="AC34" s="118">
        <v>200.55759847801022</v>
      </c>
      <c r="AD34" s="212">
        <v>54.358218930777142</v>
      </c>
      <c r="AE34" s="212">
        <v>27.359945189778699</v>
      </c>
      <c r="AF34" s="212">
        <v>34.90797078336503</v>
      </c>
      <c r="AG34" s="212">
        <v>275.45901004946836</v>
      </c>
      <c r="AH34" s="212">
        <v>188.60844499118974</v>
      </c>
      <c r="AI34" s="212">
        <v>200.55759847801022</v>
      </c>
      <c r="AJ34" s="147">
        <f>IF(Таблица17[[#This Row],[обуч выборка2]]-Таблица17[[#This Row],[Апосториорная вероятность]]=0,1,0)</f>
        <v>0</v>
      </c>
      <c r="AK34" s="117">
        <f>MATCH(MAX(Таблица17[[#This Row],[1 класс.]:[6 класс.]]),Таблица17[[#This Row],[1 класс.]:[6 класс.]],0)</f>
        <v>2</v>
      </c>
      <c r="AL34" s="120">
        <v>1.6909114303836235E-6</v>
      </c>
      <c r="AM34" s="120">
        <v>0.98585149698541019</v>
      </c>
      <c r="AN34" s="120">
        <v>1.4146812103159349E-2</v>
      </c>
      <c r="AO34" s="120">
        <v>0</v>
      </c>
      <c r="AP34" s="120">
        <v>0</v>
      </c>
      <c r="AQ34" s="120">
        <v>0</v>
      </c>
      <c r="AR34" s="216">
        <v>1.6909114303836235E-6</v>
      </c>
      <c r="AS34" s="216">
        <v>0.98585149698541019</v>
      </c>
      <c r="AT34" s="216">
        <v>1.4146812103159349E-2</v>
      </c>
      <c r="AU34" s="216">
        <v>0</v>
      </c>
      <c r="AV34" s="216">
        <v>0</v>
      </c>
      <c r="AW34" s="216">
        <v>0</v>
      </c>
      <c r="AX34" s="121" t="str">
        <f>RIGHT(Таблица17[[#This Row],[Класиф вкл2]])</f>
        <v>2</v>
      </c>
      <c r="AY34" s="221">
        <v>2</v>
      </c>
      <c r="AZ34" s="147">
        <f>IF(Таблица17[[#This Row],[обуч выборка2]]-Таблица17[[#This Row],[Класиф вкл]]=0,1,0)</f>
        <v>0</v>
      </c>
      <c r="BA34" s="117" t="s">
        <v>214</v>
      </c>
      <c r="BB34" s="147">
        <f>IF(Таблица17[[#This Row],[обуч выборка2]]-Таблица17[[#This Row],[Расстояние Махаланобиса вкл
]]=0,1,0)</f>
        <v>0</v>
      </c>
      <c r="BC34" s="117">
        <f>MATCH(MIN(Таблица17[[#This Row],[1 класс вкл]:[6 класс вкл]]),Таблица17[[#This Row],[1 класс вкл]:[6 класс вкл]],0)</f>
        <v>2</v>
      </c>
      <c r="BD34" s="118">
        <v>38.038066990084886</v>
      </c>
      <c r="BE34" s="118">
        <v>18.290971463213133</v>
      </c>
      <c r="BF34" s="118">
        <v>31.408324774951456</v>
      </c>
      <c r="BG34" s="120">
        <v>164.8617787981139</v>
      </c>
      <c r="BH34" s="118">
        <v>102.71269653590714</v>
      </c>
      <c r="BI34" s="118">
        <v>182.52958114587457</v>
      </c>
      <c r="BJ34" s="147">
        <f>IF(Таблица17[[#This Row],[обуч выборка2]]-Таблица17[[#This Row],[Апосториорная вероятность вкл]]=0,1,0)</f>
        <v>0</v>
      </c>
      <c r="BK34" s="117">
        <f>MATCH(MAX(Таблица17[[#This Row],[1 класс вкл.]:[6 класс вкл.]]),Таблица17[[#This Row],[1 класс вкл.]:[6 класс вкл.]],0)</f>
        <v>2</v>
      </c>
      <c r="BL34" s="119">
        <v>6.4338377078124049E-5</v>
      </c>
      <c r="BM34" s="119">
        <v>0.9990504026523227</v>
      </c>
      <c r="BN34" s="119">
        <v>8.8525897059928648E-4</v>
      </c>
      <c r="BO34" s="119">
        <v>0</v>
      </c>
      <c r="BP34" s="119">
        <v>1.1630080798339971E-19</v>
      </c>
      <c r="BQ34" s="119">
        <v>0</v>
      </c>
      <c r="BR34" s="121" t="str">
        <f>RIGHT(Таблица17[[#This Row],[Класиф искл2]])</f>
        <v>1</v>
      </c>
      <c r="BS34" s="222">
        <v>1</v>
      </c>
      <c r="BT34" s="147">
        <f>IF(Таблица17[[#This Row],[обуч выборка2]]-Таблица17[[#This Row],[Класиф искл]]=0,1,0)</f>
        <v>0</v>
      </c>
      <c r="BU34" s="117" t="s">
        <v>213</v>
      </c>
      <c r="BV34" s="147">
        <f>IF(Таблица17[[#This Row],[обуч выборка2]]-Таблица17[[#This Row],[Расстояние Махаланобиса искл]]=0,1,0)</f>
        <v>0</v>
      </c>
      <c r="BW34" s="117">
        <f>MATCH(MIN(Таблица17[[#This Row],[1 класс искл]:[6 класс искл]]),Таблица17[[#This Row],[1 класс искл]:[6 класс искл]],0)</f>
        <v>2</v>
      </c>
      <c r="BX34" s="120">
        <v>7.7815881787429673</v>
      </c>
      <c r="BY34" s="120">
        <v>7.5147273779332924</v>
      </c>
      <c r="BZ34" s="120">
        <v>13.003287598439025</v>
      </c>
      <c r="CA34" s="120">
        <v>179.47301624341168</v>
      </c>
      <c r="CB34" s="120">
        <v>169.40454837479615</v>
      </c>
      <c r="CC34" s="120">
        <v>67.308639821998057</v>
      </c>
      <c r="CD34" s="147">
        <f>IF(Таблица17[[#This Row],[обуч выборка2]]-Таблица17[[#This Row],[Апосториорная вероятность искл]]=0,1,0)</f>
        <v>0</v>
      </c>
      <c r="CE34" s="117">
        <f>MATCH(MAX(Таблица17[[#This Row],[1 класс искл.]:[6 класс искл.]]),Таблица17[[#This Row],[1 класс искл.]:[6 класс искл.]],0)</f>
        <v>1</v>
      </c>
      <c r="CF34" s="120">
        <v>0.51257620406009985</v>
      </c>
      <c r="CG34" s="120">
        <v>0.46859377413979258</v>
      </c>
      <c r="CH34" s="120">
        <v>1.8830021800089507E-2</v>
      </c>
      <c r="CI34" s="120">
        <v>0</v>
      </c>
      <c r="CJ34" s="120">
        <v>0</v>
      </c>
      <c r="CK34" s="120">
        <v>1.8228237100093474E-14</v>
      </c>
      <c r="CL34" s="198">
        <v>0.3625082007930116</v>
      </c>
      <c r="CM34" s="198">
        <v>0.32542452430306057</v>
      </c>
      <c r="CN34" s="199">
        <v>1.1874941357486772</v>
      </c>
      <c r="CO34" s="192">
        <v>4</v>
      </c>
      <c r="CP34" s="195">
        <v>3</v>
      </c>
      <c r="CQ34" s="209">
        <v>-0.11483</v>
      </c>
      <c r="CR34" s="209">
        <v>0.50266</v>
      </c>
      <c r="CS34" s="223">
        <v>4</v>
      </c>
      <c r="CT34" s="223">
        <v>2</v>
      </c>
      <c r="CU34" s="209">
        <v>0.50266</v>
      </c>
      <c r="CV34" s="209">
        <v>-0.11483</v>
      </c>
      <c r="CW34" s="209">
        <v>6</v>
      </c>
      <c r="CX34" s="210">
        <v>1</v>
      </c>
      <c r="CY34" s="238" t="s">
        <v>339</v>
      </c>
      <c r="CZ34" s="238">
        <v>4</v>
      </c>
    </row>
    <row r="35" spans="1:104" x14ac:dyDescent="0.3">
      <c r="A35" s="57" t="s">
        <v>43</v>
      </c>
      <c r="B35" s="57">
        <v>6</v>
      </c>
      <c r="C35" s="57">
        <v>6</v>
      </c>
      <c r="D35" s="57">
        <v>1</v>
      </c>
      <c r="E35" s="58">
        <v>6</v>
      </c>
      <c r="F35" s="58">
        <v>-0.5625098260000001</v>
      </c>
      <c r="G35" s="58">
        <v>0.115443805</v>
      </c>
      <c r="H35" s="58">
        <v>0.74399524900000014</v>
      </c>
      <c r="I35" s="58">
        <v>-0.25529812299999999</v>
      </c>
      <c r="J35" s="58">
        <v>-0.49478690500000005</v>
      </c>
      <c r="K35" s="58">
        <v>-0.18147548200000002</v>
      </c>
      <c r="L35" s="58">
        <v>-0.44306932300000001</v>
      </c>
      <c r="M35" s="58">
        <v>-7.3222308300000011E-2</v>
      </c>
      <c r="N35" s="58">
        <v>-0.51871329700000002</v>
      </c>
      <c r="O35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1.6969334866592516</v>
      </c>
      <c r="P35" s="114"/>
      <c r="Q35" s="114"/>
      <c r="R35" s="121" t="str">
        <f>RIGHT(Таблица17[[#This Row],[Классиф ДА2]])</f>
        <v>3</v>
      </c>
      <c r="S35">
        <v>3</v>
      </c>
      <c r="T35" s="147">
        <f>IF(Таблица17[[#This Row],[обуч выборка2]]-Таблица17[[#This Row],[Классиф ДА]]=0,1,0)</f>
        <v>0</v>
      </c>
      <c r="U35" s="117" t="s">
        <v>215</v>
      </c>
      <c r="V35" s="147">
        <f>IF(Таблица17[[#This Row],[обуч выборка2]]-Таблица17[[#This Row],[расстояние Махаланобиса]]=0,1,0)</f>
        <v>0</v>
      </c>
      <c r="W35" s="117">
        <f>MATCH(MIN(Таблица17[[#This Row],[1 класс]:[6 класс]]),Таблица17[[#This Row],[1 класс]:[6 класс]],0)</f>
        <v>3</v>
      </c>
      <c r="X35" s="118">
        <v>12.965616151116489</v>
      </c>
      <c r="Y35" s="118">
        <v>21.167297604964617</v>
      </c>
      <c r="Z35" s="118">
        <v>5.5920715315594318</v>
      </c>
      <c r="AA35" s="118">
        <v>230.38025188078714</v>
      </c>
      <c r="AB35" s="118">
        <v>248.01013035139258</v>
      </c>
      <c r="AC35" s="118">
        <v>120.83586325143963</v>
      </c>
      <c r="AD35" s="212">
        <v>12.965616151116489</v>
      </c>
      <c r="AE35" s="212">
        <v>21.167297604964617</v>
      </c>
      <c r="AF35" s="212">
        <v>5.5920715315594318</v>
      </c>
      <c r="AG35" s="212">
        <v>230.38025188078714</v>
      </c>
      <c r="AH35" s="212">
        <v>248.01013035139258</v>
      </c>
      <c r="AI35" s="212">
        <v>120.83586325143963</v>
      </c>
      <c r="AJ35" s="147">
        <f>IF(Таблица17[[#This Row],[обуч выборка2]]-Таблица17[[#This Row],[Апосториорная вероятность]]=0,1,0)</f>
        <v>0</v>
      </c>
      <c r="AK35" s="117">
        <f>MATCH(MAX(Таблица17[[#This Row],[1 класс.]:[6 класс.]]),Таблица17[[#This Row],[1 класс.]:[6 класс.]],0)</f>
        <v>3</v>
      </c>
      <c r="AL35" s="120">
        <v>4.7684560571171798E-2</v>
      </c>
      <c r="AM35" s="120">
        <v>6.316773037964938E-4</v>
      </c>
      <c r="AN35" s="120">
        <v>0.95168376212503158</v>
      </c>
      <c r="AO35" s="120">
        <v>0</v>
      </c>
      <c r="AP35" s="120">
        <v>0</v>
      </c>
      <c r="AQ35" s="120">
        <v>5.3922808146470523E-26</v>
      </c>
      <c r="AR35" s="216">
        <v>4.7684560571171798E-2</v>
      </c>
      <c r="AS35" s="216">
        <v>6.316773037964938E-4</v>
      </c>
      <c r="AT35" s="216">
        <v>0.95168376212503158</v>
      </c>
      <c r="AU35" s="216">
        <v>0</v>
      </c>
      <c r="AV35" s="216">
        <v>0</v>
      </c>
      <c r="AW35" s="216">
        <v>5.3922808146470523E-26</v>
      </c>
      <c r="AX35" s="121" t="str">
        <f>RIGHT(Таблица17[[#This Row],[Класиф вкл2]])</f>
        <v>3</v>
      </c>
      <c r="AY35" s="221">
        <v>3</v>
      </c>
      <c r="AZ35" s="147">
        <f>IF(Таблица17[[#This Row],[обуч выборка2]]-Таблица17[[#This Row],[Класиф вкл]]=0,1,0)</f>
        <v>0</v>
      </c>
      <c r="BA35" s="117" t="s">
        <v>215</v>
      </c>
      <c r="BB35" s="147">
        <f>IF(Таблица17[[#This Row],[обуч выборка2]]-Таблица17[[#This Row],[Расстояние Махаланобиса вкл
]]=0,1,0)</f>
        <v>0</v>
      </c>
      <c r="BC35" s="117">
        <f>MATCH(MIN(Таблица17[[#This Row],[1 класс вкл]:[6 класс вкл]]),Таблица17[[#This Row],[1 класс вкл]:[6 класс вкл]],0)</f>
        <v>3</v>
      </c>
      <c r="BD35" s="118">
        <v>7.1337868585187438</v>
      </c>
      <c r="BE35" s="118">
        <v>16.879750440874172</v>
      </c>
      <c r="BF35" s="118">
        <v>4.9978583092366353</v>
      </c>
      <c r="BG35" s="120">
        <v>164.47041824083541</v>
      </c>
      <c r="BH35" s="118">
        <v>170.65102241475006</v>
      </c>
      <c r="BI35" s="118">
        <v>99.932320043327579</v>
      </c>
      <c r="BJ35" s="147">
        <f>IF(Таблица17[[#This Row],[обуч выборка2]]-Таблица17[[#This Row],[Апосториорная вероятность вкл]]=0,1,0)</f>
        <v>0</v>
      </c>
      <c r="BK35" s="117">
        <f>MATCH(MAX(Таблица17[[#This Row],[1 класс вкл.]:[6 класс вкл.]]),Таблица17[[#This Row],[1 класс вкл.]:[6 класс вкл.]],0)</f>
        <v>3</v>
      </c>
      <c r="BL35" s="119">
        <v>0.40636436034212992</v>
      </c>
      <c r="BM35" s="119">
        <v>2.4871186056123692E-3</v>
      </c>
      <c r="BN35" s="119">
        <v>0.59114852105225768</v>
      </c>
      <c r="BO35" s="119">
        <v>0</v>
      </c>
      <c r="BP35" s="119">
        <v>0</v>
      </c>
      <c r="BQ35" s="123">
        <v>8.6117501442249722E-22</v>
      </c>
      <c r="BR35" s="121" t="str">
        <f>RIGHT(Таблица17[[#This Row],[Класиф искл2]])</f>
        <v>3</v>
      </c>
      <c r="BS35" s="222">
        <v>3</v>
      </c>
      <c r="BT35" s="147">
        <f>IF(Таблица17[[#This Row],[обуч выборка2]]-Таблица17[[#This Row],[Класиф искл]]=0,1,0)</f>
        <v>0</v>
      </c>
      <c r="BU35" s="117" t="s">
        <v>215</v>
      </c>
      <c r="BV35" s="147">
        <f>IF(Таблица17[[#This Row],[обуч выборка2]]-Таблица17[[#This Row],[Расстояние Махаланобиса искл]]=0,1,0)</f>
        <v>0</v>
      </c>
      <c r="BW35" s="117">
        <f>MATCH(MIN(Таблица17[[#This Row],[1 класс искл]:[6 класс искл]]),Таблица17[[#This Row],[1 класс искл]:[6 класс искл]],0)</f>
        <v>3</v>
      </c>
      <c r="BX35" s="120">
        <v>7.6156569020811586</v>
      </c>
      <c r="BY35" s="120">
        <v>18.920442198145835</v>
      </c>
      <c r="BZ35" s="120">
        <v>4.1831396996850883</v>
      </c>
      <c r="CA35" s="120">
        <v>164.93339825425238</v>
      </c>
      <c r="CB35" s="120">
        <v>196.31606634789097</v>
      </c>
      <c r="CC35" s="120">
        <v>70.955730704859633</v>
      </c>
      <c r="CD35" s="147">
        <f>IF(Таблица17[[#This Row],[обуч выборка2]]-Таблица17[[#This Row],[Апосториорная вероятность искл]]=0,1,0)</f>
        <v>0</v>
      </c>
      <c r="CE35" s="117">
        <f>MATCH(MAX(Таблица17[[#This Row],[1 класс искл.]:[6 класс искл.]]),Таблица17[[#This Row],[1 класс искл.]:[6 класс искл.]],0)</f>
        <v>3</v>
      </c>
      <c r="CF35" s="120">
        <v>0.26422563990631559</v>
      </c>
      <c r="CG35" s="120">
        <v>7.4175760681924547E-4</v>
      </c>
      <c r="CH35" s="120">
        <v>0.73503260248686375</v>
      </c>
      <c r="CI35" s="120">
        <v>0</v>
      </c>
      <c r="CJ35" s="120">
        <v>0</v>
      </c>
      <c r="CK35" s="120">
        <v>1.3962845904670493E-15</v>
      </c>
      <c r="CL35" s="198">
        <v>-0.47224168753713147</v>
      </c>
      <c r="CM35" s="198">
        <v>-0.35353861553225002</v>
      </c>
      <c r="CN35" s="199">
        <v>-0.35785446181753383</v>
      </c>
      <c r="CO35" s="192">
        <v>5</v>
      </c>
      <c r="CP35" s="195">
        <v>4</v>
      </c>
      <c r="CQ35" s="209">
        <v>-0.21897000000000003</v>
      </c>
      <c r="CR35" s="209">
        <v>-0.49012999999999995</v>
      </c>
      <c r="CS35" s="223">
        <v>5</v>
      </c>
      <c r="CT35" s="223">
        <v>1</v>
      </c>
      <c r="CU35" s="209">
        <v>-0.49012999999999995</v>
      </c>
      <c r="CV35" s="209">
        <v>-0.21897000000000003</v>
      </c>
      <c r="CW35" s="209">
        <v>5</v>
      </c>
      <c r="CX35" s="210">
        <v>3</v>
      </c>
      <c r="CY35" s="238" t="s">
        <v>340</v>
      </c>
      <c r="CZ35" s="238">
        <v>5</v>
      </c>
    </row>
    <row r="36" spans="1:104" x14ac:dyDescent="0.3">
      <c r="A36" s="57" t="s">
        <v>44</v>
      </c>
      <c r="B36" s="57">
        <v>5</v>
      </c>
      <c r="C36" s="57">
        <v>6</v>
      </c>
      <c r="D36" s="57">
        <v>1</v>
      </c>
      <c r="E36" s="58">
        <v>6</v>
      </c>
      <c r="F36" s="58">
        <v>-0.99573522600000008</v>
      </c>
      <c r="G36" s="58">
        <v>-0.74642716200000003</v>
      </c>
      <c r="H36" s="58">
        <v>-0.127952963</v>
      </c>
      <c r="I36" s="58">
        <v>0.48232877100000016</v>
      </c>
      <c r="J36" s="58">
        <v>0.63204251000000011</v>
      </c>
      <c r="K36" s="58">
        <v>-0.48757870300000011</v>
      </c>
      <c r="L36" s="58">
        <v>-0.10258623700000001</v>
      </c>
      <c r="M36" s="58">
        <v>-7.3222308300000011E-2</v>
      </c>
      <c r="N36" s="58">
        <v>1.04982679</v>
      </c>
      <c r="O36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3.5528876107720562</v>
      </c>
      <c r="P36" s="114"/>
      <c r="Q36" s="114"/>
      <c r="R36" s="121" t="str">
        <f>RIGHT(Таблица17[[#This Row],[Классиф ДА2]])</f>
        <v>1</v>
      </c>
      <c r="S36">
        <v>1</v>
      </c>
      <c r="T36" s="147">
        <f>IF(Таблица17[[#This Row],[обуч выборка2]]-Таблица17[[#This Row],[Классиф ДА]]=0,1,0)</f>
        <v>0</v>
      </c>
      <c r="U36" s="117" t="s">
        <v>213</v>
      </c>
      <c r="V36" s="147">
        <f>IF(Таблица17[[#This Row],[обуч выборка2]]-Таблица17[[#This Row],[расстояние Махаланобиса]]=0,1,0)</f>
        <v>0</v>
      </c>
      <c r="W36" s="117">
        <f>MATCH(MIN(Таблица17[[#This Row],[1 класс]:[6 класс]]),Таблица17[[#This Row],[1 класс]:[6 класс]],0)</f>
        <v>1</v>
      </c>
      <c r="X36" s="118">
        <v>11.959104363412262</v>
      </c>
      <c r="Y36" s="118">
        <v>58.748545204138544</v>
      </c>
      <c r="Z36" s="118">
        <v>43.488099489951011</v>
      </c>
      <c r="AA36" s="118">
        <v>220.9702067307945</v>
      </c>
      <c r="AB36" s="118">
        <v>364.01785387819069</v>
      </c>
      <c r="AC36" s="118">
        <v>115.62034609628634</v>
      </c>
      <c r="AD36" s="212">
        <v>11.959104363412262</v>
      </c>
      <c r="AE36" s="212">
        <v>58.748545204138544</v>
      </c>
      <c r="AF36" s="212">
        <v>43.488099489951011</v>
      </c>
      <c r="AG36" s="212">
        <v>220.9702067307945</v>
      </c>
      <c r="AH36" s="212">
        <v>364.01785387819069</v>
      </c>
      <c r="AI36" s="212">
        <v>115.62034609628634</v>
      </c>
      <c r="AJ36" s="147">
        <f>IF(Таблица17[[#This Row],[обуч выборка2]]-Таблица17[[#This Row],[Апосториорная вероятность]]=0,1,0)</f>
        <v>0</v>
      </c>
      <c r="AK36" s="117">
        <f>MATCH(MAX(Таблица17[[#This Row],[1 класс.]:[6 класс.]]),Таблица17[[#This Row],[1 класс.]:[6 класс.]],0)</f>
        <v>1</v>
      </c>
      <c r="AL36" s="120">
        <v>0.9999999287355501</v>
      </c>
      <c r="AM36" s="120">
        <v>5.5321248375726559E-11</v>
      </c>
      <c r="AN36" s="120">
        <v>7.1209128669702166E-8</v>
      </c>
      <c r="AO36" s="120">
        <v>0</v>
      </c>
      <c r="AP36" s="120">
        <v>0</v>
      </c>
      <c r="AQ36" s="120">
        <v>9.2761676228824165E-24</v>
      </c>
      <c r="AR36" s="216">
        <v>0.9999999287355501</v>
      </c>
      <c r="AS36" s="216">
        <v>5.5321248375726559E-11</v>
      </c>
      <c r="AT36" s="216">
        <v>7.1209128669702166E-8</v>
      </c>
      <c r="AU36" s="216">
        <v>0</v>
      </c>
      <c r="AV36" s="216">
        <v>0</v>
      </c>
      <c r="AW36" s="216">
        <v>9.2761676228824165E-24</v>
      </c>
      <c r="AX36" s="121" t="str">
        <f>RIGHT(Таблица17[[#This Row],[Класиф вкл2]])</f>
        <v>1</v>
      </c>
      <c r="AY36" s="221">
        <v>1</v>
      </c>
      <c r="AZ36" s="147">
        <f>IF(Таблица17[[#This Row],[обуч выборка2]]-Таблица17[[#This Row],[Класиф вкл]]=0,1,0)</f>
        <v>0</v>
      </c>
      <c r="BA36" s="117" t="s">
        <v>213</v>
      </c>
      <c r="BB36" s="147">
        <f>IF(Таблица17[[#This Row],[обуч выборка2]]-Таблица17[[#This Row],[Расстояние Махаланобиса вкл
]]=0,1,0)</f>
        <v>0</v>
      </c>
      <c r="BC36" s="117">
        <f>MATCH(MIN(Таблица17[[#This Row],[1 класс вкл]:[6 класс вкл]]),Таблица17[[#This Row],[1 класс вкл]:[6 класс вкл]],0)</f>
        <v>1</v>
      </c>
      <c r="BD36" s="118">
        <v>9.8247123884193996</v>
      </c>
      <c r="BE36" s="118">
        <v>29.034779303543935</v>
      </c>
      <c r="BF36" s="118">
        <v>25.668853983443192</v>
      </c>
      <c r="BG36" s="120">
        <v>143.70818330875827</v>
      </c>
      <c r="BH36" s="118">
        <v>218.02308644832365</v>
      </c>
      <c r="BI36" s="118">
        <v>105.15599294616536</v>
      </c>
      <c r="BJ36" s="147">
        <f>IF(Таблица17[[#This Row],[обуч выборка2]]-Таблица17[[#This Row],[Апосториорная вероятность вкл]]=0,1,0)</f>
        <v>0</v>
      </c>
      <c r="BK36" s="117">
        <f>MATCH(MAX(Таблица17[[#This Row],[1 класс вкл.]:[6 класс вкл.]]),Таблица17[[#This Row],[1 класс вкл.]:[6 класс вкл.]],0)</f>
        <v>1</v>
      </c>
      <c r="BL36" s="119">
        <v>0.999764819090176</v>
      </c>
      <c r="BM36" s="119">
        <v>5.389826782217096E-5</v>
      </c>
      <c r="BN36" s="119">
        <v>1.812826420018662E-4</v>
      </c>
      <c r="BO36" s="119">
        <v>1.6923941930214665E-30</v>
      </c>
      <c r="BP36" s="119">
        <v>0</v>
      </c>
      <c r="BQ36" s="123">
        <v>5.9716528841481206E-22</v>
      </c>
      <c r="BR36" s="121" t="str">
        <f>RIGHT(Таблица17[[#This Row],[Класиф искл2]])</f>
        <v>1</v>
      </c>
      <c r="BS36" s="222">
        <v>1</v>
      </c>
      <c r="BT36" s="147">
        <f>IF(Таблица17[[#This Row],[обуч выборка2]]-Таблица17[[#This Row],[Класиф искл]]=0,1,0)</f>
        <v>0</v>
      </c>
      <c r="BU36" s="117" t="s">
        <v>213</v>
      </c>
      <c r="BV36" s="147">
        <f>IF(Таблица17[[#This Row],[обуч выборка2]]-Таблица17[[#This Row],[Расстояние Махаланобиса искл]]=0,1,0)</f>
        <v>0</v>
      </c>
      <c r="BW36" s="117">
        <f>MATCH(MIN(Таблица17[[#This Row],[1 класс искл]:[6 класс искл]]),Таблица17[[#This Row],[1 класс искл]:[6 класс искл]],0)</f>
        <v>1</v>
      </c>
      <c r="BX36" s="120">
        <v>6.0740026482323639</v>
      </c>
      <c r="BY36" s="120">
        <v>41.677504111777594</v>
      </c>
      <c r="BZ36" s="120">
        <v>28.631248109298138</v>
      </c>
      <c r="CA36" s="120">
        <v>170.41726319912965</v>
      </c>
      <c r="CB36" s="120">
        <v>292.43261259784697</v>
      </c>
      <c r="CC36" s="120">
        <v>51.065651680551234</v>
      </c>
      <c r="CD36" s="147">
        <f>IF(Таблица17[[#This Row],[обуч выборка2]]-Таблица17[[#This Row],[Апосториорная вероятность искл]]=0,1,0)</f>
        <v>0</v>
      </c>
      <c r="CE36" s="117">
        <f>MATCH(MAX(Таблица17[[#This Row],[1 класс искл.]:[6 класс искл.]]),Таблица17[[#This Row],[1 класс искл.]:[6 класс искл.]],0)</f>
        <v>1</v>
      </c>
      <c r="CF36" s="120">
        <v>0.99999366499814835</v>
      </c>
      <c r="CG36" s="120">
        <v>1.4855426492029873E-8</v>
      </c>
      <c r="CH36" s="120">
        <v>6.3200954560464516E-6</v>
      </c>
      <c r="CI36" s="120">
        <v>0</v>
      </c>
      <c r="CJ36" s="120">
        <v>0</v>
      </c>
      <c r="CK36" s="120">
        <v>5.0968992642407436E-11</v>
      </c>
      <c r="CL36" s="198">
        <v>0.59186605717887009</v>
      </c>
      <c r="CM36" s="198">
        <v>-0.27484254626323917</v>
      </c>
      <c r="CN36" s="199">
        <v>-0.15159745604148073</v>
      </c>
      <c r="CO36" s="192">
        <v>4</v>
      </c>
      <c r="CP36" s="195">
        <v>5</v>
      </c>
      <c r="CQ36" s="209">
        <v>0.41580000000000006</v>
      </c>
      <c r="CR36" s="209">
        <v>0.25735000000000002</v>
      </c>
      <c r="CS36" s="223">
        <v>4</v>
      </c>
      <c r="CT36" s="223">
        <v>6</v>
      </c>
      <c r="CU36" s="209">
        <v>0.25735000000000002</v>
      </c>
      <c r="CV36" s="209">
        <v>0.41580000000000006</v>
      </c>
      <c r="CW36" s="209">
        <v>6</v>
      </c>
      <c r="CX36" s="210">
        <v>1</v>
      </c>
      <c r="CY36" s="238" t="s">
        <v>341</v>
      </c>
      <c r="CZ36" s="238">
        <v>5</v>
      </c>
    </row>
    <row r="37" spans="1:104" x14ac:dyDescent="0.3">
      <c r="A37" s="57" t="s">
        <v>45</v>
      </c>
      <c r="B37" s="57">
        <v>5</v>
      </c>
      <c r="C37" s="57">
        <v>6</v>
      </c>
      <c r="D37" s="57">
        <v>1</v>
      </c>
      <c r="E37" s="58">
        <v>6</v>
      </c>
      <c r="F37" s="58">
        <v>-1.6146286500000002</v>
      </c>
      <c r="G37" s="58">
        <v>2.1693350900000002E-3</v>
      </c>
      <c r="H37" s="58">
        <v>-0.70777802400000012</v>
      </c>
      <c r="I37" s="58">
        <v>-0.136713524</v>
      </c>
      <c r="J37" s="58">
        <v>0.20729378800000003</v>
      </c>
      <c r="K37" s="58">
        <v>-0.16106860000000001</v>
      </c>
      <c r="L37" s="58">
        <v>-0.38535324100000007</v>
      </c>
      <c r="M37" s="58">
        <v>-9.4803620200000008E-2</v>
      </c>
      <c r="N37" s="58">
        <v>-0.27935881000000007</v>
      </c>
      <c r="O37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3.4311107031087715</v>
      </c>
      <c r="P37" s="114" t="s">
        <v>213</v>
      </c>
      <c r="Q37" s="114" t="str">
        <f>RIGHT(P37)</f>
        <v>1</v>
      </c>
      <c r="R37" s="121" t="str">
        <f>RIGHT(Таблица17[[#This Row],[Классиф ДА2]])</f>
        <v>1</v>
      </c>
      <c r="S37">
        <v>1</v>
      </c>
      <c r="T37" s="147">
        <f>IF(Таблица17[[#This Row],[обуч выборка2]]-Таблица17[[#This Row],[Классиф ДА]]=0,1,0)</f>
        <v>1</v>
      </c>
      <c r="U37" s="117" t="s">
        <v>213</v>
      </c>
      <c r="V37" s="147">
        <f>IF(Таблица17[[#This Row],[обуч выборка2]]-Таблица17[[#This Row],[расстояние Махаланобиса]]=0,1,0)</f>
        <v>1</v>
      </c>
      <c r="W37" s="117">
        <f>MATCH(MIN(Таблица17[[#This Row],[1 класс]:[6 класс]]),Таблица17[[#This Row],[1 класс]:[6 класс]],0)</f>
        <v>1</v>
      </c>
      <c r="X37" s="118">
        <v>9.4888686087048697</v>
      </c>
      <c r="Y37" s="118">
        <v>59.614737436154726</v>
      </c>
      <c r="Z37" s="118">
        <v>53.272782026885885</v>
      </c>
      <c r="AA37" s="118">
        <v>227.2562217240733</v>
      </c>
      <c r="AB37" s="118">
        <v>329.55137817664956</v>
      </c>
      <c r="AC37" s="118">
        <v>127.4671451195059</v>
      </c>
      <c r="AD37" s="212">
        <v>9.4888686087048697</v>
      </c>
      <c r="AE37" s="212">
        <v>59.614737436154726</v>
      </c>
      <c r="AF37" s="212">
        <v>53.272782026885885</v>
      </c>
      <c r="AG37" s="212">
        <v>227.2562217240733</v>
      </c>
      <c r="AH37" s="212">
        <v>329.55137817664956</v>
      </c>
      <c r="AI37" s="212">
        <v>127.4671451195059</v>
      </c>
      <c r="AJ37" s="147">
        <f>IF(Таблица17[[#This Row],[обуч выборка2]]-Таблица17[[#This Row],[Апосториорная вероятность]]=0,1,0)</f>
        <v>1</v>
      </c>
      <c r="AK37" s="117">
        <f>MATCH(MAX(Таблица17[[#This Row],[1 класс.]:[6 класс.]]),Таблица17[[#This Row],[1 класс.]:[6 класс.]],0)</f>
        <v>1</v>
      </c>
      <c r="AL37" s="120">
        <v>0.99999999983418064</v>
      </c>
      <c r="AM37" s="120">
        <v>1.043267962040279E-11</v>
      </c>
      <c r="AN37" s="120">
        <v>1.5538675864714237E-10</v>
      </c>
      <c r="AO37" s="120">
        <v>0</v>
      </c>
      <c r="AP37" s="120">
        <v>0</v>
      </c>
      <c r="AQ37" s="120">
        <v>7.2187835183575068E-27</v>
      </c>
      <c r="AR37" s="216">
        <v>0.99999999983418064</v>
      </c>
      <c r="AS37" s="216">
        <v>1.043267962040279E-11</v>
      </c>
      <c r="AT37" s="216">
        <v>1.5538675864714237E-10</v>
      </c>
      <c r="AU37" s="216">
        <v>0</v>
      </c>
      <c r="AV37" s="216">
        <v>0</v>
      </c>
      <c r="AW37" s="216">
        <v>7.2187835183575068E-27</v>
      </c>
      <c r="AX37" s="121" t="str">
        <f>RIGHT(Таблица17[[#This Row],[Класиф вкл2]])</f>
        <v>1</v>
      </c>
      <c r="AY37" s="221">
        <v>1</v>
      </c>
      <c r="AZ37" s="147">
        <f>IF(Таблица17[[#This Row],[обуч выборка2]]-Таблица17[[#This Row],[Класиф вкл]]=0,1,0)</f>
        <v>1</v>
      </c>
      <c r="BA37" s="117" t="s">
        <v>213</v>
      </c>
      <c r="BB37" s="147">
        <f>IF(Таблица17[[#This Row],[обуч выборка2]]-Таблица17[[#This Row],[Расстояние Махаланобиса вкл
]]=0,1,0)</f>
        <v>1</v>
      </c>
      <c r="BC37" s="117">
        <f>MATCH(MIN(Таблица17[[#This Row],[1 класс вкл]:[6 класс вкл]]),Таблица17[[#This Row],[1 класс вкл]:[6 класс вкл]],0)</f>
        <v>1</v>
      </c>
      <c r="BD37" s="118">
        <v>8.955347051626017</v>
      </c>
      <c r="BE37" s="118">
        <v>39.264529594953203</v>
      </c>
      <c r="BF37" s="118">
        <v>41.689520241410079</v>
      </c>
      <c r="BG37" s="120">
        <v>156.36747193869317</v>
      </c>
      <c r="BH37" s="118">
        <v>206.02231022506371</v>
      </c>
      <c r="BI37" s="118">
        <v>119.06404942533052</v>
      </c>
      <c r="BJ37" s="147">
        <f>IF(Таблица17[[#This Row],[обуч выборка2]]-Таблица17[[#This Row],[Апосториорная вероятность вкл]]=0,1,0)</f>
        <v>1</v>
      </c>
      <c r="BK37" s="117">
        <f>MATCH(MAX(Таблица17[[#This Row],[1 класс вкл.]:[6 класс вкл.]]),Таблица17[[#This Row],[1 класс вкл.]:[6 класс вкл.]],0)</f>
        <v>1</v>
      </c>
      <c r="BL37" s="119">
        <v>0.99999975135151786</v>
      </c>
      <c r="BM37" s="119">
        <v>2.0966914017925835E-7</v>
      </c>
      <c r="BN37" s="119">
        <v>3.8979341975072658E-8</v>
      </c>
      <c r="BO37" s="119">
        <v>0</v>
      </c>
      <c r="BP37" s="119">
        <v>0</v>
      </c>
      <c r="BQ37" s="123">
        <v>3.6924975984026355E-25</v>
      </c>
      <c r="BR37" s="121" t="str">
        <f>RIGHT(Таблица17[[#This Row],[Класиф искл2]])</f>
        <v>1</v>
      </c>
      <c r="BS37" s="222">
        <v>1</v>
      </c>
      <c r="BT37" s="147">
        <f>IF(Таблица17[[#This Row],[обуч выборка2]]-Таблица17[[#This Row],[Класиф искл]]=0,1,0)</f>
        <v>1</v>
      </c>
      <c r="BU37" s="117" t="s">
        <v>213</v>
      </c>
      <c r="BV37" s="147">
        <f>IF(Таблица17[[#This Row],[обуч выборка2]]-Таблица17[[#This Row],[Расстояние Махаланобиса искл]]=0,1,0)</f>
        <v>1</v>
      </c>
      <c r="BW37" s="117">
        <f>MATCH(MIN(Таблица17[[#This Row],[1 класс искл]:[6 класс искл]]),Таблица17[[#This Row],[1 класс искл]:[6 класс искл]],0)</f>
        <v>1</v>
      </c>
      <c r="BX37" s="120">
        <v>6.9296037769089978</v>
      </c>
      <c r="BY37" s="120">
        <v>46.800635244161235</v>
      </c>
      <c r="BZ37" s="120">
        <v>42.873469178934798</v>
      </c>
      <c r="CA37" s="120">
        <v>171.19582817128384</v>
      </c>
      <c r="CB37" s="120">
        <v>258.17416121945934</v>
      </c>
      <c r="CC37" s="120">
        <v>74.699623627378912</v>
      </c>
      <c r="CD37" s="147">
        <f>IF(Таблица17[[#This Row],[обуч выборка2]]-Таблица17[[#This Row],[Апосториорная вероятность искл]]=0,1,0)</f>
        <v>1</v>
      </c>
      <c r="CE37" s="117">
        <f>MATCH(MAX(Таблица17[[#This Row],[1 класс искл.]:[6 класс искл.]]),Таблица17[[#This Row],[1 класс искл.]:[6 класс искл.]],0)</f>
        <v>1</v>
      </c>
      <c r="CF37" s="120">
        <v>0.99999999040949417</v>
      </c>
      <c r="CG37" s="120">
        <v>1.7587556508185094E-9</v>
      </c>
      <c r="CH37" s="120">
        <v>7.8317496976253744E-9</v>
      </c>
      <c r="CI37" s="120">
        <v>0</v>
      </c>
      <c r="CJ37" s="120">
        <v>0</v>
      </c>
      <c r="CK37" s="120">
        <v>5.7683077239175991E-16</v>
      </c>
      <c r="CL37" s="198">
        <v>0.11784038726282435</v>
      </c>
      <c r="CM37" s="198">
        <v>-0.19242814979095843</v>
      </c>
      <c r="CN37" s="199">
        <v>-3.2730198889452888E-2</v>
      </c>
      <c r="CO37" s="192">
        <v>5</v>
      </c>
      <c r="CP37" s="195">
        <v>5</v>
      </c>
      <c r="CQ37" s="209">
        <v>-3.7600000000000001E-2</v>
      </c>
      <c r="CR37" s="209">
        <v>-6.7860000000000004E-2</v>
      </c>
      <c r="CS37" s="223">
        <v>5</v>
      </c>
      <c r="CT37" s="223">
        <v>6</v>
      </c>
      <c r="CU37" s="209">
        <v>-6.7860000000000004E-2</v>
      </c>
      <c r="CV37" s="209">
        <v>-3.7600000000000001E-2</v>
      </c>
      <c r="CW37" s="209">
        <v>6</v>
      </c>
      <c r="CX37" s="210">
        <v>1</v>
      </c>
      <c r="CY37" s="238" t="s">
        <v>343</v>
      </c>
      <c r="CZ37" s="238">
        <v>5</v>
      </c>
    </row>
    <row r="38" spans="1:104" x14ac:dyDescent="0.3">
      <c r="A38" s="57" t="s">
        <v>46</v>
      </c>
      <c r="B38" s="57">
        <v>5</v>
      </c>
      <c r="C38" s="57">
        <v>6</v>
      </c>
      <c r="D38" s="57">
        <v>1</v>
      </c>
      <c r="E38" s="58">
        <v>6</v>
      </c>
      <c r="F38" s="58">
        <v>-0.31945349800000006</v>
      </c>
      <c r="G38" s="58">
        <v>0.43064233000000002</v>
      </c>
      <c r="H38" s="58">
        <v>0.17363694300000002</v>
      </c>
      <c r="I38" s="58">
        <v>0.10189661100000001</v>
      </c>
      <c r="J38" s="58">
        <v>-5.5229193900000001E-2</v>
      </c>
      <c r="K38" s="58">
        <v>0.3899171990000001</v>
      </c>
      <c r="L38" s="58">
        <v>-0.507884483</v>
      </c>
      <c r="M38" s="58">
        <v>9.9428187000000001E-2</v>
      </c>
      <c r="N38" s="58">
        <v>0.12495620200000002</v>
      </c>
      <c r="O38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0.76656841167199696</v>
      </c>
      <c r="P38" s="114" t="s">
        <v>213</v>
      </c>
      <c r="Q38" s="114" t="str">
        <f>RIGHT(P38)</f>
        <v>1</v>
      </c>
      <c r="R38" s="121" t="str">
        <f>RIGHT(Таблица17[[#This Row],[Классиф ДА2]])</f>
        <v>1</v>
      </c>
      <c r="S38">
        <v>1</v>
      </c>
      <c r="T38" s="147">
        <f>IF(Таблица17[[#This Row],[обуч выборка2]]-Таблица17[[#This Row],[Классиф ДА]]=0,1,0)</f>
        <v>1</v>
      </c>
      <c r="U38" s="117" t="s">
        <v>213</v>
      </c>
      <c r="V38" s="147">
        <f>IF(Таблица17[[#This Row],[обуч выборка2]]-Таблица17[[#This Row],[расстояние Махаланобиса]]=0,1,0)</f>
        <v>1</v>
      </c>
      <c r="W38" s="117">
        <f>MATCH(MIN(Таблица17[[#This Row],[1 класс]:[6 класс]]),Таблица17[[#This Row],[1 класс]:[6 класс]],0)</f>
        <v>1</v>
      </c>
      <c r="X38" s="118">
        <v>12.480154883552872</v>
      </c>
      <c r="Y38" s="118">
        <v>44.628065080899084</v>
      </c>
      <c r="Z38" s="118">
        <v>34.111209304507057</v>
      </c>
      <c r="AA38" s="118">
        <v>155.07455024368124</v>
      </c>
      <c r="AB38" s="118">
        <v>322.29169176501648</v>
      </c>
      <c r="AC38" s="118">
        <v>122.36802042376102</v>
      </c>
      <c r="AD38" s="212">
        <v>12.480154883552872</v>
      </c>
      <c r="AE38" s="212">
        <v>44.628065080899084</v>
      </c>
      <c r="AF38" s="212">
        <v>34.111209304507057</v>
      </c>
      <c r="AG38" s="212">
        <v>155.07455024368124</v>
      </c>
      <c r="AH38" s="212">
        <v>322.29169176501648</v>
      </c>
      <c r="AI38" s="212">
        <v>122.36802042376102</v>
      </c>
      <c r="AJ38" s="147">
        <f>IF(Таблица17[[#This Row],[обуч выборка2]]-Таблица17[[#This Row],[Апосториорная вероятность]]=0,1,0)</f>
        <v>1</v>
      </c>
      <c r="AK38" s="117">
        <f>MATCH(MAX(Таблица17[[#This Row],[1 класс.]:[6 класс.]]),Таблица17[[#This Row],[1 класс.]:[6 класс.]],0)</f>
        <v>1</v>
      </c>
      <c r="AL38" s="120">
        <v>0.99998987389097438</v>
      </c>
      <c r="AM38" s="120">
        <v>8.3609492542085591E-8</v>
      </c>
      <c r="AN38" s="120">
        <v>1.0042499533180831E-5</v>
      </c>
      <c r="AO38" s="120">
        <v>2.1729316729940704E-32</v>
      </c>
      <c r="AP38" s="120">
        <v>0</v>
      </c>
      <c r="AQ38" s="120">
        <v>4.1235383774675751E-25</v>
      </c>
      <c r="AR38" s="216">
        <v>0.99998987389097438</v>
      </c>
      <c r="AS38" s="216">
        <v>8.3609492542085591E-8</v>
      </c>
      <c r="AT38" s="216">
        <v>1.0042499533180831E-5</v>
      </c>
      <c r="AU38" s="216">
        <v>2.1729316729940704E-32</v>
      </c>
      <c r="AV38" s="216">
        <v>0</v>
      </c>
      <c r="AW38" s="216">
        <v>4.1235383774675751E-25</v>
      </c>
      <c r="AX38" s="121" t="str">
        <f>RIGHT(Таблица17[[#This Row],[Класиф вкл2]])</f>
        <v>1</v>
      </c>
      <c r="AY38" s="221">
        <v>1</v>
      </c>
      <c r="AZ38" s="147">
        <f>IF(Таблица17[[#This Row],[обуч выборка2]]-Таблица17[[#This Row],[Класиф вкл]]=0,1,0)</f>
        <v>1</v>
      </c>
      <c r="BA38" s="117" t="s">
        <v>213</v>
      </c>
      <c r="BB38" s="147">
        <f>IF(Таблица17[[#This Row],[обуч выборка2]]-Таблица17[[#This Row],[Расстояние Махаланобиса вкл
]]=0,1,0)</f>
        <v>1</v>
      </c>
      <c r="BC38" s="117">
        <f>MATCH(MIN(Таблица17[[#This Row],[1 класс вкл]:[6 класс вкл]]),Таблица17[[#This Row],[1 класс вкл]:[6 класс вкл]],0)</f>
        <v>1</v>
      </c>
      <c r="BD38" s="118">
        <v>8.1069570140007947</v>
      </c>
      <c r="BE38" s="118">
        <v>30.579388214336984</v>
      </c>
      <c r="BF38" s="118">
        <v>21.960071915100322</v>
      </c>
      <c r="BG38" s="120">
        <v>119.19291719011414</v>
      </c>
      <c r="BH38" s="118">
        <v>232.4901766558321</v>
      </c>
      <c r="BI38" s="118">
        <v>97.028806185905623</v>
      </c>
      <c r="BJ38" s="147">
        <f>IF(Таблица17[[#This Row],[обуч выборка2]]-Таблица17[[#This Row],[Апосториорная вероятность вкл]]=0,1,0)</f>
        <v>1</v>
      </c>
      <c r="BK38" s="117">
        <f>MATCH(MAX(Таблица17[[#This Row],[1 класс вкл.]:[6 класс вкл.]]),Таблица17[[#This Row],[1 класс вкл.]:[6 класс вкл.]],0)</f>
        <v>1</v>
      </c>
      <c r="BL38" s="119">
        <v>0.99949901409984698</v>
      </c>
      <c r="BM38" s="119">
        <v>1.0544983983377362E-5</v>
      </c>
      <c r="BN38" s="119">
        <v>4.9044091616968143E-4</v>
      </c>
      <c r="BO38" s="119">
        <v>1.5093939504217806E-25</v>
      </c>
      <c r="BP38" s="119">
        <v>0</v>
      </c>
      <c r="BQ38" s="123">
        <v>1.471531004060047E-20</v>
      </c>
      <c r="BR38" s="121" t="str">
        <f>RIGHT(Таблица17[[#This Row],[Класиф искл2]])</f>
        <v>1</v>
      </c>
      <c r="BS38" s="222">
        <v>1</v>
      </c>
      <c r="BT38" s="147">
        <f>IF(Таблица17[[#This Row],[обуч выборка2]]-Таблица17[[#This Row],[Класиф искл]]=0,1,0)</f>
        <v>1</v>
      </c>
      <c r="BU38" s="117" t="s">
        <v>213</v>
      </c>
      <c r="BV38" s="147">
        <f>IF(Таблица17[[#This Row],[обуч выборка2]]-Таблица17[[#This Row],[Расстояние Махаланобиса искл]]=0,1,0)</f>
        <v>1</v>
      </c>
      <c r="BW38" s="117">
        <f>MATCH(MIN(Таблица17[[#This Row],[1 класс искл]:[6 класс искл]]),Таблица17[[#This Row],[1 класс искл]:[6 класс искл]],0)</f>
        <v>1</v>
      </c>
      <c r="BX38" s="120">
        <v>10.702060547188294</v>
      </c>
      <c r="BY38" s="120">
        <v>29.401921474848734</v>
      </c>
      <c r="BZ38" s="120">
        <v>20.947021796192324</v>
      </c>
      <c r="CA38" s="120">
        <v>112.13283932421798</v>
      </c>
      <c r="CB38" s="120">
        <v>242.49728472633811</v>
      </c>
      <c r="CC38" s="120">
        <v>72.724303184768871</v>
      </c>
      <c r="CD38" s="147">
        <f>IF(Таблица17[[#This Row],[обуч выборка2]]-Таблица17[[#This Row],[Апосториорная вероятность искл]]=0,1,0)</f>
        <v>1</v>
      </c>
      <c r="CE38" s="117">
        <f>MATCH(MAX(Таблица17[[#This Row],[1 класс искл.]:[6 класс искл.]]),Таблица17[[#This Row],[1 класс искл.]:[6 класс искл.]],0)</f>
        <v>1</v>
      </c>
      <c r="CF38" s="120">
        <v>0.99695908966901603</v>
      </c>
      <c r="CG38" s="120">
        <v>6.9365595292546388E-5</v>
      </c>
      <c r="CH38" s="120">
        <v>2.971544735681265E-3</v>
      </c>
      <c r="CI38" s="120">
        <v>1.8805876252409883E-23</v>
      </c>
      <c r="CJ38" s="120">
        <v>0</v>
      </c>
      <c r="CK38" s="120">
        <v>1.018215551108582E-14</v>
      </c>
      <c r="CL38" s="198">
        <v>-4.8555712137070377E-2</v>
      </c>
      <c r="CM38" s="198">
        <v>0.21406479878870677</v>
      </c>
      <c r="CN38" s="199">
        <v>-0.41216309347056729</v>
      </c>
      <c r="CO38" s="192">
        <v>4</v>
      </c>
      <c r="CP38" s="195">
        <v>3</v>
      </c>
      <c r="CQ38" s="209">
        <v>-0.13754000000000002</v>
      </c>
      <c r="CR38" s="209">
        <v>0.10106000000000001</v>
      </c>
      <c r="CS38" s="223">
        <v>4</v>
      </c>
      <c r="CT38" s="223">
        <v>2</v>
      </c>
      <c r="CU38" s="209">
        <v>0.10106000000000001</v>
      </c>
      <c r="CV38" s="209">
        <v>-0.13754000000000002</v>
      </c>
      <c r="CW38" s="209">
        <v>6</v>
      </c>
      <c r="CX38" s="210">
        <v>1</v>
      </c>
      <c r="CY38" s="238" t="s">
        <v>341</v>
      </c>
      <c r="CZ38" s="238">
        <v>5</v>
      </c>
    </row>
    <row r="39" spans="1:104" x14ac:dyDescent="0.3">
      <c r="A39" s="57" t="s">
        <v>47</v>
      </c>
      <c r="B39" s="57">
        <v>2</v>
      </c>
      <c r="C39" s="57">
        <v>6</v>
      </c>
      <c r="D39" s="57">
        <v>2</v>
      </c>
      <c r="E39" s="58">
        <v>6</v>
      </c>
      <c r="F39" s="58">
        <v>0.3714566210000001</v>
      </c>
      <c r="G39" s="58">
        <v>0.25334316000000001</v>
      </c>
      <c r="H39" s="58">
        <v>-0.24591907000000005</v>
      </c>
      <c r="I39" s="58">
        <v>-0.31639823200000006</v>
      </c>
      <c r="J39" s="58">
        <v>-0.47324655799999998</v>
      </c>
      <c r="K39" s="58">
        <v>-0.73246128099999996</v>
      </c>
      <c r="L39" s="58">
        <v>-0.6530271230000001</v>
      </c>
      <c r="M39" s="58">
        <v>-0.245872804</v>
      </c>
      <c r="N39" s="58">
        <v>-0.61766939600000015</v>
      </c>
      <c r="O39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1.9916219830033439</v>
      </c>
      <c r="P39" s="114"/>
      <c r="Q39" s="114"/>
      <c r="R39" s="121" t="str">
        <f>RIGHT(Таблица17[[#This Row],[Классиф ДА2]])</f>
        <v>2</v>
      </c>
      <c r="S39">
        <v>2</v>
      </c>
      <c r="T39" s="147">
        <f>IF(Таблица17[[#This Row],[обуч выборка2]]-Таблица17[[#This Row],[Классиф ДА]]=0,1,0)</f>
        <v>0</v>
      </c>
      <c r="U39" s="117" t="s">
        <v>214</v>
      </c>
      <c r="V39" s="147">
        <f>IF(Таблица17[[#This Row],[обуч выборка2]]-Таблица17[[#This Row],[расстояние Махаланобиса]]=0,1,0)</f>
        <v>0</v>
      </c>
      <c r="W39" s="117">
        <f>MATCH(MIN(Таблица17[[#This Row],[1 класс]:[6 класс]]),Таблица17[[#This Row],[1 класс]:[6 класс]],0)</f>
        <v>2</v>
      </c>
      <c r="X39" s="118">
        <v>31.899117268308196</v>
      </c>
      <c r="Y39" s="118">
        <v>7.7474336575475791</v>
      </c>
      <c r="Z39" s="118">
        <v>12.728655631921814</v>
      </c>
      <c r="AA39" s="118">
        <v>314.73446862116697</v>
      </c>
      <c r="AB39" s="118">
        <v>199.83320617031228</v>
      </c>
      <c r="AC39" s="118">
        <v>141.10817324566415</v>
      </c>
      <c r="AD39" s="212">
        <v>31.899117268308196</v>
      </c>
      <c r="AE39" s="212">
        <v>7.7474336575475791</v>
      </c>
      <c r="AF39" s="212">
        <v>12.728655631921814</v>
      </c>
      <c r="AG39" s="212">
        <v>314.73446862116697</v>
      </c>
      <c r="AH39" s="212">
        <v>199.83320617031228</v>
      </c>
      <c r="AI39" s="212">
        <v>141.10817324566415</v>
      </c>
      <c r="AJ39" s="147">
        <f>IF(Таблица17[[#This Row],[обуч выборка2]]-Таблица17[[#This Row],[Апосториорная вероятность]]=0,1,0)</f>
        <v>0</v>
      </c>
      <c r="AK39" s="117">
        <f>MATCH(MAX(Таблица17[[#This Row],[1 класс.]:[6 класс.]]),Таблица17[[#This Row],[1 класс.]:[6 класс.]],0)</f>
        <v>2</v>
      </c>
      <c r="AL39" s="120">
        <v>6.7687392152688598E-6</v>
      </c>
      <c r="AM39" s="120">
        <v>0.95075633841411245</v>
      </c>
      <c r="AN39" s="120">
        <v>4.9236892846672396E-2</v>
      </c>
      <c r="AO39" s="120">
        <v>0</v>
      </c>
      <c r="AP39" s="120">
        <v>0</v>
      </c>
      <c r="AQ39" s="120">
        <v>3.919077432717749E-30</v>
      </c>
      <c r="AR39" s="216">
        <v>6.7687392152688598E-6</v>
      </c>
      <c r="AS39" s="216">
        <v>0.95075633841411245</v>
      </c>
      <c r="AT39" s="216">
        <v>4.9236892846672396E-2</v>
      </c>
      <c r="AU39" s="216">
        <v>0</v>
      </c>
      <c r="AV39" s="216">
        <v>0</v>
      </c>
      <c r="AW39" s="216">
        <v>3.919077432717749E-30</v>
      </c>
      <c r="AX39" s="121" t="str">
        <f>RIGHT(Таблица17[[#This Row],[Класиф вкл2]])</f>
        <v>2</v>
      </c>
      <c r="AY39" s="221">
        <v>2</v>
      </c>
      <c r="AZ39" s="147">
        <f>IF(Таблица17[[#This Row],[обуч выборка2]]-Таблица17[[#This Row],[Класиф вкл]]=0,1,0)</f>
        <v>0</v>
      </c>
      <c r="BA39" s="117" t="s">
        <v>214</v>
      </c>
      <c r="BB39" s="147">
        <f>IF(Таблица17[[#This Row],[обуч выборка2]]-Таблица17[[#This Row],[Расстояние Махаланобиса вкл
]]=0,1,0)</f>
        <v>0</v>
      </c>
      <c r="BC39" s="117">
        <f>MATCH(MIN(Таблица17[[#This Row],[1 класс вкл]:[6 класс вкл]]),Таблица17[[#This Row],[1 класс вкл]:[6 класс вкл]],0)</f>
        <v>2</v>
      </c>
      <c r="BD39" s="118">
        <v>14.211795378343561</v>
      </c>
      <c r="BE39" s="118">
        <v>6.6146044021661652</v>
      </c>
      <c r="BF39" s="118">
        <v>10.890365062778827</v>
      </c>
      <c r="BG39" s="120">
        <v>233.67493308221114</v>
      </c>
      <c r="BH39" s="118">
        <v>146.11559212265325</v>
      </c>
      <c r="BI39" s="118">
        <v>112.79412208521708</v>
      </c>
      <c r="BJ39" s="147">
        <f>IF(Таблица17[[#This Row],[обуч выборка2]]-Таблица17[[#This Row],[Апосториорная вероятность вкл]]=0,1,0)</f>
        <v>0</v>
      </c>
      <c r="BK39" s="117">
        <f>MATCH(MAX(Таблица17[[#This Row],[1 класс вкл.]:[6 класс вкл.]]),Таблица17[[#This Row],[1 класс вкл.]:[6 класс вкл.]],0)</f>
        <v>2</v>
      </c>
      <c r="BL39" s="119">
        <v>2.5417938981874715E-2</v>
      </c>
      <c r="BM39" s="119">
        <v>0.90769382140852806</v>
      </c>
      <c r="BN39" s="119">
        <v>6.6888239609597194E-2</v>
      </c>
      <c r="BO39" s="119">
        <v>0</v>
      </c>
      <c r="BP39" s="119">
        <v>1.1577766710876208E-31</v>
      </c>
      <c r="BQ39" s="119">
        <v>2.9880051145983257E-24</v>
      </c>
      <c r="BR39" s="121" t="str">
        <f>RIGHT(Таблица17[[#This Row],[Класиф искл2]])</f>
        <v>2</v>
      </c>
      <c r="BS39" s="222">
        <v>2</v>
      </c>
      <c r="BT39" s="147">
        <f>IF(Таблица17[[#This Row],[обуч выборка2]]-Таблица17[[#This Row],[Класиф искл]]=0,1,0)</f>
        <v>0</v>
      </c>
      <c r="BU39" s="117" t="s">
        <v>214</v>
      </c>
      <c r="BV39" s="147">
        <f>IF(Таблица17[[#This Row],[обуч выборка2]]-Таблица17[[#This Row],[Расстояние Махаланобиса искл]]=0,1,0)</f>
        <v>0</v>
      </c>
      <c r="BW39" s="117">
        <f>MATCH(MIN(Таблица17[[#This Row],[1 класс искл]:[6 класс искл]]),Таблица17[[#This Row],[1 класс искл]:[6 класс искл]],0)</f>
        <v>2</v>
      </c>
      <c r="BX39" s="120">
        <v>17.875478136810756</v>
      </c>
      <c r="BY39" s="120">
        <v>3.9490814821319615</v>
      </c>
      <c r="BZ39" s="120">
        <v>9.629679353118437</v>
      </c>
      <c r="CA39" s="120">
        <v>222.57981022885173</v>
      </c>
      <c r="CB39" s="120">
        <v>148.20465423971024</v>
      </c>
      <c r="CC39" s="120">
        <v>92.596995225565436</v>
      </c>
      <c r="CD39" s="147">
        <f>IF(Таблица17[[#This Row],[обуч выборка2]]-Таблица17[[#This Row],[Апосториорная вероятность искл]]=0,1,0)</f>
        <v>0</v>
      </c>
      <c r="CE39" s="117">
        <f>MATCH(MAX(Таблица17[[#This Row],[1 класс искл.]:[6 класс искл.]]),Таблица17[[#This Row],[1 класс искл.]:[6 класс искл.]],0)</f>
        <v>2</v>
      </c>
      <c r="CF39" s="120">
        <v>1.1396322487827162E-3</v>
      </c>
      <c r="CG39" s="120">
        <v>0.96368106805304687</v>
      </c>
      <c r="CH39" s="120">
        <v>3.5179299698170428E-2</v>
      </c>
      <c r="CI39" s="120">
        <v>0</v>
      </c>
      <c r="CJ39" s="120">
        <v>1.1407059835211829E-32</v>
      </c>
      <c r="CK39" s="120">
        <v>2.0338302822809722E-20</v>
      </c>
      <c r="CL39" s="198">
        <v>-0.63228597945242293</v>
      </c>
      <c r="CM39" s="198">
        <v>-3.6711754820950154E-2</v>
      </c>
      <c r="CN39" s="199">
        <v>0.71053682769186421</v>
      </c>
      <c r="CO39" s="192">
        <v>5</v>
      </c>
      <c r="CP39" s="195">
        <v>4</v>
      </c>
      <c r="CQ39" s="209">
        <v>-0.39466000000000001</v>
      </c>
      <c r="CR39" s="209">
        <v>-0.45457000000000003</v>
      </c>
      <c r="CS39" s="223">
        <v>5</v>
      </c>
      <c r="CT39" s="223">
        <v>1</v>
      </c>
      <c r="CU39" s="209">
        <v>-0.45457000000000003</v>
      </c>
      <c r="CV39" s="209">
        <v>-0.39466000000000001</v>
      </c>
      <c r="CW39" s="209">
        <v>5</v>
      </c>
      <c r="CX39" s="210">
        <v>3</v>
      </c>
      <c r="CY39" s="238" t="s">
        <v>339</v>
      </c>
      <c r="CZ39" s="238">
        <v>1</v>
      </c>
    </row>
    <row r="40" spans="1:104" x14ac:dyDescent="0.3">
      <c r="A40" s="57" t="s">
        <v>48</v>
      </c>
      <c r="B40" s="57">
        <v>2</v>
      </c>
      <c r="C40" s="57">
        <v>6</v>
      </c>
      <c r="D40" s="57">
        <v>2</v>
      </c>
      <c r="E40" s="58">
        <v>6</v>
      </c>
      <c r="F40" s="58">
        <v>0.99147531</v>
      </c>
      <c r="G40" s="58">
        <v>3.1719196800000002E-2</v>
      </c>
      <c r="H40" s="58">
        <v>-0.52524393899999999</v>
      </c>
      <c r="I40" s="58">
        <v>-0.44642184000000001</v>
      </c>
      <c r="J40" s="58">
        <v>-0.39852847800000007</v>
      </c>
      <c r="K40" s="58">
        <v>-0.32432365200000007</v>
      </c>
      <c r="L40" s="58">
        <v>-0.60986449800000009</v>
      </c>
      <c r="M40" s="58">
        <v>-0.26745411500000005</v>
      </c>
      <c r="N40" s="58">
        <v>-0.47019549500000002</v>
      </c>
      <c r="O40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2.3877640443914889</v>
      </c>
      <c r="P40" s="114" t="s">
        <v>214</v>
      </c>
      <c r="Q40" s="114" t="str">
        <f>RIGHT(P40)</f>
        <v>2</v>
      </c>
      <c r="R40" s="121" t="str">
        <f>RIGHT(Таблица17[[#This Row],[Классиф ДА2]])</f>
        <v>2</v>
      </c>
      <c r="S40">
        <v>2</v>
      </c>
      <c r="T40" s="147">
        <f>IF(Таблица17[[#This Row],[обуч выборка2]]-Таблица17[[#This Row],[Классиф ДА]]=0,1,0)</f>
        <v>1</v>
      </c>
      <c r="U40" s="117" t="s">
        <v>214</v>
      </c>
      <c r="V40" s="147">
        <f>IF(Таблица17[[#This Row],[обуч выборка2]]-Таблица17[[#This Row],[расстояние Махаланобиса]]=0,1,0)</f>
        <v>1</v>
      </c>
      <c r="W40" s="117">
        <f>MATCH(MIN(Таблица17[[#This Row],[1 класс]:[6 класс]]),Таблица17[[#This Row],[1 класс]:[6 класс]],0)</f>
        <v>2</v>
      </c>
      <c r="X40" s="118">
        <v>38.043237358343958</v>
      </c>
      <c r="Y40" s="118">
        <v>2.3926157228928266</v>
      </c>
      <c r="Z40" s="118">
        <v>14.049268072784702</v>
      </c>
      <c r="AA40" s="118">
        <v>297.17239536782211</v>
      </c>
      <c r="AB40" s="118">
        <v>168.76730611698147</v>
      </c>
      <c r="AC40" s="118">
        <v>152.31519521885019</v>
      </c>
      <c r="AD40" s="212">
        <v>38.043237358343958</v>
      </c>
      <c r="AE40" s="212">
        <v>2.3926157228928266</v>
      </c>
      <c r="AF40" s="212">
        <v>14.049268072784702</v>
      </c>
      <c r="AG40" s="212">
        <v>297.17239536782211</v>
      </c>
      <c r="AH40" s="212">
        <v>168.76730611698147</v>
      </c>
      <c r="AI40" s="212">
        <v>152.31519521885019</v>
      </c>
      <c r="AJ40" s="147">
        <f>IF(Таблица17[[#This Row],[обуч выборка2]]-Таблица17[[#This Row],[Апосториорная вероятность]]=0,1,0)</f>
        <v>1</v>
      </c>
      <c r="AK40" s="117">
        <f>MATCH(MAX(Таблица17[[#This Row],[1 класс.]:[6 класс.]]),Таблица17[[#This Row],[1 класс.]:[6 класс.]],0)</f>
        <v>2</v>
      </c>
      <c r="AL40" s="120">
        <v>2.2629647054164724E-8</v>
      </c>
      <c r="AM40" s="120">
        <v>0.99816398016986208</v>
      </c>
      <c r="AN40" s="120">
        <v>1.8359972004908499E-3</v>
      </c>
      <c r="AO40" s="120">
        <v>0</v>
      </c>
      <c r="AP40" s="120">
        <v>0</v>
      </c>
      <c r="AQ40" s="120">
        <v>0</v>
      </c>
      <c r="AR40" s="216">
        <v>2.2629647054164724E-8</v>
      </c>
      <c r="AS40" s="216">
        <v>0.99816398016986208</v>
      </c>
      <c r="AT40" s="216">
        <v>1.8359972004908499E-3</v>
      </c>
      <c r="AU40" s="216">
        <v>0</v>
      </c>
      <c r="AV40" s="216">
        <v>0</v>
      </c>
      <c r="AW40" s="216">
        <v>0</v>
      </c>
      <c r="AX40" s="121" t="str">
        <f>RIGHT(Таблица17[[#This Row],[Класиф вкл2]])</f>
        <v>2</v>
      </c>
      <c r="AY40" s="221">
        <v>2</v>
      </c>
      <c r="AZ40" s="147">
        <f>IF(Таблица17[[#This Row],[обуч выборка2]]-Таблица17[[#This Row],[Класиф вкл]]=0,1,0)</f>
        <v>1</v>
      </c>
      <c r="BA40" s="117" t="s">
        <v>214</v>
      </c>
      <c r="BB40" s="147">
        <f>IF(Таблица17[[#This Row],[обуч выборка2]]-Таблица17[[#This Row],[Расстояние Махаланобиса вкл
]]=0,1,0)</f>
        <v>1</v>
      </c>
      <c r="BC40" s="117">
        <f>MATCH(MIN(Таблица17[[#This Row],[1 класс вкл]:[6 класс вкл]]),Таблица17[[#This Row],[1 класс вкл]:[6 класс вкл]],0)</f>
        <v>2</v>
      </c>
      <c r="BD40" s="118">
        <v>20.517930309335295</v>
      </c>
      <c r="BE40" s="118">
        <v>1.8932342721158668</v>
      </c>
      <c r="BF40" s="118">
        <v>11.977276451081405</v>
      </c>
      <c r="BG40" s="120">
        <v>222.48488737312468</v>
      </c>
      <c r="BH40" s="118">
        <v>118.61395833361669</v>
      </c>
      <c r="BI40" s="118">
        <v>122.20982864242994</v>
      </c>
      <c r="BJ40" s="147">
        <f>IF(Таблица17[[#This Row],[обуч выборка2]]-Таблица17[[#This Row],[Апосториорная вероятность вкл]]=0,1,0)</f>
        <v>1</v>
      </c>
      <c r="BK40" s="117">
        <f>MATCH(MAX(Таблица17[[#This Row],[1 класс вкл.]:[6 класс вкл.]]),Таблица17[[#This Row],[1 класс вкл.]:[6 класс вкл.]],0)</f>
        <v>2</v>
      </c>
      <c r="BL40" s="119">
        <v>1.1241123412624535E-4</v>
      </c>
      <c r="BM40" s="119">
        <v>0.99586635665950651</v>
      </c>
      <c r="BN40" s="119">
        <v>4.0212321063672488E-3</v>
      </c>
      <c r="BO40" s="119">
        <v>0</v>
      </c>
      <c r="BP40" s="119">
        <v>1.1234606814129281E-26</v>
      </c>
      <c r="BQ40" s="119">
        <v>2.7913598044555429E-27</v>
      </c>
      <c r="BR40" s="121" t="str">
        <f>RIGHT(Таблица17[[#This Row],[Класиф искл2]])</f>
        <v>2</v>
      </c>
      <c r="BS40" s="222">
        <v>2</v>
      </c>
      <c r="BT40" s="147">
        <f>IF(Таблица17[[#This Row],[обуч выборка2]]-Таблица17[[#This Row],[Класиф искл]]=0,1,0)</f>
        <v>1</v>
      </c>
      <c r="BU40" s="117" t="s">
        <v>214</v>
      </c>
      <c r="BV40" s="147">
        <f>IF(Таблица17[[#This Row],[обуч выборка2]]-Таблица17[[#This Row],[Расстояние Махаланобиса искл]]=0,1,0)</f>
        <v>1</v>
      </c>
      <c r="BW40" s="117">
        <f>MATCH(MIN(Таблица17[[#This Row],[1 класс искл]:[6 класс искл]]),Таблица17[[#This Row],[1 класс искл]:[6 класс искл]],0)</f>
        <v>2</v>
      </c>
      <c r="BX40" s="120">
        <v>25.148131143797084</v>
      </c>
      <c r="BY40" s="120">
        <v>0.8287931818033869</v>
      </c>
      <c r="BZ40" s="120">
        <v>12.695212397204159</v>
      </c>
      <c r="CA40" s="120">
        <v>215.21547240338549</v>
      </c>
      <c r="CB40" s="120">
        <v>125.43301040923707</v>
      </c>
      <c r="CC40" s="120">
        <v>96.246803509308123</v>
      </c>
      <c r="CD40" s="147">
        <f>IF(Таблица17[[#This Row],[обуч выборка2]]-Таблица17[[#This Row],[Апосториорная вероятность искл]]=0,1,0)</f>
        <v>1</v>
      </c>
      <c r="CE40" s="117">
        <f>MATCH(MAX(Таблица17[[#This Row],[1 класс искл.]:[6 класс искл.]]),Таблица17[[#This Row],[1 класс искл.]:[6 класс искл.]],0)</f>
        <v>2</v>
      </c>
      <c r="CF40" s="120">
        <v>6.5359893978316357E-6</v>
      </c>
      <c r="CG40" s="120">
        <v>0.99833998650507283</v>
      </c>
      <c r="CH40" s="120">
        <v>1.6534775055293939E-3</v>
      </c>
      <c r="CI40" s="120">
        <v>0</v>
      </c>
      <c r="CJ40" s="120">
        <v>2.1865352997568334E-28</v>
      </c>
      <c r="CK40" s="120">
        <v>7.137597508043134E-22</v>
      </c>
      <c r="CL40" s="198">
        <v>-0.53558584549118027</v>
      </c>
      <c r="CM40" s="198">
        <v>0.26146422268170821</v>
      </c>
      <c r="CN40" s="199">
        <v>1.0989847642694113</v>
      </c>
      <c r="CO40" s="192">
        <v>5</v>
      </c>
      <c r="CP40" s="195">
        <v>4</v>
      </c>
      <c r="CQ40" s="209">
        <v>-0.48174</v>
      </c>
      <c r="CR40" s="209">
        <v>-0.21878000000000003</v>
      </c>
      <c r="CS40" s="223">
        <v>5</v>
      </c>
      <c r="CT40" s="223">
        <v>1</v>
      </c>
      <c r="CU40" s="209">
        <v>-0.21878000000000003</v>
      </c>
      <c r="CV40" s="209">
        <v>-0.48174</v>
      </c>
      <c r="CW40" s="209">
        <v>5</v>
      </c>
      <c r="CX40" s="210">
        <v>1</v>
      </c>
      <c r="CY40" s="238" t="s">
        <v>339</v>
      </c>
      <c r="CZ40" s="238">
        <v>1</v>
      </c>
    </row>
    <row r="41" spans="1:104" x14ac:dyDescent="0.3">
      <c r="A41" s="57" t="s">
        <v>49</v>
      </c>
      <c r="B41" s="57">
        <v>5</v>
      </c>
      <c r="C41" s="57">
        <v>6</v>
      </c>
      <c r="D41" s="57">
        <v>1</v>
      </c>
      <c r="E41" s="58">
        <v>6</v>
      </c>
      <c r="F41" s="58">
        <v>-0.6401528190000001</v>
      </c>
      <c r="G41" s="58">
        <v>0.499592007</v>
      </c>
      <c r="H41" s="58">
        <v>-0.65771264000000007</v>
      </c>
      <c r="I41" s="58">
        <v>0.20246502200000002</v>
      </c>
      <c r="J41" s="58">
        <v>0.3796165660000001</v>
      </c>
      <c r="K41" s="58">
        <v>0.736834184</v>
      </c>
      <c r="L41" s="58">
        <v>-0.16444015800000003</v>
      </c>
      <c r="M41" s="58">
        <v>-9.4803620200000008E-2</v>
      </c>
      <c r="N41" s="58">
        <v>-0.37194694800000005</v>
      </c>
      <c r="O41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1.9943719831572881</v>
      </c>
      <c r="P41" s="114"/>
      <c r="Q41" s="114"/>
      <c r="R41" s="121" t="str">
        <f>RIGHT(Таблица17[[#This Row],[Классиф ДА2]])</f>
        <v>1</v>
      </c>
      <c r="S41">
        <v>1</v>
      </c>
      <c r="T41" s="147">
        <f>IF(Таблица17[[#This Row],[обуч выборка2]]-Таблица17[[#This Row],[Классиф ДА]]=0,1,0)</f>
        <v>0</v>
      </c>
      <c r="U41" s="117" t="s">
        <v>213</v>
      </c>
      <c r="V41" s="147">
        <f>IF(Таблица17[[#This Row],[обуч выборка2]]-Таблица17[[#This Row],[расстояние Махаланобиса]]=0,1,0)</f>
        <v>0</v>
      </c>
      <c r="W41" s="117">
        <f>MATCH(MIN(Таблица17[[#This Row],[1 класс]:[6 класс]]),Таблица17[[#This Row],[1 класс]:[6 класс]],0)</f>
        <v>1</v>
      </c>
      <c r="X41" s="118">
        <v>16.321912458326686</v>
      </c>
      <c r="Y41" s="118">
        <v>59.691214277998277</v>
      </c>
      <c r="Z41" s="118">
        <v>57.904984514532337</v>
      </c>
      <c r="AA41" s="118">
        <v>142.40266490007087</v>
      </c>
      <c r="AB41" s="118">
        <v>338.63667464139519</v>
      </c>
      <c r="AC41" s="118">
        <v>113.94488183996293</v>
      </c>
      <c r="AD41" s="212">
        <v>16.321912458326686</v>
      </c>
      <c r="AE41" s="212">
        <v>59.691214277998277</v>
      </c>
      <c r="AF41" s="212">
        <v>57.904984514532337</v>
      </c>
      <c r="AG41" s="212">
        <v>142.40266490007087</v>
      </c>
      <c r="AH41" s="212">
        <v>338.63667464139519</v>
      </c>
      <c r="AI41" s="212">
        <v>113.94488183996293</v>
      </c>
      <c r="AJ41" s="147">
        <f>IF(Таблица17[[#This Row],[обуч выборка2]]-Таблица17[[#This Row],[Апосториорная вероятность]]=0,1,0)</f>
        <v>0</v>
      </c>
      <c r="AK41" s="117">
        <f>MATCH(MAX(Таблица17[[#This Row],[1 класс.]:[6 класс.]]),Таблица17[[#This Row],[1 класс.]:[6 класс.]],0)</f>
        <v>1</v>
      </c>
      <c r="AL41" s="120">
        <v>0.99999999922710558</v>
      </c>
      <c r="AM41" s="120">
        <v>3.0589033458414571E-10</v>
      </c>
      <c r="AN41" s="120">
        <v>4.6700403901826756E-10</v>
      </c>
      <c r="AO41" s="120">
        <v>8.3741833520041376E-29</v>
      </c>
      <c r="AP41" s="120">
        <v>0</v>
      </c>
      <c r="AQ41" s="120">
        <v>1.899165444520004E-22</v>
      </c>
      <c r="AR41" s="216">
        <v>0.99999999922710558</v>
      </c>
      <c r="AS41" s="216">
        <v>3.0589033458414571E-10</v>
      </c>
      <c r="AT41" s="216">
        <v>4.6700403901826756E-10</v>
      </c>
      <c r="AU41" s="216">
        <v>8.3741833520041376E-29</v>
      </c>
      <c r="AV41" s="216">
        <v>0</v>
      </c>
      <c r="AW41" s="216">
        <v>1.899165444520004E-22</v>
      </c>
      <c r="AX41" s="121" t="str">
        <f>RIGHT(Таблица17[[#This Row],[Класиф вкл2]])</f>
        <v>1</v>
      </c>
      <c r="AY41" s="221">
        <v>1</v>
      </c>
      <c r="AZ41" s="147">
        <f>IF(Таблица17[[#This Row],[обуч выборка2]]-Таблица17[[#This Row],[Класиф вкл]]=0,1,0)</f>
        <v>0</v>
      </c>
      <c r="BA41" s="117" t="s">
        <v>213</v>
      </c>
      <c r="BB41" s="147">
        <f>IF(Таблица17[[#This Row],[обуч выборка2]]-Таблица17[[#This Row],[Расстояние Махаланобиса вкл
]]=0,1,0)</f>
        <v>0</v>
      </c>
      <c r="BC41" s="117">
        <f>MATCH(MIN(Таблица17[[#This Row],[1 класс вкл]:[6 класс вкл]]),Таблица17[[#This Row],[1 класс вкл]:[6 класс вкл]],0)</f>
        <v>1</v>
      </c>
      <c r="BD41" s="118">
        <v>10.627570916366421</v>
      </c>
      <c r="BE41" s="118">
        <v>38.19807352692807</v>
      </c>
      <c r="BF41" s="118">
        <v>39.153641962783688</v>
      </c>
      <c r="BG41" s="120">
        <v>92.987802003932927</v>
      </c>
      <c r="BH41" s="118">
        <v>231.97955524821299</v>
      </c>
      <c r="BI41" s="118">
        <v>97.359470184970789</v>
      </c>
      <c r="BJ41" s="147">
        <f>IF(Таблица17[[#This Row],[обуч выборка2]]-Таблица17[[#This Row],[Апосториорная вероятность вкл]]=0,1,0)</f>
        <v>0</v>
      </c>
      <c r="BK41" s="117">
        <f>MATCH(MAX(Таблица17[[#This Row],[1 класс вкл.]:[6 класс вкл.]]),Таблица17[[#This Row],[1 класс вкл.]:[6 класс вкл.]],0)</f>
        <v>1</v>
      </c>
      <c r="BL41" s="119">
        <v>0.99999885581980674</v>
      </c>
      <c r="BM41" s="119">
        <v>8.2457642988613565E-7</v>
      </c>
      <c r="BN41" s="119">
        <v>3.1960376334567205E-7</v>
      </c>
      <c r="BO41" s="119">
        <v>2.6105532354778301E-19</v>
      </c>
      <c r="BP41" s="119">
        <v>0</v>
      </c>
      <c r="BQ41" s="123">
        <v>4.4007645054592132E-20</v>
      </c>
      <c r="BR41" s="121" t="str">
        <f>RIGHT(Таблица17[[#This Row],[Класиф искл2]])</f>
        <v>1</v>
      </c>
      <c r="BS41" s="222">
        <v>1</v>
      </c>
      <c r="BT41" s="147">
        <f>IF(Таблица17[[#This Row],[обуч выборка2]]-Таблица17[[#This Row],[Класиф искл]]=0,1,0)</f>
        <v>0</v>
      </c>
      <c r="BU41" s="117" t="s">
        <v>213</v>
      </c>
      <c r="BV41" s="147">
        <f>IF(Таблица17[[#This Row],[обуч выборка2]]-Таблица17[[#This Row],[Расстояние Махаланобиса искл]]=0,1,0)</f>
        <v>0</v>
      </c>
      <c r="BW41" s="117">
        <f>MATCH(MIN(Таблица17[[#This Row],[1 класс искл]:[6 класс искл]]),Таблица17[[#This Row],[1 класс искл]:[6 класс искл]],0)</f>
        <v>1</v>
      </c>
      <c r="BX41" s="120">
        <v>13.053046296622663</v>
      </c>
      <c r="BY41" s="120">
        <v>38.584994819640627</v>
      </c>
      <c r="BZ41" s="120">
        <v>39.86511796175229</v>
      </c>
      <c r="CA41" s="120">
        <v>91.546282496120156</v>
      </c>
      <c r="CB41" s="120">
        <v>250.15191593907008</v>
      </c>
      <c r="CC41" s="120">
        <v>62.089739598880136</v>
      </c>
      <c r="CD41" s="147">
        <f>IF(Таблица17[[#This Row],[обуч выборка2]]-Таблица17[[#This Row],[Апосториорная вероятность искл]]=0,1,0)</f>
        <v>0</v>
      </c>
      <c r="CE41" s="117">
        <f>MATCH(MAX(Таблица17[[#This Row],[1 класс искл.]:[6 класс искл.]]),Таблица17[[#This Row],[1 класс искл.]:[6 класс искл.]],0)</f>
        <v>1</v>
      </c>
      <c r="CF41" s="120">
        <v>0.99999696192817789</v>
      </c>
      <c r="CG41" s="120">
        <v>2.2850541156525178E-6</v>
      </c>
      <c r="CH41" s="120">
        <v>7.5301096221261997E-7</v>
      </c>
      <c r="CI41" s="120">
        <v>1.8048412244705946E-18</v>
      </c>
      <c r="CJ41" s="120">
        <v>0</v>
      </c>
      <c r="CK41" s="120">
        <v>6.74430619600138E-12</v>
      </c>
      <c r="CL41" s="198">
        <v>0.30561908669063659</v>
      </c>
      <c r="CM41" s="198">
        <v>0.29554761095456156</v>
      </c>
      <c r="CN41" s="199">
        <v>-0.13679613800433829</v>
      </c>
      <c r="CO41" s="192">
        <v>4</v>
      </c>
      <c r="CP41" s="195">
        <v>3</v>
      </c>
      <c r="CQ41" s="209">
        <v>5.679E-2</v>
      </c>
      <c r="CR41" s="209">
        <v>0.35210000000000002</v>
      </c>
      <c r="CS41" s="223">
        <v>4</v>
      </c>
      <c r="CT41" s="223">
        <v>2</v>
      </c>
      <c r="CU41" s="209">
        <v>0.35210000000000002</v>
      </c>
      <c r="CV41" s="209">
        <v>5.679E-2</v>
      </c>
      <c r="CW41" s="209">
        <v>6</v>
      </c>
      <c r="CX41" s="210">
        <v>1</v>
      </c>
      <c r="CY41" s="238" t="s">
        <v>339</v>
      </c>
      <c r="CZ41" s="238">
        <v>5</v>
      </c>
    </row>
    <row r="42" spans="1:104" x14ac:dyDescent="0.3">
      <c r="A42" s="57" t="s">
        <v>50</v>
      </c>
      <c r="B42" s="57">
        <v>4</v>
      </c>
      <c r="C42" s="57">
        <v>6</v>
      </c>
      <c r="D42" s="57">
        <v>1</v>
      </c>
      <c r="E42" s="58">
        <v>4</v>
      </c>
      <c r="F42" s="58">
        <v>0.27243367200000002</v>
      </c>
      <c r="G42" s="58">
        <v>-0.92372633200000009</v>
      </c>
      <c r="H42" s="58">
        <v>-0.60840497999999998</v>
      </c>
      <c r="I42" s="58">
        <v>0.26535322100000003</v>
      </c>
      <c r="J42" s="58">
        <v>0.15613546300000003</v>
      </c>
      <c r="K42" s="58">
        <v>1.9204333099999999</v>
      </c>
      <c r="L42" s="58">
        <v>0.31897725500000007</v>
      </c>
      <c r="M42" s="58">
        <v>-0.20271018000000005</v>
      </c>
      <c r="N42" s="58">
        <v>1.24555497E-2</v>
      </c>
      <c r="O42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5.2234948213846142</v>
      </c>
      <c r="P42" s="114"/>
      <c r="Q42" s="114"/>
      <c r="R42" s="121" t="str">
        <f>RIGHT(Таблица17[[#This Row],[Классиф ДА2]])</f>
        <v>1</v>
      </c>
      <c r="S42">
        <v>1</v>
      </c>
      <c r="T42" s="147">
        <f>IF(Таблица17[[#This Row],[обуч выборка2]]-Таблица17[[#This Row],[Классиф ДА]]=0,1,0)</f>
        <v>0</v>
      </c>
      <c r="U42" s="117" t="s">
        <v>213</v>
      </c>
      <c r="V42" s="147">
        <f>IF(Таблица17[[#This Row],[обуч выборка2]]-Таблица17[[#This Row],[расстояние Махаланобиса]]=0,1,0)</f>
        <v>0</v>
      </c>
      <c r="W42" s="117">
        <f>MATCH(MIN(Таблица17[[#This Row],[1 класс]:[6 класс]]),Таблица17[[#This Row],[1 класс]:[6 класс]],0)</f>
        <v>1</v>
      </c>
      <c r="X42" s="118">
        <v>54.166212763200633</v>
      </c>
      <c r="Y42" s="118">
        <v>111.60973887445164</v>
      </c>
      <c r="Z42" s="118">
        <v>104.46438279411629</v>
      </c>
      <c r="AA42" s="118">
        <v>107.60761313532353</v>
      </c>
      <c r="AB42" s="118">
        <v>413.38111728292881</v>
      </c>
      <c r="AC42" s="118">
        <v>119.51209214597013</v>
      </c>
      <c r="AD42" s="212">
        <v>54.166212763200633</v>
      </c>
      <c r="AE42" s="212">
        <v>111.60973887445164</v>
      </c>
      <c r="AF42" s="212">
        <v>104.46438279411629</v>
      </c>
      <c r="AG42" s="212">
        <v>107.60761313532353</v>
      </c>
      <c r="AH42" s="212">
        <v>413.38111728292881</v>
      </c>
      <c r="AI42" s="212">
        <v>119.51209214597013</v>
      </c>
      <c r="AJ42" s="147">
        <f>IF(Таблица17[[#This Row],[обуч выборка2]]-Таблица17[[#This Row],[Апосториорная вероятность]]=0,1,0)</f>
        <v>0</v>
      </c>
      <c r="AK42" s="117">
        <f>MATCH(MAX(Таблица17[[#This Row],[1 класс.]:[6 класс.]]),Таблица17[[#This Row],[1 класс.]:[6 класс.]],0)</f>
        <v>1</v>
      </c>
      <c r="AL42" s="120">
        <v>0.99999999999324996</v>
      </c>
      <c r="AM42" s="120">
        <v>2.6877370708595006E-13</v>
      </c>
      <c r="AN42" s="120">
        <v>5.982203150352519E-12</v>
      </c>
      <c r="AO42" s="120">
        <v>4.97023990923963E-13</v>
      </c>
      <c r="AP42" s="120">
        <v>0</v>
      </c>
      <c r="AQ42" s="120">
        <v>1.9384019552128691E-15</v>
      </c>
      <c r="AR42" s="216">
        <v>0.99999999999324996</v>
      </c>
      <c r="AS42" s="216">
        <v>2.6877370708595006E-13</v>
      </c>
      <c r="AT42" s="216">
        <v>5.982203150352519E-12</v>
      </c>
      <c r="AU42" s="216">
        <v>4.97023990923963E-13</v>
      </c>
      <c r="AV42" s="216">
        <v>0</v>
      </c>
      <c r="AW42" s="216">
        <v>1.9384019552128691E-15</v>
      </c>
      <c r="AX42" s="121" t="str">
        <f>RIGHT(Таблица17[[#This Row],[Класиф вкл2]])</f>
        <v>1</v>
      </c>
      <c r="AY42" s="221">
        <v>1</v>
      </c>
      <c r="AZ42" s="147">
        <f>IF(Таблица17[[#This Row],[обуч выборка2]]-Таблица17[[#This Row],[Класиф вкл]]=0,1,0)</f>
        <v>0</v>
      </c>
      <c r="BA42" s="117" t="s">
        <v>213</v>
      </c>
      <c r="BB42" s="147">
        <f>IF(Таблица17[[#This Row],[обуч выборка2]]-Таблица17[[#This Row],[Расстояние Махаланобиса вкл
]]=0,1,0)</f>
        <v>0</v>
      </c>
      <c r="BC42" s="117">
        <f>MATCH(MIN(Таблица17[[#This Row],[1 класс вкл]:[6 класс вкл]]),Таблица17[[#This Row],[1 класс вкл]:[6 класс вкл]],0)</f>
        <v>1</v>
      </c>
      <c r="BD42" s="118">
        <v>39.555537347026927</v>
      </c>
      <c r="BE42" s="118">
        <v>60.79979265708581</v>
      </c>
      <c r="BF42" s="118">
        <v>61.583692422645541</v>
      </c>
      <c r="BG42" s="120">
        <v>56.182361145241103</v>
      </c>
      <c r="BH42" s="118">
        <v>251.22637072548429</v>
      </c>
      <c r="BI42" s="118">
        <v>88.664754011725691</v>
      </c>
      <c r="BJ42" s="147">
        <f>IF(Таблица17[[#This Row],[обуч выборка2]]-Таблица17[[#This Row],[Апосториорная вероятность вкл]]=0,1,0)</f>
        <v>0</v>
      </c>
      <c r="BK42" s="117">
        <f>MATCH(MAX(Таблица17[[#This Row],[1 класс вкл.]:[6 класс вкл.]]),Таблица17[[#This Row],[1 класс вкл.]:[6 класс вкл.]],0)</f>
        <v>1</v>
      </c>
      <c r="BL42" s="119">
        <v>0.99992323398752692</v>
      </c>
      <c r="BM42" s="119">
        <v>1.9495088901826671E-5</v>
      </c>
      <c r="BN42" s="119">
        <v>8.2334824870345502E-6</v>
      </c>
      <c r="BO42" s="119">
        <v>4.903743458050171E-5</v>
      </c>
      <c r="BP42" s="119">
        <v>0</v>
      </c>
      <c r="BQ42" s="123">
        <v>6.5036477402076331E-12</v>
      </c>
      <c r="BR42" s="121" t="str">
        <f>RIGHT(Таблица17[[#This Row],[Класиф искл2]])</f>
        <v>1</v>
      </c>
      <c r="BS42" s="222">
        <v>1</v>
      </c>
      <c r="BT42" s="147">
        <f>IF(Таблица17[[#This Row],[обуч выборка2]]-Таблица17[[#This Row],[Класиф искл]]=0,1,0)</f>
        <v>0</v>
      </c>
      <c r="BU42" s="117" t="s">
        <v>213</v>
      </c>
      <c r="BV42" s="147">
        <f>IF(Таблица17[[#This Row],[обуч выборка2]]-Таблица17[[#This Row],[Расстояние Махаланобиса искл]]=0,1,0)</f>
        <v>0</v>
      </c>
      <c r="BW42" s="117">
        <f>MATCH(MIN(Таблица17[[#This Row],[1 класс искл]:[6 класс искл]]),Таблица17[[#This Row],[1 класс искл]:[6 класс искл]],0)</f>
        <v>1</v>
      </c>
      <c r="BX42" s="120">
        <v>39.682730872040622</v>
      </c>
      <c r="BY42" s="120">
        <v>64.054913443906855</v>
      </c>
      <c r="BZ42" s="120">
        <v>61.217363269761428</v>
      </c>
      <c r="CA42" s="120">
        <v>59.41192931340148</v>
      </c>
      <c r="CB42" s="120">
        <v>282.04156184892565</v>
      </c>
      <c r="CC42" s="120">
        <v>57.509853555591732</v>
      </c>
      <c r="CD42" s="147">
        <f>IF(Таблица17[[#This Row],[обуч выборка2]]-Таблица17[[#This Row],[Апосториорная вероятность искл]]=0,1,0)</f>
        <v>0</v>
      </c>
      <c r="CE42" s="117">
        <f>MATCH(MAX(Таблица17[[#This Row],[1 класс искл.]:[6 класс искл.]]),Таблица17[[#This Row],[1 класс искл.]:[6 класс искл.]],0)</f>
        <v>1</v>
      </c>
      <c r="CF42" s="120">
        <v>0.99993462283687118</v>
      </c>
      <c r="CG42" s="120">
        <v>4.080462506455073E-6</v>
      </c>
      <c r="CH42" s="120">
        <v>1.0537937061524793E-5</v>
      </c>
      <c r="CI42" s="120">
        <v>1.0395864112383032E-5</v>
      </c>
      <c r="CJ42" s="120">
        <v>0</v>
      </c>
      <c r="CK42" s="120">
        <v>4.0362899448573108E-5</v>
      </c>
      <c r="CL42" s="198">
        <v>0.75087772297068511</v>
      </c>
      <c r="CM42" s="198">
        <v>0.284518146266525</v>
      </c>
      <c r="CN42" s="199">
        <v>0.46227640757279165</v>
      </c>
      <c r="CO42" s="192">
        <v>4</v>
      </c>
      <c r="CP42" s="195">
        <v>3</v>
      </c>
      <c r="CQ42" s="209">
        <v>0.33506000000000008</v>
      </c>
      <c r="CR42" s="209">
        <v>0.61020000000000008</v>
      </c>
      <c r="CS42" s="223">
        <v>4</v>
      </c>
      <c r="CT42" s="223">
        <v>2</v>
      </c>
      <c r="CU42" s="209">
        <v>0.61020000000000008</v>
      </c>
      <c r="CV42" s="209">
        <v>0.33506000000000008</v>
      </c>
      <c r="CW42" s="209">
        <v>6</v>
      </c>
      <c r="CX42" s="210">
        <v>5</v>
      </c>
      <c r="CY42" s="238" t="s">
        <v>339</v>
      </c>
      <c r="CZ42" s="238">
        <v>4</v>
      </c>
    </row>
    <row r="43" spans="1:104" x14ac:dyDescent="0.3">
      <c r="A43" s="57" t="s">
        <v>51</v>
      </c>
      <c r="B43" s="57">
        <v>6</v>
      </c>
      <c r="C43" s="57">
        <v>6</v>
      </c>
      <c r="D43" s="57">
        <v>3</v>
      </c>
      <c r="E43" s="58">
        <v>6</v>
      </c>
      <c r="F43" s="58">
        <v>0.25893054300000001</v>
      </c>
      <c r="G43" s="58">
        <v>-0.50017831400000001</v>
      </c>
      <c r="H43" s="58">
        <v>1.2297753300000001</v>
      </c>
      <c r="I43" s="58">
        <v>-0.44170611900000001</v>
      </c>
      <c r="J43" s="58">
        <v>-0.63951111300000008</v>
      </c>
      <c r="K43" s="58">
        <v>-0.52839246600000001</v>
      </c>
      <c r="L43" s="58">
        <v>-0.67484489500000022</v>
      </c>
      <c r="M43" s="58">
        <v>0.29365999400000004</v>
      </c>
      <c r="N43" s="58">
        <v>-0.40166410100000005</v>
      </c>
      <c r="O43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3.4158339659757897</v>
      </c>
      <c r="P43" s="114" t="s">
        <v>215</v>
      </c>
      <c r="Q43" s="114" t="str">
        <f>RIGHT(P43)</f>
        <v>3</v>
      </c>
      <c r="R43" s="121" t="str">
        <f>RIGHT(Таблица17[[#This Row],[Классиф ДА2]])</f>
        <v>3</v>
      </c>
      <c r="S43">
        <v>3</v>
      </c>
      <c r="T43" s="147">
        <f>IF(Таблица17[[#This Row],[обуч выборка2]]-Таблица17[[#This Row],[Классиф ДА]]=0,1,0)</f>
        <v>1</v>
      </c>
      <c r="U43" s="117" t="s">
        <v>215</v>
      </c>
      <c r="V43" s="147">
        <f>IF(Таблица17[[#This Row],[обуч выборка2]]-Таблица17[[#This Row],[расстояние Махаланобиса]]=0,1,0)</f>
        <v>1</v>
      </c>
      <c r="W43" s="117">
        <f>MATCH(MIN(Таблица17[[#This Row],[1 класс]:[6 класс]]),Таблица17[[#This Row],[1 класс]:[6 класс]],0)</f>
        <v>3</v>
      </c>
      <c r="X43" s="118">
        <v>35.597570164841372</v>
      </c>
      <c r="Y43" s="118">
        <v>22.841850414691546</v>
      </c>
      <c r="Z43" s="118">
        <v>3.9082971698706714</v>
      </c>
      <c r="AA43" s="118">
        <v>290.34630304660493</v>
      </c>
      <c r="AB43" s="118">
        <v>225.7491488486616</v>
      </c>
      <c r="AC43" s="118">
        <v>156.91524766513146</v>
      </c>
      <c r="AD43" s="212">
        <v>35.597570164841372</v>
      </c>
      <c r="AE43" s="212">
        <v>22.841850414691546</v>
      </c>
      <c r="AF43" s="212">
        <v>3.9082971698706714</v>
      </c>
      <c r="AG43" s="212">
        <v>290.34630304660493</v>
      </c>
      <c r="AH43" s="212">
        <v>225.7491488486616</v>
      </c>
      <c r="AI43" s="212">
        <v>156.91524766513146</v>
      </c>
      <c r="AJ43" s="147">
        <f>IF(Таблица17[[#This Row],[обуч выборка2]]-Таблица17[[#This Row],[Апосториорная вероятность]]=0,1,0)</f>
        <v>1</v>
      </c>
      <c r="AK43" s="117">
        <f>MATCH(MAX(Таблица17[[#This Row],[1 класс.]:[6 класс.]]),Таблица17[[#This Row],[1 класс.]:[6 класс.]],0)</f>
        <v>3</v>
      </c>
      <c r="AL43" s="120">
        <v>2.6286811857514074E-7</v>
      </c>
      <c r="AM43" s="120">
        <v>1.237933323923944E-4</v>
      </c>
      <c r="AN43" s="120">
        <v>0.99987594379948908</v>
      </c>
      <c r="AO43" s="120">
        <v>0</v>
      </c>
      <c r="AP43" s="120">
        <v>0</v>
      </c>
      <c r="AQ43" s="120">
        <v>0</v>
      </c>
      <c r="AR43" s="216">
        <v>2.6286811857514074E-7</v>
      </c>
      <c r="AS43" s="216">
        <v>1.237933323923944E-4</v>
      </c>
      <c r="AT43" s="216">
        <v>0.99987594379948908</v>
      </c>
      <c r="AU43" s="216">
        <v>0</v>
      </c>
      <c r="AV43" s="216">
        <v>0</v>
      </c>
      <c r="AW43" s="216">
        <v>0</v>
      </c>
      <c r="AX43" s="121" t="str">
        <f>RIGHT(Таблица17[[#This Row],[Класиф вкл2]])</f>
        <v>3</v>
      </c>
      <c r="AY43" s="221">
        <v>3</v>
      </c>
      <c r="AZ43" s="147">
        <f>IF(Таблица17[[#This Row],[обуч выборка2]]-Таблица17[[#This Row],[Класиф вкл]]=0,1,0)</f>
        <v>1</v>
      </c>
      <c r="BA43" s="117" t="s">
        <v>215</v>
      </c>
      <c r="BB43" s="147">
        <f>IF(Таблица17[[#This Row],[обуч выборка2]]-Таблица17[[#This Row],[Расстояние Махаланобиса вкл
]]=0,1,0)</f>
        <v>1</v>
      </c>
      <c r="BC43" s="117">
        <f>MATCH(MIN(Таблица17[[#This Row],[1 класс вкл]:[6 класс вкл]]),Таблица17[[#This Row],[1 класс вкл]:[6 класс вкл]],0)</f>
        <v>3</v>
      </c>
      <c r="BD43" s="118">
        <v>28.110589751324646</v>
      </c>
      <c r="BE43" s="118">
        <v>15.754894077701127</v>
      </c>
      <c r="BF43" s="118">
        <v>2.654395249725471</v>
      </c>
      <c r="BG43" s="120">
        <v>214.02057102235571</v>
      </c>
      <c r="BH43" s="118">
        <v>139.59248922594651</v>
      </c>
      <c r="BI43" s="118">
        <v>134.75983447163838</v>
      </c>
      <c r="BJ43" s="147">
        <f>IF(Таблица17[[#This Row],[обуч выборка2]]-Таблица17[[#This Row],[Апосториорная вероятность вкл]]=0,1,0)</f>
        <v>1</v>
      </c>
      <c r="BK43" s="117">
        <f>MATCH(MAX(Таблица17[[#This Row],[1 класс вкл.]:[6 класс вкл.]]),Таблица17[[#This Row],[1 класс вкл.]:[6 класс вкл.]],0)</f>
        <v>3</v>
      </c>
      <c r="BL43" s="119">
        <v>5.9196040687813057E-6</v>
      </c>
      <c r="BM43" s="119">
        <v>2.2823795771400195E-3</v>
      </c>
      <c r="BN43" s="119">
        <v>0.99771170081879135</v>
      </c>
      <c r="BO43" s="119">
        <v>0</v>
      </c>
      <c r="BP43" s="119">
        <v>7.3339132528086812E-31</v>
      </c>
      <c r="BQ43" s="119">
        <v>1.2326071259525417E-29</v>
      </c>
      <c r="BR43" s="121" t="str">
        <f>RIGHT(Таблица17[[#This Row],[Класиф искл2]])</f>
        <v>3</v>
      </c>
      <c r="BS43" s="222">
        <v>3</v>
      </c>
      <c r="BT43" s="147">
        <f>IF(Таблица17[[#This Row],[обуч выборка2]]-Таблица17[[#This Row],[Класиф искл]]=0,1,0)</f>
        <v>1</v>
      </c>
      <c r="BU43" s="117" t="s">
        <v>215</v>
      </c>
      <c r="BV43" s="147">
        <f>IF(Таблица17[[#This Row],[обуч выборка2]]-Таблица17[[#This Row],[Расстояние Махаланобиса искл]]=0,1,0)</f>
        <v>1</v>
      </c>
      <c r="BW43" s="117">
        <f>MATCH(MIN(Таблица17[[#This Row],[1 класс искл]:[6 класс искл]]),Таблица17[[#This Row],[1 класс искл]:[6 класс искл]],0)</f>
        <v>3</v>
      </c>
      <c r="BX43" s="120">
        <v>27.444239044040422</v>
      </c>
      <c r="BY43" s="120">
        <v>22.278568100613128</v>
      </c>
      <c r="BZ43" s="120">
        <v>3.5637485414408134</v>
      </c>
      <c r="CA43" s="120">
        <v>224.51426874533217</v>
      </c>
      <c r="CB43" s="120">
        <v>183.84320916017003</v>
      </c>
      <c r="CC43" s="120">
        <v>98.175398524696348</v>
      </c>
      <c r="CD43" s="147">
        <f>IF(Таблица17[[#This Row],[обуч выборка2]]-Таблица17[[#This Row],[Апосториорная вероятность искл]]=0,1,0)</f>
        <v>1</v>
      </c>
      <c r="CE43" s="117">
        <f>MATCH(MAX(Таблица17[[#This Row],[1 класс искл.]:[6 класс искл.]]),Таблица17[[#This Row],[1 класс искл.]:[6 класс искл.]],0)</f>
        <v>3</v>
      </c>
      <c r="CF43" s="120">
        <v>1.3043127100895157E-5</v>
      </c>
      <c r="CG43" s="120">
        <v>1.3809657462169952E-4</v>
      </c>
      <c r="CH43" s="120">
        <v>0.99984886029827746</v>
      </c>
      <c r="CI43" s="120">
        <v>0</v>
      </c>
      <c r="CJ43" s="120">
        <v>0</v>
      </c>
      <c r="CK43" s="120">
        <v>1.7116968464305738E-21</v>
      </c>
      <c r="CL43" s="198">
        <v>-0.84963960583490516</v>
      </c>
      <c r="CM43" s="198">
        <v>-0.4126141810854681</v>
      </c>
      <c r="CN43" s="199">
        <v>-0.17493300440260073</v>
      </c>
      <c r="CO43" s="192">
        <v>1</v>
      </c>
      <c r="CP43" s="195">
        <v>4</v>
      </c>
      <c r="CQ43" s="209">
        <v>-0.40191000000000004</v>
      </c>
      <c r="CR43" s="209">
        <v>-0.67977000000000021</v>
      </c>
      <c r="CS43" s="223">
        <v>2</v>
      </c>
      <c r="CT43" s="223">
        <v>1</v>
      </c>
      <c r="CU43" s="209">
        <v>-0.67977000000000021</v>
      </c>
      <c r="CV43" s="209">
        <v>-0.40191000000000004</v>
      </c>
      <c r="CW43" s="209">
        <v>5</v>
      </c>
      <c r="CX43" s="210">
        <v>3</v>
      </c>
      <c r="CY43" s="271">
        <v>2</v>
      </c>
      <c r="CZ43" s="238">
        <v>1</v>
      </c>
    </row>
    <row r="44" spans="1:104" x14ac:dyDescent="0.3">
      <c r="A44" s="57" t="s">
        <v>52</v>
      </c>
      <c r="B44" s="57">
        <v>2</v>
      </c>
      <c r="C44" s="57">
        <v>6</v>
      </c>
      <c r="D44" s="57">
        <v>3</v>
      </c>
      <c r="E44" s="58">
        <v>6</v>
      </c>
      <c r="F44" s="58">
        <v>0.91270705500000004</v>
      </c>
      <c r="G44" s="58">
        <v>1.2629634300000001</v>
      </c>
      <c r="H44" s="58">
        <v>1.4361019800000001</v>
      </c>
      <c r="I44" s="58">
        <v>-0.69654602600000004</v>
      </c>
      <c r="J44" s="58">
        <v>-0.61931703700000007</v>
      </c>
      <c r="K44" s="58">
        <v>-0.65083375500000007</v>
      </c>
      <c r="L44" s="58">
        <v>-0.63058665999999997</v>
      </c>
      <c r="M44" s="58">
        <v>-0.37536067500000014</v>
      </c>
      <c r="N44" s="58">
        <v>-0.27784262900000006</v>
      </c>
      <c r="O44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6.3985459239942539</v>
      </c>
      <c r="P44" s="114"/>
      <c r="Q44" s="114"/>
      <c r="R44" s="121" t="str">
        <f>RIGHT(Таблица17[[#This Row],[Классиф ДА2]])</f>
        <v>2</v>
      </c>
      <c r="S44">
        <v>2</v>
      </c>
      <c r="T44" s="147">
        <f>IF(Таблица17[[#This Row],[обуч выборка2]]-Таблица17[[#This Row],[Классиф ДА]]=0,1,0)</f>
        <v>0</v>
      </c>
      <c r="U44" s="117" t="s">
        <v>214</v>
      </c>
      <c r="V44" s="147">
        <f>IF(Таблица17[[#This Row],[обуч выборка2]]-Таблица17[[#This Row],[расстояние Махаланобиса]]=0,1,0)</f>
        <v>0</v>
      </c>
      <c r="W44" s="117">
        <f>MATCH(MIN(Таблица17[[#This Row],[1 класс]:[6 класс]]),Таблица17[[#This Row],[1 класс]:[6 класс]],0)</f>
        <v>2</v>
      </c>
      <c r="X44" s="118">
        <v>151.95594917100235</v>
      </c>
      <c r="Y44" s="118">
        <v>57.604794757581679</v>
      </c>
      <c r="Z44" s="118">
        <v>58.470812353494395</v>
      </c>
      <c r="AA44" s="118">
        <v>395.66714563261155</v>
      </c>
      <c r="AB44" s="118">
        <v>121.60053948039506</v>
      </c>
      <c r="AC44" s="118">
        <v>294.41790093834533</v>
      </c>
      <c r="AD44" s="212">
        <v>151.95594917100235</v>
      </c>
      <c r="AE44" s="212">
        <v>57.604794757581679</v>
      </c>
      <c r="AF44" s="212">
        <v>58.470812353494395</v>
      </c>
      <c r="AG44" s="212">
        <v>395.66714563261155</v>
      </c>
      <c r="AH44" s="212">
        <v>121.60053948039506</v>
      </c>
      <c r="AI44" s="212">
        <v>294.41790093834533</v>
      </c>
      <c r="AJ44" s="147">
        <f>IF(Таблица17[[#This Row],[обуч выборка2]]-Таблица17[[#This Row],[Апосториорная вероятность]]=0,1,0)</f>
        <v>0</v>
      </c>
      <c r="AK44" s="117">
        <f>MATCH(MAX(Таблица17[[#This Row],[1 класс.]:[6 класс.]]),Таблица17[[#This Row],[1 класс.]:[6 класс.]],0)</f>
        <v>2</v>
      </c>
      <c r="AL44" s="120">
        <v>2.8909039373091616E-21</v>
      </c>
      <c r="AM44" s="120">
        <v>0.71156816373244458</v>
      </c>
      <c r="AN44" s="120">
        <v>0.28843183626755314</v>
      </c>
      <c r="AO44" s="120">
        <v>0</v>
      </c>
      <c r="AP44" s="120">
        <v>2.2576526186842824E-15</v>
      </c>
      <c r="AQ44" s="120">
        <v>0</v>
      </c>
      <c r="AR44" s="216">
        <v>2.8909039373091616E-21</v>
      </c>
      <c r="AS44" s="216">
        <v>0.71156816373244458</v>
      </c>
      <c r="AT44" s="216">
        <v>0.28843183626755314</v>
      </c>
      <c r="AU44" s="216">
        <v>0</v>
      </c>
      <c r="AV44" s="216">
        <v>2.2576526186842824E-15</v>
      </c>
      <c r="AW44" s="216">
        <v>0</v>
      </c>
      <c r="AX44" s="121" t="str">
        <f>RIGHT(Таблица17[[#This Row],[Класиф вкл2]])</f>
        <v>3</v>
      </c>
      <c r="AY44" s="221">
        <v>3</v>
      </c>
      <c r="AZ44" s="147">
        <f>IF(Таблица17[[#This Row],[обуч выборка2]]-Таблица17[[#This Row],[Класиф вкл]]=0,1,0)</f>
        <v>0</v>
      </c>
      <c r="BA44" s="117" t="s">
        <v>215</v>
      </c>
      <c r="BB44" s="147">
        <f>IF(Таблица17[[#This Row],[обуч выборка2]]-Таблица17[[#This Row],[Расстояние Махаланобиса вкл
]]=0,1,0)</f>
        <v>0</v>
      </c>
      <c r="BC44" s="117">
        <f>MATCH(MIN(Таблица17[[#This Row],[1 класс вкл]:[6 класс вкл]]),Таблица17[[#This Row],[1 класс вкл]:[6 класс вкл]],0)</f>
        <v>3</v>
      </c>
      <c r="BD44" s="118">
        <v>60.544186122629334</v>
      </c>
      <c r="BE44" s="118">
        <v>23.401359535981076</v>
      </c>
      <c r="BF44" s="118">
        <v>13.628563795247198</v>
      </c>
      <c r="BG44" s="120">
        <v>258.08725225932028</v>
      </c>
      <c r="BH44" s="118">
        <v>92.10107415488973</v>
      </c>
      <c r="BI44" s="118">
        <v>181.06795260578247</v>
      </c>
      <c r="BJ44" s="147">
        <f>IF(Таблица17[[#This Row],[обуч выборка2]]-Таблица17[[#This Row],[Апосториорная вероятность вкл]]=0,1,0)</f>
        <v>0</v>
      </c>
      <c r="BK44" s="117">
        <f>MATCH(MAX(Таблица17[[#This Row],[1 класс вкл.]:[6 класс вкл.]]),Таблица17[[#This Row],[1 класс вкл.]:[6 класс вкл.]],0)</f>
        <v>3</v>
      </c>
      <c r="BL44" s="119">
        <v>1.2829749963195448E-10</v>
      </c>
      <c r="BM44" s="119">
        <v>1.1933572996540987E-2</v>
      </c>
      <c r="BN44" s="119">
        <v>0.98806642687516155</v>
      </c>
      <c r="BO44" s="119">
        <v>0</v>
      </c>
      <c r="BP44" s="119">
        <v>3.6037696131452214E-18</v>
      </c>
      <c r="BQ44" s="119">
        <v>0</v>
      </c>
      <c r="BR44" s="121" t="str">
        <f>RIGHT(Таблица17[[#This Row],[Класиф искл2]])</f>
        <v>3</v>
      </c>
      <c r="BS44" s="222">
        <v>3</v>
      </c>
      <c r="BT44" s="147">
        <f>IF(Таблица17[[#This Row],[обуч выборка2]]-Таблица17[[#This Row],[Класиф искл]]=0,1,0)</f>
        <v>0</v>
      </c>
      <c r="BU44" s="117" t="s">
        <v>215</v>
      </c>
      <c r="BV44" s="147">
        <f>IF(Таблица17[[#This Row],[обуч выборка2]]-Таблица17[[#This Row],[Расстояние Махаланобиса искл]]=0,1,0)</f>
        <v>0</v>
      </c>
      <c r="BW44" s="117">
        <f>MATCH(MIN(Таблица17[[#This Row],[1 класс искл]:[6 класс искл]]),Таблица17[[#This Row],[1 класс искл]:[6 класс искл]],0)</f>
        <v>3</v>
      </c>
      <c r="BX44" s="120">
        <v>70.142505825824301</v>
      </c>
      <c r="BY44" s="120">
        <v>24.243833255148491</v>
      </c>
      <c r="BZ44" s="120">
        <v>20.221201535158094</v>
      </c>
      <c r="CA44" s="120">
        <v>255.44294431687263</v>
      </c>
      <c r="CB44" s="120">
        <v>98.680428202546778</v>
      </c>
      <c r="CC44" s="120">
        <v>142.05872603744874</v>
      </c>
      <c r="CD44" s="147">
        <f>IF(Таблица17[[#This Row],[обуч выборка2]]-Таблица17[[#This Row],[Апосториорная вероятность искл]]=0,1,0)</f>
        <v>0</v>
      </c>
      <c r="CE44" s="117">
        <f>MATCH(MAX(Таблица17[[#This Row],[1 класс искл.]:[6 класс искл.]]),Таблица17[[#This Row],[1 класс искл.]:[6 класс искл.]],0)</f>
        <v>3</v>
      </c>
      <c r="CF44" s="120">
        <v>2.3795895683914142E-11</v>
      </c>
      <c r="CG44" s="120">
        <v>0.1763445960038228</v>
      </c>
      <c r="CH44" s="120">
        <v>0.82365540397238135</v>
      </c>
      <c r="CI44" s="120">
        <v>0</v>
      </c>
      <c r="CJ44" s="120">
        <v>3.0241334048944992E-18</v>
      </c>
      <c r="CK44" s="120">
        <v>1.7266905513278973E-27</v>
      </c>
      <c r="CL44" s="198">
        <v>-0.99743975160533349</v>
      </c>
      <c r="CM44" s="198">
        <v>0.22426554636965412</v>
      </c>
      <c r="CN44" s="199">
        <v>-0.32529633364713267</v>
      </c>
      <c r="CO44" s="192">
        <v>6</v>
      </c>
      <c r="CP44" s="195">
        <v>4</v>
      </c>
      <c r="CQ44" s="209">
        <v>-0.76722000000000001</v>
      </c>
      <c r="CR44" s="209">
        <v>-0.45534000000000002</v>
      </c>
      <c r="CS44" s="223">
        <v>2</v>
      </c>
      <c r="CT44" s="223">
        <v>1</v>
      </c>
      <c r="CU44" s="209">
        <v>-0.45534000000000002</v>
      </c>
      <c r="CV44" s="209">
        <v>-0.76722000000000001</v>
      </c>
      <c r="CW44" s="209">
        <v>5</v>
      </c>
      <c r="CX44" s="210">
        <v>2</v>
      </c>
      <c r="CY44" s="238" t="s">
        <v>339</v>
      </c>
      <c r="CZ44" s="238">
        <v>1</v>
      </c>
    </row>
    <row r="45" spans="1:104" x14ac:dyDescent="0.3">
      <c r="A45" s="57" t="s">
        <v>53</v>
      </c>
      <c r="B45" s="57">
        <v>6</v>
      </c>
      <c r="C45" s="57">
        <v>4</v>
      </c>
      <c r="D45" s="57">
        <v>3</v>
      </c>
      <c r="E45" s="58">
        <v>6</v>
      </c>
      <c r="F45" s="58">
        <v>-1.1566475199999999</v>
      </c>
      <c r="G45" s="58">
        <v>0.73599090100000009</v>
      </c>
      <c r="H45" s="58">
        <v>5.3581182199999997</v>
      </c>
      <c r="I45" s="58">
        <v>-0.5110294070000001</v>
      </c>
      <c r="J45" s="58">
        <v>-0.63479916200000019</v>
      </c>
      <c r="K45" s="58">
        <v>0.45113784399999995</v>
      </c>
      <c r="L45" s="58">
        <v>-0.48073680600000002</v>
      </c>
      <c r="M45" s="58">
        <v>1.97700232</v>
      </c>
      <c r="N45" s="58">
        <v>-0.78525796799999992</v>
      </c>
      <c r="O45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36.212869462138691</v>
      </c>
      <c r="P45" s="114"/>
      <c r="Q45" s="114"/>
      <c r="R45" s="121" t="str">
        <f>RIGHT(Таблица17[[#This Row],[Классиф ДА2]])</f>
        <v>3</v>
      </c>
      <c r="S45">
        <v>3</v>
      </c>
      <c r="T45" s="147">
        <f>IF(Таблица17[[#This Row],[обуч выборка2]]-Таблица17[[#This Row],[Классиф ДА]]=0,1,0)</f>
        <v>0</v>
      </c>
      <c r="U45" s="117" t="s">
        <v>215</v>
      </c>
      <c r="V45" s="147">
        <f>IF(Таблица17[[#This Row],[обуч выборка2]]-Таблица17[[#This Row],[расстояние Махаланобиса]]=0,1,0)</f>
        <v>0</v>
      </c>
      <c r="W45" s="117">
        <f>MATCH(MIN(Таблица17[[#This Row],[1 класс]:[6 класс]]),Таблица17[[#This Row],[1 класс]:[6 класс]],0)</f>
        <v>3</v>
      </c>
      <c r="X45" s="118">
        <v>210.55296915922963</v>
      </c>
      <c r="Y45" s="118">
        <v>219.9257463869138</v>
      </c>
      <c r="Z45" s="118">
        <v>146.61557665194945</v>
      </c>
      <c r="AA45" s="118">
        <v>287.96000829566105</v>
      </c>
      <c r="AB45" s="118">
        <v>415.21637447871399</v>
      </c>
      <c r="AC45" s="118">
        <v>364.50250651294306</v>
      </c>
      <c r="AD45" s="212">
        <v>210.55296915922963</v>
      </c>
      <c r="AE45" s="212">
        <v>219.9257463869138</v>
      </c>
      <c r="AF45" s="212">
        <v>146.61557665194945</v>
      </c>
      <c r="AG45" s="212">
        <v>287.96000829566105</v>
      </c>
      <c r="AH45" s="212">
        <v>415.21637447871399</v>
      </c>
      <c r="AI45" s="212">
        <v>364.50250651294306</v>
      </c>
      <c r="AJ45" s="147">
        <f>IF(Таблица17[[#This Row],[обуч выборка2]]-Таблица17[[#This Row],[Апосториорная вероятность]]=0,1,0)</f>
        <v>0</v>
      </c>
      <c r="AK45" s="117">
        <f>MATCH(MAX(Таблица17[[#This Row],[1 класс.]:[6 класс.]]),Таблица17[[#This Row],[1 класс.]:[6 класс.]],0)</f>
        <v>3</v>
      </c>
      <c r="AL45" s="120">
        <v>2.6133743189331684E-14</v>
      </c>
      <c r="AM45" s="120">
        <v>1.9276087588111335E-16</v>
      </c>
      <c r="AN45" s="120">
        <v>0.99999999999997369</v>
      </c>
      <c r="AO45" s="120">
        <v>8.1190765479099179E-32</v>
      </c>
      <c r="AP45" s="120">
        <v>0</v>
      </c>
      <c r="AQ45" s="120">
        <v>0</v>
      </c>
      <c r="AR45" s="216">
        <v>2.6133743189331684E-14</v>
      </c>
      <c r="AS45" s="216">
        <v>1.9276087588111335E-16</v>
      </c>
      <c r="AT45" s="216">
        <v>0.99999999999997369</v>
      </c>
      <c r="AU45" s="216">
        <v>8.1190765479099179E-32</v>
      </c>
      <c r="AV45" s="216">
        <v>0</v>
      </c>
      <c r="AW45" s="216">
        <v>0</v>
      </c>
      <c r="AX45" s="121" t="str">
        <f>RIGHT(Таблица17[[#This Row],[Класиф вкл2]])</f>
        <v>3</v>
      </c>
      <c r="AY45" s="221">
        <v>3</v>
      </c>
      <c r="AZ45" s="147">
        <f>IF(Таблица17[[#This Row],[обуч выборка2]]-Таблица17[[#This Row],[Класиф вкл]]=0,1,0)</f>
        <v>0</v>
      </c>
      <c r="BA45" s="117" t="s">
        <v>215</v>
      </c>
      <c r="BB45" s="147">
        <f>IF(Таблица17[[#This Row],[обуч выборка2]]-Таблица17[[#This Row],[Расстояние Махаланобиса вкл
]]=0,1,0)</f>
        <v>0</v>
      </c>
      <c r="BC45" s="117">
        <f>MATCH(MIN(Таблица17[[#This Row],[1 класс вкл]:[6 класс вкл]]),Таблица17[[#This Row],[1 класс вкл]:[6 класс вкл]],0)</f>
        <v>3</v>
      </c>
      <c r="BD45" s="118">
        <v>206.25116355936535</v>
      </c>
      <c r="BE45" s="118">
        <v>203.76042175954902</v>
      </c>
      <c r="BF45" s="118">
        <v>137.01122670844089</v>
      </c>
      <c r="BG45" s="120">
        <v>240.51217203607553</v>
      </c>
      <c r="BH45" s="118">
        <v>311.89895046546837</v>
      </c>
      <c r="BI45" s="118">
        <v>334.89319773046913</v>
      </c>
      <c r="BJ45" s="147">
        <f>IF(Таблица17[[#This Row],[обуч выборка2]]-Таблица17[[#This Row],[Апосториорная вероятность вкл]]=0,1,0)</f>
        <v>0</v>
      </c>
      <c r="BK45" s="117">
        <f>MATCH(MAX(Таблица17[[#This Row],[1 класс вкл.]:[6 класс вкл.]]),Таблица17[[#This Row],[1 класс вкл.]:[6 класс вкл.]],0)</f>
        <v>3</v>
      </c>
      <c r="BL45" s="119">
        <v>1.8440332381671913E-15</v>
      </c>
      <c r="BM45" s="119">
        <v>5.1252663715086961E-15</v>
      </c>
      <c r="BN45" s="119">
        <v>0.99999999999999301</v>
      </c>
      <c r="BO45" s="119">
        <v>1.3400323335298135E-23</v>
      </c>
      <c r="BP45" s="119">
        <v>0</v>
      </c>
      <c r="BQ45" s="119">
        <v>0</v>
      </c>
      <c r="BR45" s="121" t="str">
        <f>RIGHT(Таблица17[[#This Row],[Класиф искл2]])</f>
        <v>3</v>
      </c>
      <c r="BS45" s="222">
        <v>3</v>
      </c>
      <c r="BT45" s="147">
        <f>IF(Таблица17[[#This Row],[обуч выборка2]]-Таблица17[[#This Row],[Класиф искл]]=0,1,0)</f>
        <v>0</v>
      </c>
      <c r="BU45" s="117" t="s">
        <v>215</v>
      </c>
      <c r="BV45" s="147">
        <f>IF(Таблица17[[#This Row],[обуч выборка2]]-Таблица17[[#This Row],[Расстояние Махаланобиса искл]]=0,1,0)</f>
        <v>0</v>
      </c>
      <c r="BW45" s="117">
        <f>MATCH(MIN(Таблица17[[#This Row],[1 класс искл]:[6 класс искл]]),Таблица17[[#This Row],[1 класс искл]:[6 класс искл]],0)</f>
        <v>3</v>
      </c>
      <c r="BX45" s="120">
        <v>186.12792645357206</v>
      </c>
      <c r="BY45" s="120">
        <v>202.40913876246424</v>
      </c>
      <c r="BZ45" s="120">
        <v>127.25735887514789</v>
      </c>
      <c r="CA45" s="120">
        <v>261.2465798631867</v>
      </c>
      <c r="CB45" s="120">
        <v>383.73522596468831</v>
      </c>
      <c r="CC45" s="120">
        <v>240.39358185734736</v>
      </c>
      <c r="CD45" s="147">
        <f>IF(Таблица17[[#This Row],[обуч выборка2]]-Таблица17[[#This Row],[Апосториорная вероятность искл]]=0,1,0)</f>
        <v>0</v>
      </c>
      <c r="CE45" s="117">
        <f>MATCH(MAX(Таблица17[[#This Row],[1 класс искл.]:[6 класс искл.]]),Таблица17[[#This Row],[1 класс искл.]:[6 класс искл.]],0)</f>
        <v>3</v>
      </c>
      <c r="CF45" s="120">
        <v>3.2919154541485302E-13</v>
      </c>
      <c r="CG45" s="120">
        <v>7.6757059253353717E-17</v>
      </c>
      <c r="CH45" s="120">
        <v>0.99999999999967082</v>
      </c>
      <c r="CI45" s="120">
        <v>3.2112220445383036E-30</v>
      </c>
      <c r="CJ45" s="120">
        <v>0</v>
      </c>
      <c r="CK45" s="120">
        <v>1.6252964176121082E-25</v>
      </c>
      <c r="CL45" s="198">
        <v>-1.5241183555249409</v>
      </c>
      <c r="CM45" s="198">
        <v>-0.83005765926504826</v>
      </c>
      <c r="CN45" s="199">
        <v>-4.4795835786423135</v>
      </c>
      <c r="CO45" s="192">
        <v>1</v>
      </c>
      <c r="CP45" s="195">
        <v>4</v>
      </c>
      <c r="CQ45" s="209">
        <v>-0.55001</v>
      </c>
      <c r="CR45" s="209">
        <v>-1.0174700000000001</v>
      </c>
      <c r="CS45" s="223">
        <v>2</v>
      </c>
      <c r="CT45" s="223">
        <v>1</v>
      </c>
      <c r="CU45" s="209">
        <v>-1.0174700000000001</v>
      </c>
      <c r="CV45" s="209">
        <v>-0.55001</v>
      </c>
      <c r="CW45" s="209">
        <v>5</v>
      </c>
      <c r="CX45" s="210">
        <v>3</v>
      </c>
      <c r="CY45" s="238" t="s">
        <v>341</v>
      </c>
      <c r="CZ45" s="238">
        <v>5</v>
      </c>
    </row>
    <row r="46" spans="1:104" x14ac:dyDescent="0.3">
      <c r="A46" s="57" t="s">
        <v>54</v>
      </c>
      <c r="B46" s="57">
        <v>4</v>
      </c>
      <c r="C46" s="57">
        <v>6</v>
      </c>
      <c r="D46" s="57">
        <v>2</v>
      </c>
      <c r="E46" s="58">
        <v>6</v>
      </c>
      <c r="F46" s="58">
        <v>1.3774397600000001</v>
      </c>
      <c r="G46" s="58">
        <v>0.28289302100000002</v>
      </c>
      <c r="H46" s="58">
        <v>-0.690151124</v>
      </c>
      <c r="I46" s="58">
        <v>6.3189663099999988E-2</v>
      </c>
      <c r="J46" s="58">
        <v>0.85081166200000014</v>
      </c>
      <c r="K46" s="58">
        <v>-0.18147548200000002</v>
      </c>
      <c r="L46" s="58">
        <v>-0.33686437400000013</v>
      </c>
      <c r="M46" s="58">
        <v>-0.39694198700000005</v>
      </c>
      <c r="N46" s="58">
        <v>0.42596872800000007</v>
      </c>
      <c r="O46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3.6669740004017966</v>
      </c>
      <c r="P46" s="114" t="s">
        <v>214</v>
      </c>
      <c r="Q46" s="114" t="str">
        <f>RIGHT(P46)</f>
        <v>2</v>
      </c>
      <c r="R46" s="121" t="str">
        <f>RIGHT(Таблица17[[#This Row],[Классиф ДА2]])</f>
        <v>2</v>
      </c>
      <c r="S46">
        <v>2</v>
      </c>
      <c r="T46" s="147">
        <f>IF(Таблица17[[#This Row],[обуч выборка2]]-Таблица17[[#This Row],[Классиф ДА]]=0,1,0)</f>
        <v>1</v>
      </c>
      <c r="U46" s="117" t="s">
        <v>214</v>
      </c>
      <c r="V46" s="147">
        <f>IF(Таблица17[[#This Row],[обуч выборка2]]-Таблица17[[#This Row],[расстояние Махаланобиса]]=0,1,0)</f>
        <v>1</v>
      </c>
      <c r="W46" s="117">
        <f>MATCH(MIN(Таблица17[[#This Row],[1 класс]:[6 класс]]),Таблица17[[#This Row],[1 класс]:[6 класс]],0)</f>
        <v>2</v>
      </c>
      <c r="X46" s="118">
        <v>61.725397701810891</v>
      </c>
      <c r="Y46" s="118">
        <v>13.127967121518385</v>
      </c>
      <c r="Z46" s="118">
        <v>30.582608017254415</v>
      </c>
      <c r="AA46" s="118">
        <v>263.71974415899393</v>
      </c>
      <c r="AB46" s="118">
        <v>169.50500946958692</v>
      </c>
      <c r="AC46" s="118">
        <v>192.26021205104394</v>
      </c>
      <c r="AD46" s="212">
        <v>61.725397701810891</v>
      </c>
      <c r="AE46" s="212">
        <v>13.127967121518385</v>
      </c>
      <c r="AF46" s="212">
        <v>30.582608017254415</v>
      </c>
      <c r="AG46" s="212">
        <v>263.71974415899393</v>
      </c>
      <c r="AH46" s="212">
        <v>169.50500946958692</v>
      </c>
      <c r="AI46" s="212">
        <v>192.26021205104394</v>
      </c>
      <c r="AJ46" s="147">
        <f>IF(Таблица17[[#This Row],[обуч выборка2]]-Таблица17[[#This Row],[Апосториорная вероятность]]=0,1,0)</f>
        <v>1</v>
      </c>
      <c r="AK46" s="117">
        <f>MATCH(MAX(Таблица17[[#This Row],[1 класс.]:[6 класс.]]),Таблица17[[#This Row],[1 класс.]:[6 класс.]],0)</f>
        <v>2</v>
      </c>
      <c r="AL46" s="120">
        <v>3.5000000369812013E-11</v>
      </c>
      <c r="AM46" s="120">
        <v>0.99989870009015069</v>
      </c>
      <c r="AN46" s="120">
        <v>1.01299874849484E-4</v>
      </c>
      <c r="AO46" s="120">
        <v>0</v>
      </c>
      <c r="AP46" s="120">
        <v>0</v>
      </c>
      <c r="AQ46" s="120">
        <v>0</v>
      </c>
      <c r="AR46" s="216">
        <v>3.5000000369812013E-11</v>
      </c>
      <c r="AS46" s="216">
        <v>0.99989870009015069</v>
      </c>
      <c r="AT46" s="216">
        <v>1.01299874849484E-4</v>
      </c>
      <c r="AU46" s="216">
        <v>0</v>
      </c>
      <c r="AV46" s="216">
        <v>0</v>
      </c>
      <c r="AW46" s="216">
        <v>0</v>
      </c>
      <c r="AX46" s="121" t="str">
        <f>RIGHT(Таблица17[[#This Row],[Класиф вкл2]])</f>
        <v>2</v>
      </c>
      <c r="AY46" s="221">
        <v>2</v>
      </c>
      <c r="AZ46" s="147">
        <f>IF(Таблица17[[#This Row],[обуч выборка2]]-Таблица17[[#This Row],[Класиф вкл]]=0,1,0)</f>
        <v>1</v>
      </c>
      <c r="BA46" s="117" t="s">
        <v>214</v>
      </c>
      <c r="BB46" s="147">
        <f>IF(Таблица17[[#This Row],[обуч выборка2]]-Таблица17[[#This Row],[Расстояние Махаланобиса вкл
]]=0,1,0)</f>
        <v>1</v>
      </c>
      <c r="BC46" s="117">
        <f>MATCH(MIN(Таблица17[[#This Row],[1 класс вкл]:[6 класс вкл]]),Таблица17[[#This Row],[1 класс вкл]:[6 класс вкл]],0)</f>
        <v>2</v>
      </c>
      <c r="BD46" s="118">
        <v>42.567631802083788</v>
      </c>
      <c r="BE46" s="118">
        <v>11.851612332110092</v>
      </c>
      <c r="BF46" s="118">
        <v>26.249345871230901</v>
      </c>
      <c r="BG46" s="120">
        <v>183.9397122334683</v>
      </c>
      <c r="BH46" s="118">
        <v>121.0279991402097</v>
      </c>
      <c r="BI46" s="118">
        <v>166.59747103121543</v>
      </c>
      <c r="BJ46" s="147">
        <f>IF(Таблица17[[#This Row],[обуч выборка2]]-Таблица17[[#This Row],[Апосториорная вероятность вкл]]=0,1,0)</f>
        <v>1</v>
      </c>
      <c r="BK46" s="117">
        <f>MATCH(MAX(Таблица17[[#This Row],[1 класс вкл.]:[6 класс вкл.]]),Таблица17[[#This Row],[1 класс вкл.]:[6 класс вкл.]],0)</f>
        <v>2</v>
      </c>
      <c r="BL46" s="119">
        <v>2.671826080620454E-7</v>
      </c>
      <c r="BM46" s="119">
        <v>0.99953280585133442</v>
      </c>
      <c r="BN46" s="119">
        <v>4.6692696605750498E-4</v>
      </c>
      <c r="BO46" s="119">
        <v>0</v>
      </c>
      <c r="BP46" s="119">
        <v>4.9021420191623322E-25</v>
      </c>
      <c r="BQ46" s="119">
        <v>0</v>
      </c>
      <c r="BR46" s="121" t="str">
        <f>RIGHT(Таблица17[[#This Row],[Класиф искл2]])</f>
        <v>2</v>
      </c>
      <c r="BS46" s="222">
        <v>2</v>
      </c>
      <c r="BT46" s="147">
        <f>IF(Таблица17[[#This Row],[обуч выборка2]]-Таблица17[[#This Row],[Класиф искл]]=0,1,0)</f>
        <v>1</v>
      </c>
      <c r="BU46" s="117" t="s">
        <v>214</v>
      </c>
      <c r="BV46" s="147">
        <f>IF(Таблица17[[#This Row],[обуч выборка2]]-Таблица17[[#This Row],[Расстояние Махаланобиса искл]]=0,1,0)</f>
        <v>1</v>
      </c>
      <c r="BW46" s="117">
        <f>MATCH(MIN(Таблица17[[#This Row],[1 класс искл]:[6 класс искл]]),Таблица17[[#This Row],[1 класс искл]:[6 класс искл]],0)</f>
        <v>2</v>
      </c>
      <c r="BX46" s="120">
        <v>33.423515451004576</v>
      </c>
      <c r="BY46" s="120">
        <v>4.4979611926447376</v>
      </c>
      <c r="BZ46" s="120">
        <v>20.633550260697643</v>
      </c>
      <c r="CA46" s="120">
        <v>186.1719754357926</v>
      </c>
      <c r="CB46" s="120">
        <v>148.40572779411758</v>
      </c>
      <c r="CC46" s="120">
        <v>86.67695804207888</v>
      </c>
      <c r="CD46" s="147">
        <f>IF(Таблица17[[#This Row],[обуч выборка2]]-Таблица17[[#This Row],[Апосториорная вероятность искл]]=0,1,0)</f>
        <v>1</v>
      </c>
      <c r="CE46" s="117">
        <f>MATCH(MAX(Таблица17[[#This Row],[1 класс искл.]:[6 класс искл.]]),Таблица17[[#This Row],[1 класс искл.]:[6 класс искл.]],0)</f>
        <v>2</v>
      </c>
      <c r="CF46" s="120">
        <v>6.5421477709221748E-7</v>
      </c>
      <c r="CG46" s="120">
        <v>0.99980346311895263</v>
      </c>
      <c r="CH46" s="120">
        <v>1.9588266627030643E-4</v>
      </c>
      <c r="CI46" s="120">
        <v>0</v>
      </c>
      <c r="CJ46" s="120">
        <v>1.4082513504610135E-32</v>
      </c>
      <c r="CK46" s="120">
        <v>5.3580094399400841E-19</v>
      </c>
      <c r="CL46" s="198">
        <v>0.16969776162509348</v>
      </c>
      <c r="CM46" s="198">
        <v>0.80167679796189062</v>
      </c>
      <c r="CN46" s="199">
        <v>0.86609462059072184</v>
      </c>
      <c r="CO46" s="192">
        <v>4</v>
      </c>
      <c r="CP46" s="195">
        <v>3</v>
      </c>
      <c r="CQ46" s="209">
        <v>-0.18694000000000002</v>
      </c>
      <c r="CR46" s="209">
        <v>0.65442000000000011</v>
      </c>
      <c r="CS46" s="223">
        <v>4</v>
      </c>
      <c r="CT46" s="223">
        <v>2</v>
      </c>
      <c r="CU46" s="209">
        <v>0.65442000000000011</v>
      </c>
      <c r="CV46" s="209">
        <v>-0.18694000000000002</v>
      </c>
      <c r="CW46" s="209">
        <v>6</v>
      </c>
      <c r="CX46" s="210">
        <v>5</v>
      </c>
      <c r="CY46" s="238" t="s">
        <v>339</v>
      </c>
      <c r="CZ46" s="238">
        <v>4</v>
      </c>
    </row>
    <row r="47" spans="1:104" x14ac:dyDescent="0.3">
      <c r="A47" s="57" t="s">
        <v>55</v>
      </c>
      <c r="B47" s="57">
        <v>6</v>
      </c>
      <c r="C47" s="57">
        <v>6</v>
      </c>
      <c r="D47" s="57">
        <v>1</v>
      </c>
      <c r="E47" s="58">
        <v>6</v>
      </c>
      <c r="F47" s="58">
        <v>-0.50512152600000004</v>
      </c>
      <c r="G47" s="58">
        <v>0.19424343600000005</v>
      </c>
      <c r="H47" s="58">
        <v>-0.41641013600000004</v>
      </c>
      <c r="I47" s="58">
        <v>-0.30599285500000006</v>
      </c>
      <c r="J47" s="58">
        <v>-0.26524757999999998</v>
      </c>
      <c r="K47" s="58">
        <v>-0.63042687400000008</v>
      </c>
      <c r="L47" s="58">
        <v>-0.18733441100000001</v>
      </c>
      <c r="M47" s="58">
        <v>1.35114428</v>
      </c>
      <c r="N47" s="58">
        <v>-0.60877446600000018</v>
      </c>
      <c r="O47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3.2589930167475312</v>
      </c>
      <c r="P47" s="114"/>
      <c r="Q47" s="114"/>
      <c r="R47" s="121" t="str">
        <f>RIGHT(Таблица17[[#This Row],[Классиф ДА2]])</f>
        <v>1</v>
      </c>
      <c r="S47">
        <v>1</v>
      </c>
      <c r="T47" s="147">
        <f>IF(Таблица17[[#This Row],[обуч выборка2]]-Таблица17[[#This Row],[Классиф ДА]]=0,1,0)</f>
        <v>0</v>
      </c>
      <c r="U47" s="117" t="s">
        <v>213</v>
      </c>
      <c r="V47" s="147">
        <f>IF(Таблица17[[#This Row],[обуч выборка2]]-Таблица17[[#This Row],[расстояние Махаланобиса]]=0,1,0)</f>
        <v>0</v>
      </c>
      <c r="W47" s="117">
        <f>MATCH(MIN(Таблица17[[#This Row],[1 класс]:[6 класс]]),Таблица17[[#This Row],[1 класс]:[6 класс]],0)</f>
        <v>1</v>
      </c>
      <c r="X47" s="118">
        <v>15.412615626867202</v>
      </c>
      <c r="Y47" s="118">
        <v>32.797500528304653</v>
      </c>
      <c r="Z47" s="118">
        <v>33.775740687129023</v>
      </c>
      <c r="AA47" s="118">
        <v>273.50679832935327</v>
      </c>
      <c r="AB47" s="118">
        <v>244.89069525575718</v>
      </c>
      <c r="AC47" s="118">
        <v>114.36612018720919</v>
      </c>
      <c r="AD47" s="212">
        <v>15.412615626867202</v>
      </c>
      <c r="AE47" s="212">
        <v>32.797500528304653</v>
      </c>
      <c r="AF47" s="212">
        <v>33.775740687129023</v>
      </c>
      <c r="AG47" s="212">
        <v>273.50679832935327</v>
      </c>
      <c r="AH47" s="212">
        <v>244.89069525575718</v>
      </c>
      <c r="AI47" s="212">
        <v>114.36612018720919</v>
      </c>
      <c r="AJ47" s="147">
        <f>IF(Таблица17[[#This Row],[обуч выборка2]]-Таблица17[[#This Row],[Апосториорная вероятность]]=0,1,0)</f>
        <v>0</v>
      </c>
      <c r="AK47" s="117">
        <f>MATCH(MAX(Таблица17[[#This Row],[1 класс.]:[6 класс.]]),Таблица17[[#This Row],[1 класс.]:[6 класс.]],0)</f>
        <v>1</v>
      </c>
      <c r="AL47" s="120">
        <v>0.99981429504779462</v>
      </c>
      <c r="AM47" s="120">
        <v>1.342547123039986E-4</v>
      </c>
      <c r="AN47" s="120">
        <v>5.1450239901405982E-5</v>
      </c>
      <c r="AO47" s="120">
        <v>0</v>
      </c>
      <c r="AP47" s="120">
        <v>0</v>
      </c>
      <c r="AQ47" s="120">
        <v>9.7624786885132304E-23</v>
      </c>
      <c r="AR47" s="216">
        <v>0.99981429504779462</v>
      </c>
      <c r="AS47" s="216">
        <v>1.342547123039986E-4</v>
      </c>
      <c r="AT47" s="216">
        <v>5.1450239901405982E-5</v>
      </c>
      <c r="AU47" s="216">
        <v>0</v>
      </c>
      <c r="AV47" s="216">
        <v>0</v>
      </c>
      <c r="AW47" s="216">
        <v>9.7624786885132304E-23</v>
      </c>
      <c r="AX47" s="121" t="str">
        <f>RIGHT(Таблица17[[#This Row],[Класиф вкл2]])</f>
        <v>2</v>
      </c>
      <c r="AY47" s="221">
        <v>2</v>
      </c>
      <c r="AZ47" s="147">
        <f>IF(Таблица17[[#This Row],[обуч выборка2]]-Таблица17[[#This Row],[Класиф вкл]]=0,1,0)</f>
        <v>0</v>
      </c>
      <c r="BA47" s="117" t="s">
        <v>214</v>
      </c>
      <c r="BB47" s="147">
        <f>IF(Таблица17[[#This Row],[обуч выборка2]]-Таблица17[[#This Row],[Расстояние Махаланобиса вкл
]]=0,1,0)</f>
        <v>0</v>
      </c>
      <c r="BC47" s="117">
        <f>MATCH(MIN(Таблица17[[#This Row],[1 класс вкл]:[6 класс вкл]]),Таблица17[[#This Row],[1 класс вкл]:[6 класс вкл]],0)</f>
        <v>2</v>
      </c>
      <c r="BD47" s="118">
        <v>10.437333736688277</v>
      </c>
      <c r="BE47" s="118">
        <v>9.3665150414347789</v>
      </c>
      <c r="BF47" s="118">
        <v>15.185434632408434</v>
      </c>
      <c r="BG47" s="120">
        <v>209.80755030906889</v>
      </c>
      <c r="BH47" s="118">
        <v>127.75769521285581</v>
      </c>
      <c r="BI47" s="118">
        <v>104.28936289524715</v>
      </c>
      <c r="BJ47" s="147">
        <f>IF(Таблица17[[#This Row],[обуч выборка2]]-Таблица17[[#This Row],[Апосториорная вероятность вкл]]=0,1,0)</f>
        <v>0</v>
      </c>
      <c r="BK47" s="117">
        <f>MATCH(MAX(Таблица17[[#This Row],[1 класс вкл.]:[6 класс вкл.]]),Таблица17[[#This Row],[1 класс вкл.]:[6 класс вкл.]],0)</f>
        <v>2</v>
      </c>
      <c r="BL47" s="119">
        <v>0.41440998212058511</v>
      </c>
      <c r="BM47" s="119">
        <v>0.56629864200106972</v>
      </c>
      <c r="BN47" s="119">
        <v>1.9291375878345174E-2</v>
      </c>
      <c r="BO47" s="119">
        <v>0</v>
      </c>
      <c r="BP47" s="119">
        <v>2.7711970091486444E-27</v>
      </c>
      <c r="BQ47" s="123">
        <v>5.1861165563953448E-22</v>
      </c>
      <c r="BR47" s="121" t="str">
        <f>RIGHT(Таблица17[[#This Row],[Класиф искл2]])</f>
        <v>2</v>
      </c>
      <c r="BS47" s="222">
        <v>1</v>
      </c>
      <c r="BT47" s="147">
        <f>IF(Таблица17[[#This Row],[обуч выборка2]]-Таблица17[[#This Row],[Класиф искл]]=0,1,0)</f>
        <v>0</v>
      </c>
      <c r="BU47" s="117" t="s">
        <v>214</v>
      </c>
      <c r="BV47" s="147">
        <f>IF(Таблица17[[#This Row],[обуч выборка2]]-Таблица17[[#This Row],[Расстояние Махаланобиса искл]]=0,1,0)</f>
        <v>0</v>
      </c>
      <c r="BW47" s="117">
        <f>MATCH(MIN(Таблица17[[#This Row],[1 класс искл]:[6 класс искл]]),Таблица17[[#This Row],[1 класс искл]:[6 класс искл]],0)</f>
        <v>2</v>
      </c>
      <c r="BX47" s="120">
        <v>11.620375525058581</v>
      </c>
      <c r="BY47" s="120">
        <v>10.546001448712994</v>
      </c>
      <c r="BZ47" s="120">
        <v>15.218331148789654</v>
      </c>
      <c r="CA47" s="120">
        <v>210.06185853921497</v>
      </c>
      <c r="CB47" s="120">
        <v>150.75861748924385</v>
      </c>
      <c r="CC47" s="120">
        <v>69.578195991009167</v>
      </c>
      <c r="CD47" s="147">
        <f>IF(Таблица17[[#This Row],[обуч выборка2]]-Таблица17[[#This Row],[Апосториорная вероятность искл]]=0,1,0)</f>
        <v>0</v>
      </c>
      <c r="CE47" s="117">
        <f>MATCH(MAX(Таблица17[[#This Row],[1 класс искл.]:[6 класс искл.]]),Таблица17[[#This Row],[1 класс искл.]:[6 класс искл.]],0)</f>
        <v>2</v>
      </c>
      <c r="CF47" s="120">
        <v>0.40788303515336777</v>
      </c>
      <c r="CG47" s="120">
        <v>0.55837118181389611</v>
      </c>
      <c r="CH47" s="120">
        <v>3.3745783032704479E-2</v>
      </c>
      <c r="CI47" s="120">
        <v>0</v>
      </c>
      <c r="CJ47" s="120">
        <v>4.9897672084347901E-32</v>
      </c>
      <c r="CK47" s="120">
        <v>3.1788943269101019E-14</v>
      </c>
      <c r="CL47" s="198">
        <v>-0.65128035231628534</v>
      </c>
      <c r="CM47" s="198">
        <v>-0.14495052678642351</v>
      </c>
      <c r="CN47" s="199">
        <v>-0.43319040866054848</v>
      </c>
      <c r="CO47" s="192">
        <v>5</v>
      </c>
      <c r="CP47" s="195">
        <v>4</v>
      </c>
      <c r="CQ47" s="209">
        <v>-0.30474000000000001</v>
      </c>
      <c r="CR47" s="209">
        <v>-0.48752000000000006</v>
      </c>
      <c r="CS47" s="223">
        <v>5</v>
      </c>
      <c r="CT47" s="223">
        <v>1</v>
      </c>
      <c r="CU47" s="209">
        <v>-0.48752000000000006</v>
      </c>
      <c r="CV47" s="209">
        <v>-0.30474000000000001</v>
      </c>
      <c r="CW47" s="209">
        <v>5</v>
      </c>
      <c r="CX47" s="210">
        <v>3</v>
      </c>
      <c r="CY47" s="238" t="s">
        <v>339</v>
      </c>
      <c r="CZ47" s="238">
        <v>5</v>
      </c>
    </row>
    <row r="48" spans="1:104" x14ac:dyDescent="0.3">
      <c r="A48" s="57" t="s">
        <v>56</v>
      </c>
      <c r="B48" s="57">
        <v>2</v>
      </c>
      <c r="C48" s="57">
        <v>6</v>
      </c>
      <c r="D48" s="57">
        <v>2</v>
      </c>
      <c r="E48" s="58">
        <v>6</v>
      </c>
      <c r="F48" s="58">
        <v>1.5642330499999999</v>
      </c>
      <c r="G48" s="58">
        <v>1.54368712</v>
      </c>
      <c r="H48" s="58">
        <v>-0.31104988000000006</v>
      </c>
      <c r="I48" s="58">
        <v>-2.0733667900000001</v>
      </c>
      <c r="J48" s="58">
        <v>0.64752463500000013</v>
      </c>
      <c r="K48" s="58">
        <v>-0.36513741500000002</v>
      </c>
      <c r="L48" s="58">
        <v>-0.79923932499999994</v>
      </c>
      <c r="M48" s="58">
        <v>0.315241306</v>
      </c>
      <c r="N48" s="58">
        <v>-0.50334932600000004</v>
      </c>
      <c r="O48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10.769531440549327</v>
      </c>
      <c r="P48" s="114"/>
      <c r="Q48" s="114"/>
      <c r="R48" s="121" t="str">
        <f>RIGHT(Таблица17[[#This Row],[Классиф ДА2]])</f>
        <v>5</v>
      </c>
      <c r="S48">
        <v>5</v>
      </c>
      <c r="T48" s="147">
        <f>IF(Таблица17[[#This Row],[обуч выборка2]]-Таблица17[[#This Row],[Классиф ДА]]=0,1,0)</f>
        <v>0</v>
      </c>
      <c r="U48" s="117" t="s">
        <v>212</v>
      </c>
      <c r="V48" s="147">
        <f>IF(Таблица17[[#This Row],[обуч выборка2]]-Таблица17[[#This Row],[расстояние Махаланобиса]]=0,1,0)</f>
        <v>0</v>
      </c>
      <c r="W48" s="117">
        <f>MATCH(MIN(Таблица17[[#This Row],[1 класс]:[6 класс]]),Таблица17[[#This Row],[1 класс]:[6 класс]],0)</f>
        <v>5</v>
      </c>
      <c r="X48" s="118">
        <v>397.21818914625254</v>
      </c>
      <c r="Y48" s="118">
        <v>231.80839930277006</v>
      </c>
      <c r="Z48" s="118">
        <v>273.51412809325745</v>
      </c>
      <c r="AA48" s="118">
        <v>655.85890090789542</v>
      </c>
      <c r="AB48" s="118">
        <v>62.072833982812213</v>
      </c>
      <c r="AC48" s="118">
        <v>647.9050745432811</v>
      </c>
      <c r="AD48" s="212">
        <v>397.21818914625254</v>
      </c>
      <c r="AE48" s="212">
        <v>231.80839930277006</v>
      </c>
      <c r="AF48" s="212">
        <v>273.51412809325745</v>
      </c>
      <c r="AG48" s="212">
        <v>655.85890090789542</v>
      </c>
      <c r="AH48" s="212">
        <v>62.072833982812213</v>
      </c>
      <c r="AI48" s="212">
        <v>647.9050745432811</v>
      </c>
      <c r="AJ48" s="147">
        <f>IF(Таблица17[[#This Row],[обуч выборка2]]-Таблица17[[#This Row],[Апосториорная вероятность]]=0,1,0)</f>
        <v>0</v>
      </c>
      <c r="AK48" s="117">
        <f>MATCH(MAX(Таблица17[[#This Row],[1 класс.]:[6 класс.]]),Таблица17[[#This Row],[1 класс.]:[6 класс.]],0)</f>
        <v>5</v>
      </c>
      <c r="AL48" s="120">
        <v>0</v>
      </c>
      <c r="AM48" s="120">
        <v>0</v>
      </c>
      <c r="AN48" s="120">
        <v>0</v>
      </c>
      <c r="AO48" s="120">
        <v>0</v>
      </c>
      <c r="AP48" s="120">
        <v>1</v>
      </c>
      <c r="AQ48" s="120">
        <v>0</v>
      </c>
      <c r="AR48" s="216">
        <v>0</v>
      </c>
      <c r="AS48" s="216">
        <v>0</v>
      </c>
      <c r="AT48" s="216">
        <v>0</v>
      </c>
      <c r="AU48" s="216">
        <v>0</v>
      </c>
      <c r="AV48" s="216">
        <v>1</v>
      </c>
      <c r="AW48" s="216">
        <v>0</v>
      </c>
      <c r="AX48" s="121" t="str">
        <f>RIGHT(Таблица17[[#This Row],[Класиф вкл2]])</f>
        <v>5</v>
      </c>
      <c r="AY48" s="221">
        <v>5</v>
      </c>
      <c r="AZ48" s="147">
        <f>IF(Таблица17[[#This Row],[обуч выборка2]]-Таблица17[[#This Row],[Класиф вкл]]=0,1,0)</f>
        <v>0</v>
      </c>
      <c r="BA48" s="117" t="s">
        <v>212</v>
      </c>
      <c r="BB48" s="147">
        <f>IF(Таблица17[[#This Row],[обуч выборка2]]-Таблица17[[#This Row],[Расстояние Махаланобиса вкл
]]=0,1,0)</f>
        <v>0</v>
      </c>
      <c r="BC48" s="117">
        <f>MATCH(MIN(Таблица17[[#This Row],[1 класс вкл]:[6 класс вкл]]),Таблица17[[#This Row],[1 класс вкл]:[6 класс вкл]],0)</f>
        <v>6</v>
      </c>
      <c r="BD48" s="118">
        <v>79.451984547267713</v>
      </c>
      <c r="BE48" s="118">
        <v>110.74449070777777</v>
      </c>
      <c r="BF48" s="118">
        <v>98.682071021036364</v>
      </c>
      <c r="BG48" s="120">
        <v>225.71671746402876</v>
      </c>
      <c r="BH48" s="118">
        <v>332.47204093518326</v>
      </c>
      <c r="BI48" s="118">
        <v>5.1031864311498216</v>
      </c>
      <c r="BJ48" s="147">
        <f>IF(Таблица17[[#This Row],[обуч выборка2]]-Таблица17[[#This Row],[Апосториорная вероятность вкл]]=0,1,0)</f>
        <v>0</v>
      </c>
      <c r="BK48" s="117">
        <f>MATCH(MAX(Таблица17[[#This Row],[1 класс вкл.]:[6 класс вкл.]]),Таблица17[[#This Row],[1 класс вкл.]:[6 класс вкл.]],0)</f>
        <v>6</v>
      </c>
      <c r="BL48" s="119">
        <v>2.3891442183160936E-16</v>
      </c>
      <c r="BM48" s="119">
        <v>3.063733448749972E-23</v>
      </c>
      <c r="BN48" s="119">
        <v>7.9698867383023643E-21</v>
      </c>
      <c r="BO48" s="119">
        <v>0</v>
      </c>
      <c r="BP48" s="119">
        <v>0</v>
      </c>
      <c r="BQ48" s="119">
        <v>0.99999999999999978</v>
      </c>
      <c r="BR48" s="121" t="str">
        <f>RIGHT(Таблица17[[#This Row],[Класиф искл2]])</f>
        <v>5</v>
      </c>
      <c r="BS48" s="222">
        <v>5</v>
      </c>
      <c r="BT48" s="147">
        <f>IF(Таблица17[[#This Row],[обуч выборка2]]-Таблица17[[#This Row],[Класиф искл]]=0,1,0)</f>
        <v>0</v>
      </c>
      <c r="BU48" s="117" t="s">
        <v>212</v>
      </c>
      <c r="BV48" s="147">
        <f>IF(Таблица17[[#This Row],[обуч выборка2]]-Таблица17[[#This Row],[Расстояние Махаланобиса искл]]=0,1,0)</f>
        <v>0</v>
      </c>
      <c r="BW48" s="117">
        <f>MATCH(MIN(Таблица17[[#This Row],[1 класс искл]:[6 класс искл]]),Таблица17[[#This Row],[1 класс искл]:[6 класс искл]],0)</f>
        <v>6</v>
      </c>
      <c r="BX48" s="120">
        <v>65.081277863341256</v>
      </c>
      <c r="BY48" s="120">
        <v>94.392418163614224</v>
      </c>
      <c r="BZ48" s="120">
        <v>76.779418509055816</v>
      </c>
      <c r="CA48" s="120">
        <v>194.00767757026506</v>
      </c>
      <c r="CB48" s="120">
        <v>320.97124978752265</v>
      </c>
      <c r="CC48" s="120">
        <v>3.9700884667018954</v>
      </c>
      <c r="CD48" s="147">
        <f>IF(Таблица17[[#This Row],[обуч выборка2]]-Таблица17[[#This Row],[Апосториорная вероятность искл]]=0,1,0)</f>
        <v>0</v>
      </c>
      <c r="CE48" s="117">
        <f>MATCH(MAX(Таблица17[[#This Row],[1 класс искл.]:[6 класс искл.]]),Таблица17[[#This Row],[1 класс искл.]:[6 класс искл.]],0)</f>
        <v>6</v>
      </c>
      <c r="CF48" s="120">
        <v>1.7895860120666211E-13</v>
      </c>
      <c r="CG48" s="120">
        <v>6.1802966036515762E-20</v>
      </c>
      <c r="CH48" s="120">
        <v>2.579310436392137E-16</v>
      </c>
      <c r="CI48" s="120">
        <v>0</v>
      </c>
      <c r="CJ48" s="120">
        <v>0</v>
      </c>
      <c r="CK48" s="120">
        <v>0.99999999999982081</v>
      </c>
      <c r="CL48" s="198">
        <v>-1.1292697822017885</v>
      </c>
      <c r="CM48" s="198">
        <v>1.5028990490382081</v>
      </c>
      <c r="CN48" s="199">
        <v>0.38742790868608895</v>
      </c>
      <c r="CO48" s="192">
        <v>6</v>
      </c>
      <c r="CP48" s="195">
        <v>6</v>
      </c>
      <c r="CQ48" s="209">
        <v>-1.7160299999999999</v>
      </c>
      <c r="CR48" s="209">
        <v>0.33411000000000007</v>
      </c>
      <c r="CS48" s="223">
        <v>6</v>
      </c>
      <c r="CT48" s="223">
        <v>5</v>
      </c>
      <c r="CU48" s="209">
        <v>0.33411000000000007</v>
      </c>
      <c r="CV48" s="209">
        <v>-1.7160299999999999</v>
      </c>
      <c r="CW48" s="209">
        <v>3</v>
      </c>
      <c r="CX48" s="210">
        <v>2</v>
      </c>
      <c r="CY48" s="238" t="s">
        <v>339</v>
      </c>
      <c r="CZ48" s="238">
        <v>1</v>
      </c>
    </row>
    <row r="49" spans="1:104" x14ac:dyDescent="0.3">
      <c r="A49" s="57" t="s">
        <v>57</v>
      </c>
      <c r="B49" s="57">
        <v>6</v>
      </c>
      <c r="C49" s="57">
        <v>5</v>
      </c>
      <c r="D49" s="57">
        <v>5</v>
      </c>
      <c r="E49" s="58">
        <v>3</v>
      </c>
      <c r="F49" s="58">
        <v>1.0634920000000001</v>
      </c>
      <c r="G49" s="58">
        <v>4.7301472100000002</v>
      </c>
      <c r="H49" s="58">
        <v>0.27651410200000004</v>
      </c>
      <c r="I49" s="58">
        <v>-2.2608627800000001</v>
      </c>
      <c r="J49" s="58">
        <v>-0.7142291930000001</v>
      </c>
      <c r="K49" s="58">
        <v>-0.69164751800000013</v>
      </c>
      <c r="L49" s="58">
        <v>-0.8456277310000001</v>
      </c>
      <c r="M49" s="58">
        <v>3.46611285</v>
      </c>
      <c r="N49" s="58">
        <v>-0.77969863700000019</v>
      </c>
      <c r="O49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43.01872256053889</v>
      </c>
      <c r="P49" s="114" t="s">
        <v>212</v>
      </c>
      <c r="Q49" s="114" t="str">
        <f>RIGHT(P49)</f>
        <v>5</v>
      </c>
      <c r="R49" s="121" t="str">
        <f>RIGHT(Таблица17[[#This Row],[Классиф ДА2]])</f>
        <v>5</v>
      </c>
      <c r="S49">
        <v>5</v>
      </c>
      <c r="T49" s="147">
        <f>IF(Таблица17[[#This Row],[обуч выборка2]]-Таблица17[[#This Row],[Классиф ДА]]=0,1,0)</f>
        <v>1</v>
      </c>
      <c r="U49" s="117" t="s">
        <v>212</v>
      </c>
      <c r="V49" s="147">
        <f>IF(Таблица17[[#This Row],[обуч выборка2]]-Таблица17[[#This Row],[расстояние Махаланобиса]]=0,1,0)</f>
        <v>1</v>
      </c>
      <c r="W49" s="117">
        <f>MATCH(MIN(Таблица17[[#This Row],[1 класс]:[6 класс]]),Таблица17[[#This Row],[1 класс]:[6 класс]],0)</f>
        <v>5</v>
      </c>
      <c r="X49" s="118">
        <v>347.06201622528289</v>
      </c>
      <c r="Y49" s="118">
        <v>193.1861588265898</v>
      </c>
      <c r="Z49" s="118">
        <v>241.54674077877121</v>
      </c>
      <c r="AA49" s="118">
        <v>561.47181445993124</v>
      </c>
      <c r="AB49" s="118">
        <v>6.1262798123681419</v>
      </c>
      <c r="AC49" s="118">
        <v>573.6344128885504</v>
      </c>
      <c r="AD49" s="212">
        <v>347.06201622528289</v>
      </c>
      <c r="AE49" s="212">
        <v>193.1861588265898</v>
      </c>
      <c r="AF49" s="212">
        <v>241.54674077877121</v>
      </c>
      <c r="AG49" s="212">
        <v>561.47181445993124</v>
      </c>
      <c r="AH49" s="212">
        <v>6.1262798123681419</v>
      </c>
      <c r="AI49" s="212">
        <v>573.6344128885504</v>
      </c>
      <c r="AJ49" s="147">
        <f>IF(Таблица17[[#This Row],[обуч выборка2]]-Таблица17[[#This Row],[Апосториорная вероятность]]=0,1,0)</f>
        <v>1</v>
      </c>
      <c r="AK49" s="117">
        <f>MATCH(MAX(Таблица17[[#This Row],[1 класс.]:[6 класс.]]),Таблица17[[#This Row],[1 класс.]:[6 класс.]],0)</f>
        <v>5</v>
      </c>
      <c r="AL49" s="120">
        <v>0</v>
      </c>
      <c r="AM49" s="120">
        <v>0</v>
      </c>
      <c r="AN49" s="120">
        <v>0</v>
      </c>
      <c r="AO49" s="120">
        <v>0</v>
      </c>
      <c r="AP49" s="120">
        <v>1</v>
      </c>
      <c r="AQ49" s="120">
        <v>0</v>
      </c>
      <c r="AR49" s="216">
        <v>0</v>
      </c>
      <c r="AS49" s="216">
        <v>0</v>
      </c>
      <c r="AT49" s="216">
        <v>0</v>
      </c>
      <c r="AU49" s="216">
        <v>0</v>
      </c>
      <c r="AV49" s="216">
        <v>1</v>
      </c>
      <c r="AW49" s="216">
        <v>0</v>
      </c>
      <c r="AX49" s="121" t="str">
        <f>RIGHT(Таблица17[[#This Row],[Класиф вкл2]])</f>
        <v>5</v>
      </c>
      <c r="AY49" s="221">
        <v>5</v>
      </c>
      <c r="AZ49" s="147">
        <f>IF(Таблица17[[#This Row],[обуч выборка2]]-Таблица17[[#This Row],[Класиф вкл]]=0,1,0)</f>
        <v>1</v>
      </c>
      <c r="BA49" s="117" t="s">
        <v>212</v>
      </c>
      <c r="BB49" s="147">
        <f>IF(Таблица17[[#This Row],[обуч выборка2]]-Таблица17[[#This Row],[Расстояние Махаланобиса вкл
]]=0,1,0)</f>
        <v>1</v>
      </c>
      <c r="BC49" s="117">
        <f>MATCH(MIN(Таблица17[[#This Row],[1 класс вкл]:[6 класс вкл]]),Таблица17[[#This Row],[1 класс вкл]:[6 класс вкл]],0)</f>
        <v>5</v>
      </c>
      <c r="BD49" s="118">
        <v>201.6077974785845</v>
      </c>
      <c r="BE49" s="118">
        <v>121.85717084296724</v>
      </c>
      <c r="BF49" s="118">
        <v>139.3589668558308</v>
      </c>
      <c r="BG49" s="120">
        <v>455.15482822684254</v>
      </c>
      <c r="BH49" s="118">
        <v>2.4848285274193138</v>
      </c>
      <c r="BI49" s="118">
        <v>396.39231414270921</v>
      </c>
      <c r="BJ49" s="147">
        <f>IF(Таблица17[[#This Row],[обуч выборка2]]-Таблица17[[#This Row],[Апосториорная вероятность вкл]]=0,1,0)</f>
        <v>1</v>
      </c>
      <c r="BK49" s="117">
        <f>MATCH(MAX(Таблица17[[#This Row],[1 класс вкл.]:[6 класс вкл.]]),Таблица17[[#This Row],[1 класс вкл.]:[6 класс вкл.]],0)</f>
        <v>5</v>
      </c>
      <c r="BL49" s="119">
        <v>0</v>
      </c>
      <c r="BM49" s="119">
        <v>4.7938585080358225E-26</v>
      </c>
      <c r="BN49" s="119">
        <v>4.7434957196524949E-30</v>
      </c>
      <c r="BO49" s="119">
        <v>0</v>
      </c>
      <c r="BP49" s="119">
        <v>1</v>
      </c>
      <c r="BQ49" s="119">
        <v>0</v>
      </c>
      <c r="BR49" s="121" t="str">
        <f>RIGHT(Таблица17[[#This Row],[Класиф искл2]])</f>
        <v>5</v>
      </c>
      <c r="BS49" s="222">
        <v>5</v>
      </c>
      <c r="BT49" s="147">
        <f>IF(Таблица17[[#This Row],[обуч выборка2]]-Таблица17[[#This Row],[Класиф искл]]=0,1,0)</f>
        <v>1</v>
      </c>
      <c r="BU49" s="117" t="s">
        <v>212</v>
      </c>
      <c r="BV49" s="147">
        <f>IF(Таблица17[[#This Row],[обуч выборка2]]-Таблица17[[#This Row],[Расстояние Махаланобиса искл]]=0,1,0)</f>
        <v>1</v>
      </c>
      <c r="BW49" s="117">
        <f>MATCH(MIN(Таблица17[[#This Row],[1 класс искл]:[6 класс искл]]),Таблица17[[#This Row],[1 класс искл]:[6 класс искл]],0)</f>
        <v>5</v>
      </c>
      <c r="BX49" s="120">
        <v>271.20652225664873</v>
      </c>
      <c r="BY49" s="120">
        <v>159.80762552888456</v>
      </c>
      <c r="BZ49" s="120">
        <v>201.83603701653189</v>
      </c>
      <c r="CA49" s="120">
        <v>484.6315204316773</v>
      </c>
      <c r="CB49" s="120">
        <v>5.7506560177300914</v>
      </c>
      <c r="CC49" s="120">
        <v>377.69939198025821</v>
      </c>
      <c r="CD49" s="147">
        <f>IF(Таблица17[[#This Row],[обуч выборка2]]-Таблица17[[#This Row],[Апосториорная вероятность искл]]=0,1,0)</f>
        <v>1</v>
      </c>
      <c r="CE49" s="117">
        <f>MATCH(MAX(Таблица17[[#This Row],[1 класс искл.]:[6 класс искл.]]),Таблица17[[#This Row],[1 класс искл.]:[6 класс искл.]],0)</f>
        <v>5</v>
      </c>
      <c r="CF49" s="120">
        <v>0</v>
      </c>
      <c r="CG49" s="120">
        <v>0</v>
      </c>
      <c r="CH49" s="120">
        <v>0</v>
      </c>
      <c r="CI49" s="120">
        <v>0</v>
      </c>
      <c r="CJ49" s="120">
        <v>1</v>
      </c>
      <c r="CK49" s="120">
        <v>0</v>
      </c>
      <c r="CL49" s="198">
        <v>-2.5785742851848039</v>
      </c>
      <c r="CM49" s="198">
        <v>1.9739397164118095</v>
      </c>
      <c r="CN49" s="199">
        <v>-2.5338402918428722</v>
      </c>
      <c r="CO49" s="192">
        <v>6</v>
      </c>
      <c r="CP49" s="195">
        <v>6</v>
      </c>
      <c r="CQ49" s="209">
        <v>-2.4865599999999999</v>
      </c>
      <c r="CR49" s="209">
        <v>-0.43007000000000006</v>
      </c>
      <c r="CS49" s="223">
        <v>6</v>
      </c>
      <c r="CT49" s="223">
        <v>5</v>
      </c>
      <c r="CU49" s="209">
        <v>-0.43007000000000006</v>
      </c>
      <c r="CV49" s="209">
        <v>-2.4865599999999999</v>
      </c>
      <c r="CW49" s="209">
        <v>3</v>
      </c>
      <c r="CX49" s="210">
        <v>2</v>
      </c>
      <c r="CY49" s="271" t="str">
        <f>RIGHT(CX49)</f>
        <v>2</v>
      </c>
      <c r="CZ49" s="238">
        <v>1</v>
      </c>
    </row>
    <row r="50" spans="1:104" x14ac:dyDescent="0.3">
      <c r="A50" s="57" t="s">
        <v>58</v>
      </c>
      <c r="B50" s="57">
        <v>6</v>
      </c>
      <c r="C50" s="57">
        <v>6</v>
      </c>
      <c r="D50" s="57">
        <v>3</v>
      </c>
      <c r="E50" s="58">
        <v>6</v>
      </c>
      <c r="F50" s="58">
        <v>0.85081771200000011</v>
      </c>
      <c r="G50" s="58">
        <v>0.16961855100000001</v>
      </c>
      <c r="H50" s="58">
        <v>0.72864012300000014</v>
      </c>
      <c r="I50" s="58">
        <v>0.31741530800000006</v>
      </c>
      <c r="J50" s="58">
        <v>-0.74452030600000008</v>
      </c>
      <c r="K50" s="58">
        <v>-0.65083375500000007</v>
      </c>
      <c r="L50" s="58">
        <v>-0.75104593100000017</v>
      </c>
      <c r="M50" s="58">
        <v>2.0201649499999998</v>
      </c>
      <c r="N50" s="58">
        <v>-0.82579054800000007</v>
      </c>
      <c r="O50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7.6892916452750359</v>
      </c>
      <c r="P50" s="114"/>
      <c r="Q50" s="114"/>
      <c r="R50" s="121" t="str">
        <f>RIGHT(Таблица17[[#This Row],[Классиф ДА2]])</f>
        <v>1</v>
      </c>
      <c r="S50">
        <v>1</v>
      </c>
      <c r="T50" s="147">
        <f>IF(Таблица17[[#This Row],[обуч выборка2]]-Таблица17[[#This Row],[Классиф ДА]]=0,1,0)</f>
        <v>0</v>
      </c>
      <c r="U50" s="117" t="s">
        <v>213</v>
      </c>
      <c r="V50" s="147">
        <f>IF(Таблица17[[#This Row],[обуч выборка2]]-Таблица17[[#This Row],[расстояние Махаланобиса]]=0,1,0)</f>
        <v>0</v>
      </c>
      <c r="W50" s="117">
        <f>MATCH(MIN(Таблица17[[#This Row],[1 класс]:[6 класс]]),Таблица17[[#This Row],[1 класс]:[6 класс]],0)</f>
        <v>1</v>
      </c>
      <c r="X50" s="118">
        <v>69.333176622980105</v>
      </c>
      <c r="Y50" s="118">
        <v>105.54773250613319</v>
      </c>
      <c r="Z50" s="118">
        <v>88.942796104128718</v>
      </c>
      <c r="AA50" s="118">
        <v>301.02106718414069</v>
      </c>
      <c r="AB50" s="118">
        <v>433.82167300350085</v>
      </c>
      <c r="AC50" s="118">
        <v>141.76681330003356</v>
      </c>
      <c r="AD50" s="212">
        <v>69.333176622980105</v>
      </c>
      <c r="AE50" s="212">
        <v>105.54773250613319</v>
      </c>
      <c r="AF50" s="212">
        <v>88.942796104128718</v>
      </c>
      <c r="AG50" s="212">
        <v>301.02106718414069</v>
      </c>
      <c r="AH50" s="212">
        <v>433.82167300350085</v>
      </c>
      <c r="AI50" s="212">
        <v>141.76681330003356</v>
      </c>
      <c r="AJ50" s="147">
        <f>IF(Таблица17[[#This Row],[обуч выборка2]]-Таблица17[[#This Row],[Апосториорная вероятность]]=0,1,0)</f>
        <v>0</v>
      </c>
      <c r="AK50" s="117">
        <f>MATCH(MAX(Таблица17[[#This Row],[1 класс.]:[6 класс.]]),Таблица17[[#This Row],[1 класс.]:[6 класс.]],0)</f>
        <v>1</v>
      </c>
      <c r="AL50" s="120">
        <v>0.99997239705136631</v>
      </c>
      <c r="AM50" s="120">
        <v>1.0944277760557877E-8</v>
      </c>
      <c r="AN50" s="120">
        <v>2.7592004355835719E-5</v>
      </c>
      <c r="AO50" s="120">
        <v>0</v>
      </c>
      <c r="AP50" s="120">
        <v>0</v>
      </c>
      <c r="AQ50" s="120">
        <v>5.6020232924843041E-17</v>
      </c>
      <c r="AR50" s="216">
        <v>0.99997239705136631</v>
      </c>
      <c r="AS50" s="216">
        <v>1.0944277760557877E-8</v>
      </c>
      <c r="AT50" s="216">
        <v>2.7592004355835719E-5</v>
      </c>
      <c r="AU50" s="216">
        <v>0</v>
      </c>
      <c r="AV50" s="216">
        <v>0</v>
      </c>
      <c r="AW50" s="216">
        <v>5.6020232924843041E-17</v>
      </c>
      <c r="AX50" s="121" t="str">
        <f>RIGHT(Таблица17[[#This Row],[Класиф вкл2]])</f>
        <v>3</v>
      </c>
      <c r="AY50" s="221">
        <v>3</v>
      </c>
      <c r="AZ50" s="147">
        <f>IF(Таблица17[[#This Row],[обуч выборка2]]-Таблица17[[#This Row],[Класиф вкл]]=0,1,0)</f>
        <v>0</v>
      </c>
      <c r="BA50" s="117" t="s">
        <v>215</v>
      </c>
      <c r="BB50" s="147">
        <f>IF(Таблица17[[#This Row],[обуч выборка2]]-Таблица17[[#This Row],[Расстояние Махаланобиса вкл
]]=0,1,0)</f>
        <v>0</v>
      </c>
      <c r="BC50" s="117">
        <f>MATCH(MIN(Таблица17[[#This Row],[1 класс вкл]:[6 класс вкл]]),Таблица17[[#This Row],[1 класс вкл]:[6 класс вкл]],0)</f>
        <v>3</v>
      </c>
      <c r="BD50" s="118">
        <v>49.115506189036047</v>
      </c>
      <c r="BE50" s="118">
        <v>55.032707713762896</v>
      </c>
      <c r="BF50" s="118">
        <v>42.123942115542746</v>
      </c>
      <c r="BG50" s="120">
        <v>248.66690466279047</v>
      </c>
      <c r="BH50" s="118">
        <v>284.96284613157985</v>
      </c>
      <c r="BI50" s="118">
        <v>110.41183214257796</v>
      </c>
      <c r="BJ50" s="147">
        <f>IF(Таблица17[[#This Row],[обуч выборка2]]-Таблица17[[#This Row],[Апосториорная вероятность вкл]]=0,1,0)</f>
        <v>0</v>
      </c>
      <c r="BK50" s="117">
        <f>MATCH(MAX(Таблица17[[#This Row],[1 класс вкл.]:[6 класс вкл.]]),Таблица17[[#This Row],[1 класс вкл.]:[6 класс вкл.]],0)</f>
        <v>3</v>
      </c>
      <c r="BL50" s="119">
        <v>5.704654183589717E-2</v>
      </c>
      <c r="BM50" s="119">
        <v>2.3681833551768205E-3</v>
      </c>
      <c r="BN50" s="119">
        <v>0.94058527480892529</v>
      </c>
      <c r="BO50" s="119">
        <v>0</v>
      </c>
      <c r="BP50" s="119">
        <v>0</v>
      </c>
      <c r="BQ50" s="119">
        <v>8.3757270503320239E-16</v>
      </c>
      <c r="BR50" s="121" t="str">
        <f>RIGHT(Таблица17[[#This Row],[Класиф искл2]])</f>
        <v>3</v>
      </c>
      <c r="BS50" s="222">
        <v>3</v>
      </c>
      <c r="BT50" s="147">
        <f>IF(Таблица17[[#This Row],[обуч выборка2]]-Таблица17[[#This Row],[Класиф искл]]=0,1,0)</f>
        <v>0</v>
      </c>
      <c r="BU50" s="117" t="s">
        <v>215</v>
      </c>
      <c r="BV50" s="147">
        <f>IF(Таблица17[[#This Row],[обуч выборка2]]-Таблица17[[#This Row],[Расстояние Махаланобиса искл]]=0,1,0)</f>
        <v>0</v>
      </c>
      <c r="BW50" s="117">
        <f>MATCH(MIN(Таблица17[[#This Row],[1 класс искл]:[6 класс искл]]),Таблица17[[#This Row],[1 класс искл]:[6 класс искл]],0)</f>
        <v>3</v>
      </c>
      <c r="BX50" s="120">
        <v>43.315258364834008</v>
      </c>
      <c r="BY50" s="120">
        <v>34.107704810011377</v>
      </c>
      <c r="BZ50" s="120">
        <v>24.658629353815904</v>
      </c>
      <c r="CA50" s="120">
        <v>205.4094346413552</v>
      </c>
      <c r="CB50" s="120">
        <v>241.72297181733501</v>
      </c>
      <c r="CC50" s="120">
        <v>110.50286337523126</v>
      </c>
      <c r="CD50" s="147">
        <f>IF(Таблица17[[#This Row],[обуч выборка2]]-Таблица17[[#This Row],[Апосториорная вероятность искл]]=0,1,0)</f>
        <v>0</v>
      </c>
      <c r="CE50" s="117">
        <f>MATCH(MAX(Таблица17[[#This Row],[1 класс искл.]:[6 класс искл.]]),Таблица17[[#This Row],[1 класс искл.]:[6 класс искл.]],0)</f>
        <v>3</v>
      </c>
      <c r="CF50" s="120">
        <v>1.7522452643304158E-4</v>
      </c>
      <c r="CG50" s="120">
        <v>1.3998442968235051E-2</v>
      </c>
      <c r="CH50" s="120">
        <v>0.9858263325053318</v>
      </c>
      <c r="CI50" s="120">
        <v>0</v>
      </c>
      <c r="CJ50" s="120">
        <v>0</v>
      </c>
      <c r="CK50" s="120">
        <v>1.3524247049317232E-19</v>
      </c>
      <c r="CL50" s="198">
        <v>-1.2487648064820194</v>
      </c>
      <c r="CM50" s="198">
        <v>-0.19687682640737933</v>
      </c>
      <c r="CN50" s="199">
        <v>-0.80943828290782294</v>
      </c>
      <c r="CO50" s="192">
        <v>1</v>
      </c>
      <c r="CP50" s="195">
        <v>4</v>
      </c>
      <c r="CQ50" s="209">
        <v>-0.28801000000000004</v>
      </c>
      <c r="CR50" s="209">
        <v>-0.7896200000000001</v>
      </c>
      <c r="CS50" s="223">
        <v>2</v>
      </c>
      <c r="CT50" s="223">
        <v>1</v>
      </c>
      <c r="CU50" s="209">
        <v>-0.7896200000000001</v>
      </c>
      <c r="CV50" s="209">
        <v>-0.28801000000000004</v>
      </c>
      <c r="CW50" s="209">
        <v>5</v>
      </c>
      <c r="CX50" s="210">
        <v>3</v>
      </c>
      <c r="CY50" s="238" t="s">
        <v>341</v>
      </c>
      <c r="CZ50" s="238">
        <v>1</v>
      </c>
    </row>
    <row r="51" spans="1:104" x14ac:dyDescent="0.3">
      <c r="A51" s="57" t="s">
        <v>59</v>
      </c>
      <c r="B51" s="57">
        <v>6</v>
      </c>
      <c r="C51" s="57">
        <v>6</v>
      </c>
      <c r="D51" s="57">
        <v>3</v>
      </c>
      <c r="E51" s="58">
        <v>6</v>
      </c>
      <c r="F51" s="58">
        <v>-0.67278538200000015</v>
      </c>
      <c r="G51" s="58">
        <v>0.43064233000000002</v>
      </c>
      <c r="H51" s="58">
        <v>1.1322965899999999</v>
      </c>
      <c r="I51" s="58">
        <v>0.75492571000000019</v>
      </c>
      <c r="J51" s="58">
        <v>-0.54729150100000001</v>
      </c>
      <c r="K51" s="58">
        <v>-0.36513741500000002</v>
      </c>
      <c r="L51" s="58">
        <v>3.7045388799999995E-2</v>
      </c>
      <c r="M51" s="58">
        <v>0.25049737</v>
      </c>
      <c r="N51" s="58">
        <v>-0.6613354170000002</v>
      </c>
      <c r="O51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3.4244405279217389</v>
      </c>
      <c r="P51" s="114"/>
      <c r="Q51" s="114"/>
      <c r="R51" s="121" t="str">
        <f>RIGHT(Таблица17[[#This Row],[Классиф ДА2]])</f>
        <v>1</v>
      </c>
      <c r="S51">
        <v>1</v>
      </c>
      <c r="T51" s="147">
        <f>IF(Таблица17[[#This Row],[обуч выборка2]]-Таблица17[[#This Row],[Классиф ДА]]=0,1,0)</f>
        <v>0</v>
      </c>
      <c r="U51" s="117" t="s">
        <v>213</v>
      </c>
      <c r="V51" s="147">
        <f>IF(Таблица17[[#This Row],[обуч выборка2]]-Таблица17[[#This Row],[расстояние Махаланобиса]]=0,1,0)</f>
        <v>0</v>
      </c>
      <c r="W51" s="117">
        <f>MATCH(MIN(Таблица17[[#This Row],[1 класс]:[6 класс]]),Таблица17[[#This Row],[1 класс]:[6 класс]],0)</f>
        <v>1</v>
      </c>
      <c r="X51" s="118">
        <v>37.65664245423654</v>
      </c>
      <c r="Y51" s="118">
        <v>80.287911858641095</v>
      </c>
      <c r="Z51" s="118">
        <v>53.929457077118499</v>
      </c>
      <c r="AA51" s="118">
        <v>233.36008064696938</v>
      </c>
      <c r="AB51" s="118">
        <v>418.57986252725459</v>
      </c>
      <c r="AC51" s="118">
        <v>75.72703831430502</v>
      </c>
      <c r="AD51" s="212">
        <v>37.65664245423654</v>
      </c>
      <c r="AE51" s="212">
        <v>80.287911858641095</v>
      </c>
      <c r="AF51" s="212">
        <v>53.929457077118499</v>
      </c>
      <c r="AG51" s="212">
        <v>233.36008064696938</v>
      </c>
      <c r="AH51" s="212">
        <v>418.57986252725459</v>
      </c>
      <c r="AI51" s="212">
        <v>75.72703831430502</v>
      </c>
      <c r="AJ51" s="147">
        <f>IF(Таблица17[[#This Row],[обуч выборка2]]-Таблица17[[#This Row],[Апосториорная вероятность]]=0,1,0)</f>
        <v>0</v>
      </c>
      <c r="AK51" s="117">
        <f>MATCH(MAX(Таблица17[[#This Row],[1 класс.]:[6 класс.]]),Таблица17[[#This Row],[1 класс.]:[6 класс.]],0)</f>
        <v>1</v>
      </c>
      <c r="AL51" s="120">
        <v>0.99985367592662044</v>
      </c>
      <c r="AM51" s="120">
        <v>4.4234783412826889E-10</v>
      </c>
      <c r="AN51" s="120">
        <v>1.4632200856319648E-4</v>
      </c>
      <c r="AO51" s="120">
        <v>0</v>
      </c>
      <c r="AP51" s="120">
        <v>0</v>
      </c>
      <c r="AQ51" s="120">
        <v>1.6224685209016466E-9</v>
      </c>
      <c r="AR51" s="216">
        <v>0.99985367592662044</v>
      </c>
      <c r="AS51" s="216">
        <v>4.4234783412826889E-10</v>
      </c>
      <c r="AT51" s="216">
        <v>1.4632200856319648E-4</v>
      </c>
      <c r="AU51" s="216">
        <v>0</v>
      </c>
      <c r="AV51" s="216">
        <v>0</v>
      </c>
      <c r="AW51" s="216">
        <v>1.6224685209016466E-9</v>
      </c>
      <c r="AX51" s="121" t="str">
        <f>RIGHT(Таблица17[[#This Row],[Класиф вкл2]])</f>
        <v>1</v>
      </c>
      <c r="AY51" s="221">
        <v>1</v>
      </c>
      <c r="AZ51" s="147">
        <f>IF(Таблица17[[#This Row],[обуч выборка2]]-Таблица17[[#This Row],[Класиф вкл]]=0,1,0)</f>
        <v>0</v>
      </c>
      <c r="BA51" s="117" t="s">
        <v>213</v>
      </c>
      <c r="BB51" s="147">
        <f>IF(Таблица17[[#This Row],[обуч выборка2]]-Таблица17[[#This Row],[Расстояние Махаланобиса вкл
]]=0,1,0)</f>
        <v>0</v>
      </c>
      <c r="BC51" s="117">
        <f>MATCH(MIN(Таблица17[[#This Row],[1 класс вкл]:[6 класс вкл]]),Таблица17[[#This Row],[1 класс вкл]:[6 класс вкл]],0)</f>
        <v>1</v>
      </c>
      <c r="BD51" s="118">
        <v>34.686330637496738</v>
      </c>
      <c r="BE51" s="118">
        <v>66.167974232492199</v>
      </c>
      <c r="BF51" s="118">
        <v>42.863053109186481</v>
      </c>
      <c r="BG51" s="120">
        <v>178.55769021617363</v>
      </c>
      <c r="BH51" s="118">
        <v>321.76042512146074</v>
      </c>
      <c r="BI51" s="118">
        <v>63.078672944860877</v>
      </c>
      <c r="BJ51" s="147">
        <f>IF(Таблица17[[#This Row],[обуч выборка2]]-Таблица17[[#This Row],[Апосториорная вероятность вкл]]=0,1,0)</f>
        <v>0</v>
      </c>
      <c r="BK51" s="117">
        <f>MATCH(MAX(Таблица17[[#This Row],[1 класс вкл.]:[6 класс вкл.]]),Таблица17[[#This Row],[1 класс вкл.]:[6 класс вкл.]],0)</f>
        <v>1</v>
      </c>
      <c r="BL51" s="119">
        <v>0.99168603595472438</v>
      </c>
      <c r="BM51" s="119">
        <v>1.1569434658822242E-7</v>
      </c>
      <c r="BN51" s="119">
        <v>8.3136450325416705E-3</v>
      </c>
      <c r="BO51" s="119">
        <v>1.1379820431010498E-32</v>
      </c>
      <c r="BP51" s="119">
        <v>0</v>
      </c>
      <c r="BQ51" s="119">
        <v>2.0331838738471797E-7</v>
      </c>
      <c r="BR51" s="121" t="str">
        <f>RIGHT(Таблица17[[#This Row],[Класиф искл2]])</f>
        <v>3</v>
      </c>
      <c r="BS51" s="222">
        <v>3</v>
      </c>
      <c r="BT51" s="147">
        <f>IF(Таблица17[[#This Row],[обуч выборка2]]-Таблица17[[#This Row],[Класиф искл]]=0,1,0)</f>
        <v>0</v>
      </c>
      <c r="BU51" s="117" t="s">
        <v>215</v>
      </c>
      <c r="BV51" s="147">
        <f>IF(Таблица17[[#This Row],[обуч выборка2]]-Таблица17[[#This Row],[Расстояние Махаланобиса искл]]=0,1,0)</f>
        <v>0</v>
      </c>
      <c r="BW51" s="117">
        <f>MATCH(MIN(Таблица17[[#This Row],[1 класс искл]:[6 класс искл]]),Таблица17[[#This Row],[1 класс искл]:[6 класс искл]],0)</f>
        <v>3</v>
      </c>
      <c r="BX51" s="120">
        <v>28.215176976005477</v>
      </c>
      <c r="BY51" s="120">
        <v>47.216729602500898</v>
      </c>
      <c r="BZ51" s="120">
        <v>25.905270415521187</v>
      </c>
      <c r="CA51" s="120">
        <v>139.4832637811098</v>
      </c>
      <c r="CB51" s="120">
        <v>286.73618438146349</v>
      </c>
      <c r="CC51" s="120">
        <v>60.952348821091185</v>
      </c>
      <c r="CD51" s="147">
        <f>IF(Таблица17[[#This Row],[обуч выборка2]]-Таблица17[[#This Row],[Апосториорная вероятность искл]]=0,1,0)</f>
        <v>0</v>
      </c>
      <c r="CE51" s="117">
        <f>MATCH(MAX(Таблица17[[#This Row],[1 класс искл.]:[6 класс искл.]]),Таблица17[[#This Row],[1 класс искл.]:[6 класс искл.]],0)</f>
        <v>3</v>
      </c>
      <c r="CF51" s="120">
        <v>0.38654851014039265</v>
      </c>
      <c r="CG51" s="120">
        <v>2.3129128239507705E-5</v>
      </c>
      <c r="CH51" s="120">
        <v>0.61342835170446619</v>
      </c>
      <c r="CI51" s="120">
        <v>5.3293708690621178E-26</v>
      </c>
      <c r="CJ51" s="120">
        <v>0</v>
      </c>
      <c r="CK51" s="120">
        <v>9.0269017532881882E-9</v>
      </c>
      <c r="CL51" s="198">
        <v>-0.29788161391669776</v>
      </c>
      <c r="CM51" s="198">
        <v>-0.75593902469895136</v>
      </c>
      <c r="CN51" s="199">
        <v>-1.0492921410761733</v>
      </c>
      <c r="CO51" s="192">
        <v>5</v>
      </c>
      <c r="CP51" s="195">
        <v>5</v>
      </c>
      <c r="CQ51" s="209">
        <v>0.41909000000000002</v>
      </c>
      <c r="CR51" s="209">
        <v>-0.62668000000000013</v>
      </c>
      <c r="CS51" s="223">
        <v>5</v>
      </c>
      <c r="CT51" s="223">
        <v>6</v>
      </c>
      <c r="CU51" s="209">
        <v>-0.62668000000000013</v>
      </c>
      <c r="CV51" s="209">
        <v>0.41909000000000002</v>
      </c>
      <c r="CW51" s="209">
        <v>1</v>
      </c>
      <c r="CX51" s="210">
        <v>3</v>
      </c>
      <c r="CY51" s="238" t="s">
        <v>342</v>
      </c>
      <c r="CZ51" s="238">
        <v>5</v>
      </c>
    </row>
    <row r="52" spans="1:104" x14ac:dyDescent="0.3">
      <c r="A52" s="57" t="s">
        <v>60</v>
      </c>
      <c r="B52" s="57">
        <v>5</v>
      </c>
      <c r="C52" s="57">
        <v>6</v>
      </c>
      <c r="D52" s="57">
        <v>1</v>
      </c>
      <c r="E52" s="58">
        <v>6</v>
      </c>
      <c r="F52" s="58">
        <v>-1.2781756799999999</v>
      </c>
      <c r="G52" s="58">
        <v>-0.60360283000000015</v>
      </c>
      <c r="H52" s="58">
        <v>6.0971623600000004E-2</v>
      </c>
      <c r="I52" s="58">
        <v>1.2796273199999999</v>
      </c>
      <c r="J52" s="58">
        <v>-0.4045867010000001</v>
      </c>
      <c r="K52" s="58">
        <v>-0.16106860000000001</v>
      </c>
      <c r="L52" s="58">
        <v>0.54580711800000004</v>
      </c>
      <c r="M52" s="58">
        <v>0.444729178</v>
      </c>
      <c r="N52" s="58">
        <v>-0.55621351399999996</v>
      </c>
      <c r="O52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4.6339294804038156</v>
      </c>
      <c r="P52" s="114"/>
      <c r="Q52" s="114"/>
      <c r="R52" s="121" t="str">
        <f>RIGHT(Таблица17[[#This Row],[Классиф ДА2]])</f>
        <v>6</v>
      </c>
      <c r="S52">
        <v>6</v>
      </c>
      <c r="T52" s="147">
        <f>IF(Таблица17[[#This Row],[обуч выборка2]]-Таблица17[[#This Row],[Классиф ДА]]=0,1,0)</f>
        <v>0</v>
      </c>
      <c r="U52" s="117" t="s">
        <v>217</v>
      </c>
      <c r="V52" s="147">
        <f>IF(Таблица17[[#This Row],[обуч выборка2]]-Таблица17[[#This Row],[расстояние Махаланобиса]]=0,1,0)</f>
        <v>0</v>
      </c>
      <c r="W52" s="117">
        <f>MATCH(MIN(Таблица17[[#This Row],[1 класс]:[6 класс]]),Таблица17[[#This Row],[1 класс]:[6 класс]],0)</f>
        <v>6</v>
      </c>
      <c r="X52" s="118">
        <v>85.117802771342468</v>
      </c>
      <c r="Y52" s="118">
        <v>191.73323233107186</v>
      </c>
      <c r="Z52" s="118">
        <v>163.59157828070349</v>
      </c>
      <c r="AA52" s="118">
        <v>278.26314567889165</v>
      </c>
      <c r="AB52" s="118">
        <v>639.382508237872</v>
      </c>
      <c r="AC52" s="118">
        <v>72.064771739494915</v>
      </c>
      <c r="AD52" s="212">
        <v>85.117802771342468</v>
      </c>
      <c r="AE52" s="212">
        <v>191.73323233107186</v>
      </c>
      <c r="AF52" s="212">
        <v>163.59157828070349</v>
      </c>
      <c r="AG52" s="212">
        <v>278.26314567889165</v>
      </c>
      <c r="AH52" s="212">
        <v>639.382508237872</v>
      </c>
      <c r="AI52" s="212">
        <v>72.064771739494915</v>
      </c>
      <c r="AJ52" s="147">
        <f>IF(Таблица17[[#This Row],[обуч выборка2]]-Таблица17[[#This Row],[Апосториорная вероятность]]=0,1,0)</f>
        <v>0</v>
      </c>
      <c r="AK52" s="117">
        <f>MATCH(MAX(Таблица17[[#This Row],[1 класс.]:[6 класс.]]),Таблица17[[#This Row],[1 класс.]:[6 класс.]],0)</f>
        <v>6</v>
      </c>
      <c r="AL52" s="120">
        <v>4.8566267322948733E-3</v>
      </c>
      <c r="AM52" s="120">
        <v>2.742700219224714E-26</v>
      </c>
      <c r="AN52" s="120">
        <v>2.2127935223618757E-20</v>
      </c>
      <c r="AO52" s="120">
        <v>0</v>
      </c>
      <c r="AP52" s="120">
        <v>0</v>
      </c>
      <c r="AQ52" s="120">
        <v>0.99514337326770519</v>
      </c>
      <c r="AR52" s="216">
        <v>4.8566267322948733E-3</v>
      </c>
      <c r="AS52" s="216">
        <v>2.742700219224714E-26</v>
      </c>
      <c r="AT52" s="216">
        <v>2.2127935223618757E-20</v>
      </c>
      <c r="AU52" s="216">
        <v>0</v>
      </c>
      <c r="AV52" s="216">
        <v>0</v>
      </c>
      <c r="AW52" s="216">
        <v>0.99514337326770519</v>
      </c>
      <c r="AX52" s="121" t="str">
        <f>RIGHT(Таблица17[[#This Row],[Класиф вкл2]])</f>
        <v>6</v>
      </c>
      <c r="AY52" s="221">
        <v>6</v>
      </c>
      <c r="AZ52" s="147">
        <f>IF(Таблица17[[#This Row],[обуч выборка2]]-Таблица17[[#This Row],[Класиф вкл]]=0,1,0)</f>
        <v>0</v>
      </c>
      <c r="BA52" s="117" t="s">
        <v>217</v>
      </c>
      <c r="BB52" s="147">
        <f>IF(Таблица17[[#This Row],[обуч выборка2]]-Таблица17[[#This Row],[Расстояние Махаланобиса вкл
]]=0,1,0)</f>
        <v>0</v>
      </c>
      <c r="BC52" s="117">
        <f>MATCH(MIN(Таблица17[[#This Row],[1 класс вкл]:[6 класс вкл]]),Таблица17[[#This Row],[1 класс вкл]:[6 класс вкл]],0)</f>
        <v>6</v>
      </c>
      <c r="BD52" s="118">
        <v>78.45503736468217</v>
      </c>
      <c r="BE52" s="118">
        <v>137.56122852992999</v>
      </c>
      <c r="BF52" s="118">
        <v>118.31961911218609</v>
      </c>
      <c r="BG52" s="120">
        <v>184.04484998774598</v>
      </c>
      <c r="BH52" s="118">
        <v>439.28917931521556</v>
      </c>
      <c r="BI52" s="118">
        <v>16.570208897137153</v>
      </c>
      <c r="BJ52" s="147">
        <f>IF(Таблица17[[#This Row],[обуч выборка2]]-Таблица17[[#This Row],[Апосториорная вероятность вкл]]=0,1,0)</f>
        <v>0</v>
      </c>
      <c r="BK52" s="117">
        <f>MATCH(MAX(Таблица17[[#This Row],[1 класс вкл.]:[6 класс вкл.]]),Таблица17[[#This Row],[1 класс вкл.]:[6 класс вкл.]],0)</f>
        <v>6</v>
      </c>
      <c r="BL52" s="119">
        <v>1.2155112612972736E-13</v>
      </c>
      <c r="BM52" s="119">
        <v>1.4226649732518552E-26</v>
      </c>
      <c r="BN52" s="119">
        <v>1.3404328204032747E-22</v>
      </c>
      <c r="BO52" s="119">
        <v>0</v>
      </c>
      <c r="BP52" s="119">
        <v>0</v>
      </c>
      <c r="BQ52" s="123">
        <v>0.99999999999987843</v>
      </c>
      <c r="BR52" s="121" t="str">
        <f>RIGHT(Таблица17[[#This Row],[Класиф искл2]])</f>
        <v>1</v>
      </c>
      <c r="BS52" s="222">
        <v>1</v>
      </c>
      <c r="BT52" s="147">
        <f>IF(Таблица17[[#This Row],[обуч выборка2]]-Таблица17[[#This Row],[Класиф искл]]=0,1,0)</f>
        <v>0</v>
      </c>
      <c r="BU52" s="117" t="s">
        <v>213</v>
      </c>
      <c r="BV52" s="147">
        <f>IF(Таблица17[[#This Row],[обуч выборка2]]-Таблица17[[#This Row],[Расстояние Махаланобиса искл]]=0,1,0)</f>
        <v>0</v>
      </c>
      <c r="BW52" s="117">
        <f>MATCH(MIN(Таблица17[[#This Row],[1 класс искл]:[6 класс искл]]),Таблица17[[#This Row],[1 класс искл]:[6 класс искл]],0)</f>
        <v>6</v>
      </c>
      <c r="BX52" s="120">
        <v>57.773307255571012</v>
      </c>
      <c r="BY52" s="120">
        <v>104.81423670116132</v>
      </c>
      <c r="BZ52" s="120">
        <v>85.423067371018661</v>
      </c>
      <c r="CA52" s="120">
        <v>127.07657112575264</v>
      </c>
      <c r="CB52" s="120">
        <v>387.16965661503633</v>
      </c>
      <c r="CC52" s="120">
        <v>16.676199651258568</v>
      </c>
      <c r="CD52" s="147">
        <f>IF(Таблица17[[#This Row],[обуч выборка2]]-Таблица17[[#This Row],[Апосториорная вероятность искл]]=0,1,0)</f>
        <v>0</v>
      </c>
      <c r="CE52" s="117">
        <f>MATCH(MAX(Таблица17[[#This Row],[1 класс искл.]:[6 класс искл.]]),Таблица17[[#This Row],[1 класс искл.]:[6 класс искл.]],0)</f>
        <v>6</v>
      </c>
      <c r="CF52" s="120">
        <v>3.9696774126827996E-9</v>
      </c>
      <c r="CG52" s="120">
        <v>1.9365876692853545E-19</v>
      </c>
      <c r="CH52" s="120">
        <v>1.9663286111386209E-15</v>
      </c>
      <c r="CI52" s="120">
        <v>7.0920644475258731E-25</v>
      </c>
      <c r="CJ52" s="120">
        <v>0</v>
      </c>
      <c r="CK52" s="120">
        <v>0.99999999603032053</v>
      </c>
      <c r="CL52" s="198">
        <v>0.32014076197858876</v>
      </c>
      <c r="CM52" s="198">
        <v>-1.1190718715909549</v>
      </c>
      <c r="CN52" s="199">
        <v>-0.59724531529081815</v>
      </c>
      <c r="CO52" s="192">
        <v>5</v>
      </c>
      <c r="CP52" s="195">
        <v>5</v>
      </c>
      <c r="CQ52" s="209">
        <v>1.02027</v>
      </c>
      <c r="CR52" s="209">
        <v>-0.52498</v>
      </c>
      <c r="CS52" s="223">
        <v>5</v>
      </c>
      <c r="CT52" s="223">
        <v>6</v>
      </c>
      <c r="CU52" s="209">
        <v>-0.52498</v>
      </c>
      <c r="CV52" s="209">
        <v>1.02027</v>
      </c>
      <c r="CW52" s="209">
        <v>1</v>
      </c>
      <c r="CX52" s="210">
        <v>4</v>
      </c>
      <c r="CY52" s="238" t="s">
        <v>341</v>
      </c>
      <c r="CZ52" s="238">
        <v>5</v>
      </c>
    </row>
    <row r="53" spans="1:104" x14ac:dyDescent="0.3">
      <c r="A53" s="57" t="s">
        <v>61</v>
      </c>
      <c r="B53" s="57">
        <v>2</v>
      </c>
      <c r="C53" s="57">
        <v>6</v>
      </c>
      <c r="D53" s="57">
        <v>2</v>
      </c>
      <c r="E53" s="58">
        <v>6</v>
      </c>
      <c r="F53" s="58">
        <v>1.5338510100000002</v>
      </c>
      <c r="G53" s="58">
        <v>-0.22930458200000001</v>
      </c>
      <c r="H53" s="58">
        <v>-2.4512955800000003E-2</v>
      </c>
      <c r="I53" s="58">
        <v>-1.9659731499999999</v>
      </c>
      <c r="J53" s="58">
        <v>-0.17370110400000002</v>
      </c>
      <c r="K53" s="58">
        <v>0.16544150300000002</v>
      </c>
      <c r="L53" s="58">
        <v>-0.51532624499999991</v>
      </c>
      <c r="M53" s="58">
        <v>0.63896098499999998</v>
      </c>
      <c r="N53" s="58">
        <v>0.57273507700000015</v>
      </c>
      <c r="O53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7.3303315349595479</v>
      </c>
      <c r="P53" s="114"/>
      <c r="Q53" s="114"/>
      <c r="R53" s="121" t="str">
        <f>RIGHT(Таблица17[[#This Row],[Классиф ДА2]])</f>
        <v>5</v>
      </c>
      <c r="S53">
        <v>5</v>
      </c>
      <c r="T53" s="147">
        <f>IF(Таблица17[[#This Row],[обуч выборка2]]-Таблица17[[#This Row],[Классиф ДА]]=0,1,0)</f>
        <v>0</v>
      </c>
      <c r="U53" s="117" t="s">
        <v>212</v>
      </c>
      <c r="V53" s="147">
        <f>IF(Таблица17[[#This Row],[обуч выборка2]]-Таблица17[[#This Row],[расстояние Махаланобиса]]=0,1,0)</f>
        <v>0</v>
      </c>
      <c r="W53" s="117">
        <f>MATCH(MIN(Таблица17[[#This Row],[1 класс]:[6 класс]]),Таблица17[[#This Row],[1 класс]:[6 класс]],0)</f>
        <v>5</v>
      </c>
      <c r="X53" s="118">
        <v>244.03363227848348</v>
      </c>
      <c r="Y53" s="118">
        <v>130.58349453538517</v>
      </c>
      <c r="Z53" s="118">
        <v>154.31307819745871</v>
      </c>
      <c r="AA53" s="118">
        <v>474.86514049005757</v>
      </c>
      <c r="AB53" s="118">
        <v>50.199447893818757</v>
      </c>
      <c r="AC53" s="118">
        <v>454.77779693025258</v>
      </c>
      <c r="AD53" s="212">
        <v>244.03363227848348</v>
      </c>
      <c r="AE53" s="212">
        <v>130.58349453538517</v>
      </c>
      <c r="AF53" s="212">
        <v>154.31307819745871</v>
      </c>
      <c r="AG53" s="212">
        <v>474.86514049005757</v>
      </c>
      <c r="AH53" s="212">
        <v>50.199447893818757</v>
      </c>
      <c r="AI53" s="212">
        <v>454.77779693025258</v>
      </c>
      <c r="AJ53" s="147">
        <f>IF(Таблица17[[#This Row],[обуч выборка2]]-Таблица17[[#This Row],[Апосториорная вероятность]]=0,1,0)</f>
        <v>0</v>
      </c>
      <c r="AK53" s="117">
        <f>MATCH(MAX(Таблица17[[#This Row],[1 класс.]:[6 класс.]]),Таблица17[[#This Row],[1 класс.]:[6 класс.]],0)</f>
        <v>5</v>
      </c>
      <c r="AL53" s="120">
        <v>0</v>
      </c>
      <c r="AM53" s="120">
        <v>1.4024456721583566E-17</v>
      </c>
      <c r="AN53" s="120">
        <v>6.1652748560119993E-23</v>
      </c>
      <c r="AO53" s="120">
        <v>0</v>
      </c>
      <c r="AP53" s="120">
        <v>1</v>
      </c>
      <c r="AQ53" s="120">
        <v>0</v>
      </c>
      <c r="AR53" s="216">
        <v>0</v>
      </c>
      <c r="AS53" s="216">
        <v>1.4024456721583566E-17</v>
      </c>
      <c r="AT53" s="216">
        <v>6.1652748560119993E-23</v>
      </c>
      <c r="AU53" s="216">
        <v>0</v>
      </c>
      <c r="AV53" s="216">
        <v>1</v>
      </c>
      <c r="AW53" s="216">
        <v>0</v>
      </c>
      <c r="AX53" s="121" t="str">
        <f>RIGHT(Таблица17[[#This Row],[Класиф вкл2]])</f>
        <v>5</v>
      </c>
      <c r="AY53" s="221">
        <v>5</v>
      </c>
      <c r="AZ53" s="147">
        <f>IF(Таблица17[[#This Row],[обуч выборка2]]-Таблица17[[#This Row],[Класиф вкл]]=0,1,0)</f>
        <v>0</v>
      </c>
      <c r="BA53" s="117" t="s">
        <v>212</v>
      </c>
      <c r="BB53" s="147">
        <f>IF(Таблица17[[#This Row],[обуч выборка2]]-Таблица17[[#This Row],[Расстояние Махаланобиса вкл
]]=0,1,0)</f>
        <v>0</v>
      </c>
      <c r="BC53" s="117">
        <f>MATCH(MIN(Таблица17[[#This Row],[1 класс вкл]:[6 класс вкл]]),Таблица17[[#This Row],[1 класс вкл]:[6 класс вкл]],0)</f>
        <v>5</v>
      </c>
      <c r="BD53" s="118">
        <v>276.90133955283954</v>
      </c>
      <c r="BE53" s="118">
        <v>180.05180926174933</v>
      </c>
      <c r="BF53" s="118">
        <v>208.71072151510634</v>
      </c>
      <c r="BG53" s="120">
        <v>469.14410069528321</v>
      </c>
      <c r="BH53" s="118">
        <v>25.819431227706797</v>
      </c>
      <c r="BI53" s="118">
        <v>518.21225063085024</v>
      </c>
      <c r="BJ53" s="147">
        <f>IF(Таблица17[[#This Row],[обуч выборка2]]-Таблица17[[#This Row],[Апосториорная вероятность вкл]]=0,1,0)</f>
        <v>0</v>
      </c>
      <c r="BK53" s="117">
        <f>MATCH(MAX(Таблица17[[#This Row],[1 класс вкл.]:[6 класс вкл.]]),Таблица17[[#This Row],[1 класс вкл.]:[6 класс вкл.]],0)</f>
        <v>5</v>
      </c>
      <c r="BL53" s="119">
        <v>0</v>
      </c>
      <c r="BM53" s="119">
        <v>0</v>
      </c>
      <c r="BN53" s="119">
        <v>0</v>
      </c>
      <c r="BO53" s="119">
        <v>0</v>
      </c>
      <c r="BP53" s="119">
        <v>1</v>
      </c>
      <c r="BQ53" s="119">
        <v>0</v>
      </c>
      <c r="BR53" s="121" t="str">
        <f>RIGHT(Таблица17[[#This Row],[Класиф искл2]])</f>
        <v>5</v>
      </c>
      <c r="BS53" s="222">
        <v>5</v>
      </c>
      <c r="BT53" s="147">
        <f>IF(Таблица17[[#This Row],[обуч выборка2]]-Таблица17[[#This Row],[Класиф искл]]=0,1,0)</f>
        <v>0</v>
      </c>
      <c r="BU53" s="117" t="s">
        <v>212</v>
      </c>
      <c r="BV53" s="147">
        <f>IF(Таблица17[[#This Row],[обуч выборка2]]-Таблица17[[#This Row],[Расстояние Махаланобиса искл]]=0,1,0)</f>
        <v>0</v>
      </c>
      <c r="BW53" s="117">
        <f>MATCH(MIN(Таблица17[[#This Row],[1 класс искл]:[6 класс искл]]),Таблица17[[#This Row],[1 класс искл]:[6 класс искл]],0)</f>
        <v>5</v>
      </c>
      <c r="BX53" s="120">
        <v>169.67997716302347</v>
      </c>
      <c r="BY53" s="120">
        <v>86.489156267038652</v>
      </c>
      <c r="BZ53" s="120">
        <v>118.06164513148099</v>
      </c>
      <c r="CA53" s="120">
        <v>413.1007115472579</v>
      </c>
      <c r="CB53" s="120">
        <v>12.345103802561116</v>
      </c>
      <c r="CC53" s="120">
        <v>265.63049833111234</v>
      </c>
      <c r="CD53" s="147">
        <f>IF(Таблица17[[#This Row],[обуч выборка2]]-Таблица17[[#This Row],[Апосториорная вероятность искл]]=0,1,0)</f>
        <v>0</v>
      </c>
      <c r="CE53" s="117">
        <f>MATCH(MAX(Таблица17[[#This Row],[1 класс искл.]:[6 класс искл.]]),Таблица17[[#This Row],[1 класс искл.]:[6 класс искл.]],0)</f>
        <v>5</v>
      </c>
      <c r="CF53" s="120">
        <v>0</v>
      </c>
      <c r="CG53" s="120">
        <v>3.176022465200909E-16</v>
      </c>
      <c r="CH53" s="120">
        <v>2.7662073831879623E-23</v>
      </c>
      <c r="CI53" s="120">
        <v>0</v>
      </c>
      <c r="CJ53" s="120">
        <v>0.99999999999999956</v>
      </c>
      <c r="CK53" s="120">
        <v>0</v>
      </c>
      <c r="CL53" s="198">
        <v>-0.82072510041306823</v>
      </c>
      <c r="CM53" s="198">
        <v>1.0096285474269118</v>
      </c>
      <c r="CN53" s="199">
        <v>0.5974894831089731</v>
      </c>
      <c r="CO53" s="192">
        <v>6</v>
      </c>
      <c r="CP53" s="195">
        <v>6</v>
      </c>
      <c r="CQ53" s="209">
        <v>-1.3916299999999999</v>
      </c>
      <c r="CR53" s="209">
        <v>0.14761000000000002</v>
      </c>
      <c r="CS53" s="223">
        <v>2</v>
      </c>
      <c r="CT53" s="223">
        <v>5</v>
      </c>
      <c r="CU53" s="209">
        <v>0.14761000000000002</v>
      </c>
      <c r="CV53" s="209">
        <v>-1.3916299999999999</v>
      </c>
      <c r="CW53" s="209">
        <v>3</v>
      </c>
      <c r="CX53" s="210">
        <v>2</v>
      </c>
      <c r="CY53" s="238" t="s">
        <v>342</v>
      </c>
      <c r="CZ53" s="238">
        <v>1</v>
      </c>
    </row>
    <row r="54" spans="1:104" x14ac:dyDescent="0.3">
      <c r="A54" s="57" t="s">
        <v>62</v>
      </c>
      <c r="B54" s="57">
        <v>6</v>
      </c>
      <c r="C54" s="57">
        <v>6</v>
      </c>
      <c r="D54" s="57">
        <v>3</v>
      </c>
      <c r="E54" s="58">
        <v>6</v>
      </c>
      <c r="F54" s="58">
        <v>-7.6397169299999998E-2</v>
      </c>
      <c r="G54" s="58">
        <v>-3.23055036E-2</v>
      </c>
      <c r="H54" s="58">
        <v>0.63645803000000012</v>
      </c>
      <c r="I54" s="58">
        <v>-0.52428023000000001</v>
      </c>
      <c r="J54" s="58">
        <v>-0.54998404499999998</v>
      </c>
      <c r="K54" s="58">
        <v>-0.81408880700000008</v>
      </c>
      <c r="L54" s="58">
        <v>-0.65165313400000013</v>
      </c>
      <c r="M54" s="58">
        <v>1.0058432900000001</v>
      </c>
      <c r="N54" s="58">
        <v>-0.60776367800000008</v>
      </c>
      <c r="O54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3.4578010114094644</v>
      </c>
      <c r="P54" s="114" t="s">
        <v>215</v>
      </c>
      <c r="Q54" s="114" t="str">
        <f>RIGHT(P54)</f>
        <v>3</v>
      </c>
      <c r="R54" s="121" t="str">
        <f>RIGHT(Таблица17[[#This Row],[Классиф ДА2]])</f>
        <v>3</v>
      </c>
      <c r="S54">
        <v>3</v>
      </c>
      <c r="T54" s="147">
        <f>IF(Таблица17[[#This Row],[обуч выборка2]]-Таблица17[[#This Row],[Классиф ДА]]=0,1,0)</f>
        <v>1</v>
      </c>
      <c r="U54" s="117" t="s">
        <v>215</v>
      </c>
      <c r="V54" s="147">
        <f>IF(Таблица17[[#This Row],[обуч выборка2]]-Таблица17[[#This Row],[расстояние Махаланобиса]]=0,1,0)</f>
        <v>1</v>
      </c>
      <c r="W54" s="117">
        <f>MATCH(MIN(Таблица17[[#This Row],[1 класс]:[6 класс]]),Таблица17[[#This Row],[1 класс]:[6 класс]],0)</f>
        <v>3</v>
      </c>
      <c r="X54" s="118">
        <v>21.094734098656325</v>
      </c>
      <c r="Y54" s="118">
        <v>15.812986352980598</v>
      </c>
      <c r="Z54" s="118">
        <v>5.5725398856746891</v>
      </c>
      <c r="AA54" s="118">
        <v>296.3033970382632</v>
      </c>
      <c r="AB54" s="118">
        <v>210.04711563618525</v>
      </c>
      <c r="AC54" s="118">
        <v>144.67788173414723</v>
      </c>
      <c r="AD54" s="212">
        <v>21.094734098656325</v>
      </c>
      <c r="AE54" s="212">
        <v>15.812986352980598</v>
      </c>
      <c r="AF54" s="212">
        <v>5.5725398856746891</v>
      </c>
      <c r="AG54" s="212">
        <v>296.3033970382632</v>
      </c>
      <c r="AH54" s="212">
        <v>210.04711563618525</v>
      </c>
      <c r="AI54" s="212">
        <v>144.67788173414723</v>
      </c>
      <c r="AJ54" s="147">
        <f>IF(Таблица17[[#This Row],[обуч выборка2]]-Таблица17[[#This Row],[Апосториорная вероятность]]=0,1,0)</f>
        <v>1</v>
      </c>
      <c r="AK54" s="117">
        <f>MATCH(MAX(Таблица17[[#This Row],[1 класс.]:[6 класс.]]),Таблица17[[#This Row],[1 класс.]:[6 класс.]],0)</f>
        <v>3</v>
      </c>
      <c r="AL54" s="120">
        <v>8.4319898823996726E-4</v>
      </c>
      <c r="AM54" s="120">
        <v>9.4609993822007445E-3</v>
      </c>
      <c r="AN54" s="120">
        <v>0.98969580162955928</v>
      </c>
      <c r="AO54" s="120">
        <v>0</v>
      </c>
      <c r="AP54" s="120">
        <v>0</v>
      </c>
      <c r="AQ54" s="120">
        <v>3.6924259485322895E-31</v>
      </c>
      <c r="AR54" s="216">
        <v>8.4319898823996726E-4</v>
      </c>
      <c r="AS54" s="216">
        <v>9.4609993822007445E-3</v>
      </c>
      <c r="AT54" s="216">
        <v>0.98969580162955928</v>
      </c>
      <c r="AU54" s="216">
        <v>0</v>
      </c>
      <c r="AV54" s="216">
        <v>0</v>
      </c>
      <c r="AW54" s="216">
        <v>3.6924259485322895E-31</v>
      </c>
      <c r="AX54" s="121" t="str">
        <f>RIGHT(Таблица17[[#This Row],[Класиф вкл2]])</f>
        <v>3</v>
      </c>
      <c r="AY54" s="221">
        <v>3</v>
      </c>
      <c r="AZ54" s="147">
        <f>IF(Таблица17[[#This Row],[обуч выборка2]]-Таблица17[[#This Row],[Класиф вкл]]=0,1,0)</f>
        <v>1</v>
      </c>
      <c r="BA54" s="117" t="s">
        <v>215</v>
      </c>
      <c r="BB54" s="147">
        <f>IF(Таблица17[[#This Row],[обуч выборка2]]-Таблица17[[#This Row],[Расстояние Махаланобиса вкл
]]=0,1,0)</f>
        <v>1</v>
      </c>
      <c r="BC54" s="117">
        <f>MATCH(MIN(Таблица17[[#This Row],[1 класс вкл]:[6 класс вкл]]),Таблица17[[#This Row],[1 класс вкл]:[6 класс вкл]],0)</f>
        <v>3</v>
      </c>
      <c r="BD54" s="118">
        <v>19.235285721726211</v>
      </c>
      <c r="BE54" s="118">
        <v>8.2560677838067793</v>
      </c>
      <c r="BF54" s="118">
        <v>2.882808387793248</v>
      </c>
      <c r="BG54" s="120">
        <v>230.26113509884567</v>
      </c>
      <c r="BH54" s="118">
        <v>119.93438953841833</v>
      </c>
      <c r="BI54" s="118">
        <v>132.21036564564662</v>
      </c>
      <c r="BJ54" s="147">
        <f>IF(Таблица17[[#This Row],[обуч выборка2]]-Таблица17[[#This Row],[Апосториорная вероятность вкл]]=0,1,0)</f>
        <v>1</v>
      </c>
      <c r="BK54" s="117">
        <f>MATCH(MAX(Таблица17[[#This Row],[1 класс вкл.]:[6 класс вкл.]]),Таблица17[[#This Row],[1 класс вкл.]:[6 класс вкл.]],0)</f>
        <v>3</v>
      </c>
      <c r="BL54" s="119">
        <v>5.0698161644448605E-4</v>
      </c>
      <c r="BM54" s="119">
        <v>9.8217546643130135E-2</v>
      </c>
      <c r="BN54" s="119">
        <v>0.90127547174042533</v>
      </c>
      <c r="BO54" s="119">
        <v>0</v>
      </c>
      <c r="BP54" s="119">
        <v>1.3787630857378671E-26</v>
      </c>
      <c r="BQ54" s="119">
        <v>4.4656693612759329E-29</v>
      </c>
      <c r="BR54" s="121" t="str">
        <f>RIGHT(Таблица17[[#This Row],[Класиф искл2]])</f>
        <v>3</v>
      </c>
      <c r="BS54" s="222">
        <v>3</v>
      </c>
      <c r="BT54" s="147">
        <f>IF(Таблица17[[#This Row],[обуч выборка2]]-Таблица17[[#This Row],[Класиф искл]]=0,1,0)</f>
        <v>1</v>
      </c>
      <c r="BU54" s="117" t="s">
        <v>215</v>
      </c>
      <c r="BV54" s="147">
        <f>IF(Таблица17[[#This Row],[обуч выборка2]]-Таблица17[[#This Row],[Расстояние Махаланобиса искл]]=0,1,0)</f>
        <v>1</v>
      </c>
      <c r="BW54" s="117">
        <f>MATCH(MIN(Таблица17[[#This Row],[1 класс искл]:[6 класс искл]]),Таблица17[[#This Row],[1 класс искл]:[6 класс искл]],0)</f>
        <v>3</v>
      </c>
      <c r="BX54" s="120">
        <v>18.7706636972976</v>
      </c>
      <c r="BY54" s="120">
        <v>11.705547897705637</v>
      </c>
      <c r="BZ54" s="120">
        <v>2.9405701777447186</v>
      </c>
      <c r="CA54" s="120">
        <v>235.88821939806317</v>
      </c>
      <c r="CB54" s="120">
        <v>154.28808920703895</v>
      </c>
      <c r="CC54" s="120">
        <v>94.198636197891204</v>
      </c>
      <c r="CD54" s="147">
        <f>IF(Таблица17[[#This Row],[обуч выборка2]]-Таблица17[[#This Row],[Апосториорная вероятность искл]]=0,1,0)</f>
        <v>1</v>
      </c>
      <c r="CE54" s="117">
        <f>MATCH(MAX(Таблица17[[#This Row],[1 класс искл.]:[6 класс искл.]]),Таблица17[[#This Row],[1 класс искл.]:[6 класс искл.]],0)</f>
        <v>3</v>
      </c>
      <c r="CF54" s="120">
        <v>7.1558584486102925E-4</v>
      </c>
      <c r="CG54" s="120">
        <v>1.9584934841261326E-2</v>
      </c>
      <c r="CH54" s="120">
        <v>0.9796994793138778</v>
      </c>
      <c r="CI54" s="120">
        <v>0</v>
      </c>
      <c r="CJ54" s="120">
        <v>0</v>
      </c>
      <c r="CK54" s="120">
        <v>8.970298121632696E-21</v>
      </c>
      <c r="CL54" s="198">
        <v>-1.0254524028729568</v>
      </c>
      <c r="CM54" s="198">
        <v>-0.28548174574471535</v>
      </c>
      <c r="CN54" s="199">
        <v>-0.436747894886167</v>
      </c>
      <c r="CO54" s="192">
        <v>1</v>
      </c>
      <c r="CP54" s="195">
        <v>4</v>
      </c>
      <c r="CQ54" s="209">
        <v>-0.53047999999999995</v>
      </c>
      <c r="CR54" s="209">
        <v>-0.73325000000000007</v>
      </c>
      <c r="CS54" s="223">
        <v>2</v>
      </c>
      <c r="CT54" s="223">
        <v>1</v>
      </c>
      <c r="CU54" s="209">
        <v>-0.73325000000000007</v>
      </c>
      <c r="CV54" s="209">
        <v>-0.53047999999999995</v>
      </c>
      <c r="CW54" s="209">
        <v>5</v>
      </c>
      <c r="CX54" s="210">
        <v>3</v>
      </c>
      <c r="CY54" s="271" t="str">
        <f>RIGHT(CX54)</f>
        <v>3</v>
      </c>
      <c r="CZ54" s="238">
        <v>1</v>
      </c>
    </row>
    <row r="55" spans="1:104" x14ac:dyDescent="0.3">
      <c r="A55" s="57" t="s">
        <v>63</v>
      </c>
      <c r="B55" s="57">
        <v>2</v>
      </c>
      <c r="C55" s="57">
        <v>6</v>
      </c>
      <c r="D55" s="57">
        <v>2</v>
      </c>
      <c r="E55" s="58">
        <v>6</v>
      </c>
      <c r="F55" s="58">
        <v>1.03085944</v>
      </c>
      <c r="G55" s="58">
        <v>0.16961855100000001</v>
      </c>
      <c r="H55" s="58">
        <v>-0.14018981799999999</v>
      </c>
      <c r="I55" s="58">
        <v>-0.57951306599999997</v>
      </c>
      <c r="J55" s="58">
        <v>-0.28813419900000004</v>
      </c>
      <c r="K55" s="58">
        <v>2.1864515800000001E-3</v>
      </c>
      <c r="L55" s="58">
        <v>-0.68879397600000014</v>
      </c>
      <c r="M55" s="58">
        <v>0.70370492100000004</v>
      </c>
      <c r="N55" s="58">
        <v>-0.42026259100000007</v>
      </c>
      <c r="O55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2.6762147158584377</v>
      </c>
      <c r="P55" s="114" t="s">
        <v>214</v>
      </c>
      <c r="Q55" s="114" t="str">
        <f>RIGHT(P55)</f>
        <v>2</v>
      </c>
      <c r="R55" s="121" t="str">
        <f>RIGHT(Таблица17[[#This Row],[Классиф ДА2]])</f>
        <v>2</v>
      </c>
      <c r="S55">
        <v>2</v>
      </c>
      <c r="T55" s="147">
        <f>IF(Таблица17[[#This Row],[обуч выборка2]]-Таблица17[[#This Row],[Классиф ДА]]=0,1,0)</f>
        <v>1</v>
      </c>
      <c r="U55" s="117" t="s">
        <v>214</v>
      </c>
      <c r="V55" s="147">
        <f>IF(Таблица17[[#This Row],[обуч выборка2]]-Таблица17[[#This Row],[расстояние Махаланобиса]]=0,1,0)</f>
        <v>1</v>
      </c>
      <c r="W55" s="117">
        <f>MATCH(MIN(Таблица17[[#This Row],[1 класс]:[6 класс]]),Таблица17[[#This Row],[1 класс]:[6 класс]],0)</f>
        <v>2</v>
      </c>
      <c r="X55" s="118">
        <v>29.758182785588396</v>
      </c>
      <c r="Y55" s="118">
        <v>5.528286525413824</v>
      </c>
      <c r="Z55" s="118">
        <v>12.063015308537777</v>
      </c>
      <c r="AA55" s="118">
        <v>244.43484549601811</v>
      </c>
      <c r="AB55" s="118">
        <v>169.95250514080925</v>
      </c>
      <c r="AC55" s="118">
        <v>161.4310439187413</v>
      </c>
      <c r="AD55" s="212">
        <v>29.758182785588396</v>
      </c>
      <c r="AE55" s="212">
        <v>5.528286525413824</v>
      </c>
      <c r="AF55" s="212">
        <v>12.063015308537777</v>
      </c>
      <c r="AG55" s="212">
        <v>244.43484549601811</v>
      </c>
      <c r="AH55" s="212">
        <v>169.95250514080925</v>
      </c>
      <c r="AI55" s="212">
        <v>161.4310439187413</v>
      </c>
      <c r="AJ55" s="147">
        <f>IF(Таблица17[[#This Row],[обуч выборка2]]-Таблица17[[#This Row],[Апосториорная вероятность]]=0,1,0)</f>
        <v>1</v>
      </c>
      <c r="AK55" s="117">
        <f>MATCH(MAX(Таблица17[[#This Row],[1 класс.]:[6 класс.]]),Таблица17[[#This Row],[1 класс.]:[6 класс.]],0)</f>
        <v>2</v>
      </c>
      <c r="AL55" s="120">
        <v>6.6869761728081093E-6</v>
      </c>
      <c r="AM55" s="120">
        <v>0.97673080286115144</v>
      </c>
      <c r="AN55" s="120">
        <v>2.3262510162675713E-2</v>
      </c>
      <c r="AO55" s="120">
        <v>0</v>
      </c>
      <c r="AP55" s="120">
        <v>0</v>
      </c>
      <c r="AQ55" s="120">
        <v>0</v>
      </c>
      <c r="AR55" s="216">
        <v>6.6869761728081093E-6</v>
      </c>
      <c r="AS55" s="216">
        <v>0.97673080286115144</v>
      </c>
      <c r="AT55" s="216">
        <v>2.3262510162675713E-2</v>
      </c>
      <c r="AU55" s="216">
        <v>0</v>
      </c>
      <c r="AV55" s="216">
        <v>0</v>
      </c>
      <c r="AW55" s="216">
        <v>0</v>
      </c>
      <c r="AX55" s="121" t="str">
        <f>RIGHT(Таблица17[[#This Row],[Класиф вкл2]])</f>
        <v>2</v>
      </c>
      <c r="AY55" s="221">
        <v>2</v>
      </c>
      <c r="AZ55" s="147">
        <f>IF(Таблица17[[#This Row],[обуч выборка2]]-Таблица17[[#This Row],[Класиф вкл]]=0,1,0)</f>
        <v>1</v>
      </c>
      <c r="BA55" s="117" t="s">
        <v>214</v>
      </c>
      <c r="BB55" s="147">
        <f>IF(Таблица17[[#This Row],[обуч выборка2]]-Таблица17[[#This Row],[Расстояние Махаланобиса вкл
]]=0,1,0)</f>
        <v>1</v>
      </c>
      <c r="BC55" s="117">
        <f>MATCH(MIN(Таблица17[[#This Row],[1 класс вкл]:[6 класс вкл]]),Таблица17[[#This Row],[1 класс вкл]:[6 класс вкл]],0)</f>
        <v>2</v>
      </c>
      <c r="BD55" s="118">
        <v>23.272310849790767</v>
      </c>
      <c r="BE55" s="118">
        <v>1.5960906677814186</v>
      </c>
      <c r="BF55" s="118">
        <v>7.6005220315840445</v>
      </c>
      <c r="BG55" s="120">
        <v>195.61664916160865</v>
      </c>
      <c r="BH55" s="118">
        <v>103.67801875164965</v>
      </c>
      <c r="BI55" s="118">
        <v>139.66389278978528</v>
      </c>
      <c r="BJ55" s="147">
        <f>IF(Таблица17[[#This Row],[обуч выборка2]]-Таблица17[[#This Row],[Апосториорная вероятность вкл]]=0,1,0)</f>
        <v>1</v>
      </c>
      <c r="BK55" s="117">
        <f>MATCH(MAX(Таблица17[[#This Row],[1 класс вкл.]:[6 класс вкл.]]),Таблица17[[#This Row],[1 класс вкл.]:[6 класс вкл.]],0)</f>
        <v>2</v>
      </c>
      <c r="BL55" s="119">
        <v>2.3806160786286956E-5</v>
      </c>
      <c r="BM55" s="119">
        <v>0.96986381472961281</v>
      </c>
      <c r="BN55" s="119">
        <v>3.0112379109600934E-2</v>
      </c>
      <c r="BO55" s="119">
        <v>0</v>
      </c>
      <c r="BP55" s="119">
        <v>1.6513598851417757E-23</v>
      </c>
      <c r="BQ55" s="119">
        <v>3.7992662435111735E-31</v>
      </c>
      <c r="BR55" s="121" t="str">
        <f>RIGHT(Таблица17[[#This Row],[Класиф искл2]])</f>
        <v>2</v>
      </c>
      <c r="BS55" s="222">
        <v>2</v>
      </c>
      <c r="BT55" s="147">
        <f>IF(Таблица17[[#This Row],[обуч выборка2]]-Таблица17[[#This Row],[Класиф искл]]=0,1,0)</f>
        <v>1</v>
      </c>
      <c r="BU55" s="117" t="s">
        <v>214</v>
      </c>
      <c r="BV55" s="147">
        <f>IF(Таблица17[[#This Row],[обуч выборка2]]-Таблица17[[#This Row],[Расстояние Махаланобиса искл]]=0,1,0)</f>
        <v>1</v>
      </c>
      <c r="BW55" s="117">
        <f>MATCH(MIN(Таблица17[[#This Row],[1 класс искл]:[6 класс искл]]),Таблица17[[#This Row],[1 класс искл]:[6 класс искл]],0)</f>
        <v>2</v>
      </c>
      <c r="BX55" s="120">
        <v>26.053672831752028</v>
      </c>
      <c r="BY55" s="120">
        <v>1.7415704333272057</v>
      </c>
      <c r="BZ55" s="120">
        <v>9.0190340500637554</v>
      </c>
      <c r="CA55" s="120">
        <v>194.86892598014236</v>
      </c>
      <c r="CB55" s="120">
        <v>121.57979011072348</v>
      </c>
      <c r="CC55" s="120">
        <v>99.715143566340686</v>
      </c>
      <c r="CD55" s="147">
        <f>IF(Таблица17[[#This Row],[обуч выборка2]]-Таблица17[[#This Row],[Апосториорная вероятность искл]]=0,1,0)</f>
        <v>1</v>
      </c>
      <c r="CE55" s="117">
        <f>MATCH(MAX(Таблица17[[#This Row],[1 класс искл.]:[6 класс искл.]]),Таблица17[[#This Row],[1 класс искл.]:[6 класс искл.]],0)</f>
        <v>2</v>
      </c>
      <c r="CF55" s="120">
        <v>6.4643430959394657E-6</v>
      </c>
      <c r="CG55" s="120">
        <v>0.98383063829735762</v>
      </c>
      <c r="CH55" s="120">
        <v>1.6162897359546506E-2</v>
      </c>
      <c r="CI55" s="120">
        <v>0</v>
      </c>
      <c r="CJ55" s="120">
        <v>2.3351865917135995E-27</v>
      </c>
      <c r="CK55" s="120">
        <v>1.96002007209662E-22</v>
      </c>
      <c r="CL55" s="198">
        <v>-0.76122623184126581</v>
      </c>
      <c r="CM55" s="198">
        <v>0.47200246922534045</v>
      </c>
      <c r="CN55" s="199">
        <v>0.30005792529487213</v>
      </c>
      <c r="CO55" s="192">
        <v>6</v>
      </c>
      <c r="CP55" s="195">
        <v>4</v>
      </c>
      <c r="CQ55" s="209">
        <v>-0.68134000000000006</v>
      </c>
      <c r="CR55" s="209">
        <v>-0.15080000000000002</v>
      </c>
      <c r="CS55" s="223">
        <v>2</v>
      </c>
      <c r="CT55" s="223">
        <v>1</v>
      </c>
      <c r="CU55" s="209">
        <v>-0.15080000000000002</v>
      </c>
      <c r="CV55" s="209">
        <v>-0.68134000000000006</v>
      </c>
      <c r="CW55" s="209">
        <v>5</v>
      </c>
      <c r="CX55" s="210">
        <v>1</v>
      </c>
      <c r="CY55" s="238" t="s">
        <v>339</v>
      </c>
      <c r="CZ55" s="238">
        <v>1</v>
      </c>
    </row>
    <row r="56" spans="1:104" x14ac:dyDescent="0.3">
      <c r="A56" s="57" t="s">
        <v>64</v>
      </c>
      <c r="B56" s="57">
        <v>1</v>
      </c>
      <c r="C56" s="57">
        <v>6</v>
      </c>
      <c r="D56" s="57">
        <v>6</v>
      </c>
      <c r="E56" s="58">
        <v>5</v>
      </c>
      <c r="F56" s="58">
        <v>-2.03660145</v>
      </c>
      <c r="G56" s="58">
        <v>-0.24900449000000005</v>
      </c>
      <c r="H56" s="58">
        <v>0.31354269200000007</v>
      </c>
      <c r="I56" s="58">
        <v>1.7440124100000001</v>
      </c>
      <c r="J56" s="58">
        <v>-0.28140284000000004</v>
      </c>
      <c r="K56" s="58">
        <v>-0.22228924400000002</v>
      </c>
      <c r="L56" s="58">
        <v>1.6609961200000001</v>
      </c>
      <c r="M56" s="58">
        <v>0.66054229700000011</v>
      </c>
      <c r="N56" s="58">
        <v>0.85383508900000005</v>
      </c>
      <c r="O56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11.402495670871842</v>
      </c>
      <c r="P56" s="114"/>
      <c r="Q56" s="114"/>
      <c r="R56" s="121" t="str">
        <f>RIGHT(Таблица17[[#This Row],[Классиф ДА2]])</f>
        <v>6</v>
      </c>
      <c r="S56">
        <v>6</v>
      </c>
      <c r="T56" s="147">
        <f>IF(Таблица17[[#This Row],[обуч выборка2]]-Таблица17[[#This Row],[Классиф ДА]]=0,1,0)</f>
        <v>0</v>
      </c>
      <c r="U56" s="117" t="s">
        <v>217</v>
      </c>
      <c r="V56" s="147">
        <f>IF(Таблица17[[#This Row],[обуч выборка2]]-Таблица17[[#This Row],[расстояние Махаланобиса]]=0,1,0)</f>
        <v>0</v>
      </c>
      <c r="W56" s="117">
        <f>MATCH(MIN(Таблица17[[#This Row],[1 класс]:[6 класс]]),Таблица17[[#This Row],[1 класс]:[6 класс]],0)</f>
        <v>6</v>
      </c>
      <c r="X56" s="118">
        <v>110.01692108775519</v>
      </c>
      <c r="Y56" s="118">
        <v>216.32324081677075</v>
      </c>
      <c r="Z56" s="118">
        <v>187.57665325982163</v>
      </c>
      <c r="AA56" s="118">
        <v>261.33375895760111</v>
      </c>
      <c r="AB56" s="118">
        <v>643.98105964233935</v>
      </c>
      <c r="AC56" s="118">
        <v>55.182233269799724</v>
      </c>
      <c r="AD56" s="212">
        <v>110.01692108775519</v>
      </c>
      <c r="AE56" s="212">
        <v>216.32324081677075</v>
      </c>
      <c r="AF56" s="212">
        <v>187.57665325982163</v>
      </c>
      <c r="AG56" s="212">
        <v>261.33375895760111</v>
      </c>
      <c r="AH56" s="212">
        <v>643.98105964233935</v>
      </c>
      <c r="AI56" s="212">
        <v>55.182233269799724</v>
      </c>
      <c r="AJ56" s="147">
        <f>IF(Таблица17[[#This Row],[обуч выборка2]]-Таблица17[[#This Row],[Апосториорная вероятность]]=0,1,0)</f>
        <v>0</v>
      </c>
      <c r="AK56" s="117">
        <f>MATCH(MAX(Таблица17[[#This Row],[1 класс.]:[6 класс.]]),Таблица17[[#This Row],[1 класс.]:[6 класс.]],0)</f>
        <v>6</v>
      </c>
      <c r="AL56" s="120">
        <v>4.1274096684240962E-12</v>
      </c>
      <c r="AM56" s="120">
        <v>0</v>
      </c>
      <c r="AN56" s="120">
        <v>2.9700634777863233E-29</v>
      </c>
      <c r="AO56" s="120">
        <v>0</v>
      </c>
      <c r="AP56" s="120">
        <v>0</v>
      </c>
      <c r="AQ56" s="120">
        <v>0.99999999999587263</v>
      </c>
      <c r="AR56" s="216">
        <v>4.1274096684240962E-12</v>
      </c>
      <c r="AS56" s="216">
        <v>0</v>
      </c>
      <c r="AT56" s="216">
        <v>2.9700634777863233E-29</v>
      </c>
      <c r="AU56" s="216">
        <v>0</v>
      </c>
      <c r="AV56" s="216">
        <v>0</v>
      </c>
      <c r="AW56" s="216">
        <v>0.99999999999587263</v>
      </c>
      <c r="AX56" s="121" t="str">
        <f>RIGHT(Таблица17[[#This Row],[Класиф вкл2]])</f>
        <v>6</v>
      </c>
      <c r="AY56" s="221">
        <v>6</v>
      </c>
      <c r="AZ56" s="147">
        <f>IF(Таблица17[[#This Row],[обуч выборка2]]-Таблица17[[#This Row],[Класиф вкл]]=0,1,0)</f>
        <v>0</v>
      </c>
      <c r="BA56" s="117" t="s">
        <v>217</v>
      </c>
      <c r="BB56" s="147">
        <f>IF(Таблица17[[#This Row],[обуч выборка2]]-Таблица17[[#This Row],[Расстояние Махаланобиса вкл
]]=0,1,0)</f>
        <v>0</v>
      </c>
      <c r="BC56" s="117">
        <f>MATCH(MIN(Таблица17[[#This Row],[1 класс вкл]:[6 класс вкл]]),Таблица17[[#This Row],[1 класс вкл]:[6 класс вкл]],0)</f>
        <v>5</v>
      </c>
      <c r="BD56" s="118">
        <v>170.00526461171449</v>
      </c>
      <c r="BE56" s="118">
        <v>99.551281945552134</v>
      </c>
      <c r="BF56" s="118">
        <v>124.43620587710939</v>
      </c>
      <c r="BG56" s="120">
        <v>429.25119265779779</v>
      </c>
      <c r="BH56" s="118">
        <v>7.8518745227545832</v>
      </c>
      <c r="BI56" s="118">
        <v>333.95968834521835</v>
      </c>
      <c r="BJ56" s="147">
        <f>IF(Таблица17[[#This Row],[обуч выборка2]]-Таблица17[[#This Row],[Апосториорная вероятность вкл]]=0,1,0)</f>
        <v>0</v>
      </c>
      <c r="BK56" s="117">
        <f>MATCH(MAX(Таблица17[[#This Row],[1 класс вкл.]:[6 класс вкл.]]),Таблица17[[#This Row],[1 класс вкл.]:[6 класс вкл.]],0)</f>
        <v>5</v>
      </c>
      <c r="BL56" s="119">
        <v>0</v>
      </c>
      <c r="BM56" s="119">
        <v>4.8953829685480401E-20</v>
      </c>
      <c r="BN56" s="119">
        <v>1.2077418538690832E-25</v>
      </c>
      <c r="BO56" s="119">
        <v>0</v>
      </c>
      <c r="BP56" s="119">
        <v>1</v>
      </c>
      <c r="BQ56" s="119">
        <v>0</v>
      </c>
      <c r="BR56" s="121" t="str">
        <f>RIGHT(Таблица17[[#This Row],[Класиф искл2]])</f>
        <v>6</v>
      </c>
      <c r="BS56" s="222">
        <v>6</v>
      </c>
      <c r="BT56" s="147">
        <f>IF(Таблица17[[#This Row],[обуч выборка2]]-Таблица17[[#This Row],[Класиф искл]]=0,1,0)</f>
        <v>0</v>
      </c>
      <c r="BU56" s="117" t="s">
        <v>217</v>
      </c>
      <c r="BV56" s="147">
        <f>IF(Таблица17[[#This Row],[обуч выборка2]]-Таблица17[[#This Row],[Расстояние Махаланобиса искл]]=0,1,0)</f>
        <v>0</v>
      </c>
      <c r="BW56" s="117">
        <f>MATCH(MIN(Таблица17[[#This Row],[1 класс искл]:[6 класс искл]]),Таблица17[[#This Row],[1 класс искл]:[6 класс искл]],0)</f>
        <v>5</v>
      </c>
      <c r="BX56" s="120">
        <v>160.72217695251408</v>
      </c>
      <c r="BY56" s="120">
        <v>88.269040415655994</v>
      </c>
      <c r="BZ56" s="120">
        <v>118.38535808287475</v>
      </c>
      <c r="CA56" s="120">
        <v>427.62445396163423</v>
      </c>
      <c r="CB56" s="120">
        <v>25.471319171173697</v>
      </c>
      <c r="CC56" s="120">
        <v>243.97049491512968</v>
      </c>
      <c r="CD56" s="147">
        <f>IF(Таблица17[[#This Row],[обуч выборка2]]-Таблица17[[#This Row],[Апосториорная вероятность искл]]=0,1,0)</f>
        <v>0</v>
      </c>
      <c r="CE56" s="117">
        <f>MATCH(MAX(Таблица17[[#This Row],[1 класс искл.]:[6 класс искл.]]),Таблица17[[#This Row],[1 класс искл.]:[6 класс искл.]],0)</f>
        <v>5</v>
      </c>
      <c r="CF56" s="120">
        <v>2.1360892813113114E-29</v>
      </c>
      <c r="CG56" s="120">
        <v>9.2407683854564336E-14</v>
      </c>
      <c r="CH56" s="120">
        <v>1.6669125383648471E-20</v>
      </c>
      <c r="CI56" s="120">
        <v>0</v>
      </c>
      <c r="CJ56" s="120">
        <v>0.99999999999990763</v>
      </c>
      <c r="CK56" s="120">
        <v>0</v>
      </c>
      <c r="CL56" s="198">
        <v>1.0516483442580258</v>
      </c>
      <c r="CM56" s="198">
        <v>-1.2563485133534897</v>
      </c>
      <c r="CN56" s="199">
        <v>-1.629951759664481</v>
      </c>
      <c r="CO56" s="192">
        <v>2</v>
      </c>
      <c r="CP56" s="195">
        <v>2</v>
      </c>
      <c r="CQ56" s="209">
        <v>1.57186</v>
      </c>
      <c r="CR56" s="209">
        <v>-0.24538000000000001</v>
      </c>
      <c r="CS56" s="223">
        <v>3</v>
      </c>
      <c r="CT56" s="223">
        <v>3</v>
      </c>
      <c r="CU56" s="209">
        <v>-0.24538000000000001</v>
      </c>
      <c r="CV56" s="209">
        <v>1.57186</v>
      </c>
      <c r="CW56" s="209">
        <v>4</v>
      </c>
      <c r="CX56" s="210">
        <v>4</v>
      </c>
      <c r="CY56" s="272">
        <v>6</v>
      </c>
      <c r="CZ56" s="238">
        <v>3</v>
      </c>
    </row>
    <row r="57" spans="1:104" x14ac:dyDescent="0.3">
      <c r="A57" s="57" t="s">
        <v>65</v>
      </c>
      <c r="B57" s="57">
        <v>2</v>
      </c>
      <c r="C57" s="57">
        <v>6</v>
      </c>
      <c r="D57" s="57">
        <v>2</v>
      </c>
      <c r="E57" s="58">
        <v>6</v>
      </c>
      <c r="F57" s="58">
        <v>0.71916220099999995</v>
      </c>
      <c r="G57" s="58">
        <v>0.23364325200000002</v>
      </c>
      <c r="H57" s="58">
        <v>0.25552188200000003</v>
      </c>
      <c r="I57" s="58">
        <v>-0.86229009300000015</v>
      </c>
      <c r="J57" s="58">
        <v>-0.24976545500000005</v>
      </c>
      <c r="K57" s="58">
        <v>-0.67124063700000025</v>
      </c>
      <c r="L57" s="58">
        <v>-0.77860263000000007</v>
      </c>
      <c r="M57" s="58">
        <v>3.4684251299999996E-2</v>
      </c>
      <c r="N57" s="58">
        <v>-0.7448264670000001</v>
      </c>
      <c r="O57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3.0557573711288684</v>
      </c>
      <c r="P57" s="114"/>
      <c r="Q57" s="114"/>
      <c r="R57" s="121" t="str">
        <f>RIGHT(Таблица17[[#This Row],[Классиф ДА2]])</f>
        <v>2</v>
      </c>
      <c r="S57">
        <v>2</v>
      </c>
      <c r="T57" s="147">
        <f>IF(Таблица17[[#This Row],[обуч выборка2]]-Таблица17[[#This Row],[Классиф ДА]]=0,1,0)</f>
        <v>0</v>
      </c>
      <c r="U57" s="117" t="s">
        <v>214</v>
      </c>
      <c r="V57" s="147">
        <f>IF(Таблица17[[#This Row],[обуч выборка2]]-Таблица17[[#This Row],[расстояние Махаланобиса]]=0,1,0)</f>
        <v>0</v>
      </c>
      <c r="W57" s="117">
        <f>MATCH(MIN(Таблица17[[#This Row],[1 класс]:[6 класс]]),Таблица17[[#This Row],[1 класс]:[6 класс]],0)</f>
        <v>2</v>
      </c>
      <c r="X57" s="118">
        <v>77.476742870632535</v>
      </c>
      <c r="Y57" s="118">
        <v>17.219583402534187</v>
      </c>
      <c r="Z57" s="118">
        <v>23.365876202832357</v>
      </c>
      <c r="AA57" s="118">
        <v>360.56809131270188</v>
      </c>
      <c r="AB57" s="118">
        <v>116.55147279419889</v>
      </c>
      <c r="AC57" s="118">
        <v>229.85561452897281</v>
      </c>
      <c r="AD57" s="212">
        <v>77.476742870632535</v>
      </c>
      <c r="AE57" s="212">
        <v>17.219583402534187</v>
      </c>
      <c r="AF57" s="212">
        <v>23.365876202832357</v>
      </c>
      <c r="AG57" s="212">
        <v>360.56809131270188</v>
      </c>
      <c r="AH57" s="212">
        <v>116.55147279419889</v>
      </c>
      <c r="AI57" s="212">
        <v>229.85561452897281</v>
      </c>
      <c r="AJ57" s="147">
        <f>IF(Таблица17[[#This Row],[обуч выборка2]]-Таблица17[[#This Row],[Апосториорная вероятность]]=0,1,0)</f>
        <v>0</v>
      </c>
      <c r="AK57" s="117">
        <f>MATCH(MAX(Таблица17[[#This Row],[1 класс.]:[6 класс.]]),Таблица17[[#This Row],[1 класс.]:[6 класс.]],0)</f>
        <v>2</v>
      </c>
      <c r="AL57" s="120">
        <v>9.9965835648206792E-14</v>
      </c>
      <c r="AM57" s="120">
        <v>0.97189089566608922</v>
      </c>
      <c r="AN57" s="120">
        <v>2.8109104333810909E-2</v>
      </c>
      <c r="AO57" s="120">
        <v>0</v>
      </c>
      <c r="AP57" s="120">
        <v>6.545032427086105E-23</v>
      </c>
      <c r="AQ57" s="120">
        <v>0</v>
      </c>
      <c r="AR57" s="216">
        <v>9.9965835648206792E-14</v>
      </c>
      <c r="AS57" s="216">
        <v>0.97189089566608922</v>
      </c>
      <c r="AT57" s="216">
        <v>2.8109104333810909E-2</v>
      </c>
      <c r="AU57" s="216">
        <v>0</v>
      </c>
      <c r="AV57" s="216">
        <v>6.545032427086105E-23</v>
      </c>
      <c r="AW57" s="216">
        <v>0</v>
      </c>
      <c r="AX57" s="121" t="str">
        <f>RIGHT(Таблица17[[#This Row],[Класиф вкл2]])</f>
        <v>2</v>
      </c>
      <c r="AY57" s="221">
        <v>2</v>
      </c>
      <c r="AZ57" s="147">
        <f>IF(Таблица17[[#This Row],[обуч выборка2]]-Таблица17[[#This Row],[Класиф вкл]]=0,1,0)</f>
        <v>0</v>
      </c>
      <c r="BA57" s="117" t="s">
        <v>214</v>
      </c>
      <c r="BB57" s="147">
        <f>IF(Таблица17[[#This Row],[обуч выборка2]]-Таблица17[[#This Row],[Расстояние Махаланобиса вкл
]]=0,1,0)</f>
        <v>0</v>
      </c>
      <c r="BC57" s="117">
        <f>MATCH(MIN(Таблица17[[#This Row],[1 класс вкл]:[6 класс вкл]]),Таблица17[[#This Row],[1 класс вкл]:[6 класс вкл]],0)</f>
        <v>2</v>
      </c>
      <c r="BD57" s="118">
        <v>46.099081875021724</v>
      </c>
      <c r="BE57" s="118">
        <v>11.059723702823103</v>
      </c>
      <c r="BF57" s="118">
        <v>16.194612306078408</v>
      </c>
      <c r="BG57" s="120">
        <v>255.57751006239278</v>
      </c>
      <c r="BH57" s="118">
        <v>64.662052527089472</v>
      </c>
      <c r="BI57" s="118">
        <v>189.4481070293516</v>
      </c>
      <c r="BJ57" s="147">
        <f>IF(Таблица17[[#This Row],[обуч выборка2]]-Таблица17[[#This Row],[Апосториорная вероятность вкл]]=0,1,0)</f>
        <v>0</v>
      </c>
      <c r="BK57" s="117">
        <f>MATCH(MAX(Таблица17[[#This Row],[1 класс вкл.]:[6 класс вкл.]]),Таблица17[[#This Row],[1 класс вкл.]:[6 класс вкл.]],0)</f>
        <v>2</v>
      </c>
      <c r="BL57" s="119">
        <v>2.9367470040824799E-8</v>
      </c>
      <c r="BM57" s="119">
        <v>0.95423748582196422</v>
      </c>
      <c r="BN57" s="119">
        <v>4.5762484810018718E-2</v>
      </c>
      <c r="BO57" s="119">
        <v>0</v>
      </c>
      <c r="BP57" s="119">
        <v>5.4701428653697048E-13</v>
      </c>
      <c r="BQ57" s="119">
        <v>0</v>
      </c>
      <c r="BR57" s="121" t="str">
        <f>RIGHT(Таблица17[[#This Row],[Класиф искл2]])</f>
        <v>2</v>
      </c>
      <c r="BS57" s="222">
        <v>2</v>
      </c>
      <c r="BT57" s="147">
        <f>IF(Таблица17[[#This Row],[обуч выборка2]]-Таблица17[[#This Row],[Класиф искл]]=0,1,0)</f>
        <v>0</v>
      </c>
      <c r="BU57" s="117" t="s">
        <v>214</v>
      </c>
      <c r="BV57" s="147">
        <f>IF(Таблица17[[#This Row],[обуч выборка2]]-Таблица17[[#This Row],[Расстояние Махаланобиса искл]]=0,1,0)</f>
        <v>0</v>
      </c>
      <c r="BW57" s="117">
        <f>MATCH(MIN(Таблица17[[#This Row],[1 класс искл]:[6 класс искл]]),Таблица17[[#This Row],[1 класс искл]:[6 класс искл]],0)</f>
        <v>2</v>
      </c>
      <c r="BX57" s="120">
        <v>38.97829139976534</v>
      </c>
      <c r="BY57" s="120">
        <v>8.707233359378959</v>
      </c>
      <c r="BZ57" s="120">
        <v>12.575878874453469</v>
      </c>
      <c r="CA57" s="120">
        <v>262.15469113181996</v>
      </c>
      <c r="CB57" s="120">
        <v>101.04275301853224</v>
      </c>
      <c r="CC57" s="120">
        <v>121.6118573797327</v>
      </c>
      <c r="CD57" s="147">
        <f>IF(Таблица17[[#This Row],[обуч выборка2]]-Таблица17[[#This Row],[Апосториорная вероятность искл]]=0,1,0)</f>
        <v>0</v>
      </c>
      <c r="CE57" s="117">
        <f>MATCH(MAX(Таблица17[[#This Row],[1 класс искл.]:[6 класс искл.]]),Таблица17[[#This Row],[1 класс искл.]:[6 класс искл.]],0)</f>
        <v>2</v>
      </c>
      <c r="CF57" s="120">
        <v>3.0625038962992164E-7</v>
      </c>
      <c r="CG57" s="120">
        <v>0.91715633686202858</v>
      </c>
      <c r="CH57" s="120">
        <v>8.2843356887581709E-2</v>
      </c>
      <c r="CI57" s="120">
        <v>0</v>
      </c>
      <c r="CJ57" s="120">
        <v>2.0416441277453791E-21</v>
      </c>
      <c r="CK57" s="120">
        <v>1.0460369893807758E-25</v>
      </c>
      <c r="CL57" s="198">
        <v>-0.9378004994331991</v>
      </c>
      <c r="CM57" s="198">
        <v>0.17086698406252218</v>
      </c>
      <c r="CN57" s="199">
        <v>0.46203579336948558</v>
      </c>
      <c r="CO57" s="192">
        <v>6</v>
      </c>
      <c r="CP57" s="195">
        <v>4</v>
      </c>
      <c r="CQ57" s="209">
        <v>-0.77271000000000001</v>
      </c>
      <c r="CR57" s="209">
        <v>-0.41152000000000005</v>
      </c>
      <c r="CS57" s="223">
        <v>2</v>
      </c>
      <c r="CT57" s="223">
        <v>1</v>
      </c>
      <c r="CU57" s="209">
        <v>-0.41152000000000005</v>
      </c>
      <c r="CV57" s="209">
        <v>-0.77271000000000001</v>
      </c>
      <c r="CW57" s="209">
        <v>5</v>
      </c>
      <c r="CX57" s="210">
        <v>2</v>
      </c>
      <c r="CY57" s="272">
        <v>2</v>
      </c>
      <c r="CZ57" s="238">
        <v>1</v>
      </c>
    </row>
    <row r="58" spans="1:104" x14ac:dyDescent="0.3">
      <c r="A58" s="57" t="s">
        <v>66</v>
      </c>
      <c r="B58" s="57">
        <v>4</v>
      </c>
      <c r="C58" s="57">
        <v>3</v>
      </c>
      <c r="D58" s="57">
        <v>4</v>
      </c>
      <c r="E58" s="58">
        <v>4</v>
      </c>
      <c r="F58" s="58">
        <v>0.71691168000000005</v>
      </c>
      <c r="G58" s="58">
        <v>1.6668115500000003</v>
      </c>
      <c r="H58" s="58">
        <v>-0.62574745100000018</v>
      </c>
      <c r="I58" s="58">
        <v>0.10582420100000002</v>
      </c>
      <c r="J58" s="58">
        <v>1.0938137000000001</v>
      </c>
      <c r="K58" s="58">
        <v>4.5733278999999998</v>
      </c>
      <c r="L58" s="58">
        <v>-0.18025893800000001</v>
      </c>
      <c r="M58" s="58">
        <v>-1.51917021</v>
      </c>
      <c r="N58" s="58">
        <v>0.29759871200000004</v>
      </c>
      <c r="O58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28.235674628831138</v>
      </c>
      <c r="P58" s="114" t="s">
        <v>216</v>
      </c>
      <c r="Q58" s="114" t="str">
        <f>RIGHT(P58)</f>
        <v>4</v>
      </c>
      <c r="R58" s="121" t="str">
        <f>RIGHT(Таблица17[[#This Row],[Классиф ДА2]])</f>
        <v>4</v>
      </c>
      <c r="S58">
        <v>4</v>
      </c>
      <c r="T58" s="147">
        <f>IF(Таблица17[[#This Row],[обуч выборка2]]-Таблица17[[#This Row],[Классиф ДА]]=0,1,0)</f>
        <v>1</v>
      </c>
      <c r="U58" s="117" t="s">
        <v>216</v>
      </c>
      <c r="V58" s="147">
        <f>IF(Таблица17[[#This Row],[обуч выборка2]]-Таблица17[[#This Row],[расстояние Махаланобиса]]=0,1,0)</f>
        <v>1</v>
      </c>
      <c r="W58" s="117">
        <f>MATCH(MIN(Таблица17[[#This Row],[1 класс]:[6 класс]]),Таблица17[[#This Row],[1 класс]:[6 класс]],0)</f>
        <v>4</v>
      </c>
      <c r="X58" s="118">
        <v>232.99543581200015</v>
      </c>
      <c r="Y58" s="118">
        <v>268.69078348212372</v>
      </c>
      <c r="Z58" s="118">
        <v>275.2335060451918</v>
      </c>
      <c r="AA58" s="118">
        <v>10.953921201161277</v>
      </c>
      <c r="AB58" s="118">
        <v>513.64457112560331</v>
      </c>
      <c r="AC58" s="118">
        <v>371.888605307668</v>
      </c>
      <c r="AD58" s="212">
        <v>232.99543581200015</v>
      </c>
      <c r="AE58" s="212">
        <v>268.69078348212372</v>
      </c>
      <c r="AF58" s="212">
        <v>275.2335060451918</v>
      </c>
      <c r="AG58" s="212">
        <v>10.953921201161277</v>
      </c>
      <c r="AH58" s="212">
        <v>513.64457112560331</v>
      </c>
      <c r="AI58" s="212">
        <v>371.888605307668</v>
      </c>
      <c r="AJ58" s="147">
        <f>IF(Таблица17[[#This Row],[обуч выборка2]]-Таблица17[[#This Row],[Апосториорная вероятность]]=0,1,0)</f>
        <v>1</v>
      </c>
      <c r="AK58" s="117">
        <f>MATCH(MAX(Таблица17[[#This Row],[1 класс.]:[6 класс.]]),Таблица17[[#This Row],[1 класс.]:[6 класс.]],0)</f>
        <v>4</v>
      </c>
      <c r="AL58" s="120">
        <v>0</v>
      </c>
      <c r="AM58" s="120">
        <v>0</v>
      </c>
      <c r="AN58" s="120">
        <v>0</v>
      </c>
      <c r="AO58" s="120">
        <v>1</v>
      </c>
      <c r="AP58" s="120">
        <v>0</v>
      </c>
      <c r="AQ58" s="120">
        <v>0</v>
      </c>
      <c r="AR58" s="216">
        <v>0</v>
      </c>
      <c r="AS58" s="216">
        <v>0</v>
      </c>
      <c r="AT58" s="216">
        <v>0</v>
      </c>
      <c r="AU58" s="216">
        <v>1</v>
      </c>
      <c r="AV58" s="216">
        <v>0</v>
      </c>
      <c r="AW58" s="216">
        <v>0</v>
      </c>
      <c r="AX58" s="121" t="str">
        <f>RIGHT(Таблица17[[#This Row],[Класиф вкл2]])</f>
        <v>4</v>
      </c>
      <c r="AY58" s="221">
        <v>4</v>
      </c>
      <c r="AZ58" s="147">
        <f>IF(Таблица17[[#This Row],[обуч выборка2]]-Таблица17[[#This Row],[Класиф вкл]]=0,1,0)</f>
        <v>1</v>
      </c>
      <c r="BA58" s="117" t="s">
        <v>216</v>
      </c>
      <c r="BB58" s="147">
        <f>IF(Таблица17[[#This Row],[обуч выборка2]]-Таблица17[[#This Row],[Расстояние Махаланобиса вкл
]]=0,1,0)</f>
        <v>1</v>
      </c>
      <c r="BC58" s="117">
        <f>MATCH(MIN(Таблица17[[#This Row],[1 класс вкл]:[6 класс вкл]]),Таблица17[[#This Row],[1 класс вкл]:[6 класс вкл]],0)</f>
        <v>4</v>
      </c>
      <c r="BD58" s="118">
        <v>186.26285770776533</v>
      </c>
      <c r="BE58" s="118">
        <v>225.20244940142135</v>
      </c>
      <c r="BF58" s="118">
        <v>220.90657384577042</v>
      </c>
      <c r="BG58" s="120">
        <v>5.756100700082996</v>
      </c>
      <c r="BH58" s="118">
        <v>439.81702553446348</v>
      </c>
      <c r="BI58" s="118">
        <v>283.41618977141724</v>
      </c>
      <c r="BJ58" s="147">
        <f>IF(Таблица17[[#This Row],[обуч выборка2]]-Таблица17[[#This Row],[Апосториорная вероятность вкл]]=0,1,0)</f>
        <v>1</v>
      </c>
      <c r="BK58" s="117">
        <f>MATCH(MAX(Таблица17[[#This Row],[1 класс вкл.]:[6 класс вкл.]]),Таблица17[[#This Row],[1 класс вкл.]:[6 класс вкл.]],0)</f>
        <v>4</v>
      </c>
      <c r="BL58" s="119">
        <v>0</v>
      </c>
      <c r="BM58" s="119">
        <v>0</v>
      </c>
      <c r="BN58" s="119">
        <v>0</v>
      </c>
      <c r="BO58" s="119">
        <v>1</v>
      </c>
      <c r="BP58" s="119">
        <v>0</v>
      </c>
      <c r="BQ58" s="119">
        <v>0</v>
      </c>
      <c r="BR58" s="121" t="str">
        <f>RIGHT(Таблица17[[#This Row],[Класиф искл2]])</f>
        <v>4</v>
      </c>
      <c r="BS58" s="222">
        <v>4</v>
      </c>
      <c r="BT58" s="147">
        <f>IF(Таблица17[[#This Row],[обуч выборка2]]-Таблица17[[#This Row],[Класиф искл]]=0,1,0)</f>
        <v>1</v>
      </c>
      <c r="BU58" s="117" t="s">
        <v>216</v>
      </c>
      <c r="BV58" s="147">
        <f>IF(Таблица17[[#This Row],[обуч выборка2]]-Таблица17[[#This Row],[Расстояние Махаланобиса искл]]=0,1,0)</f>
        <v>1</v>
      </c>
      <c r="BW58" s="117">
        <f>MATCH(MIN(Таблица17[[#This Row],[1 класс искл]:[6 класс искл]]),Таблица17[[#This Row],[1 класс искл]:[6 класс искл]],0)</f>
        <v>4</v>
      </c>
      <c r="BX58" s="120">
        <v>201.40603347616099</v>
      </c>
      <c r="BY58" s="120">
        <v>227.91796667634009</v>
      </c>
      <c r="BZ58" s="120">
        <v>233.19721724926995</v>
      </c>
      <c r="CA58" s="120">
        <v>6.0745943634972672</v>
      </c>
      <c r="CB58" s="120">
        <v>443.60509688189006</v>
      </c>
      <c r="CC58" s="120">
        <v>236.49289202899362</v>
      </c>
      <c r="CD58" s="147">
        <f>IF(Таблица17[[#This Row],[обуч выборка2]]-Таблица17[[#This Row],[Апосториорная вероятность искл]]=0,1,0)</f>
        <v>1</v>
      </c>
      <c r="CE58" s="117">
        <f>MATCH(MAX(Таблица17[[#This Row],[1 класс искл.]:[6 класс искл.]]),Таблица17[[#This Row],[1 класс искл.]:[6 класс искл.]],0)</f>
        <v>4</v>
      </c>
      <c r="CF58" s="120">
        <v>0</v>
      </c>
      <c r="CG58" s="120">
        <v>0</v>
      </c>
      <c r="CH58" s="120">
        <v>0</v>
      </c>
      <c r="CI58" s="120">
        <v>1</v>
      </c>
      <c r="CJ58" s="120">
        <v>0</v>
      </c>
      <c r="CK58" s="120">
        <v>0</v>
      </c>
      <c r="CL58" s="198">
        <v>1.4341881059576949</v>
      </c>
      <c r="CM58" s="198">
        <v>2.161038063750881</v>
      </c>
      <c r="CN58" s="199">
        <v>-0.1481311643848674</v>
      </c>
      <c r="CO58" s="192">
        <v>3</v>
      </c>
      <c r="CP58" s="195">
        <v>1</v>
      </c>
      <c r="CQ58" s="209">
        <v>-0.20050000000000001</v>
      </c>
      <c r="CR58" s="209">
        <v>2.1512799999999999</v>
      </c>
      <c r="CS58" s="223">
        <v>1</v>
      </c>
      <c r="CT58" s="223">
        <v>4</v>
      </c>
      <c r="CU58" s="209">
        <v>2.1512799999999999</v>
      </c>
      <c r="CV58" s="209">
        <v>-0.20050000000000001</v>
      </c>
      <c r="CW58" s="209">
        <v>6</v>
      </c>
      <c r="CX58" s="210">
        <v>5</v>
      </c>
      <c r="CY58" s="272" t="str">
        <f>RIGHT(CX58)</f>
        <v>5</v>
      </c>
      <c r="CZ58" s="238">
        <v>4</v>
      </c>
    </row>
    <row r="59" spans="1:104" x14ac:dyDescent="0.3">
      <c r="A59" s="57" t="s">
        <v>67</v>
      </c>
      <c r="B59" s="57">
        <v>6</v>
      </c>
      <c r="C59" s="57">
        <v>6</v>
      </c>
      <c r="D59" s="57">
        <v>3</v>
      </c>
      <c r="E59" s="58">
        <v>6</v>
      </c>
      <c r="F59" s="58">
        <v>2.2900262499999999</v>
      </c>
      <c r="G59" s="58">
        <v>-1.64769794</v>
      </c>
      <c r="H59" s="58">
        <v>0.33908836400000014</v>
      </c>
      <c r="I59" s="58">
        <v>-3.8153166000000009E-2</v>
      </c>
      <c r="J59" s="58">
        <v>-0.72365309400000011</v>
      </c>
      <c r="K59" s="58">
        <v>-0.712054399</v>
      </c>
      <c r="L59" s="58">
        <v>-0.11980098299999999</v>
      </c>
      <c r="M59" s="58">
        <v>3.2287184099999999</v>
      </c>
      <c r="N59" s="58">
        <v>-0.78586444099999997</v>
      </c>
      <c r="O59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20.162818342701694</v>
      </c>
      <c r="P59" s="114"/>
      <c r="Q59" s="114"/>
      <c r="R59" s="121" t="str">
        <f>RIGHT(Таблица17[[#This Row],[Классиф ДА2]])</f>
        <v>1</v>
      </c>
      <c r="S59">
        <v>1</v>
      </c>
      <c r="T59" s="147">
        <f>IF(Таблица17[[#This Row],[обуч выборка2]]-Таблица17[[#This Row],[Классиф ДА]]=0,1,0)</f>
        <v>0</v>
      </c>
      <c r="U59" s="117" t="s">
        <v>213</v>
      </c>
      <c r="V59" s="147">
        <f>IF(Таблица17[[#This Row],[обуч выборка2]]-Таблица17[[#This Row],[расстояние Махаланобиса]]=0,1,0)</f>
        <v>0</v>
      </c>
      <c r="W59" s="117">
        <f>MATCH(MIN(Таблица17[[#This Row],[1 класс]:[6 класс]]),Таблица17[[#This Row],[1 класс]:[6 класс]],0)</f>
        <v>1</v>
      </c>
      <c r="X59" s="118">
        <v>123.26421430544444</v>
      </c>
      <c r="Y59" s="118">
        <v>133.06875613197064</v>
      </c>
      <c r="Z59" s="118">
        <v>125.54518911208629</v>
      </c>
      <c r="AA59" s="118">
        <v>405.96343741903092</v>
      </c>
      <c r="AB59" s="118">
        <v>385.92650038675436</v>
      </c>
      <c r="AC59" s="118">
        <v>178.5419519780292</v>
      </c>
      <c r="AD59" s="212">
        <v>123.26421430544444</v>
      </c>
      <c r="AE59" s="212">
        <v>133.06875613197064</v>
      </c>
      <c r="AF59" s="212">
        <v>125.54518911208629</v>
      </c>
      <c r="AG59" s="212">
        <v>405.96343741903092</v>
      </c>
      <c r="AH59" s="212">
        <v>385.92650038675436</v>
      </c>
      <c r="AI59" s="212">
        <v>178.5419519780292</v>
      </c>
      <c r="AJ59" s="147">
        <f>IF(Таблица17[[#This Row],[обуч выборка2]]-Таблица17[[#This Row],[Апосториорная вероятность]]=0,1,0)</f>
        <v>0</v>
      </c>
      <c r="AK59" s="117">
        <f>MATCH(MAX(Таблица17[[#This Row],[1 класс.]:[6 класс.]]),Таблица17[[#This Row],[1 класс.]:[6 класс.]],0)</f>
        <v>1</v>
      </c>
      <c r="AL59" s="120">
        <v>0.85779820798129802</v>
      </c>
      <c r="AM59" s="120">
        <v>5.0985409900362599E-3</v>
      </c>
      <c r="AN59" s="120">
        <v>0.13710325102841042</v>
      </c>
      <c r="AO59" s="120">
        <v>0</v>
      </c>
      <c r="AP59" s="120">
        <v>0</v>
      </c>
      <c r="AQ59" s="120">
        <v>2.5532783791224684E-13</v>
      </c>
      <c r="AR59" s="216">
        <v>0.85779820798129802</v>
      </c>
      <c r="AS59" s="216">
        <v>5.0985409900362599E-3</v>
      </c>
      <c r="AT59" s="216">
        <v>0.13710325102841042</v>
      </c>
      <c r="AU59" s="216">
        <v>0</v>
      </c>
      <c r="AV59" s="216">
        <v>0</v>
      </c>
      <c r="AW59" s="216">
        <v>2.5532783791224684E-13</v>
      </c>
      <c r="AX59" s="121" t="str">
        <f>RIGHT(Таблица17[[#This Row],[Класиф вкл2]])</f>
        <v>2</v>
      </c>
      <c r="AY59" s="221">
        <v>2</v>
      </c>
      <c r="AZ59" s="147">
        <f>IF(Таблица17[[#This Row],[обуч выборка2]]-Таблица17[[#This Row],[Класиф вкл]]=0,1,0)</f>
        <v>0</v>
      </c>
      <c r="BA59" s="117" t="s">
        <v>214</v>
      </c>
      <c r="BB59" s="147">
        <f>IF(Таблица17[[#This Row],[обуч выборка2]]-Таблица17[[#This Row],[Расстояние Махаланобиса вкл
]]=0,1,0)</f>
        <v>0</v>
      </c>
      <c r="BC59" s="117">
        <f>MATCH(MIN(Таблица17[[#This Row],[1 класс вкл]:[6 класс вкл]]),Таблица17[[#This Row],[1 класс вкл]:[6 класс вкл]],0)</f>
        <v>2</v>
      </c>
      <c r="BD59" s="118">
        <v>76.916675631120285</v>
      </c>
      <c r="BE59" s="118">
        <v>32.009028821426192</v>
      </c>
      <c r="BF59" s="118">
        <v>36.070410615389363</v>
      </c>
      <c r="BG59" s="120">
        <v>299.39570806629661</v>
      </c>
      <c r="BH59" s="118">
        <v>145.88043821606982</v>
      </c>
      <c r="BI59" s="118">
        <v>134.10674391188147</v>
      </c>
      <c r="BJ59" s="147">
        <f>IF(Таблица17[[#This Row],[обуч выборка2]]-Таблица17[[#This Row],[Апосториорная вероятность вкл]]=0,1,0)</f>
        <v>0</v>
      </c>
      <c r="BK59" s="117">
        <f>MATCH(MAX(Таблица17[[#This Row],[1 класс вкл.]:[6 класс вкл.]]),Таблица17[[#This Row],[1 класс вкл.]:[6 класс вкл.]],0)</f>
        <v>2</v>
      </c>
      <c r="BL59" s="119">
        <v>2.046915468469633E-10</v>
      </c>
      <c r="BM59" s="119">
        <v>0.92419049431897216</v>
      </c>
      <c r="BN59" s="119">
        <v>7.5809505476336206E-2</v>
      </c>
      <c r="BO59" s="119">
        <v>0</v>
      </c>
      <c r="BP59" s="119">
        <v>4.3335033103837385E-26</v>
      </c>
      <c r="BQ59" s="119">
        <v>2.3418314044160201E-23</v>
      </c>
      <c r="BR59" s="121" t="str">
        <f>RIGHT(Таблица17[[#This Row],[Класиф искл2]])</f>
        <v>2</v>
      </c>
      <c r="BS59" s="222">
        <v>3</v>
      </c>
      <c r="BT59" s="147">
        <f>IF(Таблица17[[#This Row],[обуч выборка2]]-Таблица17[[#This Row],[Класиф искл]]=0,1,0)</f>
        <v>0</v>
      </c>
      <c r="BU59" s="117" t="s">
        <v>214</v>
      </c>
      <c r="BV59" s="147">
        <f>IF(Таблица17[[#This Row],[обуч выборка2]]-Таблица17[[#This Row],[Расстояние Махаланобиса искл]]=0,1,0)</f>
        <v>0</v>
      </c>
      <c r="BW59" s="117">
        <f>MATCH(MIN(Таблица17[[#This Row],[1 класс искл]:[6 класс искл]]),Таблица17[[#This Row],[1 класс искл]:[6 класс искл]],0)</f>
        <v>2</v>
      </c>
      <c r="BX59" s="120">
        <v>76.681923340296564</v>
      </c>
      <c r="BY59" s="120">
        <v>32.218067348076659</v>
      </c>
      <c r="BZ59" s="120">
        <v>33.075546439931983</v>
      </c>
      <c r="CA59" s="120">
        <v>294.84964328080429</v>
      </c>
      <c r="CB59" s="120">
        <v>164.92013625598003</v>
      </c>
      <c r="CC59" s="120">
        <v>113.49687051854755</v>
      </c>
      <c r="CD59" s="147">
        <f>IF(Таблица17[[#This Row],[обуч выборка2]]-Таблица17[[#This Row],[Апосториорная вероятность искл]]=0,1,0)</f>
        <v>0</v>
      </c>
      <c r="CE59" s="117">
        <f>MATCH(MAX(Таблица17[[#This Row],[1 класс искл.]:[6 класс искл.]]),Таблица17[[#This Row],[1 класс искл.]:[6 класс искл.]],0)</f>
        <v>2</v>
      </c>
      <c r="CF59" s="120">
        <v>1.9651118445375529E-10</v>
      </c>
      <c r="CG59" s="120">
        <v>0.71069115613672851</v>
      </c>
      <c r="CH59" s="120">
        <v>0.28930884366676035</v>
      </c>
      <c r="CI59" s="120">
        <v>0</v>
      </c>
      <c r="CJ59" s="120">
        <v>2.7147684156542436E-30</v>
      </c>
      <c r="CK59" s="120">
        <v>5.973712572338771E-19</v>
      </c>
      <c r="CL59" s="198">
        <v>-1.4139507965015217</v>
      </c>
      <c r="CM59" s="198">
        <v>-0.29572258336795737</v>
      </c>
      <c r="CN59" s="199">
        <v>-9.2955660531341244E-2</v>
      </c>
      <c r="CO59" s="192">
        <v>1</v>
      </c>
      <c r="CP59" s="195">
        <v>4</v>
      </c>
      <c r="CQ59" s="209">
        <v>-0.27686000000000005</v>
      </c>
      <c r="CR59" s="209">
        <v>-0.86673000000000011</v>
      </c>
      <c r="CS59" s="223">
        <v>2</v>
      </c>
      <c r="CT59" s="223">
        <v>1</v>
      </c>
      <c r="CU59" s="209">
        <v>-0.86673000000000011</v>
      </c>
      <c r="CV59" s="209">
        <v>-0.27686000000000005</v>
      </c>
      <c r="CW59" s="209">
        <v>5</v>
      </c>
      <c r="CX59" s="210">
        <v>3</v>
      </c>
      <c r="CY59" s="272">
        <v>2</v>
      </c>
      <c r="CZ59" s="238">
        <v>1</v>
      </c>
    </row>
    <row r="60" spans="1:104" x14ac:dyDescent="0.3">
      <c r="A60" s="57" t="s">
        <v>68</v>
      </c>
      <c r="B60" s="57">
        <v>6</v>
      </c>
      <c r="C60" s="57">
        <v>6</v>
      </c>
      <c r="D60" s="57">
        <v>3</v>
      </c>
      <c r="E60" s="58">
        <v>6</v>
      </c>
      <c r="F60" s="58">
        <v>-0.778559895</v>
      </c>
      <c r="G60" s="58">
        <v>0.86896527900000009</v>
      </c>
      <c r="H60" s="58">
        <v>1.9098010400000001</v>
      </c>
      <c r="I60" s="58">
        <v>-0.24756474800000003</v>
      </c>
      <c r="J60" s="58">
        <v>-0.62470212400000003</v>
      </c>
      <c r="K60" s="58">
        <v>-0.81408880700000008</v>
      </c>
      <c r="L60" s="58">
        <v>-6.8238141200000019E-2</v>
      </c>
      <c r="M60" s="58">
        <v>1.0058432900000001</v>
      </c>
      <c r="N60" s="58">
        <v>-0.72390316499999996</v>
      </c>
      <c r="O60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7.6632907726185033</v>
      </c>
      <c r="P60" s="114" t="s">
        <v>215</v>
      </c>
      <c r="Q60" s="114" t="str">
        <f>RIGHT(P60)</f>
        <v>3</v>
      </c>
      <c r="R60" s="121" t="str">
        <f>RIGHT(Таблица17[[#This Row],[Классиф ДА2]])</f>
        <v>3</v>
      </c>
      <c r="S60">
        <v>3</v>
      </c>
      <c r="T60" s="147">
        <f>IF(Таблица17[[#This Row],[обуч выборка2]]-Таблица17[[#This Row],[Классиф ДА]]=0,1,0)</f>
        <v>1</v>
      </c>
      <c r="U60" s="117" t="s">
        <v>215</v>
      </c>
      <c r="V60" s="147">
        <f>IF(Таблица17[[#This Row],[обуч выборка2]]-Таблица17[[#This Row],[расстояние Махаланобиса]]=0,1,0)</f>
        <v>1</v>
      </c>
      <c r="W60" s="117">
        <f>MATCH(MIN(Таблица17[[#This Row],[1 класс]:[6 класс]]),Таблица17[[#This Row],[1 класс]:[6 класс]],0)</f>
        <v>3</v>
      </c>
      <c r="X60" s="118">
        <v>44.441123466696766</v>
      </c>
      <c r="Y60" s="118">
        <v>28.376243080788804</v>
      </c>
      <c r="Z60" s="118">
        <v>5.9125196946752752</v>
      </c>
      <c r="AA60" s="118">
        <v>281.08961684977857</v>
      </c>
      <c r="AB60" s="118">
        <v>201.29061985200414</v>
      </c>
      <c r="AC60" s="118">
        <v>143.41270138200682</v>
      </c>
      <c r="AD60" s="212">
        <v>44.441123466696766</v>
      </c>
      <c r="AE60" s="212">
        <v>28.376243080788804</v>
      </c>
      <c r="AF60" s="212">
        <v>5.9125196946752752</v>
      </c>
      <c r="AG60" s="212">
        <v>281.08961684977857</v>
      </c>
      <c r="AH60" s="212">
        <v>201.29061985200414</v>
      </c>
      <c r="AI60" s="212">
        <v>143.41270138200682</v>
      </c>
      <c r="AJ60" s="147">
        <f>IF(Таблица17[[#This Row],[обуч выборка2]]-Таблица17[[#This Row],[Апосториорная вероятность]]=0,1,0)</f>
        <v>1</v>
      </c>
      <c r="AK60" s="117">
        <f>MATCH(MAX(Таблица17[[#This Row],[1 класс.]:[6 класс.]]),Таблица17[[#This Row],[1 класс.]:[6 класс.]],0)</f>
        <v>3</v>
      </c>
      <c r="AL60" s="120">
        <v>8.6028189162320856E-9</v>
      </c>
      <c r="AM60" s="120">
        <v>2.1192159813630448E-5</v>
      </c>
      <c r="AN60" s="120">
        <v>0.99997879923736743</v>
      </c>
      <c r="AO60" s="120">
        <v>0</v>
      </c>
      <c r="AP60" s="120">
        <v>0</v>
      </c>
      <c r="AQ60" s="120">
        <v>8.3244770276874711E-31</v>
      </c>
      <c r="AR60" s="216">
        <v>8.6028189162320856E-9</v>
      </c>
      <c r="AS60" s="216">
        <v>2.1192159813630448E-5</v>
      </c>
      <c r="AT60" s="216">
        <v>0.99997879923736743</v>
      </c>
      <c r="AU60" s="216">
        <v>0</v>
      </c>
      <c r="AV60" s="216">
        <v>0</v>
      </c>
      <c r="AW60" s="216">
        <v>8.3244770276874711E-31</v>
      </c>
      <c r="AX60" s="121" t="str">
        <f>RIGHT(Таблица17[[#This Row],[Класиф вкл2]])</f>
        <v>3</v>
      </c>
      <c r="AY60" s="221">
        <v>3</v>
      </c>
      <c r="AZ60" s="147">
        <f>IF(Таблица17[[#This Row],[обуч выборка2]]-Таблица17[[#This Row],[Класиф вкл]]=0,1,0)</f>
        <v>1</v>
      </c>
      <c r="BA60" s="117" t="s">
        <v>215</v>
      </c>
      <c r="BB60" s="147">
        <f>IF(Таблица17[[#This Row],[обуч выборка2]]-Таблица17[[#This Row],[Расстояние Махаланобиса вкл
]]=0,1,0)</f>
        <v>1</v>
      </c>
      <c r="BC60" s="117">
        <f>MATCH(MIN(Таблица17[[#This Row],[1 класс вкл]:[6 класс вкл]]),Таблица17[[#This Row],[1 класс вкл]:[6 класс вкл]],0)</f>
        <v>3</v>
      </c>
      <c r="BD60" s="118">
        <v>34.059421891356621</v>
      </c>
      <c r="BE60" s="118">
        <v>27.376175281549813</v>
      </c>
      <c r="BF60" s="118">
        <v>5.2390741076648695</v>
      </c>
      <c r="BG60" s="120">
        <v>210.99652963731668</v>
      </c>
      <c r="BH60" s="118">
        <v>139.94319241072071</v>
      </c>
      <c r="BI60" s="118">
        <v>122.02539519820338</v>
      </c>
      <c r="BJ60" s="147">
        <f>IF(Таблица17[[#This Row],[обуч выборка2]]-Таблица17[[#This Row],[Апосториорная вероятность вкл]]=0,1,0)</f>
        <v>1</v>
      </c>
      <c r="BK60" s="117">
        <f>MATCH(MAX(Таблица17[[#This Row],[1 класс вкл.]:[6 класс вкл.]]),Таблица17[[#This Row],[1 класс вкл.]:[6 класс вкл.]],0)</f>
        <v>3</v>
      </c>
      <c r="BL60" s="119">
        <v>1.1034678274481287E-6</v>
      </c>
      <c r="BM60" s="119">
        <v>2.495158993134348E-5</v>
      </c>
      <c r="BN60" s="119">
        <v>0.99997394494224123</v>
      </c>
      <c r="BO60" s="119">
        <v>0</v>
      </c>
      <c r="BP60" s="119">
        <v>2.2460583848681655E-30</v>
      </c>
      <c r="BQ60" s="119">
        <v>2.620067795053236E-26</v>
      </c>
      <c r="BR60" s="121" t="str">
        <f>RIGHT(Таблица17[[#This Row],[Класиф искл2]])</f>
        <v>3</v>
      </c>
      <c r="BS60" s="222">
        <v>3</v>
      </c>
      <c r="BT60" s="147">
        <f>IF(Таблица17[[#This Row],[обуч выборка2]]-Таблица17[[#This Row],[Класиф искл]]=0,1,0)</f>
        <v>1</v>
      </c>
      <c r="BU60" s="117" t="s">
        <v>215</v>
      </c>
      <c r="BV60" s="147">
        <f>IF(Таблица17[[#This Row],[обуч выборка2]]-Таблица17[[#This Row],[Расстояние Махаланобиса искл]]=0,1,0)</f>
        <v>1</v>
      </c>
      <c r="BW60" s="117">
        <f>MATCH(MIN(Таблица17[[#This Row],[1 класс искл]:[6 класс искл]]),Таблица17[[#This Row],[1 класс искл]:[6 класс искл]],0)</f>
        <v>3</v>
      </c>
      <c r="BX60" s="120">
        <v>35.772281451732013</v>
      </c>
      <c r="BY60" s="120">
        <v>27.993475045940539</v>
      </c>
      <c r="BZ60" s="120">
        <v>5.8854746540749394</v>
      </c>
      <c r="CA60" s="120">
        <v>211.10135810769717</v>
      </c>
      <c r="CB60" s="120">
        <v>161.08004848327414</v>
      </c>
      <c r="CC60" s="120">
        <v>83.508684311795051</v>
      </c>
      <c r="CD60" s="147">
        <f>IF(Таблица17[[#This Row],[обуч выборка2]]-Таблица17[[#This Row],[Апосториорная вероятность искл]]=0,1,0)</f>
        <v>1</v>
      </c>
      <c r="CE60" s="117">
        <f>MATCH(MAX(Таблица17[[#This Row],[1 класс искл.]:[6 класс искл.]]),Таблица17[[#This Row],[1 класс искл.]:[6 класс искл.]],0)</f>
        <v>3</v>
      </c>
      <c r="CF60" s="120">
        <v>6.4741250279648591E-7</v>
      </c>
      <c r="CG60" s="120">
        <v>2.5317301764790356E-5</v>
      </c>
      <c r="CH60" s="120">
        <v>0.99997403528573237</v>
      </c>
      <c r="CI60" s="120">
        <v>0</v>
      </c>
      <c r="CJ60" s="120">
        <v>0</v>
      </c>
      <c r="CK60" s="120">
        <v>8.3651582821590164E-18</v>
      </c>
      <c r="CL60" s="198">
        <v>-0.99674455503673365</v>
      </c>
      <c r="CM60" s="198">
        <v>-0.62645314821502851</v>
      </c>
      <c r="CN60" s="199">
        <v>-1.841954750515584</v>
      </c>
      <c r="CO60" s="192">
        <v>1</v>
      </c>
      <c r="CP60" s="195">
        <v>4</v>
      </c>
      <c r="CQ60" s="209">
        <v>-0.26371</v>
      </c>
      <c r="CR60" s="209">
        <v>-0.89917999999999998</v>
      </c>
      <c r="CS60" s="223">
        <v>2</v>
      </c>
      <c r="CT60" s="223">
        <v>1</v>
      </c>
      <c r="CU60" s="209">
        <v>-0.89917999999999998</v>
      </c>
      <c r="CV60" s="209">
        <v>-0.26371</v>
      </c>
      <c r="CW60" s="209">
        <v>5</v>
      </c>
      <c r="CX60" s="210">
        <v>3</v>
      </c>
      <c r="CY60" s="272" t="str">
        <f>RIGHT(CX60)</f>
        <v>3</v>
      </c>
      <c r="CZ60" s="238">
        <v>5</v>
      </c>
    </row>
    <row r="61" spans="1:104" x14ac:dyDescent="0.3">
      <c r="A61" s="57" t="s">
        <v>69</v>
      </c>
      <c r="B61" s="57">
        <v>4</v>
      </c>
      <c r="C61" s="57">
        <v>6</v>
      </c>
      <c r="D61" s="57">
        <v>2</v>
      </c>
      <c r="E61" s="58">
        <v>6</v>
      </c>
      <c r="F61" s="58">
        <v>0.79905571700000011</v>
      </c>
      <c r="G61" s="58">
        <v>0.23364325200000002</v>
      </c>
      <c r="H61" s="58">
        <v>-0.560360411</v>
      </c>
      <c r="I61" s="58">
        <v>-0.34491609900000009</v>
      </c>
      <c r="J61" s="58">
        <v>1.42432341</v>
      </c>
      <c r="K61" s="58">
        <v>-0.24269612600000001</v>
      </c>
      <c r="L61" s="58">
        <v>-0.46394369800000002</v>
      </c>
      <c r="M61" s="58">
        <v>-0.26745411500000005</v>
      </c>
      <c r="N61" s="58">
        <v>1.86533017</v>
      </c>
      <c r="O61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6.9798808008691484</v>
      </c>
      <c r="P61" s="114"/>
      <c r="Q61" s="114"/>
      <c r="R61" s="121" t="str">
        <f>RIGHT(Таблица17[[#This Row],[Классиф ДА2]])</f>
        <v>2</v>
      </c>
      <c r="S61">
        <v>2</v>
      </c>
      <c r="T61" s="147">
        <f>IF(Таблица17[[#This Row],[обуч выборка2]]-Таблица17[[#This Row],[Классиф ДА]]=0,1,0)</f>
        <v>0</v>
      </c>
      <c r="U61" s="117" t="s">
        <v>214</v>
      </c>
      <c r="V61" s="147">
        <f>IF(Таблица17[[#This Row],[обуч выборка2]]-Таблица17[[#This Row],[расстояние Махаланобиса]]=0,1,0)</f>
        <v>0</v>
      </c>
      <c r="W61" s="117">
        <f>MATCH(MIN(Таблица17[[#This Row],[1 класс]:[6 класс]]),Таблица17[[#This Row],[1 класс]:[6 класс]],0)</f>
        <v>2</v>
      </c>
      <c r="X61" s="118">
        <v>107.71030224985839</v>
      </c>
      <c r="Y61" s="118">
        <v>47.701506993328785</v>
      </c>
      <c r="Z61" s="118">
        <v>65.386957504638161</v>
      </c>
      <c r="AA61" s="118">
        <v>288.65104509004698</v>
      </c>
      <c r="AB61" s="118">
        <v>138.87192131738593</v>
      </c>
      <c r="AC61" s="118">
        <v>301.49513143626649</v>
      </c>
      <c r="AD61" s="212">
        <v>107.71030224985839</v>
      </c>
      <c r="AE61" s="212">
        <v>47.701506993328785</v>
      </c>
      <c r="AF61" s="212">
        <v>65.386957504638161</v>
      </c>
      <c r="AG61" s="212">
        <v>288.65104509004698</v>
      </c>
      <c r="AH61" s="212">
        <v>138.87192131738593</v>
      </c>
      <c r="AI61" s="212">
        <v>301.49513143626649</v>
      </c>
      <c r="AJ61" s="147">
        <f>IF(Таблица17[[#This Row],[обуч выборка2]]-Таблица17[[#This Row],[Апосториорная вероятность]]=0,1,0)</f>
        <v>0</v>
      </c>
      <c r="AK61" s="117">
        <f>MATCH(MAX(Таблица17[[#This Row],[1 класс.]:[6 класс.]]),Таблица17[[#This Row],[1 класс.]:[6 класс.]],0)</f>
        <v>2</v>
      </c>
      <c r="AL61" s="120">
        <v>1.1644651328596931E-13</v>
      </c>
      <c r="AM61" s="120">
        <v>0.999909740269322</v>
      </c>
      <c r="AN61" s="120">
        <v>9.025973056172554E-5</v>
      </c>
      <c r="AO61" s="120">
        <v>0</v>
      </c>
      <c r="AP61" s="120">
        <v>3.9856290965660601E-21</v>
      </c>
      <c r="AQ61" s="120">
        <v>0</v>
      </c>
      <c r="AR61" s="216">
        <v>1.1644651328596931E-13</v>
      </c>
      <c r="AS61" s="216">
        <v>0.999909740269322</v>
      </c>
      <c r="AT61" s="216">
        <v>9.025973056172554E-5</v>
      </c>
      <c r="AU61" s="216">
        <v>0</v>
      </c>
      <c r="AV61" s="216">
        <v>3.9856290965660601E-21</v>
      </c>
      <c r="AW61" s="216">
        <v>0</v>
      </c>
      <c r="AX61" s="121" t="str">
        <f>RIGHT(Таблица17[[#This Row],[Класиф вкл2]])</f>
        <v>2</v>
      </c>
      <c r="AY61" s="221">
        <v>2</v>
      </c>
      <c r="AZ61" s="147">
        <f>IF(Таблица17[[#This Row],[обуч выборка2]]-Таблица17[[#This Row],[Класиф вкл]]=0,1,0)</f>
        <v>0</v>
      </c>
      <c r="BA61" s="117" t="s">
        <v>214</v>
      </c>
      <c r="BB61" s="147">
        <f>IF(Таблица17[[#This Row],[обуч выборка2]]-Таблица17[[#This Row],[Расстояние Махаланобиса вкл
]]=0,1,0)</f>
        <v>0</v>
      </c>
      <c r="BC61" s="117">
        <f>MATCH(MIN(Таблица17[[#This Row],[1 класс вкл]:[6 класс вкл]]),Таблица17[[#This Row],[1 класс вкл]:[6 класс вкл]],0)</f>
        <v>2</v>
      </c>
      <c r="BD61" s="118">
        <v>86.785667343425317</v>
      </c>
      <c r="BE61" s="118">
        <v>45.925516886698375</v>
      </c>
      <c r="BF61" s="118">
        <v>62.383093555370195</v>
      </c>
      <c r="BG61" s="120">
        <v>211.09963205076002</v>
      </c>
      <c r="BH61" s="118">
        <v>89.041961932394273</v>
      </c>
      <c r="BI61" s="118">
        <v>265.10523319225211</v>
      </c>
      <c r="BJ61" s="147">
        <f>IF(Таблица17[[#This Row],[обуч выборка2]]-Таблица17[[#This Row],[Апосториорная вероятность вкл]]=0,1,0)</f>
        <v>0</v>
      </c>
      <c r="BK61" s="117">
        <f>MATCH(MAX(Таблица17[[#This Row],[1 класс вкл.]:[6 класс вкл.]]),Таблица17[[#This Row],[1 класс вкл.]:[6 класс вкл.]],0)</f>
        <v>2</v>
      </c>
      <c r="BL61" s="119">
        <v>1.6755934228731847E-9</v>
      </c>
      <c r="BM61" s="119">
        <v>0.99983323885525488</v>
      </c>
      <c r="BN61" s="119">
        <v>1.6675936069659883E-4</v>
      </c>
      <c r="BO61" s="119">
        <v>0</v>
      </c>
      <c r="BP61" s="119">
        <v>1.0845522954570361E-10</v>
      </c>
      <c r="BQ61" s="119">
        <v>0</v>
      </c>
      <c r="BR61" s="121" t="str">
        <f>RIGHT(Таблица17[[#This Row],[Класиф искл2]])</f>
        <v>2</v>
      </c>
      <c r="BS61" s="222">
        <v>2</v>
      </c>
      <c r="BT61" s="147">
        <f>IF(Таблица17[[#This Row],[обуч выборка2]]-Таблица17[[#This Row],[Класиф искл]]=0,1,0)</f>
        <v>0</v>
      </c>
      <c r="BU61" s="117" t="s">
        <v>214</v>
      </c>
      <c r="BV61" s="147">
        <f>IF(Таблица17[[#This Row],[обуч выборка2]]-Таблица17[[#This Row],[Расстояние Махаланобиса искл]]=0,1,0)</f>
        <v>0</v>
      </c>
      <c r="BW61" s="117">
        <f>MATCH(MIN(Таблица17[[#This Row],[1 класс искл]:[6 класс искл]]),Таблица17[[#This Row],[1 класс искл]:[6 класс искл]],0)</f>
        <v>2</v>
      </c>
      <c r="BX61" s="120">
        <v>21.984612186562316</v>
      </c>
      <c r="BY61" s="120">
        <v>0.16671977415780437</v>
      </c>
      <c r="BZ61" s="120">
        <v>12.55285050787066</v>
      </c>
      <c r="CA61" s="120">
        <v>198.06323436430031</v>
      </c>
      <c r="CB61" s="120">
        <v>127.13067342746203</v>
      </c>
      <c r="CC61" s="120">
        <v>86.686576764555838</v>
      </c>
      <c r="CD61" s="147">
        <f>IF(Таблица17[[#This Row],[обуч выборка2]]-Таблица17[[#This Row],[Апосториорная вероятность искл]]=0,1,0)</f>
        <v>0</v>
      </c>
      <c r="CE61" s="117">
        <f>MATCH(MAX(Таблица17[[#This Row],[1 класс искл.]:[6 класс искл.]]),Таблица17[[#This Row],[1 класс искл.]:[6 класс искл.]],0)</f>
        <v>2</v>
      </c>
      <c r="CF61" s="120">
        <v>2.283760820184368E-5</v>
      </c>
      <c r="CG61" s="120">
        <v>0.99870160017037124</v>
      </c>
      <c r="CH61" s="120">
        <v>1.2755622214269901E-3</v>
      </c>
      <c r="CI61" s="120">
        <v>0</v>
      </c>
      <c r="CJ61" s="120">
        <v>6.7220775472634796E-29</v>
      </c>
      <c r="CK61" s="120">
        <v>6.1082778032437541E-20</v>
      </c>
      <c r="CL61" s="198">
        <v>0.50471224770224676</v>
      </c>
      <c r="CM61" s="198">
        <v>1.1791100835715962</v>
      </c>
      <c r="CN61" s="199">
        <v>0.38300496639955112</v>
      </c>
      <c r="CO61" s="192">
        <v>4</v>
      </c>
      <c r="CP61" s="195">
        <v>3</v>
      </c>
      <c r="CQ61" s="209">
        <v>-0.42329</v>
      </c>
      <c r="CR61" s="209">
        <v>1.1356200000000001</v>
      </c>
      <c r="CS61" s="223">
        <v>4</v>
      </c>
      <c r="CT61" s="223">
        <v>2</v>
      </c>
      <c r="CU61" s="209">
        <v>1.1356200000000001</v>
      </c>
      <c r="CV61" s="209">
        <v>-0.42329</v>
      </c>
      <c r="CW61" s="209">
        <v>6</v>
      </c>
      <c r="CX61" s="210">
        <v>5</v>
      </c>
      <c r="CY61" s="272">
        <v>2</v>
      </c>
      <c r="CZ61" s="238">
        <v>4</v>
      </c>
    </row>
    <row r="62" spans="1:104" x14ac:dyDescent="0.3">
      <c r="A62" s="57" t="s">
        <v>70</v>
      </c>
      <c r="B62" s="57">
        <v>2</v>
      </c>
      <c r="C62" s="57">
        <v>6</v>
      </c>
      <c r="D62" s="57">
        <v>2</v>
      </c>
      <c r="E62" s="58">
        <v>6</v>
      </c>
      <c r="F62" s="58">
        <v>0.29943993100000005</v>
      </c>
      <c r="G62" s="58">
        <v>0.32721781400000005</v>
      </c>
      <c r="H62" s="58">
        <v>-0.49765760799999997</v>
      </c>
      <c r="I62" s="58">
        <v>-0.17999626800000004</v>
      </c>
      <c r="J62" s="58">
        <v>-0.30496259500000011</v>
      </c>
      <c r="K62" s="58">
        <v>-0.34473053300000001</v>
      </c>
      <c r="L62" s="58">
        <v>-0.40352603500000006</v>
      </c>
      <c r="M62" s="58">
        <v>-0.18112886799999997</v>
      </c>
      <c r="N62" s="58">
        <v>-0.35446032300000008</v>
      </c>
      <c r="O62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1.0099218943904942</v>
      </c>
      <c r="P62" s="114" t="s">
        <v>214</v>
      </c>
      <c r="Q62" s="114" t="str">
        <f>RIGHT(P62)</f>
        <v>2</v>
      </c>
      <c r="R62" s="121" t="str">
        <f>RIGHT(Таблица17[[#This Row],[Классиф ДА2]])</f>
        <v>2</v>
      </c>
      <c r="S62">
        <v>2</v>
      </c>
      <c r="T62" s="147">
        <f>IF(Таблица17[[#This Row],[обуч выборка2]]-Таблица17[[#This Row],[Классиф ДА]]=0,1,0)</f>
        <v>1</v>
      </c>
      <c r="U62" s="117" t="s">
        <v>214</v>
      </c>
      <c r="V62" s="147">
        <f>IF(Таблица17[[#This Row],[обуч выборка2]]-Таблица17[[#This Row],[расстояние Махаланобиса]]=0,1,0)</f>
        <v>1</v>
      </c>
      <c r="W62" s="117">
        <f>MATCH(MIN(Таблица17[[#This Row],[1 класс]:[6 класс]]),Таблица17[[#This Row],[1 класс]:[6 класс]],0)</f>
        <v>2</v>
      </c>
      <c r="X62" s="118">
        <v>19.280181249225546</v>
      </c>
      <c r="Y62" s="118">
        <v>5.4226779216624852</v>
      </c>
      <c r="Z62" s="118">
        <v>12.770560762500375</v>
      </c>
      <c r="AA62" s="118">
        <v>261.28857725445641</v>
      </c>
      <c r="AB62" s="118">
        <v>206.69328788890317</v>
      </c>
      <c r="AC62" s="118">
        <v>119.41709703948993</v>
      </c>
      <c r="AD62" s="212">
        <v>19.280181249225546</v>
      </c>
      <c r="AE62" s="212">
        <v>5.4226779216624852</v>
      </c>
      <c r="AF62" s="212">
        <v>12.770560762500375</v>
      </c>
      <c r="AG62" s="212">
        <v>261.28857725445641</v>
      </c>
      <c r="AH62" s="212">
        <v>206.69328788890317</v>
      </c>
      <c r="AI62" s="212">
        <v>119.41709703948993</v>
      </c>
      <c r="AJ62" s="147">
        <f>IF(Таблица17[[#This Row],[обуч выборка2]]-Таблица17[[#This Row],[Апосториорная вероятность]]=0,1,0)</f>
        <v>1</v>
      </c>
      <c r="AK62" s="117">
        <f>MATCH(MAX(Таблица17[[#This Row],[1 класс.]:[6 класс.]]),Таблица17[[#This Row],[1 класс.]:[6 класс.]],0)</f>
        <v>2</v>
      </c>
      <c r="AL62" s="120">
        <v>1.2034678608997243E-3</v>
      </c>
      <c r="AM62" s="120">
        <v>0.98320277990856397</v>
      </c>
      <c r="AN62" s="120">
        <v>1.5593752230536254E-2</v>
      </c>
      <c r="AO62" s="120">
        <v>0</v>
      </c>
      <c r="AP62" s="120">
        <v>0</v>
      </c>
      <c r="AQ62" s="120">
        <v>6.5028055873156681E-26</v>
      </c>
      <c r="AR62" s="216">
        <v>1.2034678608997243E-3</v>
      </c>
      <c r="AS62" s="216">
        <v>0.98320277990856397</v>
      </c>
      <c r="AT62" s="216">
        <v>1.5593752230536254E-2</v>
      </c>
      <c r="AU62" s="216">
        <v>0</v>
      </c>
      <c r="AV62" s="216">
        <v>0</v>
      </c>
      <c r="AW62" s="216">
        <v>6.5028055873156681E-26</v>
      </c>
      <c r="AX62" s="121" t="str">
        <f>RIGHT(Таблица17[[#This Row],[Класиф вкл2]])</f>
        <v>2</v>
      </c>
      <c r="AY62" s="221">
        <v>2</v>
      </c>
      <c r="AZ62" s="147">
        <f>IF(Таблица17[[#This Row],[обуч выборка2]]-Таблица17[[#This Row],[Класиф вкл]]=0,1,0)</f>
        <v>1</v>
      </c>
      <c r="BA62" s="117" t="s">
        <v>214</v>
      </c>
      <c r="BB62" s="147">
        <f>IF(Таблица17[[#This Row],[обуч выборка2]]-Таблица17[[#This Row],[Расстояние Махаланобиса вкл
]]=0,1,0)</f>
        <v>1</v>
      </c>
      <c r="BC62" s="117">
        <f>MATCH(MIN(Таблица17[[#This Row],[1 класс вкл]:[6 класс вкл]]),Таблица17[[#This Row],[1 класс вкл]:[6 класс вкл]],0)</f>
        <v>2</v>
      </c>
      <c r="BD62" s="118">
        <v>7.7669816633857325</v>
      </c>
      <c r="BE62" s="118">
        <v>4.943121859459235</v>
      </c>
      <c r="BF62" s="118">
        <v>11.131664309236575</v>
      </c>
      <c r="BG62" s="120">
        <v>196.642380449944</v>
      </c>
      <c r="BH62" s="118">
        <v>150.94315443165493</v>
      </c>
      <c r="BI62" s="118">
        <v>95.675623749543121</v>
      </c>
      <c r="BJ62" s="147">
        <f>IF(Таблица17[[#This Row],[обуч выборка2]]-Таблица17[[#This Row],[Апосториорная вероятность вкл]]=0,1,0)</f>
        <v>1</v>
      </c>
      <c r="BK62" s="117">
        <f>MATCH(MAX(Таблица17[[#This Row],[1 класс вкл.]:[6 класс вкл.]]),Таблица17[[#This Row],[1 класс вкл.]:[6 класс вкл.]],0)</f>
        <v>2</v>
      </c>
      <c r="BL62" s="119">
        <v>0.22851588872852782</v>
      </c>
      <c r="BM62" s="119">
        <v>0.75023920335174143</v>
      </c>
      <c r="BN62" s="119">
        <v>2.124490791973067E-2</v>
      </c>
      <c r="BO62" s="119">
        <v>0</v>
      </c>
      <c r="BP62" s="119">
        <v>0</v>
      </c>
      <c r="BQ62" s="119">
        <v>5.5836549410266879E-21</v>
      </c>
      <c r="BR62" s="121" t="str">
        <f>RIGHT(Таблица17[[#This Row],[Класиф искл2]])</f>
        <v>2</v>
      </c>
      <c r="BS62" s="222">
        <v>2</v>
      </c>
      <c r="BT62" s="147">
        <f>IF(Таблица17[[#This Row],[обуч выборка2]]-Таблица17[[#This Row],[Класиф искл]]=0,1,0)</f>
        <v>1</v>
      </c>
      <c r="BU62" s="117" t="s">
        <v>214</v>
      </c>
      <c r="BV62" s="147">
        <f>IF(Таблица17[[#This Row],[обуч выборка2]]-Таблица17[[#This Row],[Расстояние Махаланобиса искл]]=0,1,0)</f>
        <v>1</v>
      </c>
      <c r="BW62" s="117">
        <f>MATCH(MIN(Таблица17[[#This Row],[1 класс искл]:[6 класс искл]]),Таблица17[[#This Row],[1 класс искл]:[6 класс искл]],0)</f>
        <v>2</v>
      </c>
      <c r="BX62" s="120">
        <v>12.843601385454367</v>
      </c>
      <c r="BY62" s="120">
        <v>2.4444499285146053</v>
      </c>
      <c r="BZ62" s="120">
        <v>10.984989185500535</v>
      </c>
      <c r="CA62" s="120">
        <v>185.26867292815891</v>
      </c>
      <c r="CB62" s="120">
        <v>150.83135059993447</v>
      </c>
      <c r="CC62" s="120">
        <v>75.384482430455975</v>
      </c>
      <c r="CD62" s="147">
        <f>IF(Таблица17[[#This Row],[обуч выборка2]]-Таблица17[[#This Row],[Апосториорная вероятность искл]]=0,1,0)</f>
        <v>1</v>
      </c>
      <c r="CE62" s="117">
        <f>MATCH(MAX(Таблица17[[#This Row],[1 класс искл.]:[6 класс искл.]]),Таблица17[[#This Row],[1 класс искл.]:[6 класс искл.]],0)</f>
        <v>2</v>
      </c>
      <c r="CF62" s="120">
        <v>6.7924328549237327E-3</v>
      </c>
      <c r="CG62" s="120">
        <v>0.98460579628084244</v>
      </c>
      <c r="CH62" s="120">
        <v>8.6017708642338216E-3</v>
      </c>
      <c r="CI62" s="120">
        <v>0</v>
      </c>
      <c r="CJ62" s="120">
        <v>0</v>
      </c>
      <c r="CK62" s="120">
        <v>5.3526253072332195E-17</v>
      </c>
      <c r="CL62" s="198">
        <v>-0.33210730506777397</v>
      </c>
      <c r="CM62" s="198">
        <v>0.12552322826749052</v>
      </c>
      <c r="CN62" s="199">
        <v>0.59459945727092478</v>
      </c>
      <c r="CO62" s="192">
        <v>5</v>
      </c>
      <c r="CP62" s="195">
        <v>4</v>
      </c>
      <c r="CQ62" s="209">
        <v>-0.26587000000000005</v>
      </c>
      <c r="CR62" s="209">
        <v>-0.19420000000000001</v>
      </c>
      <c r="CS62" s="223">
        <v>5</v>
      </c>
      <c r="CT62" s="223">
        <v>1</v>
      </c>
      <c r="CU62" s="209">
        <v>-0.19420000000000001</v>
      </c>
      <c r="CV62" s="209">
        <v>-0.26587000000000005</v>
      </c>
      <c r="CW62" s="209">
        <v>5</v>
      </c>
      <c r="CX62" s="210">
        <v>1</v>
      </c>
      <c r="CY62" s="239" t="s">
        <v>340</v>
      </c>
      <c r="CZ62" s="238">
        <v>1</v>
      </c>
    </row>
    <row r="63" spans="1:104" x14ac:dyDescent="0.3">
      <c r="A63" s="57" t="s">
        <v>71</v>
      </c>
      <c r="B63" s="57">
        <v>4</v>
      </c>
      <c r="C63" s="57">
        <v>6</v>
      </c>
      <c r="D63" s="57">
        <v>2</v>
      </c>
      <c r="E63" s="58">
        <v>6</v>
      </c>
      <c r="F63" s="58">
        <v>0.46260274400000001</v>
      </c>
      <c r="G63" s="58">
        <v>0.59316656899999975</v>
      </c>
      <c r="H63" s="58">
        <v>-0.74158797899999995</v>
      </c>
      <c r="I63" s="58">
        <v>-0.19203514800000002</v>
      </c>
      <c r="J63" s="58">
        <v>1.5024071699999999</v>
      </c>
      <c r="K63" s="58">
        <v>-7.9441074200000017E-2</v>
      </c>
      <c r="L63" s="58">
        <v>-0.28405370900000004</v>
      </c>
      <c r="M63" s="58">
        <v>-0.33219805100000005</v>
      </c>
      <c r="N63" s="58">
        <v>0.508651148</v>
      </c>
      <c r="O63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3.8659843397925782</v>
      </c>
      <c r="P63" s="114"/>
      <c r="Q63" s="114"/>
      <c r="R63" s="121" t="str">
        <f>RIGHT(Таблица17[[#This Row],[Классиф ДА2]])</f>
        <v>2</v>
      </c>
      <c r="S63">
        <v>2</v>
      </c>
      <c r="T63" s="147">
        <f>IF(Таблица17[[#This Row],[обуч выборка2]]-Таблица17[[#This Row],[Классиф ДА]]=0,1,0)</f>
        <v>0</v>
      </c>
      <c r="U63" s="117" t="s">
        <v>214</v>
      </c>
      <c r="V63" s="147">
        <f>IF(Таблица17[[#This Row],[обуч выборка2]]-Таблица17[[#This Row],[расстояние Махаланобиса]]=0,1,0)</f>
        <v>0</v>
      </c>
      <c r="W63" s="117">
        <f>MATCH(MIN(Таблица17[[#This Row],[1 класс]:[6 класс]]),Таблица17[[#This Row],[1 класс]:[6 класс]],0)</f>
        <v>2</v>
      </c>
      <c r="X63" s="118">
        <v>94.266778320300858</v>
      </c>
      <c r="Y63" s="118">
        <v>46.920087117975108</v>
      </c>
      <c r="Z63" s="118">
        <v>64.697852431090297</v>
      </c>
      <c r="AA63" s="118">
        <v>275.49874640671101</v>
      </c>
      <c r="AB63" s="118">
        <v>160.13787355648682</v>
      </c>
      <c r="AC63" s="118">
        <v>263.71680670627194</v>
      </c>
      <c r="AD63" s="212">
        <v>94.266778320300858</v>
      </c>
      <c r="AE63" s="212">
        <v>46.920087117975108</v>
      </c>
      <c r="AF63" s="212">
        <v>64.697852431090297</v>
      </c>
      <c r="AG63" s="212">
        <v>275.49874640671101</v>
      </c>
      <c r="AH63" s="212">
        <v>160.13787355648682</v>
      </c>
      <c r="AI63" s="212">
        <v>263.71680670627194</v>
      </c>
      <c r="AJ63" s="147">
        <f>IF(Таблица17[[#This Row],[обуч выборка2]]-Таблица17[[#This Row],[Апосториорная вероятность]]=0,1,0)</f>
        <v>0</v>
      </c>
      <c r="AK63" s="117">
        <f>MATCH(MAX(Таблица17[[#This Row],[1 класс.]:[6 класс.]]),Таблица17[[#This Row],[1 класс.]:[6 класс.]],0)</f>
        <v>2</v>
      </c>
      <c r="AL63" s="120">
        <v>6.5413775686214313E-11</v>
      </c>
      <c r="AM63" s="120">
        <v>0.99991381132067358</v>
      </c>
      <c r="AN63" s="120">
        <v>8.618861391286123E-5</v>
      </c>
      <c r="AO63" s="120">
        <v>0</v>
      </c>
      <c r="AP63" s="120">
        <v>6.5008871036607217E-26</v>
      </c>
      <c r="AQ63" s="120">
        <v>0</v>
      </c>
      <c r="AR63" s="216">
        <v>6.5413775686214313E-11</v>
      </c>
      <c r="AS63" s="216">
        <v>0.99991381132067358</v>
      </c>
      <c r="AT63" s="216">
        <v>8.618861391286123E-5</v>
      </c>
      <c r="AU63" s="216">
        <v>0</v>
      </c>
      <c r="AV63" s="216">
        <v>6.5008871036607217E-26</v>
      </c>
      <c r="AW63" s="216">
        <v>0</v>
      </c>
      <c r="AX63" s="121" t="str">
        <f>RIGHT(Таблица17[[#This Row],[Класиф вкл2]])</f>
        <v>2</v>
      </c>
      <c r="AY63" s="221">
        <v>2</v>
      </c>
      <c r="AZ63" s="147">
        <f>IF(Таблица17[[#This Row],[обуч выборка2]]-Таблица17[[#This Row],[Класиф вкл]]=0,1,0)</f>
        <v>0</v>
      </c>
      <c r="BA63" s="117" t="s">
        <v>214</v>
      </c>
      <c r="BB63" s="147">
        <f>IF(Таблица17[[#This Row],[обуч выборка2]]-Таблица17[[#This Row],[Расстояние Махаланобиса вкл
]]=0,1,0)</f>
        <v>0</v>
      </c>
      <c r="BC63" s="117">
        <f>MATCH(MIN(Таблица17[[#This Row],[1 класс вкл]:[6 класс вкл]]),Таблица17[[#This Row],[1 класс вкл]:[6 класс вкл]],0)</f>
        <v>2</v>
      </c>
      <c r="BD63" s="118">
        <v>75.115422593850766</v>
      </c>
      <c r="BE63" s="118">
        <v>43.985732041063912</v>
      </c>
      <c r="BF63" s="118">
        <v>60.471357894769767</v>
      </c>
      <c r="BG63" s="120">
        <v>183.60047919278182</v>
      </c>
      <c r="BH63" s="118">
        <v>103.45935050243978</v>
      </c>
      <c r="BI63" s="118">
        <v>242.19354044500088</v>
      </c>
      <c r="BJ63" s="147">
        <f>IF(Таблица17[[#This Row],[обуч выборка2]]-Таблица17[[#This Row],[Апосториорная вероятность вкл]]=0,1,0)</f>
        <v>0</v>
      </c>
      <c r="BK63" s="117">
        <f>MATCH(MAX(Таблица17[[#This Row],[1 класс вкл.]:[6 класс вкл.]]),Таблица17[[#This Row],[1 класс вкл.]:[6 класс вкл.]],0)</f>
        <v>2</v>
      </c>
      <c r="BL63" s="119">
        <v>2.1732619848987881E-7</v>
      </c>
      <c r="BM63" s="119">
        <v>0.99983534537522611</v>
      </c>
      <c r="BN63" s="119">
        <v>1.6443729854499024E-4</v>
      </c>
      <c r="BO63" s="119">
        <v>1.2047899997090443E-31</v>
      </c>
      <c r="BP63" s="119">
        <v>3.0432409269270562E-14</v>
      </c>
      <c r="BQ63" s="119">
        <v>0</v>
      </c>
      <c r="BR63" s="121" t="str">
        <f>RIGHT(Таблица17[[#This Row],[Класиф искл2]])</f>
        <v>2</v>
      </c>
      <c r="BS63" s="222">
        <v>2</v>
      </c>
      <c r="BT63" s="147">
        <f>IF(Таблица17[[#This Row],[обуч выборка2]]-Таблица17[[#This Row],[Класиф искл]]=0,1,0)</f>
        <v>0</v>
      </c>
      <c r="BU63" s="117" t="s">
        <v>214</v>
      </c>
      <c r="BV63" s="147">
        <f>IF(Таблица17[[#This Row],[обуч выборка2]]-Таблица17[[#This Row],[Расстояние Махаланобиса искл]]=0,1,0)</f>
        <v>0</v>
      </c>
      <c r="BW63" s="117">
        <f>MATCH(MIN(Таблица17[[#This Row],[1 класс искл]:[6 класс искл]]),Таблица17[[#This Row],[1 класс искл]:[6 класс искл]],0)</f>
        <v>2</v>
      </c>
      <c r="BX63" s="120">
        <v>18.57229781789141</v>
      </c>
      <c r="BY63" s="120">
        <v>2.4833949727073912</v>
      </c>
      <c r="BZ63" s="120">
        <v>16.94264469763581</v>
      </c>
      <c r="CA63" s="120">
        <v>171.07498084067473</v>
      </c>
      <c r="CB63" s="120">
        <v>135.97255866048664</v>
      </c>
      <c r="CC63" s="120">
        <v>75.884910113231356</v>
      </c>
      <c r="CD63" s="147">
        <f>IF(Таблица17[[#This Row],[обуч выборка2]]-Таблица17[[#This Row],[Апосториорная вероятность искл]]=0,1,0)</f>
        <v>0</v>
      </c>
      <c r="CE63" s="117">
        <f>MATCH(MAX(Таблица17[[#This Row],[1 класс искл.]:[6 класс искл.]]),Таблица17[[#This Row],[1 класс искл.]:[6 класс искл.]],0)</f>
        <v>2</v>
      </c>
      <c r="CF63" s="120">
        <v>4.0075447541108758E-4</v>
      </c>
      <c r="CG63" s="120">
        <v>0.99914663665110504</v>
      </c>
      <c r="CH63" s="120">
        <v>4.5260887348387883E-4</v>
      </c>
      <c r="CI63" s="120">
        <v>0</v>
      </c>
      <c r="CJ63" s="120">
        <v>2.5749313077068726E-30</v>
      </c>
      <c r="CK63" s="120">
        <v>4.3124493180594895E-17</v>
      </c>
      <c r="CL63" s="198">
        <v>0.38192584864448798</v>
      </c>
      <c r="CM63" s="198">
        <v>0.95067573213328405</v>
      </c>
      <c r="CN63" s="199">
        <v>0.30428679803274589</v>
      </c>
      <c r="CO63" s="192">
        <v>4</v>
      </c>
      <c r="CP63" s="195">
        <v>3</v>
      </c>
      <c r="CQ63" s="209">
        <v>-0.27778999999999998</v>
      </c>
      <c r="CR63" s="209">
        <v>0.94073000000000007</v>
      </c>
      <c r="CS63" s="223">
        <v>4</v>
      </c>
      <c r="CT63" s="223">
        <v>2</v>
      </c>
      <c r="CU63" s="209">
        <v>0.94073000000000007</v>
      </c>
      <c r="CV63" s="209">
        <v>-0.27778999999999998</v>
      </c>
      <c r="CW63" s="209">
        <v>6</v>
      </c>
      <c r="CX63" s="210">
        <v>5</v>
      </c>
      <c r="CY63" s="272">
        <v>2</v>
      </c>
      <c r="CZ63" s="238">
        <v>4</v>
      </c>
    </row>
    <row r="64" spans="1:104" x14ac:dyDescent="0.3">
      <c r="A64" s="57" t="s">
        <v>72</v>
      </c>
      <c r="B64" s="57">
        <v>4</v>
      </c>
      <c r="C64" s="57">
        <v>6</v>
      </c>
      <c r="D64" s="57">
        <v>6</v>
      </c>
      <c r="E64" s="58">
        <v>4</v>
      </c>
      <c r="F64" s="58">
        <v>0.13740237900000002</v>
      </c>
      <c r="G64" s="58">
        <v>-0.21452965100000002</v>
      </c>
      <c r="H64" s="58">
        <v>-0.67967054300000018</v>
      </c>
      <c r="I64" s="58">
        <v>1.26829843</v>
      </c>
      <c r="J64" s="58">
        <v>1.2257483300000001</v>
      </c>
      <c r="K64" s="58">
        <v>0.59398601399999995</v>
      </c>
      <c r="L64" s="58">
        <v>1.3369683400000001</v>
      </c>
      <c r="M64" s="58">
        <v>-1.7781459500000001</v>
      </c>
      <c r="N64" s="58">
        <v>1.6256724500000002</v>
      </c>
      <c r="O64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11.582811969331724</v>
      </c>
      <c r="P64" s="114"/>
      <c r="Q64" s="114"/>
      <c r="R64" s="121" t="str">
        <f>RIGHT(Таблица17[[#This Row],[Классиф ДА2]])</f>
        <v>2</v>
      </c>
      <c r="S64">
        <v>2</v>
      </c>
      <c r="T64" s="147">
        <f>IF(Таблица17[[#This Row],[обуч выборка2]]-Таблица17[[#This Row],[Классиф ДА]]=0,1,0)</f>
        <v>0</v>
      </c>
      <c r="U64" s="117" t="s">
        <v>214</v>
      </c>
      <c r="V64" s="147">
        <f>IF(Таблица17[[#This Row],[обуч выборка2]]-Таблица17[[#This Row],[расстояние Махаланобиса]]=0,1,0)</f>
        <v>0</v>
      </c>
      <c r="W64" s="117">
        <f>MATCH(MIN(Таблица17[[#This Row],[1 класс]:[6 класс]]),Таблица17[[#This Row],[1 класс]:[6 класс]],0)</f>
        <v>2</v>
      </c>
      <c r="X64" s="118">
        <v>66.048962062553855</v>
      </c>
      <c r="Y64" s="118">
        <v>58.969761986846095</v>
      </c>
      <c r="Z64" s="118">
        <v>65.158828270569686</v>
      </c>
      <c r="AA64" s="118">
        <v>171.01256518285365</v>
      </c>
      <c r="AB64" s="118">
        <v>300.27287487131349</v>
      </c>
      <c r="AC64" s="118">
        <v>99.279004284950759</v>
      </c>
      <c r="AD64" s="212">
        <v>66.048962062553855</v>
      </c>
      <c r="AE64" s="212">
        <v>58.969761986846095</v>
      </c>
      <c r="AF64" s="212">
        <v>65.158828270569686</v>
      </c>
      <c r="AG64" s="212">
        <v>171.01256518285365</v>
      </c>
      <c r="AH64" s="212">
        <v>300.27287487131349</v>
      </c>
      <c r="AI64" s="212">
        <v>99.279004284950759</v>
      </c>
      <c r="AJ64" s="147">
        <f>IF(Таблица17[[#This Row],[обуч выборка2]]-Таблица17[[#This Row],[Апосториорная вероятность]]=0,1,0)</f>
        <v>0</v>
      </c>
      <c r="AK64" s="117">
        <f>MATCH(MAX(Таблица17[[#This Row],[1 класс.]:[6 класс.]]),Таблица17[[#This Row],[1 класс.]:[6 класс.]],0)</f>
        <v>2</v>
      </c>
      <c r="AL64" s="120">
        <v>3.4079903024181388E-2</v>
      </c>
      <c r="AM64" s="120">
        <v>0.93932764021247728</v>
      </c>
      <c r="AN64" s="120">
        <v>2.6592456141316823E-2</v>
      </c>
      <c r="AO64" s="120">
        <v>1.0989337919547164E-25</v>
      </c>
      <c r="AP64" s="120">
        <v>0</v>
      </c>
      <c r="AQ64" s="120">
        <v>6.2202468462531611E-10</v>
      </c>
      <c r="AR64" s="216">
        <v>3.4079903024181388E-2</v>
      </c>
      <c r="AS64" s="216">
        <v>0.93932764021247728</v>
      </c>
      <c r="AT64" s="216">
        <v>2.6592456141316823E-2</v>
      </c>
      <c r="AU64" s="216">
        <v>1.0989337919547164E-25</v>
      </c>
      <c r="AV64" s="216">
        <v>0</v>
      </c>
      <c r="AW64" s="216">
        <v>6.2202468462531611E-10</v>
      </c>
      <c r="AX64" s="121" t="str">
        <f>RIGHT(Таблица17[[#This Row],[Класиф вкл2]])</f>
        <v>1</v>
      </c>
      <c r="AY64" s="221">
        <v>2</v>
      </c>
      <c r="AZ64" s="147">
        <f>IF(Таблица17[[#This Row],[обуч выборка2]]-Таблица17[[#This Row],[Класиф вкл]]=0,1,0)</f>
        <v>0</v>
      </c>
      <c r="BA64" s="117" t="s">
        <v>213</v>
      </c>
      <c r="BB64" s="147">
        <f>IF(Таблица17[[#This Row],[обуч выборка2]]-Таблица17[[#This Row],[Расстояние Махаланобиса вкл
]]=0,1,0)</f>
        <v>0</v>
      </c>
      <c r="BC64" s="117">
        <f>MATCH(MIN(Таблица17[[#This Row],[1 класс вкл]:[6 класс вкл]]),Таблица17[[#This Row],[1 класс вкл]:[6 класс вкл]],0)</f>
        <v>1</v>
      </c>
      <c r="BD64" s="118">
        <v>54.337506292258013</v>
      </c>
      <c r="BE64" s="118">
        <v>57.031367942590613</v>
      </c>
      <c r="BF64" s="118">
        <v>62.974905044682984</v>
      </c>
      <c r="BG64" s="120">
        <v>93.941751033368689</v>
      </c>
      <c r="BH64" s="118">
        <v>238.19265277446408</v>
      </c>
      <c r="BI64" s="118">
        <v>81.754291994774562</v>
      </c>
      <c r="BJ64" s="147">
        <f>IF(Таблица17[[#This Row],[обуч выборка2]]-Таблица17[[#This Row],[Апосториорная вероятность вкл]]=0,1,0)</f>
        <v>0</v>
      </c>
      <c r="BK64" s="117">
        <f>MATCH(MAX(Таблица17[[#This Row],[1 класс вкл.]:[6 класс вкл.]]),Таблица17[[#This Row],[1 класс вкл.]:[6 класс вкл.]],0)</f>
        <v>1</v>
      </c>
      <c r="BL64" s="119">
        <v>0.82325623780509238</v>
      </c>
      <c r="BM64" s="119">
        <v>0.17126175580036285</v>
      </c>
      <c r="BN64" s="119">
        <v>5.4817310795382355E-3</v>
      </c>
      <c r="BO64" s="119">
        <v>4.1363049545468281E-10</v>
      </c>
      <c r="BP64" s="119">
        <v>0</v>
      </c>
      <c r="BQ64" s="119">
        <v>2.7490137601127805E-7</v>
      </c>
      <c r="BR64" s="121" t="str">
        <f>RIGHT(Таблица17[[#This Row],[Класиф искл2]])</f>
        <v>6</v>
      </c>
      <c r="BS64" s="222">
        <v>6</v>
      </c>
      <c r="BT64" s="147">
        <f>IF(Таблица17[[#This Row],[обуч выборка2]]-Таблица17[[#This Row],[Класиф искл]]=0,1,0)</f>
        <v>0</v>
      </c>
      <c r="BU64" s="117" t="s">
        <v>217</v>
      </c>
      <c r="BV64" s="147">
        <f>IF(Таблица17[[#This Row],[обуч выборка2]]-Таблица17[[#This Row],[Расстояние Махаланобиса искл]]=0,1,0)</f>
        <v>0</v>
      </c>
      <c r="BW64" s="117">
        <f>MATCH(MIN(Таблица17[[#This Row],[1 класс искл]:[6 класс искл]]),Таблица17[[#This Row],[1 класс искл]:[6 класс искл]],0)</f>
        <v>6</v>
      </c>
      <c r="BX64" s="120">
        <v>50.812932829131363</v>
      </c>
      <c r="BY64" s="120">
        <v>55.226344926658804</v>
      </c>
      <c r="BZ64" s="120">
        <v>61.391729877205556</v>
      </c>
      <c r="CA64" s="120">
        <v>98.049849150049653</v>
      </c>
      <c r="CB64" s="120">
        <v>267.47307629474091</v>
      </c>
      <c r="CC64" s="120">
        <v>21.060285508919371</v>
      </c>
      <c r="CD64" s="147">
        <f>IF(Таблица17[[#This Row],[обуч выборка2]]-Таблица17[[#This Row],[Апосториорная вероятность искл]]=0,1,0)</f>
        <v>0</v>
      </c>
      <c r="CE64" s="117">
        <f>MATCH(MAX(Таблица17[[#This Row],[1 класс искл.]:[6 класс искл.]]),Таблица17[[#This Row],[1 класс искл.]:[6 класс искл.]],0)</f>
        <v>6</v>
      </c>
      <c r="CF64" s="120">
        <v>1.1539126174342302E-6</v>
      </c>
      <c r="CG64" s="120">
        <v>1.0160209171335145E-7</v>
      </c>
      <c r="CH64" s="120">
        <v>2.9106255337757201E-9</v>
      </c>
      <c r="CI64" s="120">
        <v>1.2759594351715375E-17</v>
      </c>
      <c r="CJ64" s="120">
        <v>0</v>
      </c>
      <c r="CK64" s="120">
        <v>0.99999874157466528</v>
      </c>
      <c r="CL64" s="198">
        <v>1.9225482032011199</v>
      </c>
      <c r="CM64" s="198">
        <v>0.19540940161061801</v>
      </c>
      <c r="CN64" s="199">
        <v>0.58284911227959502</v>
      </c>
      <c r="CO64" s="192">
        <v>4</v>
      </c>
      <c r="CP64" s="195">
        <v>3</v>
      </c>
      <c r="CQ64" s="209">
        <v>1.2181299999999999</v>
      </c>
      <c r="CR64" s="209">
        <v>1.2356400000000001</v>
      </c>
      <c r="CS64" s="223">
        <v>4</v>
      </c>
      <c r="CT64" s="223">
        <v>2</v>
      </c>
      <c r="CU64" s="209">
        <v>1.2356400000000001</v>
      </c>
      <c r="CV64" s="209">
        <v>1.2181299999999999</v>
      </c>
      <c r="CW64" s="209">
        <v>6</v>
      </c>
      <c r="CX64" s="210">
        <v>5</v>
      </c>
      <c r="CY64" s="272">
        <v>2</v>
      </c>
      <c r="CZ64" s="238">
        <v>4</v>
      </c>
    </row>
    <row r="65" spans="1:104" x14ac:dyDescent="0.3">
      <c r="A65" s="57" t="s">
        <v>73</v>
      </c>
      <c r="B65" s="57">
        <v>4</v>
      </c>
      <c r="C65" s="57">
        <v>6</v>
      </c>
      <c r="D65" s="57">
        <v>2</v>
      </c>
      <c r="E65" s="58">
        <v>6</v>
      </c>
      <c r="F65" s="58">
        <v>0.65277181500000026</v>
      </c>
      <c r="G65" s="58">
        <v>-1.00745094</v>
      </c>
      <c r="H65" s="58">
        <v>-0.29599274500000006</v>
      </c>
      <c r="I65" s="58">
        <v>-0.53335129200000009</v>
      </c>
      <c r="J65" s="58">
        <v>0.37086580000000008</v>
      </c>
      <c r="K65" s="58">
        <v>2.1864515800000001E-3</v>
      </c>
      <c r="L65" s="58">
        <v>-0.55948761700000005</v>
      </c>
      <c r="M65" s="58">
        <v>0.16417212299999998</v>
      </c>
      <c r="N65" s="58">
        <v>-4.6574441999999994E-2</v>
      </c>
      <c r="O65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2.2928380253039928</v>
      </c>
      <c r="P65" s="114"/>
      <c r="Q65" s="114"/>
      <c r="R65" s="121" t="str">
        <f>RIGHT(Таблица17[[#This Row],[Классиф ДА2]])</f>
        <v>2</v>
      </c>
      <c r="S65">
        <v>2</v>
      </c>
      <c r="T65" s="147">
        <f>IF(Таблица17[[#This Row],[обуч выборка2]]-Таблица17[[#This Row],[Классиф ДА]]=0,1,0)</f>
        <v>0</v>
      </c>
      <c r="U65" s="117" t="s">
        <v>214</v>
      </c>
      <c r="V65" s="147">
        <f>IF(Таблица17[[#This Row],[обуч выборка2]]-Таблица17[[#This Row],[расстояние Махаланобиса]]=0,1,0)</f>
        <v>0</v>
      </c>
      <c r="W65" s="117">
        <f>MATCH(MIN(Таблица17[[#This Row],[1 класс]:[6 класс]]),Таблица17[[#This Row],[1 класс]:[6 класс]],0)</f>
        <v>2</v>
      </c>
      <c r="X65" s="118">
        <v>35.080093265205853</v>
      </c>
      <c r="Y65" s="118">
        <v>22.84684121244592</v>
      </c>
      <c r="Z65" s="118">
        <v>23.2622108761561</v>
      </c>
      <c r="AA65" s="118">
        <v>261.70542033054687</v>
      </c>
      <c r="AB65" s="118">
        <v>198.41832680704471</v>
      </c>
      <c r="AC65" s="118">
        <v>182.55406845781005</v>
      </c>
      <c r="AD65" s="212">
        <v>35.080093265205853</v>
      </c>
      <c r="AE65" s="212">
        <v>22.84684121244592</v>
      </c>
      <c r="AF65" s="212">
        <v>23.2622108761561</v>
      </c>
      <c r="AG65" s="212">
        <v>261.70542033054687</v>
      </c>
      <c r="AH65" s="212">
        <v>198.41832680704471</v>
      </c>
      <c r="AI65" s="212">
        <v>182.55406845781005</v>
      </c>
      <c r="AJ65" s="147">
        <f>IF(Таблица17[[#This Row],[обуч выборка2]]-Таблица17[[#This Row],[Апосториорная вероятность]]=0,1,0)</f>
        <v>0</v>
      </c>
      <c r="AK65" s="117">
        <f>MATCH(MAX(Таблица17[[#This Row],[1 класс.]:[6 класс.]]),Таблица17[[#This Row],[1 класс.]:[6 класс.]],0)</f>
        <v>2</v>
      </c>
      <c r="AL65" s="120">
        <v>1.8254036118393532E-3</v>
      </c>
      <c r="AM65" s="120">
        <v>0.66201194184879053</v>
      </c>
      <c r="AN65" s="120">
        <v>0.33616265453937011</v>
      </c>
      <c r="AO65" s="120">
        <v>0</v>
      </c>
      <c r="AP65" s="120">
        <v>0</v>
      </c>
      <c r="AQ65" s="120">
        <v>0</v>
      </c>
      <c r="AR65" s="216">
        <v>1.8254036118393532E-3</v>
      </c>
      <c r="AS65" s="216">
        <v>0.66201194184879053</v>
      </c>
      <c r="AT65" s="216">
        <v>0.33616265453937011</v>
      </c>
      <c r="AU65" s="216">
        <v>0</v>
      </c>
      <c r="AV65" s="216">
        <v>0</v>
      </c>
      <c r="AW65" s="216">
        <v>0</v>
      </c>
      <c r="AX65" s="121" t="str">
        <f>RIGHT(Таблица17[[#This Row],[Класиф вкл2]])</f>
        <v>2</v>
      </c>
      <c r="AY65" s="221">
        <v>2</v>
      </c>
      <c r="AZ65" s="147">
        <f>IF(Таблица17[[#This Row],[обуч выборка2]]-Таблица17[[#This Row],[Класиф вкл]]=0,1,0)</f>
        <v>0</v>
      </c>
      <c r="BA65" s="117" t="s">
        <v>214</v>
      </c>
      <c r="BB65" s="147">
        <f>IF(Таблица17[[#This Row],[обуч выборка2]]-Таблица17[[#This Row],[Расстояние Махаланобиса вкл
]]=0,1,0)</f>
        <v>0</v>
      </c>
      <c r="BC65" s="117">
        <f>MATCH(MIN(Таблица17[[#This Row],[1 класс вкл]:[6 класс вкл]]),Таблица17[[#This Row],[1 класс вкл]:[6 класс вкл]],0)</f>
        <v>2</v>
      </c>
      <c r="BD65" s="118">
        <v>33.330011145425551</v>
      </c>
      <c r="BE65" s="118">
        <v>8.6101691408000569</v>
      </c>
      <c r="BF65" s="118">
        <v>17.810377092998966</v>
      </c>
      <c r="BG65" s="120">
        <v>179.48541341229352</v>
      </c>
      <c r="BH65" s="118">
        <v>86.11006707341987</v>
      </c>
      <c r="BI65" s="118">
        <v>174.44481782318016</v>
      </c>
      <c r="BJ65" s="147">
        <f>IF(Таблица17[[#This Row],[обуч выборка2]]-Таблица17[[#This Row],[Апосториорная вероятность вкл]]=0,1,0)</f>
        <v>0</v>
      </c>
      <c r="BK65" s="117">
        <f>MATCH(MAX(Таблица17[[#This Row],[1 класс вкл.]:[6 класс вкл.]]),Таблица17[[#This Row],[1 класс вкл.]:[6 класс вкл.]],0)</f>
        <v>2</v>
      </c>
      <c r="BL65" s="119">
        <v>5.3252820931399813E-6</v>
      </c>
      <c r="BM65" s="119">
        <v>0.99375217778341485</v>
      </c>
      <c r="BN65" s="119">
        <v>6.2424969344920637E-3</v>
      </c>
      <c r="BO65" s="119">
        <v>0</v>
      </c>
      <c r="BP65" s="119">
        <v>3.6840803361476664E-18</v>
      </c>
      <c r="BQ65" s="119">
        <v>0</v>
      </c>
      <c r="BR65" s="121" t="str">
        <f>RIGHT(Таблица17[[#This Row],[Класиф искл2]])</f>
        <v>2</v>
      </c>
      <c r="BS65" s="222">
        <v>2</v>
      </c>
      <c r="BT65" s="147">
        <f>IF(Таблица17[[#This Row],[обуч выборка2]]-Таблица17[[#This Row],[Класиф искл]]=0,1,0)</f>
        <v>0</v>
      </c>
      <c r="BU65" s="117" t="s">
        <v>214</v>
      </c>
      <c r="BV65" s="147">
        <f>IF(Таблица17[[#This Row],[обуч выборка2]]-Таблица17[[#This Row],[Расстояние Махаланобиса искл]]=0,1,0)</f>
        <v>0</v>
      </c>
      <c r="BW65" s="117">
        <f>MATCH(MIN(Таблица17[[#This Row],[1 класс искл]:[6 класс искл]]),Таблица17[[#This Row],[1 класс искл]:[6 класс искл]],0)</f>
        <v>2</v>
      </c>
      <c r="BX65" s="120">
        <v>13.929906336087484</v>
      </c>
      <c r="BY65" s="120">
        <v>8.705696225365168</v>
      </c>
      <c r="BZ65" s="120">
        <v>8.9714629807766677</v>
      </c>
      <c r="CA65" s="120">
        <v>201.96764659065579</v>
      </c>
      <c r="CB65" s="120">
        <v>160.80897229888566</v>
      </c>
      <c r="CC65" s="120">
        <v>81.384626556940205</v>
      </c>
      <c r="CD65" s="147">
        <f>IF(Таблица17[[#This Row],[обуч выборка2]]-Таблица17[[#This Row],[Апосториорная вероятность искл]]=0,1,0)</f>
        <v>0</v>
      </c>
      <c r="CE65" s="117">
        <f>MATCH(MAX(Таблица17[[#This Row],[1 класс искл.]:[6 класс искл.]]),Таблица17[[#This Row],[1 класс искл.]:[6 класс искл.]],0)</f>
        <v>2</v>
      </c>
      <c r="CF65" s="120">
        <v>5.5965493006797602E-2</v>
      </c>
      <c r="CG65" s="120">
        <v>0.61014510659837506</v>
      </c>
      <c r="CH65" s="120">
        <v>0.33388940039482734</v>
      </c>
      <c r="CI65" s="120">
        <v>0</v>
      </c>
      <c r="CJ65" s="120">
        <v>0</v>
      </c>
      <c r="CK65" s="120">
        <v>3.7795074301839719E-17</v>
      </c>
      <c r="CL65" s="198">
        <v>-0.20559813238350497</v>
      </c>
      <c r="CM65" s="198">
        <v>0.24229698766122199</v>
      </c>
      <c r="CN65" s="199">
        <v>0.77452306938064308</v>
      </c>
      <c r="CO65" s="192">
        <v>4</v>
      </c>
      <c r="CP65" s="195">
        <v>4</v>
      </c>
      <c r="CQ65" s="209">
        <v>-0.38332000000000011</v>
      </c>
      <c r="CR65" s="209">
        <v>0.13881000000000002</v>
      </c>
      <c r="CS65" s="223">
        <v>4</v>
      </c>
      <c r="CT65" s="223">
        <v>1</v>
      </c>
      <c r="CU65" s="209">
        <v>0.13881000000000002</v>
      </c>
      <c r="CV65" s="209">
        <v>-0.38332000000000011</v>
      </c>
      <c r="CW65" s="209">
        <v>5</v>
      </c>
      <c r="CX65" s="210">
        <v>1</v>
      </c>
      <c r="CY65" s="272">
        <v>1</v>
      </c>
      <c r="CZ65" s="238">
        <v>1</v>
      </c>
    </row>
    <row r="66" spans="1:104" x14ac:dyDescent="0.3">
      <c r="A66" s="57" t="s">
        <v>74</v>
      </c>
      <c r="B66" s="57">
        <v>1</v>
      </c>
      <c r="C66" s="57">
        <v>6</v>
      </c>
      <c r="D66" s="57">
        <v>6</v>
      </c>
      <c r="E66" s="58">
        <v>5</v>
      </c>
      <c r="F66" s="58">
        <v>-0.17992116100000002</v>
      </c>
      <c r="G66" s="58">
        <v>-1.72649758</v>
      </c>
      <c r="H66" s="58">
        <v>-0.53123515899999996</v>
      </c>
      <c r="I66" s="58">
        <v>1.5963929399999999</v>
      </c>
      <c r="J66" s="58">
        <v>-0.60720059200000009</v>
      </c>
      <c r="K66" s="58">
        <v>-0.22228924400000002</v>
      </c>
      <c r="L66" s="58">
        <v>2.2486120400000003</v>
      </c>
      <c r="M66" s="58">
        <v>-1.2601944600000001</v>
      </c>
      <c r="N66" s="58">
        <v>-0.22972914200000003</v>
      </c>
      <c r="O66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12.959073460876795</v>
      </c>
      <c r="P66" s="114" t="s">
        <v>217</v>
      </c>
      <c r="Q66" s="114" t="str">
        <f>RIGHT(P66)</f>
        <v>6</v>
      </c>
      <c r="R66" s="121" t="str">
        <f>RIGHT(Таблица17[[#This Row],[Классиф ДА2]])</f>
        <v>6</v>
      </c>
      <c r="S66">
        <v>6</v>
      </c>
      <c r="T66" s="147">
        <f>IF(Таблица17[[#This Row],[обуч выборка2]]-Таблица17[[#This Row],[Классиф ДА]]=0,1,0)</f>
        <v>1</v>
      </c>
      <c r="U66" s="117" t="s">
        <v>217</v>
      </c>
      <c r="V66" s="147">
        <f>IF(Таблица17[[#This Row],[обуч выборка2]]-Таблица17[[#This Row],[расстояние Махаланобиса]]=0,1,0)</f>
        <v>1</v>
      </c>
      <c r="W66" s="117">
        <f>MATCH(MIN(Таблица17[[#This Row],[1 класс]:[6 класс]]),Таблица17[[#This Row],[1 класс]:[6 класс]],0)</f>
        <v>6</v>
      </c>
      <c r="X66" s="118">
        <v>112.02487917290414</v>
      </c>
      <c r="Y66" s="118">
        <v>144.70339561815516</v>
      </c>
      <c r="Z66" s="118">
        <v>136.59915281038116</v>
      </c>
      <c r="AA66" s="118">
        <v>359.85614407947412</v>
      </c>
      <c r="AB66" s="118">
        <v>481.48183290755844</v>
      </c>
      <c r="AC66" s="118">
        <v>5.462865737197915</v>
      </c>
      <c r="AD66" s="212">
        <v>112.02487917290414</v>
      </c>
      <c r="AE66" s="212">
        <v>144.70339561815516</v>
      </c>
      <c r="AF66" s="212">
        <v>136.59915281038116</v>
      </c>
      <c r="AG66" s="212">
        <v>359.85614407947412</v>
      </c>
      <c r="AH66" s="212">
        <v>481.48183290755844</v>
      </c>
      <c r="AI66" s="212">
        <v>5.462865737197915</v>
      </c>
      <c r="AJ66" s="147">
        <f>IF(Таблица17[[#This Row],[обуч выборка2]]-Таблица17[[#This Row],[Апосториорная вероятность]]=0,1,0)</f>
        <v>1</v>
      </c>
      <c r="AK66" s="117">
        <f>MATCH(MAX(Таблица17[[#This Row],[1 класс.]:[6 класс.]]),Таблица17[[#This Row],[1 класс.]:[6 класс.]],0)</f>
        <v>6</v>
      </c>
      <c r="AL66" s="120">
        <v>2.4167489438159512E-23</v>
      </c>
      <c r="AM66" s="120">
        <v>1.5497863804279271E-30</v>
      </c>
      <c r="AN66" s="120">
        <v>5.5714190271749064E-29</v>
      </c>
      <c r="AO66" s="120">
        <v>0</v>
      </c>
      <c r="AP66" s="120">
        <v>0</v>
      </c>
      <c r="AQ66" s="120">
        <v>1</v>
      </c>
      <c r="AR66" s="216">
        <v>2.4167489438159512E-23</v>
      </c>
      <c r="AS66" s="216">
        <v>1.5497863804279271E-30</v>
      </c>
      <c r="AT66" s="216">
        <v>5.5714190271749064E-29</v>
      </c>
      <c r="AU66" s="216">
        <v>0</v>
      </c>
      <c r="AV66" s="216">
        <v>0</v>
      </c>
      <c r="AW66" s="216">
        <v>1</v>
      </c>
      <c r="AX66" s="121" t="str">
        <f>RIGHT(Таблица17[[#This Row],[Класиф вкл2]])</f>
        <v>6</v>
      </c>
      <c r="AY66" s="221">
        <v>6</v>
      </c>
      <c r="AZ66" s="147">
        <f>IF(Таблица17[[#This Row],[обуч выборка2]]-Таблица17[[#This Row],[Класиф вкл]]=0,1,0)</f>
        <v>1</v>
      </c>
      <c r="BA66" s="117" t="s">
        <v>217</v>
      </c>
      <c r="BB66" s="147">
        <f>IF(Таблица17[[#This Row],[обуч выборка2]]-Таблица17[[#This Row],[Расстояние Махаланобиса вкл
]]=0,1,0)</f>
        <v>1</v>
      </c>
      <c r="BC66" s="117">
        <f>MATCH(MIN(Таблица17[[#This Row],[1 класс вкл]:[6 класс вкл]]),Таблица17[[#This Row],[1 класс вкл]:[6 класс вкл]],0)</f>
        <v>6</v>
      </c>
      <c r="BD66" s="118">
        <v>101.37925631375049</v>
      </c>
      <c r="BE66" s="118">
        <v>118.17275809574141</v>
      </c>
      <c r="BF66" s="118">
        <v>118.79032974920597</v>
      </c>
      <c r="BG66" s="120">
        <v>247.60994779590601</v>
      </c>
      <c r="BH66" s="118">
        <v>349.81314997413295</v>
      </c>
      <c r="BI66" s="118">
        <v>5.2420809371722772</v>
      </c>
      <c r="BJ66" s="147">
        <f>IF(Таблица17[[#This Row],[обуч выборка2]]-Таблица17[[#This Row],[Апосториорная вероятность вкл]]=0,1,0)</f>
        <v>1</v>
      </c>
      <c r="BK66" s="117">
        <f>MATCH(MAX(Таблица17[[#This Row],[1 класс вкл.]:[6 класс вкл.]]),Таблица17[[#This Row],[1 класс вкл.]:[6 класс вкл.]],0)</f>
        <v>6</v>
      </c>
      <c r="BL66" s="119">
        <v>4.4356406959955032E-21</v>
      </c>
      <c r="BM66" s="119">
        <v>8.0054134859762363E-25</v>
      </c>
      <c r="BN66" s="119">
        <v>3.6741747241907579E-25</v>
      </c>
      <c r="BO66" s="119">
        <v>0</v>
      </c>
      <c r="BP66" s="119">
        <v>0</v>
      </c>
      <c r="BQ66" s="119">
        <v>1</v>
      </c>
      <c r="BR66" s="121" t="str">
        <f>RIGHT(Таблица17[[#This Row],[Класиф искл2]])</f>
        <v>6</v>
      </c>
      <c r="BS66" s="222">
        <v>6</v>
      </c>
      <c r="BT66" s="147">
        <f>IF(Таблица17[[#This Row],[обуч выборка2]]-Таблица17[[#This Row],[Класиф искл]]=0,1,0)</f>
        <v>1</v>
      </c>
      <c r="BU66" s="117" t="s">
        <v>217</v>
      </c>
      <c r="BV66" s="147">
        <f>IF(Таблица17[[#This Row],[обуч выборка2]]-Таблица17[[#This Row],[Расстояние Махаланобиса искл]]=0,1,0)</f>
        <v>1</v>
      </c>
      <c r="BW66" s="117">
        <f>MATCH(MIN(Таблица17[[#This Row],[1 класс искл]:[6 класс искл]]),Таблица17[[#This Row],[1 класс искл]:[6 класс искл]],0)</f>
        <v>6</v>
      </c>
      <c r="BX66" s="120">
        <v>76.784231120678214</v>
      </c>
      <c r="BY66" s="120">
        <v>81.977940998194299</v>
      </c>
      <c r="BZ66" s="120">
        <v>81.707941242790668</v>
      </c>
      <c r="CA66" s="120">
        <v>186.46759513057305</v>
      </c>
      <c r="CB66" s="120">
        <v>294.27095918499219</v>
      </c>
      <c r="CC66" s="120">
        <v>5.3487126310709385</v>
      </c>
      <c r="CD66" s="147">
        <f>IF(Таблица17[[#This Row],[обуч выборка2]]-Таблица17[[#This Row],[Апосториорная вероятность искл]]=0,1,0)</f>
        <v>1</v>
      </c>
      <c r="CE66" s="117">
        <f>MATCH(MAX(Таблица17[[#This Row],[1 класс искл.]:[6 класс искл.]]),Таблица17[[#This Row],[1 класс искл.]:[6 класс искл.]],0)</f>
        <v>6</v>
      </c>
      <c r="CF66" s="120">
        <v>1.0253048207044051E-15</v>
      </c>
      <c r="CG66" s="120">
        <v>6.1114352680293348E-17</v>
      </c>
      <c r="CH66" s="120">
        <v>4.3717260087467565E-17</v>
      </c>
      <c r="CI66" s="120">
        <v>0</v>
      </c>
      <c r="CJ66" s="120">
        <v>0</v>
      </c>
      <c r="CK66" s="120">
        <v>0.99999999999999889</v>
      </c>
      <c r="CL66" s="198">
        <v>1.2630330246509991</v>
      </c>
      <c r="CM66" s="198">
        <v>-1.6117585949491351</v>
      </c>
      <c r="CN66" s="199">
        <v>1.1102740125145054</v>
      </c>
      <c r="CO66" s="192">
        <v>2</v>
      </c>
      <c r="CP66" s="195">
        <v>2</v>
      </c>
      <c r="CQ66" s="209">
        <v>1.8784200000000002</v>
      </c>
      <c r="CR66" s="209">
        <v>-0.41471000000000002</v>
      </c>
      <c r="CS66" s="223">
        <v>3</v>
      </c>
      <c r="CT66" s="223">
        <v>3</v>
      </c>
      <c r="CU66" s="209">
        <v>-0.41471000000000002</v>
      </c>
      <c r="CV66" s="209">
        <v>1.8784200000000002</v>
      </c>
      <c r="CW66" s="209">
        <v>4</v>
      </c>
      <c r="CX66" s="210">
        <v>4</v>
      </c>
      <c r="CY66" s="272" t="str">
        <f>RIGHT(CX66)</f>
        <v>4</v>
      </c>
      <c r="CZ66" s="238">
        <v>3</v>
      </c>
    </row>
    <row r="67" spans="1:104" x14ac:dyDescent="0.3">
      <c r="A67" s="57" t="s">
        <v>75</v>
      </c>
      <c r="B67" s="57">
        <v>5</v>
      </c>
      <c r="C67" s="57">
        <v>6</v>
      </c>
      <c r="D67" s="57">
        <v>1</v>
      </c>
      <c r="E67" s="58">
        <v>6</v>
      </c>
      <c r="F67" s="58">
        <v>-1.17802747</v>
      </c>
      <c r="G67" s="58">
        <v>-0.53465315300000005</v>
      </c>
      <c r="H67" s="58">
        <v>-0.73976757400000004</v>
      </c>
      <c r="I67" s="58">
        <v>0.29442023200000006</v>
      </c>
      <c r="J67" s="58">
        <v>0.98543883200000004</v>
      </c>
      <c r="K67" s="58">
        <v>0.96130987999999995</v>
      </c>
      <c r="L67" s="58">
        <v>-9.6755257700000038E-3</v>
      </c>
      <c r="M67" s="58">
        <v>-1.00121872</v>
      </c>
      <c r="N67" s="58">
        <v>0.7441646420000001</v>
      </c>
      <c r="O67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5.7590619838390928</v>
      </c>
      <c r="P67" s="114"/>
      <c r="Q67" s="114"/>
      <c r="R67" s="121" t="str">
        <f>RIGHT(Таблица17[[#This Row],[Классиф ДА2]])</f>
        <v>1</v>
      </c>
      <c r="S67">
        <v>1</v>
      </c>
      <c r="T67" s="147">
        <f>IF(Таблица17[[#This Row],[обуч выборка2]]-Таблица17[[#This Row],[Классиф ДА]]=0,1,0)</f>
        <v>0</v>
      </c>
      <c r="U67" s="117" t="s">
        <v>213</v>
      </c>
      <c r="V67" s="147">
        <f>IF(Таблица17[[#This Row],[обуч выборка2]]-Таблица17[[#This Row],[расстояние Махаланобиса]]=0,1,0)</f>
        <v>0</v>
      </c>
      <c r="W67" s="117">
        <f>MATCH(MIN(Таблица17[[#This Row],[1 класс]:[6 класс]]),Таблица17[[#This Row],[1 класс]:[6 класс]],0)</f>
        <v>1</v>
      </c>
      <c r="X67" s="118">
        <v>32.797147555784122</v>
      </c>
      <c r="Y67" s="118">
        <v>89.203293440548663</v>
      </c>
      <c r="Z67" s="118">
        <v>80.518549736361564</v>
      </c>
      <c r="AA67" s="118">
        <v>137.98562510218406</v>
      </c>
      <c r="AB67" s="118">
        <v>381.31316340706115</v>
      </c>
      <c r="AC67" s="118">
        <v>149.98910734430984</v>
      </c>
      <c r="AD67" s="212">
        <v>32.797147555784122</v>
      </c>
      <c r="AE67" s="212">
        <v>89.203293440548663</v>
      </c>
      <c r="AF67" s="212">
        <v>80.518549736361564</v>
      </c>
      <c r="AG67" s="212">
        <v>137.98562510218406</v>
      </c>
      <c r="AH67" s="212">
        <v>381.31316340706115</v>
      </c>
      <c r="AI67" s="212">
        <v>149.98910734430984</v>
      </c>
      <c r="AJ67" s="147">
        <f>IF(Таблица17[[#This Row],[обуч выборка2]]-Таблица17[[#This Row],[Апосториорная вероятность]]=0,1,0)</f>
        <v>0</v>
      </c>
      <c r="AK67" s="117">
        <f>MATCH(MAX(Таблица17[[#This Row],[1 класс.]:[6 класс.]]),Таблица17[[#This Row],[1 класс.]:[6 класс.]],0)</f>
        <v>1</v>
      </c>
      <c r="AL67" s="120">
        <v>0.99999999997785161</v>
      </c>
      <c r="AM67" s="120">
        <v>4.5149301459729796E-13</v>
      </c>
      <c r="AN67" s="120">
        <v>2.1696974894773794E-11</v>
      </c>
      <c r="AO67" s="120">
        <v>2.8816572025215874E-24</v>
      </c>
      <c r="AP67" s="120">
        <v>0</v>
      </c>
      <c r="AQ67" s="120">
        <v>1.0695732308446648E-26</v>
      </c>
      <c r="AR67" s="216">
        <v>0.99999999997785161</v>
      </c>
      <c r="AS67" s="216">
        <v>4.5149301459729796E-13</v>
      </c>
      <c r="AT67" s="216">
        <v>2.1696974894773794E-11</v>
      </c>
      <c r="AU67" s="216">
        <v>2.8816572025215874E-24</v>
      </c>
      <c r="AV67" s="216">
        <v>0</v>
      </c>
      <c r="AW67" s="216">
        <v>1.0695732308446648E-26</v>
      </c>
      <c r="AX67" s="121" t="str">
        <f>RIGHT(Таблица17[[#This Row],[Класиф вкл2]])</f>
        <v>1</v>
      </c>
      <c r="AY67" s="221">
        <v>1</v>
      </c>
      <c r="AZ67" s="147">
        <f>IF(Таблица17[[#This Row],[обуч выборка2]]-Таблица17[[#This Row],[Класиф вкл]]=0,1,0)</f>
        <v>0</v>
      </c>
      <c r="BA67" s="117" t="s">
        <v>213</v>
      </c>
      <c r="BB67" s="147">
        <f>IF(Таблица17[[#This Row],[обуч выборка2]]-Таблица17[[#This Row],[Расстояние Махаланобиса вкл
]]=0,1,0)</f>
        <v>0</v>
      </c>
      <c r="BC67" s="117">
        <f>MATCH(MIN(Таблица17[[#This Row],[1 класс вкл]:[6 класс вкл]]),Таблица17[[#This Row],[1 класс вкл]:[6 класс вкл]],0)</f>
        <v>1</v>
      </c>
      <c r="BD67" s="118">
        <v>31.751627914176016</v>
      </c>
      <c r="BE67" s="118">
        <v>63.645369644230925</v>
      </c>
      <c r="BF67" s="118">
        <v>65.057914836209605</v>
      </c>
      <c r="BG67" s="120">
        <v>72.12330893603567</v>
      </c>
      <c r="BH67" s="118">
        <v>247.07254089252129</v>
      </c>
      <c r="BI67" s="118">
        <v>136.79350165308014</v>
      </c>
      <c r="BJ67" s="147">
        <f>IF(Таблица17[[#This Row],[обуч выборка2]]-Таблица17[[#This Row],[Апосториорная вероятность вкл]]=0,1,0)</f>
        <v>0</v>
      </c>
      <c r="BK67" s="117">
        <f>MATCH(MAX(Таблица17[[#This Row],[1 класс вкл.]:[6 класс вкл.]]),Таблица17[[#This Row],[1 класс вкл.]:[6 класс вкл.]],0)</f>
        <v>1</v>
      </c>
      <c r="BL67" s="119">
        <v>0.99999987543503333</v>
      </c>
      <c r="BM67" s="119">
        <v>9.4940587007916754E-8</v>
      </c>
      <c r="BN67" s="119">
        <v>2.9282060849037381E-8</v>
      </c>
      <c r="BO67" s="119">
        <v>3.4231883470741897E-10</v>
      </c>
      <c r="BP67" s="119">
        <v>0</v>
      </c>
      <c r="BQ67" s="123">
        <v>4.6512334082553686E-24</v>
      </c>
      <c r="BR67" s="121" t="str">
        <f>RIGHT(Таблица17[[#This Row],[Класиф искл2]])</f>
        <v>1</v>
      </c>
      <c r="BS67" s="222">
        <v>1</v>
      </c>
      <c r="BT67" s="147">
        <f>IF(Таблица17[[#This Row],[обуч выборка2]]-Таблица17[[#This Row],[Класиф искл]]=0,1,0)</f>
        <v>0</v>
      </c>
      <c r="BU67" s="117" t="s">
        <v>213</v>
      </c>
      <c r="BV67" s="147">
        <f>IF(Таблица17[[#This Row],[обуч выборка2]]-Таблица17[[#This Row],[Расстояние Махаланобиса искл]]=0,1,0)</f>
        <v>0</v>
      </c>
      <c r="BW67" s="117">
        <f>MATCH(MIN(Таблица17[[#This Row],[1 класс искл]:[6 класс искл]]),Таблица17[[#This Row],[1 класс искл]:[6 класс искл]],0)</f>
        <v>1</v>
      </c>
      <c r="BX67" s="120">
        <v>19.949346697204611</v>
      </c>
      <c r="BY67" s="120">
        <v>69.80993834077438</v>
      </c>
      <c r="BZ67" s="120">
        <v>62.120388852190842</v>
      </c>
      <c r="CA67" s="120">
        <v>97.038759203263169</v>
      </c>
      <c r="CB67" s="120">
        <v>321.96168719260612</v>
      </c>
      <c r="CC67" s="120">
        <v>61.07985267912585</v>
      </c>
      <c r="CD67" s="147">
        <f>IF(Таблица17[[#This Row],[обуч выборка2]]-Таблица17[[#This Row],[Апосториорная вероятность искл]]=0,1,0)</f>
        <v>0</v>
      </c>
      <c r="CE67" s="117">
        <f>MATCH(MAX(Таблица17[[#This Row],[1 класс искл.]:[6 класс искл.]]),Таблица17[[#This Row],[1 класс искл.]:[6 класс искл.]],0)</f>
        <v>1</v>
      </c>
      <c r="CF67" s="120">
        <v>0.99999999928868089</v>
      </c>
      <c r="CG67" s="120">
        <v>1.1912422249007947E-11</v>
      </c>
      <c r="CH67" s="120">
        <v>3.4805233526653513E-10</v>
      </c>
      <c r="CI67" s="120">
        <v>3.6414702237302552E-18</v>
      </c>
      <c r="CJ67" s="120">
        <v>0</v>
      </c>
      <c r="CK67" s="120">
        <v>3.5135437162665477E-10</v>
      </c>
      <c r="CL67" s="198">
        <v>1.1610158884903476</v>
      </c>
      <c r="CM67" s="198">
        <v>0.21047329433474243</v>
      </c>
      <c r="CN67" s="199">
        <v>0.27179426818023572</v>
      </c>
      <c r="CO67" s="192">
        <v>4</v>
      </c>
      <c r="CP67" s="195">
        <v>3</v>
      </c>
      <c r="CQ67" s="209">
        <v>0.39494000000000001</v>
      </c>
      <c r="CR67" s="209">
        <v>0.85702000000000012</v>
      </c>
      <c r="CS67" s="223">
        <v>4</v>
      </c>
      <c r="CT67" s="223">
        <v>2</v>
      </c>
      <c r="CU67" s="209">
        <v>0.85702000000000012</v>
      </c>
      <c r="CV67" s="209">
        <v>0.39494000000000001</v>
      </c>
      <c r="CW67" s="209">
        <v>6</v>
      </c>
      <c r="CX67" s="210">
        <v>5</v>
      </c>
      <c r="CY67" s="272">
        <v>1</v>
      </c>
      <c r="CZ67" s="238">
        <v>5</v>
      </c>
    </row>
    <row r="68" spans="1:104" x14ac:dyDescent="0.3">
      <c r="A68" s="57" t="s">
        <v>76</v>
      </c>
      <c r="B68" s="57">
        <v>2</v>
      </c>
      <c r="C68" s="57">
        <v>6</v>
      </c>
      <c r="D68" s="57">
        <v>2</v>
      </c>
      <c r="E68" s="58">
        <v>6</v>
      </c>
      <c r="F68" s="58">
        <v>0.9183333589999999</v>
      </c>
      <c r="G68" s="58">
        <v>1.19401376</v>
      </c>
      <c r="H68" s="58">
        <v>-0.50136484999999997</v>
      </c>
      <c r="I68" s="58">
        <v>-1.9062335399999999</v>
      </c>
      <c r="J68" s="58">
        <v>-0.63951111300000008</v>
      </c>
      <c r="K68" s="58">
        <v>-0.73246128099999996</v>
      </c>
      <c r="L68" s="58">
        <v>-0.45995725799999998</v>
      </c>
      <c r="M68" s="58">
        <v>-0.59117379399999992</v>
      </c>
      <c r="N68" s="58">
        <v>4.9753609500000011E-2</v>
      </c>
      <c r="O68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7.6630945860979072</v>
      </c>
      <c r="P68" s="114"/>
      <c r="Q68" s="114"/>
      <c r="R68" s="121" t="str">
        <f>RIGHT(Таблица17[[#This Row],[Классиф ДА2]])</f>
        <v>5</v>
      </c>
      <c r="S68">
        <v>5</v>
      </c>
      <c r="T68" s="147">
        <f>IF(Таблица17[[#This Row],[обуч выборка2]]-Таблица17[[#This Row],[Классиф ДА]]=0,1,0)</f>
        <v>0</v>
      </c>
      <c r="U68" s="117" t="s">
        <v>212</v>
      </c>
      <c r="V68" s="147">
        <f>IF(Таблица17[[#This Row],[обуч выборка2]]-Таблица17[[#This Row],[расстояние Махаланобиса]]=0,1,0)</f>
        <v>0</v>
      </c>
      <c r="W68" s="117">
        <f>MATCH(MIN(Таблица17[[#This Row],[1 класс]:[6 класс]]),Таблица17[[#This Row],[1 класс]:[6 класс]],0)</f>
        <v>5</v>
      </c>
      <c r="X68" s="118">
        <v>331.81751696808817</v>
      </c>
      <c r="Y68" s="118">
        <v>182.07374588867978</v>
      </c>
      <c r="Z68" s="118">
        <v>221.07851627136998</v>
      </c>
      <c r="AA68" s="118">
        <v>643.40155975418486</v>
      </c>
      <c r="AB68" s="118">
        <v>60.362990212185046</v>
      </c>
      <c r="AC68" s="118">
        <v>519.07232689785974</v>
      </c>
      <c r="AD68" s="212">
        <v>331.81751696808817</v>
      </c>
      <c r="AE68" s="212">
        <v>182.07374588867978</v>
      </c>
      <c r="AF68" s="212">
        <v>221.07851627136998</v>
      </c>
      <c r="AG68" s="212">
        <v>643.40155975418486</v>
      </c>
      <c r="AH68" s="212">
        <v>60.362990212185046</v>
      </c>
      <c r="AI68" s="212">
        <v>519.07232689785974</v>
      </c>
      <c r="AJ68" s="147">
        <f>IF(Таблица17[[#This Row],[обуч выборка2]]-Таблица17[[#This Row],[Апосториорная вероятность]]=0,1,0)</f>
        <v>0</v>
      </c>
      <c r="AK68" s="117">
        <f>MATCH(MAX(Таблица17[[#This Row],[1 класс.]:[6 класс.]]),Таблица17[[#This Row],[1 класс.]:[6 класс.]],0)</f>
        <v>5</v>
      </c>
      <c r="AL68" s="120">
        <v>0</v>
      </c>
      <c r="AM68" s="120">
        <v>1.4890360149021345E-26</v>
      </c>
      <c r="AN68" s="120">
        <v>0</v>
      </c>
      <c r="AO68" s="120">
        <v>0</v>
      </c>
      <c r="AP68" s="120">
        <v>1</v>
      </c>
      <c r="AQ68" s="120">
        <v>0</v>
      </c>
      <c r="AR68" s="216">
        <v>0</v>
      </c>
      <c r="AS68" s="216">
        <v>1.4890360149021345E-26</v>
      </c>
      <c r="AT68" s="216">
        <v>0</v>
      </c>
      <c r="AU68" s="216">
        <v>0</v>
      </c>
      <c r="AV68" s="216">
        <v>1</v>
      </c>
      <c r="AW68" s="216">
        <v>0</v>
      </c>
      <c r="AX68" s="121" t="str">
        <f>RIGHT(Таблица17[[#This Row],[Класиф вкл2]])</f>
        <v>5</v>
      </c>
      <c r="AY68" s="221">
        <v>5</v>
      </c>
      <c r="AZ68" s="147">
        <f>IF(Таблица17[[#This Row],[обуч выборка2]]-Таблица17[[#This Row],[Класиф вкл]]=0,1,0)</f>
        <v>0</v>
      </c>
      <c r="BA68" s="117" t="s">
        <v>212</v>
      </c>
      <c r="BB68" s="147">
        <f>IF(Таблица17[[#This Row],[обуч выборка2]]-Таблица17[[#This Row],[Расстояние Махаланобиса вкл
]]=0,1,0)</f>
        <v>0</v>
      </c>
      <c r="BC68" s="117">
        <f>MATCH(MIN(Таблица17[[#This Row],[1 класс вкл]:[6 класс вкл]]),Таблица17[[#This Row],[1 класс вкл]:[6 класс вкл]],0)</f>
        <v>6</v>
      </c>
      <c r="BD68" s="118">
        <v>54.322794303441853</v>
      </c>
      <c r="BE68" s="118">
        <v>110.7795521510116</v>
      </c>
      <c r="BF68" s="118">
        <v>94.882325818696216</v>
      </c>
      <c r="BG68" s="120">
        <v>184.51608979250494</v>
      </c>
      <c r="BH68" s="118">
        <v>422.27867955427348</v>
      </c>
      <c r="BI68" s="118">
        <v>39.831662850425914</v>
      </c>
      <c r="BJ68" s="147">
        <f>IF(Таблица17[[#This Row],[обуч выборка2]]-Таблица17[[#This Row],[Апосториорная вероятность вкл]]=0,1,0)</f>
        <v>0</v>
      </c>
      <c r="BK68" s="117">
        <f>MATCH(MAX(Таблица17[[#This Row],[1 класс вкл.]:[6 класс вкл.]]),Таблица17[[#This Row],[1 класс вкл.]:[6 класс вкл.]],0)</f>
        <v>6</v>
      </c>
      <c r="BL68" s="119">
        <v>2.3721279248998979E-3</v>
      </c>
      <c r="BM68" s="119">
        <v>1.0442365578269525E-15</v>
      </c>
      <c r="BN68" s="119">
        <v>1.8480671509989209E-12</v>
      </c>
      <c r="BO68" s="119">
        <v>2.5412839635806613E-32</v>
      </c>
      <c r="BP68" s="119">
        <v>0</v>
      </c>
      <c r="BQ68" s="119">
        <v>0.99762787207325099</v>
      </c>
      <c r="BR68" s="121" t="str">
        <f>RIGHT(Таблица17[[#This Row],[Класиф искл2]])</f>
        <v>5</v>
      </c>
      <c r="BS68" s="222">
        <v>5</v>
      </c>
      <c r="BT68" s="147">
        <f>IF(Таблица17[[#This Row],[обуч выборка2]]-Таблица17[[#This Row],[Класиф искл]]=0,1,0)</f>
        <v>0</v>
      </c>
      <c r="BU68" s="117" t="s">
        <v>212</v>
      </c>
      <c r="BV68" s="147">
        <f>IF(Таблица17[[#This Row],[обуч выборка2]]-Таблица17[[#This Row],[Расстояние Махаланобиса искл]]=0,1,0)</f>
        <v>0</v>
      </c>
      <c r="BW68" s="117">
        <f>MATCH(MIN(Таблица17[[#This Row],[1 класс искл]:[6 класс искл]]),Таблица17[[#This Row],[1 класс искл]:[6 класс искл]],0)</f>
        <v>1</v>
      </c>
      <c r="BX68" s="120">
        <v>31.025179108600831</v>
      </c>
      <c r="BY68" s="120">
        <v>78.504621222593698</v>
      </c>
      <c r="BZ68" s="120">
        <v>60.269877004869656</v>
      </c>
      <c r="CA68" s="120">
        <v>129.49362147170831</v>
      </c>
      <c r="CB68" s="120">
        <v>376.85478539471848</v>
      </c>
      <c r="CC68" s="120">
        <v>39.667511323556809</v>
      </c>
      <c r="CD68" s="147">
        <f>IF(Таблица17[[#This Row],[обуч выборка2]]-Таблица17[[#This Row],[Апосториорная вероятность искл]]=0,1,0)</f>
        <v>0</v>
      </c>
      <c r="CE68" s="117">
        <f>MATCH(MAX(Таблица17[[#This Row],[1 класс искл.]:[6 класс искл.]]),Таблица17[[#This Row],[1 класс искл.]:[6 класс искл.]],0)</f>
        <v>1</v>
      </c>
      <c r="CF68" s="120">
        <v>0.99603028323893716</v>
      </c>
      <c r="CG68" s="120">
        <v>3.9024079965836569E-11</v>
      </c>
      <c r="CH68" s="120">
        <v>2.2224760345931225E-7</v>
      </c>
      <c r="CI68" s="120">
        <v>8.2632702884295208E-23</v>
      </c>
      <c r="CJ68" s="120">
        <v>0</v>
      </c>
      <c r="CK68" s="120">
        <v>3.9694944744352138E-3</v>
      </c>
      <c r="CL68" s="198">
        <v>-0.91516875736297776</v>
      </c>
      <c r="CM68" s="198">
        <v>0.81195283894267822</v>
      </c>
      <c r="CN68" s="199">
        <v>1.0226556385021714</v>
      </c>
      <c r="CO68" s="192">
        <v>6</v>
      </c>
      <c r="CP68" s="195">
        <v>6</v>
      </c>
      <c r="CQ68" s="209">
        <v>-1.3698000000000001</v>
      </c>
      <c r="CR68" s="209">
        <v>-0.22654000000000002</v>
      </c>
      <c r="CS68" s="223">
        <v>2</v>
      </c>
      <c r="CT68" s="223">
        <v>5</v>
      </c>
      <c r="CU68" s="209">
        <v>-0.22654000000000002</v>
      </c>
      <c r="CV68" s="209">
        <v>-1.3698000000000001</v>
      </c>
      <c r="CW68" s="209">
        <v>3</v>
      </c>
      <c r="CX68" s="210">
        <v>2</v>
      </c>
      <c r="CY68" s="272">
        <v>2</v>
      </c>
      <c r="CZ68" s="238">
        <v>1</v>
      </c>
    </row>
    <row r="69" spans="1:104" x14ac:dyDescent="0.3">
      <c r="A69" s="57" t="s">
        <v>77</v>
      </c>
      <c r="B69" s="57">
        <v>5</v>
      </c>
      <c r="C69" s="57">
        <v>6</v>
      </c>
      <c r="D69" s="57">
        <v>1</v>
      </c>
      <c r="E69" s="58">
        <v>6</v>
      </c>
      <c r="F69" s="58">
        <v>-0.50287100400000007</v>
      </c>
      <c r="G69" s="58">
        <v>-0.81045186200000008</v>
      </c>
      <c r="H69" s="58">
        <v>0.23839430300000003</v>
      </c>
      <c r="I69" s="58">
        <v>-0.28588767100000012</v>
      </c>
      <c r="J69" s="58">
        <v>-0.34669701799999997</v>
      </c>
      <c r="K69" s="58">
        <v>2.1864515800000001E-3</v>
      </c>
      <c r="L69" s="58">
        <v>-0.60792642500000005</v>
      </c>
      <c r="M69" s="58">
        <v>0.22891605800000003</v>
      </c>
      <c r="N69" s="58">
        <v>-3.8181295600000003E-3</v>
      </c>
      <c r="O69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1.5904703525651664</v>
      </c>
      <c r="P69" s="114" t="s">
        <v>213</v>
      </c>
      <c r="Q69" s="114" t="str">
        <f>RIGHT(P69)</f>
        <v>1</v>
      </c>
      <c r="R69" s="121" t="str">
        <f>RIGHT(Таблица17[[#This Row],[Классиф ДА2]])</f>
        <v>1</v>
      </c>
      <c r="S69">
        <v>1</v>
      </c>
      <c r="T69" s="147">
        <f>IF(Таблица17[[#This Row],[обуч выборка2]]-Таблица17[[#This Row],[Классиф ДА]]=0,1,0)</f>
        <v>1</v>
      </c>
      <c r="U69" s="117" t="s">
        <v>213</v>
      </c>
      <c r="V69" s="147">
        <f>IF(Таблица17[[#This Row],[обуч выборка2]]-Таблица17[[#This Row],[расстояние Махаланобиса]]=0,1,0)</f>
        <v>1</v>
      </c>
      <c r="W69" s="117">
        <f>MATCH(MIN(Таблица17[[#This Row],[1 класс]:[6 класс]]),Таблица17[[#This Row],[1 класс]:[6 класс]],0)</f>
        <v>1</v>
      </c>
      <c r="X69" s="118">
        <v>4.193077380262741</v>
      </c>
      <c r="Y69" s="118">
        <v>41.971530880099337</v>
      </c>
      <c r="Z69" s="118">
        <v>24.783628583190261</v>
      </c>
      <c r="AA69" s="118">
        <v>216.52441052754438</v>
      </c>
      <c r="AB69" s="118">
        <v>312.22651605530984</v>
      </c>
      <c r="AC69" s="118">
        <v>122.28608982828148</v>
      </c>
      <c r="AD69" s="212">
        <v>4.193077380262741</v>
      </c>
      <c r="AE69" s="212">
        <v>41.971530880099337</v>
      </c>
      <c r="AF69" s="212">
        <v>24.783628583190261</v>
      </c>
      <c r="AG69" s="212">
        <v>216.52441052754438</v>
      </c>
      <c r="AH69" s="212">
        <v>312.22651605530984</v>
      </c>
      <c r="AI69" s="212">
        <v>122.28608982828148</v>
      </c>
      <c r="AJ69" s="147">
        <f>IF(Таблица17[[#This Row],[обуч выборка2]]-Таблица17[[#This Row],[Апосториорная вероятность]]=0,1,0)</f>
        <v>1</v>
      </c>
      <c r="AK69" s="117">
        <f>MATCH(MAX(Таблица17[[#This Row],[1 класс.]:[6 класс.]]),Таблица17[[#This Row],[1 класс.]:[6 класс.]],0)</f>
        <v>1</v>
      </c>
      <c r="AL69" s="120">
        <v>0.99998309909471828</v>
      </c>
      <c r="AM69" s="120">
        <v>5.0072088028528377E-9</v>
      </c>
      <c r="AN69" s="120">
        <v>1.6895898072967538E-5</v>
      </c>
      <c r="AO69" s="120">
        <v>0</v>
      </c>
      <c r="AP69" s="120">
        <v>0</v>
      </c>
      <c r="AQ69" s="120">
        <v>6.8161962486119401E-27</v>
      </c>
      <c r="AR69" s="216">
        <v>0.99998309909471828</v>
      </c>
      <c r="AS69" s="216">
        <v>5.0072088028528377E-9</v>
      </c>
      <c r="AT69" s="216">
        <v>1.6895898072967538E-5</v>
      </c>
      <c r="AU69" s="216">
        <v>0</v>
      </c>
      <c r="AV69" s="216">
        <v>0</v>
      </c>
      <c r="AW69" s="216">
        <v>6.8161962486119401E-27</v>
      </c>
      <c r="AX69" s="121" t="str">
        <f>RIGHT(Таблица17[[#This Row],[Класиф вкл2]])</f>
        <v>1</v>
      </c>
      <c r="AY69" s="221">
        <v>1</v>
      </c>
      <c r="AZ69" s="147">
        <f>IF(Таблица17[[#This Row],[обуч выборка2]]-Таблица17[[#This Row],[Класиф вкл]]=0,1,0)</f>
        <v>1</v>
      </c>
      <c r="BA69" s="117" t="s">
        <v>213</v>
      </c>
      <c r="BB69" s="147">
        <f>IF(Таблица17[[#This Row],[обуч выборка2]]-Таблица17[[#This Row],[Расстояние Махаланобиса вкл
]]=0,1,0)</f>
        <v>1</v>
      </c>
      <c r="BC69" s="117">
        <f>MATCH(MIN(Таблица17[[#This Row],[1 класс вкл]:[6 класс вкл]]),Таблица17[[#This Row],[1 класс вкл]:[6 класс вкл]],0)</f>
        <v>1</v>
      </c>
      <c r="BD69" s="118">
        <v>2.622331199487836</v>
      </c>
      <c r="BE69" s="118">
        <v>16.698176753145383</v>
      </c>
      <c r="BF69" s="118">
        <v>10.06792630034548</v>
      </c>
      <c r="BG69" s="120">
        <v>154.01042039134455</v>
      </c>
      <c r="BH69" s="118">
        <v>179.05617497875141</v>
      </c>
      <c r="BI69" s="118">
        <v>104.03606963485913</v>
      </c>
      <c r="BJ69" s="147">
        <f>IF(Таблица17[[#This Row],[обуч выборка2]]-Таблица17[[#This Row],[Апосториорная вероятность вкл]]=0,1,0)</f>
        <v>1</v>
      </c>
      <c r="BK69" s="117">
        <f>MATCH(MAX(Таблица17[[#This Row],[1 класс вкл.]:[6 класс вкл.]]),Таблица17[[#This Row],[1 класс вкл.]:[6 класс вкл.]],0)</f>
        <v>1</v>
      </c>
      <c r="BL69" s="119">
        <v>0.98737591305217975</v>
      </c>
      <c r="BM69" s="119">
        <v>6.9349205412729703E-4</v>
      </c>
      <c r="BN69" s="119">
        <v>1.1930594893692968E-2</v>
      </c>
      <c r="BO69" s="119">
        <v>0</v>
      </c>
      <c r="BP69" s="119">
        <v>0</v>
      </c>
      <c r="BQ69" s="123">
        <v>2.8176710334945237E-23</v>
      </c>
      <c r="BR69" s="121" t="str">
        <f>RIGHT(Таблица17[[#This Row],[Класиф искл2]])</f>
        <v>1</v>
      </c>
      <c r="BS69" s="222">
        <v>1</v>
      </c>
      <c r="BT69" s="147">
        <f>IF(Таблица17[[#This Row],[обуч выборка2]]-Таблица17[[#This Row],[Класиф искл]]=0,1,0)</f>
        <v>1</v>
      </c>
      <c r="BU69" s="117" t="s">
        <v>213</v>
      </c>
      <c r="BV69" s="147">
        <f>IF(Таблица17[[#This Row],[обуч выборка2]]-Таблица17[[#This Row],[Расстояние Махаланобиса искл]]=0,1,0)</f>
        <v>1</v>
      </c>
      <c r="BW69" s="117">
        <f>MATCH(MIN(Таблица17[[#This Row],[1 класс искл]:[6 класс искл]]),Таблица17[[#This Row],[1 класс искл]:[6 класс искл]],0)</f>
        <v>1</v>
      </c>
      <c r="BX69" s="120">
        <v>3.3326489993270614</v>
      </c>
      <c r="BY69" s="120">
        <v>28.161247897230758</v>
      </c>
      <c r="BZ69" s="120">
        <v>13.202296268793509</v>
      </c>
      <c r="CA69" s="120">
        <v>170.7023859857006</v>
      </c>
      <c r="CB69" s="120">
        <v>235.00177416239384</v>
      </c>
      <c r="CC69" s="120">
        <v>73.192028143942949</v>
      </c>
      <c r="CD69" s="147">
        <f>IF(Таблица17[[#This Row],[обуч выборка2]]-Таблица17[[#This Row],[Апосториорная вероятность искл]]=0,1,0)</f>
        <v>1</v>
      </c>
      <c r="CE69" s="117">
        <f>MATCH(MAX(Таблица17[[#This Row],[1 класс искл.]:[6 класс искл.]]),Таблица17[[#This Row],[1 класс искл.]:[6 класс искл.]],0)</f>
        <v>1</v>
      </c>
      <c r="CF69" s="120">
        <v>0.99641379446383604</v>
      </c>
      <c r="CG69" s="120">
        <v>3.2364430617537533E-6</v>
      </c>
      <c r="CH69" s="120">
        <v>3.5829690931019789E-3</v>
      </c>
      <c r="CI69" s="120">
        <v>0</v>
      </c>
      <c r="CJ69" s="120">
        <v>0</v>
      </c>
      <c r="CK69" s="120">
        <v>2.02203910441433E-16</v>
      </c>
      <c r="CL69" s="198">
        <v>-0.2674957311388067</v>
      </c>
      <c r="CM69" s="198">
        <v>-0.27727710951001838</v>
      </c>
      <c r="CN69" s="199">
        <v>5.8649491684174389E-2</v>
      </c>
      <c r="CO69" s="192">
        <v>5</v>
      </c>
      <c r="CP69" s="195">
        <v>5</v>
      </c>
      <c r="CQ69" s="209">
        <v>-0.20149000000000003</v>
      </c>
      <c r="CR69" s="209">
        <v>-0.30217000000000005</v>
      </c>
      <c r="CS69" s="223">
        <v>5</v>
      </c>
      <c r="CT69" s="223">
        <v>6</v>
      </c>
      <c r="CU69" s="209">
        <v>-0.30217000000000005</v>
      </c>
      <c r="CV69" s="209">
        <v>-0.20149000000000003</v>
      </c>
      <c r="CW69" s="209">
        <v>5</v>
      </c>
      <c r="CX69" s="210">
        <v>3</v>
      </c>
      <c r="CY69" s="239" t="s">
        <v>341</v>
      </c>
      <c r="CZ69" s="238">
        <v>5</v>
      </c>
    </row>
    <row r="70" spans="1:104" x14ac:dyDescent="0.3">
      <c r="A70" s="57" t="s">
        <v>78</v>
      </c>
      <c r="B70" s="57">
        <v>4</v>
      </c>
      <c r="C70" s="57">
        <v>6</v>
      </c>
      <c r="D70" s="57">
        <v>2</v>
      </c>
      <c r="E70" s="58">
        <v>6</v>
      </c>
      <c r="F70" s="58">
        <v>0.94646487899999998</v>
      </c>
      <c r="G70" s="58">
        <v>-5.20054114E-2</v>
      </c>
      <c r="H70" s="58">
        <v>-0.43541354400000004</v>
      </c>
      <c r="I70" s="58">
        <v>-0.67678780200000022</v>
      </c>
      <c r="J70" s="58">
        <v>0.95851339799999991</v>
      </c>
      <c r="K70" s="58">
        <v>1.04293741</v>
      </c>
      <c r="L70" s="58">
        <v>-0.55942575500000002</v>
      </c>
      <c r="M70" s="58">
        <v>-5.16409964E-2</v>
      </c>
      <c r="N70" s="58">
        <v>2.4487531200000009E-3</v>
      </c>
      <c r="O70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3.8682233524617287</v>
      </c>
      <c r="P70" s="114"/>
      <c r="Q70" s="114"/>
      <c r="R70" s="121" t="str">
        <f>RIGHT(Таблица17[[#This Row],[Классиф ДА2]])</f>
        <v>2</v>
      </c>
      <c r="S70">
        <v>2</v>
      </c>
      <c r="T70" s="147">
        <f>IF(Таблица17[[#This Row],[обуч выборка2]]-Таблица17[[#This Row],[Классиф ДА]]=0,1,0)</f>
        <v>0</v>
      </c>
      <c r="U70" s="117" t="s">
        <v>214</v>
      </c>
      <c r="V70" s="147">
        <f>IF(Таблица17[[#This Row],[обуч выборка2]]-Таблица17[[#This Row],[расстояние Махаланобиса]]=0,1,0)</f>
        <v>0</v>
      </c>
      <c r="W70" s="117">
        <f>MATCH(MIN(Таблица17[[#This Row],[1 класс]:[6 класс]]),Таблица17[[#This Row],[1 класс]:[6 класс]],0)</f>
        <v>2</v>
      </c>
      <c r="X70" s="118">
        <v>76.548565052615217</v>
      </c>
      <c r="Y70" s="118">
        <v>46.629464427535297</v>
      </c>
      <c r="Z70" s="118">
        <v>56.626302259543266</v>
      </c>
      <c r="AA70" s="118">
        <v>197.11729023212439</v>
      </c>
      <c r="AB70" s="118">
        <v>168.64178786286718</v>
      </c>
      <c r="AC70" s="118">
        <v>255.6664086509424</v>
      </c>
      <c r="AD70" s="212">
        <v>76.548565052615217</v>
      </c>
      <c r="AE70" s="212">
        <v>46.629464427535297</v>
      </c>
      <c r="AF70" s="212">
        <v>56.626302259543266</v>
      </c>
      <c r="AG70" s="212">
        <v>197.11729023212439</v>
      </c>
      <c r="AH70" s="212">
        <v>168.64178786286718</v>
      </c>
      <c r="AI70" s="212">
        <v>255.6664086509424</v>
      </c>
      <c r="AJ70" s="147">
        <f>IF(Таблица17[[#This Row],[обуч выборка2]]-Таблица17[[#This Row],[Апосториорная вероятность]]=0,1,0)</f>
        <v>0</v>
      </c>
      <c r="AK70" s="117">
        <f>MATCH(MAX(Таблица17[[#This Row],[1 класс.]:[6 класс.]]),Таблица17[[#This Row],[1 класс.]:[6 класс.]],0)</f>
        <v>2</v>
      </c>
      <c r="AL70" s="120">
        <v>3.9648954366026987E-7</v>
      </c>
      <c r="AM70" s="120">
        <v>0.99579944053952962</v>
      </c>
      <c r="AN70" s="120">
        <v>4.2001629709265869E-3</v>
      </c>
      <c r="AO70" s="120">
        <v>0</v>
      </c>
      <c r="AP70" s="120">
        <v>7.970260030680266E-28</v>
      </c>
      <c r="AQ70" s="120">
        <v>0</v>
      </c>
      <c r="AR70" s="216">
        <v>3.9648954366026987E-7</v>
      </c>
      <c r="AS70" s="216">
        <v>0.99579944053952962</v>
      </c>
      <c r="AT70" s="216">
        <v>4.2001629709265869E-3</v>
      </c>
      <c r="AU70" s="216">
        <v>0</v>
      </c>
      <c r="AV70" s="216">
        <v>7.970260030680266E-28</v>
      </c>
      <c r="AW70" s="216">
        <v>0</v>
      </c>
      <c r="AX70" s="121" t="str">
        <f>RIGHT(Таблица17[[#This Row],[Класиф вкл2]])</f>
        <v>2</v>
      </c>
      <c r="AY70" s="221">
        <v>2</v>
      </c>
      <c r="AZ70" s="147">
        <f>IF(Таблица17[[#This Row],[обуч выборка2]]-Таблица17[[#This Row],[Класиф вкл]]=0,1,0)</f>
        <v>0</v>
      </c>
      <c r="BA70" s="117" t="s">
        <v>214</v>
      </c>
      <c r="BB70" s="147">
        <f>IF(Таблица17[[#This Row],[обуч выборка2]]-Таблица17[[#This Row],[Расстояние Махаланобиса вкл
]]=0,1,0)</f>
        <v>0</v>
      </c>
      <c r="BC70" s="117">
        <f>MATCH(MIN(Таблица17[[#This Row],[1 класс вкл]:[6 класс вкл]]),Таблица17[[#This Row],[1 класс вкл]:[6 класс вкл]],0)</f>
        <v>2</v>
      </c>
      <c r="BD70" s="118">
        <v>72.035116064098048</v>
      </c>
      <c r="BE70" s="118">
        <v>42.744205209603265</v>
      </c>
      <c r="BF70" s="118">
        <v>54.610221536539164</v>
      </c>
      <c r="BG70" s="120">
        <v>136.09363726029713</v>
      </c>
      <c r="BH70" s="118">
        <v>94.267431401458921</v>
      </c>
      <c r="BI70" s="118">
        <v>239.70256752991858</v>
      </c>
      <c r="BJ70" s="147">
        <f>IF(Таблица17[[#This Row],[обуч выборка2]]-Таблица17[[#This Row],[Апосториорная вероятность вкл]]=0,1,0)</f>
        <v>0</v>
      </c>
      <c r="BK70" s="117">
        <f>MATCH(MAX(Таблица17[[#This Row],[1 класс вкл.]:[6 класс вкл.]]),Таблица17[[#This Row],[1 класс вкл.]:[6 класс вкл.]],0)</f>
        <v>2</v>
      </c>
      <c r="BL70" s="119">
        <v>5.4418987825710535E-7</v>
      </c>
      <c r="BM70" s="119">
        <v>0.99834563582747138</v>
      </c>
      <c r="BN70" s="119">
        <v>1.6538199810320119E-3</v>
      </c>
      <c r="BO70" s="119">
        <v>1.3385953692279064E-21</v>
      </c>
      <c r="BP70" s="119">
        <v>1.6184322353942818E-12</v>
      </c>
      <c r="BQ70" s="119">
        <v>0</v>
      </c>
      <c r="BR70" s="121" t="str">
        <f>RIGHT(Таблица17[[#This Row],[Класиф искл2]])</f>
        <v>2</v>
      </c>
      <c r="BS70" s="222">
        <v>2</v>
      </c>
      <c r="BT70" s="147">
        <f>IF(Таблица17[[#This Row],[обуч выборка2]]-Таблица17[[#This Row],[Класиф искл]]=0,1,0)</f>
        <v>0</v>
      </c>
      <c r="BU70" s="117" t="s">
        <v>214</v>
      </c>
      <c r="BV70" s="147">
        <f>IF(Таблица17[[#This Row],[обуч выборка2]]-Таблица17[[#This Row],[Расстояние Махаланобиса искл]]=0,1,0)</f>
        <v>0</v>
      </c>
      <c r="BW70" s="117">
        <f>MATCH(MIN(Таблица17[[#This Row],[1 класс искл]:[6 класс искл]]),Таблица17[[#This Row],[1 класс искл]:[6 класс искл]],0)</f>
        <v>2</v>
      </c>
      <c r="BX70" s="120">
        <v>24.487270426518684</v>
      </c>
      <c r="BY70" s="120">
        <v>12.449439114523651</v>
      </c>
      <c r="BZ70" s="120">
        <v>19.923605364922842</v>
      </c>
      <c r="CA70" s="120">
        <v>133.97761197755997</v>
      </c>
      <c r="CB70" s="120">
        <v>140.66227370116889</v>
      </c>
      <c r="CC70" s="120">
        <v>91.029552978484915</v>
      </c>
      <c r="CD70" s="147">
        <f>IF(Таблица17[[#This Row],[обуч выборка2]]-Таблица17[[#This Row],[Апосториорная вероятность искл]]=0,1,0)</f>
        <v>0</v>
      </c>
      <c r="CE70" s="117">
        <f>MATCH(MAX(Таблица17[[#This Row],[1 класс искл.]:[6 класс искл.]]),Таблица17[[#This Row],[1 класс искл.]:[6 класс искл.]],0)</f>
        <v>2</v>
      </c>
      <c r="CF70" s="120">
        <v>2.9868280080351576E-3</v>
      </c>
      <c r="CG70" s="120">
        <v>0.98238575991811661</v>
      </c>
      <c r="CH70" s="120">
        <v>1.4627412073848035E-2</v>
      </c>
      <c r="CI70" s="120">
        <v>1.0016468558896775E-27</v>
      </c>
      <c r="CJ70" s="120">
        <v>3.5412678951520281E-29</v>
      </c>
      <c r="CK70" s="120">
        <v>3.1831595477637628E-18</v>
      </c>
      <c r="CL70" s="198">
        <v>7.0736769437563504E-2</v>
      </c>
      <c r="CM70" s="198">
        <v>1.0526493771490244</v>
      </c>
      <c r="CN70" s="199">
        <v>0.4648151559732755</v>
      </c>
      <c r="CO70" s="192">
        <v>4</v>
      </c>
      <c r="CP70" s="195">
        <v>3</v>
      </c>
      <c r="CQ70" s="209">
        <v>-0.60492000000000012</v>
      </c>
      <c r="CR70" s="209">
        <v>0.82543</v>
      </c>
      <c r="CS70" s="223">
        <v>4</v>
      </c>
      <c r="CT70" s="223">
        <v>2</v>
      </c>
      <c r="CU70" s="209">
        <v>0.82543</v>
      </c>
      <c r="CV70" s="209">
        <v>-0.60492000000000012</v>
      </c>
      <c r="CW70" s="209">
        <v>6</v>
      </c>
      <c r="CX70" s="210">
        <v>5</v>
      </c>
      <c r="CY70" s="272">
        <v>2</v>
      </c>
      <c r="CZ70" s="238">
        <v>4</v>
      </c>
    </row>
    <row r="71" spans="1:104" x14ac:dyDescent="0.3">
      <c r="A71" s="57" t="s">
        <v>79</v>
      </c>
      <c r="B71" s="57">
        <v>2</v>
      </c>
      <c r="C71" s="57">
        <v>6</v>
      </c>
      <c r="D71" s="57">
        <v>2</v>
      </c>
      <c r="E71" s="58">
        <v>6</v>
      </c>
      <c r="F71" s="58">
        <v>1.2345316399999999</v>
      </c>
      <c r="G71" s="58">
        <v>0.53899182300000015</v>
      </c>
      <c r="H71" s="58">
        <v>0.33708705700000008</v>
      </c>
      <c r="I71" s="58">
        <v>-0.58823574299999992</v>
      </c>
      <c r="J71" s="58">
        <v>-0.40929865199999999</v>
      </c>
      <c r="K71" s="58">
        <v>-0.61001999200000012</v>
      </c>
      <c r="L71" s="58">
        <v>-0.72553474899999992</v>
      </c>
      <c r="M71" s="58">
        <v>-0.59117379399999992</v>
      </c>
      <c r="N71" s="58">
        <v>-0.25378588500000004</v>
      </c>
      <c r="O71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3.754173707707992</v>
      </c>
      <c r="P71" s="114"/>
      <c r="Q71" s="114"/>
      <c r="R71" s="121" t="str">
        <f>RIGHT(Таблица17[[#This Row],[Классиф ДА2]])</f>
        <v>2</v>
      </c>
      <c r="S71">
        <v>2</v>
      </c>
      <c r="T71" s="147">
        <f>IF(Таблица17[[#This Row],[обуч выборка2]]-Таблица17[[#This Row],[Классиф ДА]]=0,1,0)</f>
        <v>0</v>
      </c>
      <c r="U71" s="117" t="s">
        <v>214</v>
      </c>
      <c r="V71" s="147">
        <f>IF(Таблица17[[#This Row],[обуч выборка2]]-Таблица17[[#This Row],[расстояние Махаланобиса]]=0,1,0)</f>
        <v>0</v>
      </c>
      <c r="W71" s="117">
        <f>MATCH(MIN(Таблица17[[#This Row],[1 класс]:[6 класс]]),Таблица17[[#This Row],[1 класс]:[6 класс]],0)</f>
        <v>2</v>
      </c>
      <c r="X71" s="118">
        <v>101.71572422230989</v>
      </c>
      <c r="Y71" s="118">
        <v>24.772805428631042</v>
      </c>
      <c r="Z71" s="118">
        <v>34.286233284700856</v>
      </c>
      <c r="AA71" s="118">
        <v>367.35976601739452</v>
      </c>
      <c r="AB71" s="118">
        <v>128.56129665734937</v>
      </c>
      <c r="AC71" s="118">
        <v>237.73285289766591</v>
      </c>
      <c r="AD71" s="212">
        <v>101.71572422230989</v>
      </c>
      <c r="AE71" s="212">
        <v>24.772805428631042</v>
      </c>
      <c r="AF71" s="212">
        <v>34.286233284700856</v>
      </c>
      <c r="AG71" s="212">
        <v>367.35976601739452</v>
      </c>
      <c r="AH71" s="212">
        <v>128.56129665734937</v>
      </c>
      <c r="AI71" s="212">
        <v>237.73285289766591</v>
      </c>
      <c r="AJ71" s="147">
        <f>IF(Таблица17[[#This Row],[обуч выборка2]]-Таблица17[[#This Row],[Апосториорная вероятность]]=0,1,0)</f>
        <v>0</v>
      </c>
      <c r="AK71" s="117">
        <f>MATCH(MAX(Таблица17[[#This Row],[1 класс.]:[6 класс.]]),Таблица17[[#This Row],[1 класс.]:[6 класс.]],0)</f>
        <v>2</v>
      </c>
      <c r="AL71" s="120">
        <v>2.4357969234549154E-17</v>
      </c>
      <c r="AM71" s="120">
        <v>0.99465756806443961</v>
      </c>
      <c r="AN71" s="120">
        <v>5.3424319355603262E-3</v>
      </c>
      <c r="AO71" s="120">
        <v>0</v>
      </c>
      <c r="AP71" s="120">
        <v>7.2148795855082023E-24</v>
      </c>
      <c r="AQ71" s="120">
        <v>0</v>
      </c>
      <c r="AR71" s="216">
        <v>2.4357969234549154E-17</v>
      </c>
      <c r="AS71" s="216">
        <v>0.99465756806443961</v>
      </c>
      <c r="AT71" s="216">
        <v>5.3424319355603262E-3</v>
      </c>
      <c r="AU71" s="216">
        <v>0</v>
      </c>
      <c r="AV71" s="216">
        <v>7.2148795855082023E-24</v>
      </c>
      <c r="AW71" s="216">
        <v>0</v>
      </c>
      <c r="AX71" s="121" t="str">
        <f>RIGHT(Таблица17[[#This Row],[Класиф вкл2]])</f>
        <v>2</v>
      </c>
      <c r="AY71" s="221">
        <v>2</v>
      </c>
      <c r="AZ71" s="147">
        <f>IF(Таблица17[[#This Row],[обуч выборка2]]-Таблица17[[#This Row],[Класиф вкл]]=0,1,0)</f>
        <v>0</v>
      </c>
      <c r="BA71" s="117" t="s">
        <v>214</v>
      </c>
      <c r="BB71" s="147">
        <f>IF(Таблица17[[#This Row],[обуч выборка2]]-Таблица17[[#This Row],[Расстояние Махаланобиса вкл
]]=0,1,0)</f>
        <v>0</v>
      </c>
      <c r="BC71" s="117">
        <f>MATCH(MIN(Таблица17[[#This Row],[1 класс вкл]:[6 класс вкл]]),Таблица17[[#This Row],[1 класс вкл]:[6 класс вкл]],0)</f>
        <v>2</v>
      </c>
      <c r="BD71" s="118">
        <v>42.253619763330917</v>
      </c>
      <c r="BE71" s="118">
        <v>8.1904493161169274</v>
      </c>
      <c r="BF71" s="118">
        <v>11.152011701526749</v>
      </c>
      <c r="BG71" s="120">
        <v>251.17313015596073</v>
      </c>
      <c r="BH71" s="118">
        <v>94.760596548442621</v>
      </c>
      <c r="BI71" s="118">
        <v>161.61131856140327</v>
      </c>
      <c r="BJ71" s="147">
        <f>IF(Таблица17[[#This Row],[обуч выборка2]]-Таблица17[[#This Row],[Апосториорная вероятность вкл]]=0,1,0)</f>
        <v>0</v>
      </c>
      <c r="BK71" s="117">
        <f>MATCH(MAX(Таблица17[[#This Row],[1 класс вкл.]:[6 класс вкл.]]),Таблица17[[#This Row],[1 класс вкл.]:[6 класс вкл.]],0)</f>
        <v>2</v>
      </c>
      <c r="BL71" s="119">
        <v>4.3899404905952709E-8</v>
      </c>
      <c r="BM71" s="119">
        <v>0.87553215500787696</v>
      </c>
      <c r="BN71" s="119">
        <v>0.1244678010927182</v>
      </c>
      <c r="BO71" s="119">
        <v>0</v>
      </c>
      <c r="BP71" s="119">
        <v>3.4813163447882805E-20</v>
      </c>
      <c r="BQ71" s="119">
        <v>0</v>
      </c>
      <c r="BR71" s="121" t="str">
        <f>RIGHT(Таблица17[[#This Row],[Класиф искл2]])</f>
        <v>2</v>
      </c>
      <c r="BS71" s="222">
        <v>2</v>
      </c>
      <c r="BT71" s="147">
        <f>IF(Таблица17[[#This Row],[обуч выборка2]]-Таблица17[[#This Row],[Класиф искл]]=0,1,0)</f>
        <v>0</v>
      </c>
      <c r="BU71" s="117" t="s">
        <v>214</v>
      </c>
      <c r="BV71" s="147">
        <f>IF(Таблица17[[#This Row],[обуч выборка2]]-Таблица17[[#This Row],[Расстояние Махаланобиса искл]]=0,1,0)</f>
        <v>0</v>
      </c>
      <c r="BW71" s="117">
        <f>MATCH(MIN(Таблица17[[#This Row],[1 класс искл]:[6 класс искл]]),Таблица17[[#This Row],[1 класс искл]:[6 класс искл]],0)</f>
        <v>2</v>
      </c>
      <c r="BX71" s="120">
        <v>48.280978671904506</v>
      </c>
      <c r="BY71" s="120">
        <v>8.2641453020266091</v>
      </c>
      <c r="BZ71" s="120">
        <v>14.661640168345354</v>
      </c>
      <c r="CA71" s="120">
        <v>248.33361089400131</v>
      </c>
      <c r="CB71" s="120">
        <v>105.48353551984314</v>
      </c>
      <c r="CC71" s="120">
        <v>124.0271484519521</v>
      </c>
      <c r="CD71" s="147">
        <f>IF(Таблица17[[#This Row],[обуч выборка2]]-Таблица17[[#This Row],[Апосториорная вероятность искл]]=0,1,0)</f>
        <v>0</v>
      </c>
      <c r="CE71" s="117">
        <f>MATCH(MAX(Таблица17[[#This Row],[1 класс искл.]:[6 класс искл.]]),Таблица17[[#This Row],[1 класс искл.]:[6 класс искл.]],0)</f>
        <v>2</v>
      </c>
      <c r="CF71" s="120">
        <v>2.4912990981308551E-9</v>
      </c>
      <c r="CG71" s="120">
        <v>0.97512617827721182</v>
      </c>
      <c r="CH71" s="120">
        <v>2.4873819231489128E-2</v>
      </c>
      <c r="CI71" s="120">
        <v>0</v>
      </c>
      <c r="CJ71" s="120">
        <v>1.8883325162311475E-22</v>
      </c>
      <c r="CK71" s="120">
        <v>2.6636388778604451E-26</v>
      </c>
      <c r="CL71" s="198">
        <v>-0.7251936889102516</v>
      </c>
      <c r="CM71" s="198">
        <v>0.3238663271064936</v>
      </c>
      <c r="CN71" s="199">
        <v>0.74157074849869009</v>
      </c>
      <c r="CO71" s="192">
        <v>6</v>
      </c>
      <c r="CP71" s="195">
        <v>4</v>
      </c>
      <c r="CQ71" s="209">
        <v>-0.65169000000000021</v>
      </c>
      <c r="CR71" s="209">
        <v>-0.25786000000000003</v>
      </c>
      <c r="CS71" s="223">
        <v>2</v>
      </c>
      <c r="CT71" s="223">
        <v>1</v>
      </c>
      <c r="CU71" s="209">
        <v>-0.25786000000000003</v>
      </c>
      <c r="CV71" s="209">
        <v>-0.65169000000000021</v>
      </c>
      <c r="CW71" s="209">
        <v>5</v>
      </c>
      <c r="CX71" s="210">
        <v>1</v>
      </c>
      <c r="CY71" s="272">
        <v>2</v>
      </c>
      <c r="CZ71" s="238">
        <v>1</v>
      </c>
    </row>
    <row r="72" spans="1:104" x14ac:dyDescent="0.3">
      <c r="A72" s="57" t="s">
        <v>80</v>
      </c>
      <c r="B72" s="57">
        <v>5</v>
      </c>
      <c r="C72" s="57">
        <v>6</v>
      </c>
      <c r="D72" s="57">
        <v>1</v>
      </c>
      <c r="E72" s="58">
        <v>6</v>
      </c>
      <c r="F72" s="58">
        <v>-0.51412361200000012</v>
      </c>
      <c r="G72" s="58">
        <v>-0.77597702300000004</v>
      </c>
      <c r="H72" s="58">
        <v>0.14817077899999997</v>
      </c>
      <c r="I72" s="58">
        <v>-8.2986284800000004E-2</v>
      </c>
      <c r="J72" s="58">
        <v>-0.38035381000000007</v>
      </c>
      <c r="K72" s="58">
        <v>-0.42635805900000007</v>
      </c>
      <c r="L72" s="58">
        <v>-0.43233991800000005</v>
      </c>
      <c r="M72" s="58">
        <v>-0.52642985800000008</v>
      </c>
      <c r="N72" s="58">
        <v>-0.14340788700000004</v>
      </c>
      <c r="O72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1.7063669699221071</v>
      </c>
      <c r="P72" s="114" t="s">
        <v>213</v>
      </c>
      <c r="Q72" s="114" t="str">
        <f>RIGHT(P72)</f>
        <v>1</v>
      </c>
      <c r="R72" s="121" t="str">
        <f>RIGHT(Таблица17[[#This Row],[Классиф ДА2]])</f>
        <v>1</v>
      </c>
      <c r="S72">
        <v>1</v>
      </c>
      <c r="T72" s="147">
        <f>IF(Таблица17[[#This Row],[обуч выборка2]]-Таблица17[[#This Row],[Классиф ДА]]=0,1,0)</f>
        <v>1</v>
      </c>
      <c r="U72" s="117" t="s">
        <v>213</v>
      </c>
      <c r="V72" s="147">
        <f>IF(Таблица17[[#This Row],[обуч выборка2]]-Таблица17[[#This Row],[расстояние Махаланобиса]]=0,1,0)</f>
        <v>1</v>
      </c>
      <c r="W72" s="117">
        <f>MATCH(MIN(Таблица17[[#This Row],[1 класс]:[6 класс]]),Таблица17[[#This Row],[1 класс]:[6 класс]],0)</f>
        <v>1</v>
      </c>
      <c r="X72" s="118">
        <v>6.8185891436913524</v>
      </c>
      <c r="Y72" s="118">
        <v>27.529707838715769</v>
      </c>
      <c r="Z72" s="118">
        <v>13.46913543344375</v>
      </c>
      <c r="AA72" s="118">
        <v>261.96383520196724</v>
      </c>
      <c r="AB72" s="118">
        <v>291.50088601335818</v>
      </c>
      <c r="AC72" s="118">
        <v>104.99770680871841</v>
      </c>
      <c r="AD72" s="212">
        <v>6.8185891436913524</v>
      </c>
      <c r="AE72" s="212">
        <v>27.529707838715769</v>
      </c>
      <c r="AF72" s="212">
        <v>13.46913543344375</v>
      </c>
      <c r="AG72" s="212">
        <v>261.96383520196724</v>
      </c>
      <c r="AH72" s="212">
        <v>291.50088601335818</v>
      </c>
      <c r="AI72" s="212">
        <v>104.99770680871841</v>
      </c>
      <c r="AJ72" s="147">
        <f>IF(Таблица17[[#This Row],[обуч выборка2]]-Таблица17[[#This Row],[Апосториорная вероятность]]=0,1,0)</f>
        <v>1</v>
      </c>
      <c r="AK72" s="117">
        <f>MATCH(MAX(Таблица17[[#This Row],[1 класс.]:[6 класс.]]),Таблица17[[#This Row],[1 класс.]:[6 класс.]],0)</f>
        <v>1</v>
      </c>
      <c r="AL72" s="120">
        <v>0.98231170996041683</v>
      </c>
      <c r="AM72" s="120">
        <v>2.5002131012287155E-5</v>
      </c>
      <c r="AN72" s="120">
        <v>1.7663287908570895E-2</v>
      </c>
      <c r="AO72" s="120">
        <v>0</v>
      </c>
      <c r="AP72" s="120">
        <v>0</v>
      </c>
      <c r="AQ72" s="120">
        <v>1.4126873488805046E-22</v>
      </c>
      <c r="AR72" s="216">
        <v>0.98231170996041683</v>
      </c>
      <c r="AS72" s="216">
        <v>2.5002131012287155E-5</v>
      </c>
      <c r="AT72" s="216">
        <v>1.7663287908570895E-2</v>
      </c>
      <c r="AU72" s="216">
        <v>0</v>
      </c>
      <c r="AV72" s="216">
        <v>0</v>
      </c>
      <c r="AW72" s="216">
        <v>1.4126873488805046E-22</v>
      </c>
      <c r="AX72" s="121" t="str">
        <f>RIGHT(Таблица17[[#This Row],[Класиф вкл2]])</f>
        <v>1</v>
      </c>
      <c r="AY72" s="221">
        <v>1</v>
      </c>
      <c r="AZ72" s="147">
        <f>IF(Таблица17[[#This Row],[обуч выборка2]]-Таблица17[[#This Row],[Класиф вкл]]=0,1,0)</f>
        <v>1</v>
      </c>
      <c r="BA72" s="117" t="s">
        <v>213</v>
      </c>
      <c r="BB72" s="147">
        <f>IF(Таблица17[[#This Row],[обуч выборка2]]-Таблица17[[#This Row],[Расстояние Махаланобиса вкл
]]=0,1,0)</f>
        <v>1</v>
      </c>
      <c r="BC72" s="117">
        <f>MATCH(MIN(Таблица17[[#This Row],[1 класс вкл]:[6 класс вкл]]),Таблица17[[#This Row],[1 класс вкл]:[6 класс вкл]],0)</f>
        <v>1</v>
      </c>
      <c r="BD72" s="118">
        <v>2.4774412894493398</v>
      </c>
      <c r="BE72" s="118">
        <v>15.202904477194219</v>
      </c>
      <c r="BF72" s="118">
        <v>9.9525855096082729</v>
      </c>
      <c r="BG72" s="120">
        <v>180.02683617521251</v>
      </c>
      <c r="BH72" s="118">
        <v>185.89915092241489</v>
      </c>
      <c r="BI72" s="118">
        <v>89.087147723191819</v>
      </c>
      <c r="BJ72" s="147">
        <f>IF(Таблица17[[#This Row],[обуч выборка2]]-Таблица17[[#This Row],[Апосториорная вероятность вкл]]=0,1,0)</f>
        <v>1</v>
      </c>
      <c r="BK72" s="117">
        <f>MATCH(MAX(Таблица17[[#This Row],[1 класс вкл.]:[6 класс вкл.]]),Таблица17[[#This Row],[1 класс вкл.]:[6 класс вкл.]],0)</f>
        <v>1</v>
      </c>
      <c r="BL72" s="119">
        <v>0.98688855185065216</v>
      </c>
      <c r="BM72" s="119">
        <v>1.3616292651509705E-3</v>
      </c>
      <c r="BN72" s="119">
        <v>1.1749818884196914E-2</v>
      </c>
      <c r="BO72" s="119">
        <v>0</v>
      </c>
      <c r="BP72" s="119">
        <v>0</v>
      </c>
      <c r="BQ72" s="123">
        <v>4.6166885161840407E-20</v>
      </c>
      <c r="BR72" s="121" t="str">
        <f>RIGHT(Таблица17[[#This Row],[Класиф искл2]])</f>
        <v>1</v>
      </c>
      <c r="BS72" s="222">
        <v>1</v>
      </c>
      <c r="BT72" s="147">
        <f>IF(Таблица17[[#This Row],[обуч выборка2]]-Таблица17[[#This Row],[Класиф искл]]=0,1,0)</f>
        <v>1</v>
      </c>
      <c r="BU72" s="117" t="s">
        <v>213</v>
      </c>
      <c r="BV72" s="147">
        <f>IF(Таблица17[[#This Row],[обуч выборка2]]-Таблица17[[#This Row],[Расстояние Махаланобиса искл]]=0,1,0)</f>
        <v>1</v>
      </c>
      <c r="BW72" s="117">
        <f>MATCH(MIN(Таблица17[[#This Row],[1 класс искл]:[6 класс искл]]),Таблица17[[#This Row],[1 класс искл]:[6 класс искл]],0)</f>
        <v>1</v>
      </c>
      <c r="BX72" s="120">
        <v>2.8863873524674193</v>
      </c>
      <c r="BY72" s="120">
        <v>23.213009476273658</v>
      </c>
      <c r="BZ72" s="120">
        <v>10.790639282384875</v>
      </c>
      <c r="CA72" s="120">
        <v>189.26084698038403</v>
      </c>
      <c r="CB72" s="120">
        <v>229.63249889659247</v>
      </c>
      <c r="CC72" s="120">
        <v>64.936030147087763</v>
      </c>
      <c r="CD72" s="147">
        <f>IF(Таблица17[[#This Row],[обуч выборка2]]-Таблица17[[#This Row],[Апосториорная вероятность искл]]=0,1,0)</f>
        <v>1</v>
      </c>
      <c r="CE72" s="117">
        <f>MATCH(MAX(Таблица17[[#This Row],[1 класс искл.]:[6 класс искл.]]),Таблица17[[#This Row],[1 класс искл.]:[6 класс искл.]],0)</f>
        <v>1</v>
      </c>
      <c r="CF72" s="120">
        <v>0.99045424688271422</v>
      </c>
      <c r="CG72" s="120">
        <v>3.0553044559346837E-5</v>
      </c>
      <c r="CH72" s="120">
        <v>9.5152000727164645E-3</v>
      </c>
      <c r="CI72" s="120">
        <v>0</v>
      </c>
      <c r="CJ72" s="120">
        <v>0</v>
      </c>
      <c r="CK72" s="120">
        <v>9.9780790059630793E-15</v>
      </c>
      <c r="CL72" s="198">
        <v>-0.12413653824004578</v>
      </c>
      <c r="CM72" s="198">
        <v>-0.52790350300205502</v>
      </c>
      <c r="CN72" s="199">
        <v>0.51309484363232261</v>
      </c>
      <c r="CO72" s="192">
        <v>5</v>
      </c>
      <c r="CP72" s="195">
        <v>5</v>
      </c>
      <c r="CQ72" s="209">
        <v>2.5940000000000001E-2</v>
      </c>
      <c r="CR72" s="209">
        <v>-0.40831000000000006</v>
      </c>
      <c r="CS72" s="223">
        <v>5</v>
      </c>
      <c r="CT72" s="223">
        <v>6</v>
      </c>
      <c r="CU72" s="209">
        <v>-0.40831000000000006</v>
      </c>
      <c r="CV72" s="209">
        <v>2.5940000000000001E-2</v>
      </c>
      <c r="CW72" s="209">
        <v>5</v>
      </c>
      <c r="CX72" s="210">
        <v>3</v>
      </c>
      <c r="CY72" s="239" t="s">
        <v>339</v>
      </c>
      <c r="CZ72" s="238">
        <v>5</v>
      </c>
    </row>
    <row r="73" spans="1:104" x14ac:dyDescent="0.3">
      <c r="A73" s="57" t="s">
        <v>81</v>
      </c>
      <c r="B73" s="57">
        <v>5</v>
      </c>
      <c r="C73" s="57">
        <v>6</v>
      </c>
      <c r="D73" s="57">
        <v>1</v>
      </c>
      <c r="E73" s="58">
        <v>6</v>
      </c>
      <c r="F73" s="58">
        <v>-1.30293142</v>
      </c>
      <c r="G73" s="58">
        <v>-1.1207254099999999</v>
      </c>
      <c r="H73" s="58">
        <v>0.13331336800000002</v>
      </c>
      <c r="I73" s="58">
        <v>8.147568459999999E-3</v>
      </c>
      <c r="J73" s="58">
        <v>-0.24707291200000001</v>
      </c>
      <c r="K73" s="58">
        <v>-5.9034192800000003E-2</v>
      </c>
      <c r="L73" s="58">
        <v>9.4559605099999985E-2</v>
      </c>
      <c r="M73" s="58">
        <v>5.62655632E-2</v>
      </c>
      <c r="N73" s="58">
        <v>0.23826548400000006</v>
      </c>
      <c r="O73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3.1049024007358565</v>
      </c>
      <c r="P73" s="114" t="s">
        <v>213</v>
      </c>
      <c r="Q73" s="114" t="str">
        <f>RIGHT(P73)</f>
        <v>1</v>
      </c>
      <c r="R73" s="121" t="str">
        <f>RIGHT(Таблица17[[#This Row],[Классиф ДА2]])</f>
        <v>1</v>
      </c>
      <c r="S73">
        <v>1</v>
      </c>
      <c r="T73" s="147">
        <f>IF(Таблица17[[#This Row],[обуч выборка2]]-Таблица17[[#This Row],[Классиф ДА]]=0,1,0)</f>
        <v>1</v>
      </c>
      <c r="U73" s="117" t="s">
        <v>213</v>
      </c>
      <c r="V73" s="147">
        <f>IF(Таблица17[[#This Row],[обуч выборка2]]-Таблица17[[#This Row],[расстояние Махаланобиса]]=0,1,0)</f>
        <v>1</v>
      </c>
      <c r="W73" s="117">
        <f>MATCH(MIN(Таблица17[[#This Row],[1 класс]:[6 класс]]),Таблица17[[#This Row],[1 класс]:[6 класс]],0)</f>
        <v>1</v>
      </c>
      <c r="X73" s="118">
        <v>9.3097727308054985</v>
      </c>
      <c r="Y73" s="118">
        <v>63.390184987392345</v>
      </c>
      <c r="Z73" s="118">
        <v>42.785366452212159</v>
      </c>
      <c r="AA73" s="118">
        <v>223.42222025980968</v>
      </c>
      <c r="AB73" s="118">
        <v>349.10986669930276</v>
      </c>
      <c r="AC73" s="118">
        <v>92.180777989159168</v>
      </c>
      <c r="AD73" s="212">
        <v>9.3097727308054985</v>
      </c>
      <c r="AE73" s="212">
        <v>63.390184987392345</v>
      </c>
      <c r="AF73" s="212">
        <v>42.785366452212159</v>
      </c>
      <c r="AG73" s="212">
        <v>223.42222025980968</v>
      </c>
      <c r="AH73" s="212">
        <v>349.10986669930276</v>
      </c>
      <c r="AI73" s="212">
        <v>92.180777989159168</v>
      </c>
      <c r="AJ73" s="147">
        <f>IF(Таблица17[[#This Row],[обуч выборка2]]-Таблица17[[#This Row],[Апосториорная вероятность]]=0,1,0)</f>
        <v>1</v>
      </c>
      <c r="AK73" s="117">
        <f>MATCH(MAX(Таблица17[[#This Row],[1 класс.]:[6 класс.]]),Таблица17[[#This Row],[1 класс.]:[6 класс.]],0)</f>
        <v>1</v>
      </c>
      <c r="AL73" s="120">
        <v>0.99999997309329669</v>
      </c>
      <c r="AM73" s="120">
        <v>1.4443673554744563E-12</v>
      </c>
      <c r="AN73" s="120">
        <v>2.6905258984338458E-8</v>
      </c>
      <c r="AO73" s="120">
        <v>0</v>
      </c>
      <c r="AP73" s="120">
        <v>0</v>
      </c>
      <c r="AQ73" s="120">
        <v>3.0332701849128357E-19</v>
      </c>
      <c r="AR73" s="216">
        <v>0.99999997309329669</v>
      </c>
      <c r="AS73" s="216">
        <v>1.4443673554744563E-12</v>
      </c>
      <c r="AT73" s="216">
        <v>2.6905258984338458E-8</v>
      </c>
      <c r="AU73" s="216">
        <v>0</v>
      </c>
      <c r="AV73" s="216">
        <v>0</v>
      </c>
      <c r="AW73" s="216">
        <v>3.0332701849128357E-19</v>
      </c>
      <c r="AX73" s="121" t="str">
        <f>RIGHT(Таблица17[[#This Row],[Класиф вкл2]])</f>
        <v>1</v>
      </c>
      <c r="AY73" s="221">
        <v>1</v>
      </c>
      <c r="AZ73" s="147">
        <f>IF(Таблица17[[#This Row],[обуч выборка2]]-Таблица17[[#This Row],[Класиф вкл]]=0,1,0)</f>
        <v>1</v>
      </c>
      <c r="BA73" s="117" t="s">
        <v>213</v>
      </c>
      <c r="BB73" s="147">
        <f>IF(Таблица17[[#This Row],[обуч выборка2]]-Таблица17[[#This Row],[Расстояние Махаланобиса вкл
]]=0,1,0)</f>
        <v>1</v>
      </c>
      <c r="BC73" s="117">
        <f>MATCH(MIN(Таблица17[[#This Row],[1 класс вкл]:[6 класс вкл]]),Таблица17[[#This Row],[1 класс вкл]:[6 класс вкл]],0)</f>
        <v>1</v>
      </c>
      <c r="BD73" s="118">
        <v>5.4974120883769739</v>
      </c>
      <c r="BE73" s="118">
        <v>28.256136673255376</v>
      </c>
      <c r="BF73" s="118">
        <v>21.445110670416923</v>
      </c>
      <c r="BG73" s="120">
        <v>144.75991101585277</v>
      </c>
      <c r="BH73" s="118">
        <v>191.25559682441798</v>
      </c>
      <c r="BI73" s="118">
        <v>76.935732979789819</v>
      </c>
      <c r="BJ73" s="147">
        <f>IF(Таблица17[[#This Row],[обуч выборка2]]-Таблица17[[#This Row],[Апосториорная вероятность вкл]]=0,1,0)</f>
        <v>1</v>
      </c>
      <c r="BK73" s="117">
        <f>MATCH(MAX(Таблица17[[#This Row],[1 класс вкл.]:[6 класс вкл.]]),Таблица17[[#This Row],[1 класс вкл.]:[6 класс вкл.]],0)</f>
        <v>1</v>
      </c>
      <c r="BL73" s="119">
        <v>0.99981871426048907</v>
      </c>
      <c r="BM73" s="119">
        <v>9.141490184325904E-6</v>
      </c>
      <c r="BN73" s="119">
        <v>1.7214424932649979E-4</v>
      </c>
      <c r="BO73" s="119">
        <v>1.1494334909903666E-31</v>
      </c>
      <c r="BP73" s="119">
        <v>0</v>
      </c>
      <c r="BQ73" s="123">
        <v>9.2131520025412442E-17</v>
      </c>
      <c r="BR73" s="121" t="str">
        <f>RIGHT(Таблица17[[#This Row],[Класиф искл2]])</f>
        <v>1</v>
      </c>
      <c r="BS73" s="222">
        <v>1</v>
      </c>
      <c r="BT73" s="147">
        <f>IF(Таблица17[[#This Row],[обуч выборка2]]-Таблица17[[#This Row],[Класиф искл]]=0,1,0)</f>
        <v>1</v>
      </c>
      <c r="BU73" s="117" t="s">
        <v>213</v>
      </c>
      <c r="BV73" s="147">
        <f>IF(Таблица17[[#This Row],[обуч выборка2]]-Таблица17[[#This Row],[Расстояние Махаланобиса искл]]=0,1,0)</f>
        <v>1</v>
      </c>
      <c r="BW73" s="117">
        <f>MATCH(MIN(Таблица17[[#This Row],[1 класс искл]:[6 класс искл]]),Таблица17[[#This Row],[1 класс искл]:[6 класс искл]],0)</f>
        <v>1</v>
      </c>
      <c r="BX73" s="120">
        <v>8.1218833538895243</v>
      </c>
      <c r="BY73" s="120">
        <v>45.558018679831399</v>
      </c>
      <c r="BZ73" s="120">
        <v>28.005608846635766</v>
      </c>
      <c r="CA73" s="120">
        <v>170.0190475699703</v>
      </c>
      <c r="CB73" s="120">
        <v>261.77324740157297</v>
      </c>
      <c r="CC73" s="120">
        <v>47.77640895698525</v>
      </c>
      <c r="CD73" s="147">
        <f>IF(Таблица17[[#This Row],[обуч выборка2]]-Таблица17[[#This Row],[Апосториорная вероятность искл]]=0,1,0)</f>
        <v>1</v>
      </c>
      <c r="CE73" s="117">
        <f>MATCH(MAX(Таблица17[[#This Row],[1 класс искл.]:[6 класс искл.]]),Таблица17[[#This Row],[1 класс искл.]:[6 класс искл.]],0)</f>
        <v>1</v>
      </c>
      <c r="CF73" s="120">
        <v>0.99997593510702576</v>
      </c>
      <c r="CG73" s="120">
        <v>5.9419095660526149E-9</v>
      </c>
      <c r="CH73" s="120">
        <v>2.4058216144701904E-5</v>
      </c>
      <c r="CI73" s="120">
        <v>0</v>
      </c>
      <c r="CJ73" s="120">
        <v>0</v>
      </c>
      <c r="CK73" s="120">
        <v>7.3491984943010258E-10</v>
      </c>
      <c r="CL73" s="198">
        <v>0.22775094727323869</v>
      </c>
      <c r="CM73" s="198">
        <v>-0.69642572319985852</v>
      </c>
      <c r="CN73" s="199">
        <v>-0.14756256807009069</v>
      </c>
      <c r="CO73" s="192">
        <v>5</v>
      </c>
      <c r="CP73" s="195">
        <v>5</v>
      </c>
      <c r="CQ73" s="209">
        <v>0.28377000000000002</v>
      </c>
      <c r="CR73" s="209">
        <v>-0.29338000000000009</v>
      </c>
      <c r="CS73" s="223">
        <v>5</v>
      </c>
      <c r="CT73" s="223">
        <v>6</v>
      </c>
      <c r="CU73" s="209">
        <v>-0.29338000000000009</v>
      </c>
      <c r="CV73" s="209">
        <v>0.28377000000000002</v>
      </c>
      <c r="CW73" s="209">
        <v>1</v>
      </c>
      <c r="CX73" s="210">
        <v>3</v>
      </c>
      <c r="CY73" s="239" t="s">
        <v>341</v>
      </c>
      <c r="CZ73" s="238">
        <v>5</v>
      </c>
    </row>
    <row r="74" spans="1:104" x14ac:dyDescent="0.3">
      <c r="A74" s="57" t="s">
        <v>82</v>
      </c>
      <c r="B74" s="57">
        <v>4</v>
      </c>
      <c r="C74" s="57">
        <v>6</v>
      </c>
      <c r="D74" s="57">
        <v>2</v>
      </c>
      <c r="E74" s="58">
        <v>6</v>
      </c>
      <c r="F74" s="58">
        <v>0.74504319900000004</v>
      </c>
      <c r="G74" s="58">
        <v>-0.38690384400000005</v>
      </c>
      <c r="H74" s="58">
        <v>-0.3290132850000001</v>
      </c>
      <c r="I74" s="58">
        <v>-0.14185514000000002</v>
      </c>
      <c r="J74" s="58">
        <v>-0.17437424000000001</v>
      </c>
      <c r="K74" s="58">
        <v>0.41032408100000012</v>
      </c>
      <c r="L74" s="58">
        <v>-0.22722974300000001</v>
      </c>
      <c r="M74" s="58">
        <v>-0.76382428899999999</v>
      </c>
      <c r="N74" s="58">
        <v>0.23058349800000003</v>
      </c>
      <c r="O74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1.7201584523282263</v>
      </c>
      <c r="P74" s="114" t="s">
        <v>215</v>
      </c>
      <c r="Q74" s="114" t="str">
        <f>RIGHT(P74)</f>
        <v>3</v>
      </c>
      <c r="R74" s="121" t="str">
        <f>RIGHT(Таблица17[[#This Row],[Классиф ДА2]])</f>
        <v>2</v>
      </c>
      <c r="S74">
        <v>2</v>
      </c>
      <c r="T74" s="147">
        <f>IF(Таблица17[[#This Row],[обуч выборка2]]-Таблица17[[#This Row],[Классиф ДА]]=0,1,0)</f>
        <v>0</v>
      </c>
      <c r="U74" s="117" t="s">
        <v>214</v>
      </c>
      <c r="V74" s="147">
        <f>IF(Таблица17[[#This Row],[обуч выборка2]]-Таблица17[[#This Row],[расстояние Махаланобиса]]=0,1,0)</f>
        <v>0</v>
      </c>
      <c r="W74" s="117">
        <f>MATCH(MIN(Таблица17[[#This Row],[1 класс]:[6 класс]]),Таблица17[[#This Row],[1 класс]:[6 класс]],0)</f>
        <v>2</v>
      </c>
      <c r="X74" s="118">
        <v>23.065778804695093</v>
      </c>
      <c r="Y74" s="118">
        <v>8.1369140025180648</v>
      </c>
      <c r="Z74" s="118">
        <v>11.63816298437165</v>
      </c>
      <c r="AA74" s="118">
        <v>207.38052380446115</v>
      </c>
      <c r="AB74" s="118">
        <v>209.92271989817385</v>
      </c>
      <c r="AC74" s="118">
        <v>123.21155895292429</v>
      </c>
      <c r="AD74" s="212">
        <v>23.065778804695093</v>
      </c>
      <c r="AE74" s="212">
        <v>8.1369140025180648</v>
      </c>
      <c r="AF74" s="212">
        <v>11.63816298437165</v>
      </c>
      <c r="AG74" s="212">
        <v>207.38052380446115</v>
      </c>
      <c r="AH74" s="212">
        <v>209.92271989817385</v>
      </c>
      <c r="AI74" s="212">
        <v>123.21155895292429</v>
      </c>
      <c r="AJ74" s="147">
        <f>IF(Таблица17[[#This Row],[обуч выборка2]]-Таблица17[[#This Row],[Апосториорная вероятность]]=0,1,0)</f>
        <v>0</v>
      </c>
      <c r="AK74" s="117">
        <f>MATCH(MAX(Таблица17[[#This Row],[1 класс.]:[6 класс.]]),Таблица17[[#This Row],[1 класс.]:[6 класс.]],0)</f>
        <v>2</v>
      </c>
      <c r="AL74" s="120">
        <v>6.4582658097748461E-4</v>
      </c>
      <c r="AM74" s="120">
        <v>0.90150409768097772</v>
      </c>
      <c r="AN74" s="120">
        <v>9.7850075738044842E-2</v>
      </c>
      <c r="AO74" s="120">
        <v>0</v>
      </c>
      <c r="AP74" s="120">
        <v>0</v>
      </c>
      <c r="AQ74" s="120">
        <v>3.4742200183937661E-26</v>
      </c>
      <c r="AR74" s="216">
        <v>6.4582658097748461E-4</v>
      </c>
      <c r="AS74" s="216">
        <v>0.90150409768097772</v>
      </c>
      <c r="AT74" s="216">
        <v>9.7850075738044842E-2</v>
      </c>
      <c r="AU74" s="216">
        <v>0</v>
      </c>
      <c r="AV74" s="216">
        <v>0</v>
      </c>
      <c r="AW74" s="216">
        <v>3.4742200183937661E-26</v>
      </c>
      <c r="AX74" s="121" t="str">
        <f>RIGHT(Таблица17[[#This Row],[Класиф вкл2]])</f>
        <v>2</v>
      </c>
      <c r="AY74" s="221">
        <v>2</v>
      </c>
      <c r="AZ74" s="147">
        <f>IF(Таблица17[[#This Row],[обуч выборка2]]-Таблица17[[#This Row],[Класиф вкл]]=0,1,0)</f>
        <v>0</v>
      </c>
      <c r="BA74" s="117" t="s">
        <v>214</v>
      </c>
      <c r="BB74" s="147">
        <f>IF(Таблица17[[#This Row],[обуч выборка2]]-Таблица17[[#This Row],[Расстояние Махаланобиса вкл
]]=0,1,0)</f>
        <v>0</v>
      </c>
      <c r="BC74" s="117">
        <f>MATCH(MIN(Таблица17[[#This Row],[1 класс вкл]:[6 класс вкл]]),Таблица17[[#This Row],[1 класс вкл]:[6 класс вкл]],0)</f>
        <v>2</v>
      </c>
      <c r="BD74" s="118">
        <v>12.725885126005242</v>
      </c>
      <c r="BE74" s="118">
        <v>6.1925528302888608</v>
      </c>
      <c r="BF74" s="118">
        <v>10.579274831783895</v>
      </c>
      <c r="BG74" s="120">
        <v>146.47779713312337</v>
      </c>
      <c r="BH74" s="118">
        <v>147.52570043871776</v>
      </c>
      <c r="BI74" s="118">
        <v>94.787925167731004</v>
      </c>
      <c r="BJ74" s="147">
        <f>IF(Таблица17[[#This Row],[обуч выборка2]]-Таблица17[[#This Row],[Апосториорная вероятность вкл]]=0,1,0)</f>
        <v>0</v>
      </c>
      <c r="BK74" s="117">
        <f>MATCH(MAX(Таблица17[[#This Row],[1 класс вкл.]:[6 класс вкл.]]),Таблица17[[#This Row],[1 класс вкл.]:[6 класс вкл.]],0)</f>
        <v>2</v>
      </c>
      <c r="BL74" s="119">
        <v>4.2659332577503158E-2</v>
      </c>
      <c r="BM74" s="119">
        <v>0.89495072805372289</v>
      </c>
      <c r="BN74" s="119">
        <v>6.2389939368773926E-2</v>
      </c>
      <c r="BO74" s="119">
        <v>7.7123261573052286E-32</v>
      </c>
      <c r="BP74" s="119">
        <v>4.5670532588176181E-32</v>
      </c>
      <c r="BQ74" s="119">
        <v>1.9390532208723852E-20</v>
      </c>
      <c r="BR74" s="121" t="str">
        <f>RIGHT(Таблица17[[#This Row],[Класиф искл2]])</f>
        <v>2</v>
      </c>
      <c r="BS74" s="222">
        <v>2</v>
      </c>
      <c r="BT74" s="147">
        <f>IF(Таблица17[[#This Row],[обуч выборка2]]-Таблица17[[#This Row],[Класиф искл]]=0,1,0)</f>
        <v>0</v>
      </c>
      <c r="BU74" s="117" t="s">
        <v>214</v>
      </c>
      <c r="BV74" s="147">
        <f>IF(Таблица17[[#This Row],[обуч выборка2]]-Таблица17[[#This Row],[Расстояние Махаланобиса искл]]=0,1,0)</f>
        <v>0</v>
      </c>
      <c r="BW74" s="117">
        <f>MATCH(MIN(Таблица17[[#This Row],[1 класс искл]:[6 класс искл]]),Таблица17[[#This Row],[1 класс искл]:[6 класс искл]],0)</f>
        <v>2</v>
      </c>
      <c r="BX74" s="120">
        <v>14.364905735829939</v>
      </c>
      <c r="BY74" s="120">
        <v>6.9096022280302547</v>
      </c>
      <c r="BZ74" s="120">
        <v>10.428563874324876</v>
      </c>
      <c r="CA74" s="120">
        <v>144.9672660434766</v>
      </c>
      <c r="CB74" s="120">
        <v>167.38137347709073</v>
      </c>
      <c r="CC74" s="120">
        <v>63.078876607577016</v>
      </c>
      <c r="CD74" s="147">
        <f>IF(Таблица17[[#This Row],[обуч выборка2]]-Таблица17[[#This Row],[Апосториорная вероятность искл]]=0,1,0)</f>
        <v>0</v>
      </c>
      <c r="CE74" s="117">
        <f>MATCH(MAX(Таблица17[[#This Row],[1 класс искл.]:[6 класс искл.]]),Таблица17[[#This Row],[1 класс искл.]:[6 класс искл.]],0)</f>
        <v>2</v>
      </c>
      <c r="CF74" s="120">
        <v>2.6424361225362156E-2</v>
      </c>
      <c r="CG74" s="120">
        <v>0.8790084940349624</v>
      </c>
      <c r="CH74" s="120">
        <v>9.4567144739465828E-2</v>
      </c>
      <c r="CI74" s="120">
        <v>2.3072374411155217E-31</v>
      </c>
      <c r="CJ74" s="120">
        <v>0</v>
      </c>
      <c r="CK74" s="120">
        <v>2.0942155583221174E-13</v>
      </c>
      <c r="CL74" s="198">
        <v>0.15076936481568043</v>
      </c>
      <c r="CM74" s="198">
        <v>0.25267007267107311</v>
      </c>
      <c r="CN74" s="199">
        <v>0.98401956830049142</v>
      </c>
      <c r="CO74" s="192">
        <v>4</v>
      </c>
      <c r="CP74" s="195">
        <v>3</v>
      </c>
      <c r="CQ74" s="209">
        <v>-0.10286000000000001</v>
      </c>
      <c r="CR74" s="209">
        <v>0.18959000000000001</v>
      </c>
      <c r="CS74" s="223">
        <v>4</v>
      </c>
      <c r="CT74" s="223">
        <v>2</v>
      </c>
      <c r="CU74" s="209">
        <v>0.18959000000000001</v>
      </c>
      <c r="CV74" s="209">
        <v>-0.10286000000000001</v>
      </c>
      <c r="CW74" s="209">
        <v>6</v>
      </c>
      <c r="CX74" s="210">
        <v>1</v>
      </c>
      <c r="CY74" s="272">
        <v>2</v>
      </c>
      <c r="CZ74" s="238">
        <v>4</v>
      </c>
    </row>
    <row r="75" spans="1:104" x14ac:dyDescent="0.3">
      <c r="A75" s="57" t="s">
        <v>83</v>
      </c>
      <c r="B75" s="57">
        <v>4</v>
      </c>
      <c r="C75" s="57">
        <v>6</v>
      </c>
      <c r="D75" s="57">
        <v>2</v>
      </c>
      <c r="E75" s="58">
        <v>4</v>
      </c>
      <c r="F75" s="58">
        <v>1.02748365</v>
      </c>
      <c r="G75" s="58">
        <v>0.49466702999999995</v>
      </c>
      <c r="H75" s="58">
        <v>-0.51803533400000001</v>
      </c>
      <c r="I75" s="58">
        <v>0.89869505000000016</v>
      </c>
      <c r="J75" s="58">
        <v>5.651135740000001E-2</v>
      </c>
      <c r="K75" s="58">
        <v>0.5735791320000001</v>
      </c>
      <c r="L75" s="58">
        <v>0.35288336200000009</v>
      </c>
      <c r="M75" s="58">
        <v>-0.39694198700000005</v>
      </c>
      <c r="N75" s="58">
        <v>2.19798034</v>
      </c>
      <c r="O75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7.8218252580604553</v>
      </c>
      <c r="P75" s="114"/>
      <c r="Q75" s="114"/>
      <c r="R75" s="121" t="str">
        <f>RIGHT(Таблица17[[#This Row],[Классиф ДА2]])</f>
        <v>1</v>
      </c>
      <c r="S75">
        <v>1</v>
      </c>
      <c r="T75" s="147">
        <f>IF(Таблица17[[#This Row],[обуч выборка2]]-Таблица17[[#This Row],[Классиф ДА]]=0,1,0)</f>
        <v>0</v>
      </c>
      <c r="U75" s="117" t="s">
        <v>213</v>
      </c>
      <c r="V75" s="147">
        <f>IF(Таблица17[[#This Row],[обуч выборка2]]-Таблица17[[#This Row],[расстояние Махаланобиса]]=0,1,0)</f>
        <v>0</v>
      </c>
      <c r="W75" s="117">
        <f>MATCH(MIN(Таблица17[[#This Row],[1 класс]:[6 класс]]),Таблица17[[#This Row],[1 класс]:[6 класс]],0)</f>
        <v>1</v>
      </c>
      <c r="X75" s="118">
        <v>59.531101459022793</v>
      </c>
      <c r="Y75" s="118">
        <v>62.722965202480417</v>
      </c>
      <c r="Z75" s="118">
        <v>70.848165794877673</v>
      </c>
      <c r="AA75" s="118">
        <v>151.11412938239127</v>
      </c>
      <c r="AB75" s="118">
        <v>335.65356629562416</v>
      </c>
      <c r="AC75" s="118">
        <v>112.54224459056361</v>
      </c>
      <c r="AD75" s="212">
        <v>59.531101459022793</v>
      </c>
      <c r="AE75" s="212">
        <v>62.722965202480417</v>
      </c>
      <c r="AF75" s="212">
        <v>70.848165794877673</v>
      </c>
      <c r="AG75" s="212">
        <v>151.11412938239127</v>
      </c>
      <c r="AH75" s="212">
        <v>335.65356629562416</v>
      </c>
      <c r="AI75" s="212">
        <v>112.54224459056361</v>
      </c>
      <c r="AJ75" s="147">
        <f>IF(Таблица17[[#This Row],[обуч выборка2]]-Таблица17[[#This Row],[Апосториорная вероятность]]=0,1,0)</f>
        <v>0</v>
      </c>
      <c r="AK75" s="117">
        <f>MATCH(MAX(Таблица17[[#This Row],[1 класс.]:[6 класс.]]),Таблица17[[#This Row],[1 класс.]:[6 класс.]],0)</f>
        <v>1</v>
      </c>
      <c r="AL75" s="120">
        <v>0.8591659905186102</v>
      </c>
      <c r="AM75" s="120">
        <v>0.13933578190713583</v>
      </c>
      <c r="AN75" s="120">
        <v>1.4982275734597567E-3</v>
      </c>
      <c r="AO75" s="120">
        <v>2.2289752261672641E-21</v>
      </c>
      <c r="AP75" s="120">
        <v>0</v>
      </c>
      <c r="AQ75" s="120">
        <v>7.9428225746993642E-13</v>
      </c>
      <c r="AR75" s="216">
        <v>0.8591659905186102</v>
      </c>
      <c r="AS75" s="216">
        <v>0.13933578190713583</v>
      </c>
      <c r="AT75" s="216">
        <v>1.4982275734597567E-3</v>
      </c>
      <c r="AU75" s="216">
        <v>2.2289752261672641E-21</v>
      </c>
      <c r="AV75" s="216">
        <v>0</v>
      </c>
      <c r="AW75" s="216">
        <v>7.9428225746993642E-13</v>
      </c>
      <c r="AX75" s="121" t="str">
        <f>RIGHT(Таблица17[[#This Row],[Класиф вкл2]])</f>
        <v>1</v>
      </c>
      <c r="AY75" s="221">
        <v>2</v>
      </c>
      <c r="AZ75" s="147">
        <f>IF(Таблица17[[#This Row],[обуч выборка2]]-Таблица17[[#This Row],[Класиф вкл]]=0,1,0)</f>
        <v>0</v>
      </c>
      <c r="BA75" s="117" t="s">
        <v>213</v>
      </c>
      <c r="BB75" s="147">
        <f>IF(Таблица17[[#This Row],[обуч выборка2]]-Таблица17[[#This Row],[Расстояние Махаланобиса вкл
]]=0,1,0)</f>
        <v>0</v>
      </c>
      <c r="BC75" s="117">
        <f>MATCH(MIN(Таблица17[[#This Row],[1 класс вкл]:[6 класс вкл]]),Таблица17[[#This Row],[1 класс вкл]:[6 класс вкл]],0)</f>
        <v>1</v>
      </c>
      <c r="BD75" s="118">
        <v>35.211342990527598</v>
      </c>
      <c r="BE75" s="118">
        <v>45.548667561562546</v>
      </c>
      <c r="BF75" s="118">
        <v>46.641157496781638</v>
      </c>
      <c r="BG75" s="120">
        <v>135.17146612462261</v>
      </c>
      <c r="BH75" s="118">
        <v>279.89171422939324</v>
      </c>
      <c r="BI75" s="118">
        <v>54.761361113230485</v>
      </c>
      <c r="BJ75" s="147">
        <f>IF(Таблица17[[#This Row],[обуч выборка2]]-Таблица17[[#This Row],[Апосториорная вероятность вкл]]=0,1,0)</f>
        <v>0</v>
      </c>
      <c r="BK75" s="117">
        <f>MATCH(MAX(Таблица17[[#This Row],[1 класс вкл.]:[6 класс вкл.]]),Таблица17[[#This Row],[1 класс вкл.]:[6 класс вкл.]],0)</f>
        <v>1</v>
      </c>
      <c r="BL75" s="119">
        <v>0.99381941009017083</v>
      </c>
      <c r="BM75" s="119">
        <v>4.5255977746838528E-3</v>
      </c>
      <c r="BN75" s="119">
        <v>1.6380410996443019E-3</v>
      </c>
      <c r="BO75" s="119">
        <v>3.9108623148353044E-23</v>
      </c>
      <c r="BP75" s="119">
        <v>0</v>
      </c>
      <c r="BQ75" s="119">
        <v>1.6951035501014937E-5</v>
      </c>
      <c r="BR75" s="121" t="str">
        <f>RIGHT(Таблица17[[#This Row],[Класиф искл2]])</f>
        <v>2</v>
      </c>
      <c r="BS75" s="222">
        <v>2</v>
      </c>
      <c r="BT75" s="147">
        <f>IF(Таблица17[[#This Row],[обуч выборка2]]-Таблица17[[#This Row],[Класиф искл]]=0,1,0)</f>
        <v>0</v>
      </c>
      <c r="BU75" s="117" t="s">
        <v>214</v>
      </c>
      <c r="BV75" s="147">
        <f>IF(Таблица17[[#This Row],[обуч выборка2]]-Таблица17[[#This Row],[Расстояние Махаланобиса искл]]=0,1,0)</f>
        <v>0</v>
      </c>
      <c r="BW75" s="117">
        <f>MATCH(MIN(Таблица17[[#This Row],[1 класс искл]:[6 класс искл]]),Таблица17[[#This Row],[1 класс искл]:[6 класс искл]],0)</f>
        <v>2</v>
      </c>
      <c r="BX75" s="120">
        <v>46.198688434485732</v>
      </c>
      <c r="BY75" s="120">
        <v>35.070608972812281</v>
      </c>
      <c r="BZ75" s="120">
        <v>44.903692651133618</v>
      </c>
      <c r="CA75" s="120">
        <v>101.1661845898613</v>
      </c>
      <c r="CB75" s="120">
        <v>236.08255203589232</v>
      </c>
      <c r="CC75" s="120">
        <v>59.948249532932053</v>
      </c>
      <c r="CD75" s="147">
        <f>IF(Таблица17[[#This Row],[обуч выборка2]]-Таблица17[[#This Row],[Апосториорная вероятность искл]]=0,1,0)</f>
        <v>0</v>
      </c>
      <c r="CE75" s="117">
        <f>MATCH(MAX(Таблица17[[#This Row],[1 класс искл.]:[6 класс искл.]]),Таблица17[[#This Row],[1 класс искл.]:[6 класс искл.]],0)</f>
        <v>2</v>
      </c>
      <c r="CF75" s="120">
        <v>4.7470905415533471E-3</v>
      </c>
      <c r="CG75" s="120">
        <v>0.99071617663519329</v>
      </c>
      <c r="CH75" s="120">
        <v>4.5352609530507322E-3</v>
      </c>
      <c r="CI75" s="120">
        <v>1.1000625464753572E-15</v>
      </c>
      <c r="CJ75" s="120">
        <v>0</v>
      </c>
      <c r="CK75" s="120">
        <v>1.4718702017302149E-6</v>
      </c>
      <c r="CL75" s="198">
        <v>0.95017992838704834</v>
      </c>
      <c r="CM75" s="198">
        <v>0.75903846068162117</v>
      </c>
      <c r="CN75" s="199">
        <v>0.2154752195675155</v>
      </c>
      <c r="CO75" s="192">
        <v>4</v>
      </c>
      <c r="CP75" s="195">
        <v>3</v>
      </c>
      <c r="CQ75" s="209">
        <v>0.42163</v>
      </c>
      <c r="CR75" s="209">
        <v>0.8761000000000001</v>
      </c>
      <c r="CS75" s="223">
        <v>4</v>
      </c>
      <c r="CT75" s="223">
        <v>2</v>
      </c>
      <c r="CU75" s="209">
        <v>0.8761000000000001</v>
      </c>
      <c r="CV75" s="209">
        <v>0.42163</v>
      </c>
      <c r="CW75" s="209">
        <v>6</v>
      </c>
      <c r="CX75" s="210">
        <v>5</v>
      </c>
      <c r="CY75" s="272">
        <v>2</v>
      </c>
      <c r="CZ75" s="238">
        <v>4</v>
      </c>
    </row>
    <row r="76" spans="1:104" x14ac:dyDescent="0.3">
      <c r="A76" s="57" t="s">
        <v>84</v>
      </c>
      <c r="B76" s="57">
        <v>5</v>
      </c>
      <c r="C76" s="57">
        <v>6</v>
      </c>
      <c r="D76" s="57">
        <v>1</v>
      </c>
      <c r="E76" s="58">
        <v>6</v>
      </c>
      <c r="F76" s="58">
        <v>-0.84607554200000012</v>
      </c>
      <c r="G76" s="58">
        <v>0.28289302100000002</v>
      </c>
      <c r="H76" s="58">
        <v>-0.56361560700000013</v>
      </c>
      <c r="I76" s="58">
        <v>0.22833990500000001</v>
      </c>
      <c r="J76" s="58">
        <v>-7.4365484499999994E-3</v>
      </c>
      <c r="K76" s="58">
        <v>-0.54879934800000008</v>
      </c>
      <c r="L76" s="58">
        <v>-0.48746064200000006</v>
      </c>
      <c r="M76" s="58">
        <v>-8.4783725399999992E-3</v>
      </c>
      <c r="N76" s="58">
        <v>-0.58603174599999996</v>
      </c>
      <c r="O76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2.0480329435506315</v>
      </c>
      <c r="P76" s="114" t="s">
        <v>213</v>
      </c>
      <c r="Q76" s="114" t="str">
        <f>RIGHT(P76)</f>
        <v>1</v>
      </c>
      <c r="R76" s="121" t="str">
        <f>RIGHT(Таблица17[[#This Row],[Классиф ДА2]])</f>
        <v>1</v>
      </c>
      <c r="S76">
        <v>1</v>
      </c>
      <c r="T76" s="147">
        <f>IF(Таблица17[[#This Row],[обуч выборка2]]-Таблица17[[#This Row],[Классиф ДА]]=0,1,0)</f>
        <v>1</v>
      </c>
      <c r="U76" s="117" t="s">
        <v>213</v>
      </c>
      <c r="V76" s="147">
        <f>IF(Таблица17[[#This Row],[обуч выборка2]]-Таблица17[[#This Row],[расстояние Махаланобиса]]=0,1,0)</f>
        <v>1</v>
      </c>
      <c r="W76" s="117">
        <f>MATCH(MIN(Таблица17[[#This Row],[1 класс]:[6 класс]]),Таблица17[[#This Row],[1 класс]:[6 класс]],0)</f>
        <v>1</v>
      </c>
      <c r="X76" s="118">
        <v>7.1898713930646707</v>
      </c>
      <c r="Y76" s="118">
        <v>47.113020389924067</v>
      </c>
      <c r="Z76" s="118">
        <v>42.244509411761967</v>
      </c>
      <c r="AA76" s="118">
        <v>250.0089502421302</v>
      </c>
      <c r="AB76" s="118">
        <v>346.81486152575877</v>
      </c>
      <c r="AC76" s="118">
        <v>99.157765665383778</v>
      </c>
      <c r="AD76" s="212">
        <v>7.1898713930646707</v>
      </c>
      <c r="AE76" s="212">
        <v>47.113020389924067</v>
      </c>
      <c r="AF76" s="212">
        <v>42.244509411761967</v>
      </c>
      <c r="AG76" s="212">
        <v>250.0089502421302</v>
      </c>
      <c r="AH76" s="212">
        <v>346.81486152575877</v>
      </c>
      <c r="AI76" s="212">
        <v>99.157765665383778</v>
      </c>
      <c r="AJ76" s="147">
        <f>IF(Таблица17[[#This Row],[обуч выборка2]]-Таблица17[[#This Row],[Апосториорная вероятность]]=0,1,0)</f>
        <v>1</v>
      </c>
      <c r="AK76" s="117">
        <f>MATCH(MAX(Таблица17[[#This Row],[1 класс.]:[6 класс.]]),Таблица17[[#This Row],[1 класс.]:[6 класс.]],0)</f>
        <v>1</v>
      </c>
      <c r="AL76" s="120">
        <v>0.9999999860698352</v>
      </c>
      <c r="AM76" s="120">
        <v>1.7135166397761616E-9</v>
      </c>
      <c r="AN76" s="120">
        <v>1.221664826157709E-8</v>
      </c>
      <c r="AO76" s="120">
        <v>0</v>
      </c>
      <c r="AP76" s="120">
        <v>0</v>
      </c>
      <c r="AQ76" s="120">
        <v>3.2103083716398363E-21</v>
      </c>
      <c r="AR76" s="216">
        <v>0.9999999860698352</v>
      </c>
      <c r="AS76" s="216">
        <v>1.7135166397761616E-9</v>
      </c>
      <c r="AT76" s="216">
        <v>1.221664826157709E-8</v>
      </c>
      <c r="AU76" s="216">
        <v>0</v>
      </c>
      <c r="AV76" s="216">
        <v>0</v>
      </c>
      <c r="AW76" s="216">
        <v>3.2103083716398363E-21</v>
      </c>
      <c r="AX76" s="121" t="str">
        <f>RIGHT(Таблица17[[#This Row],[Класиф вкл2]])</f>
        <v>1</v>
      </c>
      <c r="AY76" s="221">
        <v>1</v>
      </c>
      <c r="AZ76" s="147">
        <f>IF(Таблица17[[#This Row],[обуч выборка2]]-Таблица17[[#This Row],[Класиф вкл]]=0,1,0)</f>
        <v>1</v>
      </c>
      <c r="BA76" s="117" t="s">
        <v>213</v>
      </c>
      <c r="BB76" s="147">
        <f>IF(Таблица17[[#This Row],[обуч выборка2]]-Таблица17[[#This Row],[Расстояние Махаланобиса вкл
]]=0,1,0)</f>
        <v>1</v>
      </c>
      <c r="BC76" s="117">
        <f>MATCH(MIN(Таблица17[[#This Row],[1 класс вкл]:[6 класс вкл]]),Таблица17[[#This Row],[1 класс вкл]:[6 класс вкл]],0)</f>
        <v>1</v>
      </c>
      <c r="BD76" s="118">
        <v>5.0359452772273441</v>
      </c>
      <c r="BE76" s="118">
        <v>32.257210266577331</v>
      </c>
      <c r="BF76" s="118">
        <v>32.405761444404547</v>
      </c>
      <c r="BG76" s="120">
        <v>182.76764429607528</v>
      </c>
      <c r="BH76" s="118">
        <v>242.30902630532711</v>
      </c>
      <c r="BI76" s="118">
        <v>91.553246249147008</v>
      </c>
      <c r="BJ76" s="147">
        <f>IF(Таблица17[[#This Row],[обуч выборка2]]-Таблица17[[#This Row],[Апосториорная вероятность вкл]]=0,1,0)</f>
        <v>1</v>
      </c>
      <c r="BK76" s="117">
        <f>MATCH(MAX(Таблица17[[#This Row],[1 класс вкл.]:[6 класс вкл.]]),Таблица17[[#This Row],[1 класс вкл.]:[6 класс вкл.]],0)</f>
        <v>1</v>
      </c>
      <c r="BL76" s="119">
        <v>0.99999844834474017</v>
      </c>
      <c r="BM76" s="119">
        <v>9.8189879140507236E-7</v>
      </c>
      <c r="BN76" s="119">
        <v>5.6975646841736033E-7</v>
      </c>
      <c r="BO76" s="119">
        <v>0</v>
      </c>
      <c r="BP76" s="119">
        <v>0</v>
      </c>
      <c r="BQ76" s="123">
        <v>4.899224944131855E-20</v>
      </c>
      <c r="BR76" s="121" t="str">
        <f>RIGHT(Таблица17[[#This Row],[Класиф искл2]])</f>
        <v>1</v>
      </c>
      <c r="BS76" s="222">
        <v>1</v>
      </c>
      <c r="BT76" s="147">
        <f>IF(Таблица17[[#This Row],[обуч выборка2]]-Таблица17[[#This Row],[Класиф искл]]=0,1,0)</f>
        <v>1</v>
      </c>
      <c r="BU76" s="117" t="s">
        <v>213</v>
      </c>
      <c r="BV76" s="147">
        <f>IF(Таблица17[[#This Row],[обуч выборка2]]-Таблица17[[#This Row],[Расстояние Махаланобиса искл]]=0,1,0)</f>
        <v>1</v>
      </c>
      <c r="BW76" s="117">
        <f>MATCH(MIN(Таблица17[[#This Row],[1 класс искл]:[6 класс искл]]),Таблица17[[#This Row],[1 класс искл]:[6 класс искл]],0)</f>
        <v>1</v>
      </c>
      <c r="BX76" s="120">
        <v>5.6714951631661794</v>
      </c>
      <c r="BY76" s="120">
        <v>29.854835563955454</v>
      </c>
      <c r="BZ76" s="120">
        <v>28.875281053302057</v>
      </c>
      <c r="CA76" s="120">
        <v>173.03967437312875</v>
      </c>
      <c r="CB76" s="120">
        <v>250.84526316868636</v>
      </c>
      <c r="CC76" s="120">
        <v>72.58054386326333</v>
      </c>
      <c r="CD76" s="147">
        <f>IF(Таблица17[[#This Row],[обуч выборка2]]-Таблица17[[#This Row],[Апосториорная вероятность искл]]=0,1,0)</f>
        <v>1</v>
      </c>
      <c r="CE76" s="117">
        <f>MATCH(MAX(Таблица17[[#This Row],[1 класс искл.]:[6 класс искл.]]),Таблица17[[#This Row],[1 класс искл.]:[6 класс искл.]],0)</f>
        <v>1</v>
      </c>
      <c r="CF76" s="120">
        <v>0.99999094089241602</v>
      </c>
      <c r="CG76" s="120">
        <v>4.4847723991835166E-6</v>
      </c>
      <c r="CH76" s="120">
        <v>4.5743351839643629E-6</v>
      </c>
      <c r="CI76" s="120">
        <v>0</v>
      </c>
      <c r="CJ76" s="120">
        <v>0</v>
      </c>
      <c r="CK76" s="120">
        <v>8.871600984860209E-16</v>
      </c>
      <c r="CL76" s="198">
        <v>-0.16351862231155986</v>
      </c>
      <c r="CM76" s="198">
        <v>-0.23159466896528591</v>
      </c>
      <c r="CN76" s="199">
        <v>0.11348214450006355</v>
      </c>
      <c r="CO76" s="192">
        <v>5</v>
      </c>
      <c r="CP76" s="195">
        <v>5</v>
      </c>
      <c r="CQ76" s="209">
        <v>3.0859999999999999E-2</v>
      </c>
      <c r="CR76" s="209">
        <v>-0.26472999999999997</v>
      </c>
      <c r="CS76" s="223">
        <v>5</v>
      </c>
      <c r="CT76" s="223">
        <v>6</v>
      </c>
      <c r="CU76" s="209">
        <v>-0.26472999999999997</v>
      </c>
      <c r="CV76" s="209">
        <v>3.0859999999999999E-2</v>
      </c>
      <c r="CW76" s="209">
        <v>5</v>
      </c>
      <c r="CX76" s="210">
        <v>3</v>
      </c>
      <c r="CY76" s="239" t="s">
        <v>341</v>
      </c>
      <c r="CZ76" s="238">
        <v>5</v>
      </c>
    </row>
    <row r="77" spans="1:104" x14ac:dyDescent="0.3">
      <c r="A77" s="57" t="s">
        <v>85</v>
      </c>
      <c r="B77" s="57">
        <v>5</v>
      </c>
      <c r="C77" s="57">
        <v>6</v>
      </c>
      <c r="D77" s="57">
        <v>1</v>
      </c>
      <c r="E77" s="58">
        <v>6</v>
      </c>
      <c r="F77" s="58">
        <v>-0.59401712799999984</v>
      </c>
      <c r="G77" s="58">
        <v>3.6644173799999992E-2</v>
      </c>
      <c r="H77" s="58">
        <v>-0.42749969700000007</v>
      </c>
      <c r="I77" s="58">
        <v>-0.30865372600000002</v>
      </c>
      <c r="J77" s="58">
        <v>-0.26726698700000007</v>
      </c>
      <c r="K77" s="58">
        <v>0.3082896730000001</v>
      </c>
      <c r="L77" s="58">
        <v>-0.61313057000000004</v>
      </c>
      <c r="M77" s="58">
        <v>-0.41852329900000007</v>
      </c>
      <c r="N77" s="58">
        <v>-0.54519593000000011</v>
      </c>
      <c r="O77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1.647025872266674</v>
      </c>
      <c r="P77" s="114" t="s">
        <v>213</v>
      </c>
      <c r="Q77" s="114" t="str">
        <f>RIGHT(P77)</f>
        <v>1</v>
      </c>
      <c r="R77" s="121" t="str">
        <f>RIGHT(Таблица17[[#This Row],[Классиф ДА2]])</f>
        <v>1</v>
      </c>
      <c r="S77">
        <v>1</v>
      </c>
      <c r="T77" s="147">
        <f>IF(Таблица17[[#This Row],[обуч выборка2]]-Таблица17[[#This Row],[Классиф ДА]]=0,1,0)</f>
        <v>1</v>
      </c>
      <c r="U77" s="117" t="s">
        <v>213</v>
      </c>
      <c r="V77" s="147">
        <f>IF(Таблица17[[#This Row],[обуч выборка2]]-Таблица17[[#This Row],[расстояние Махаланобиса]]=0,1,0)</f>
        <v>1</v>
      </c>
      <c r="W77" s="117">
        <f>MATCH(MIN(Таблица17[[#This Row],[1 класс]:[6 класс]]),Таблица17[[#This Row],[1 класс]:[6 класс]],0)</f>
        <v>1</v>
      </c>
      <c r="X77" s="118">
        <v>3.3694726010103535</v>
      </c>
      <c r="Y77" s="118">
        <v>31.166338436248388</v>
      </c>
      <c r="Z77" s="118">
        <v>26.832552523351286</v>
      </c>
      <c r="AA77" s="118">
        <v>198.21945067909101</v>
      </c>
      <c r="AB77" s="118">
        <v>282.27258991765609</v>
      </c>
      <c r="AC77" s="118">
        <v>119.10217725550854</v>
      </c>
      <c r="AD77" s="212">
        <v>3.3694726010103535</v>
      </c>
      <c r="AE77" s="212">
        <v>31.166338436248388</v>
      </c>
      <c r="AF77" s="212">
        <v>26.832552523351286</v>
      </c>
      <c r="AG77" s="212">
        <v>198.21945067909101</v>
      </c>
      <c r="AH77" s="212">
        <v>282.27258991765609</v>
      </c>
      <c r="AI77" s="212">
        <v>119.10217725550854</v>
      </c>
      <c r="AJ77" s="147">
        <f>IF(Таблица17[[#This Row],[обуч выборка2]]-Таблица17[[#This Row],[Апосториорная вероятность]]=0,1,0)</f>
        <v>1</v>
      </c>
      <c r="AK77" s="117">
        <f>MATCH(MAX(Таблица17[[#This Row],[1 класс.]:[6 класс.]]),Таблица17[[#This Row],[1 класс.]:[6 класс.]],0)</f>
        <v>1</v>
      </c>
      <c r="AL77" s="120">
        <v>0.99999524552721286</v>
      </c>
      <c r="AM77" s="120">
        <v>7.363345842005911E-7</v>
      </c>
      <c r="AN77" s="120">
        <v>4.0181382029213059E-6</v>
      </c>
      <c r="AO77" s="120">
        <v>0</v>
      </c>
      <c r="AP77" s="120">
        <v>0</v>
      </c>
      <c r="AQ77" s="120">
        <v>2.2186136787398235E-26</v>
      </c>
      <c r="AR77" s="216">
        <v>0.99999524552721286</v>
      </c>
      <c r="AS77" s="216">
        <v>7.363345842005911E-7</v>
      </c>
      <c r="AT77" s="216">
        <v>4.0181382029213059E-6</v>
      </c>
      <c r="AU77" s="216">
        <v>0</v>
      </c>
      <c r="AV77" s="216">
        <v>0</v>
      </c>
      <c r="AW77" s="216">
        <v>2.2186136787398235E-26</v>
      </c>
      <c r="AX77" s="121" t="str">
        <f>RIGHT(Таблица17[[#This Row],[Класиф вкл2]])</f>
        <v>1</v>
      </c>
      <c r="AY77" s="221">
        <v>1</v>
      </c>
      <c r="AZ77" s="147">
        <f>IF(Таблица17[[#This Row],[обуч выборка2]]-Таблица17[[#This Row],[Класиф вкл]]=0,1,0)</f>
        <v>1</v>
      </c>
      <c r="BA77" s="117" t="s">
        <v>213</v>
      </c>
      <c r="BB77" s="147">
        <f>IF(Таблица17[[#This Row],[обуч выборка2]]-Таблица17[[#This Row],[Расстояние Махаланобиса вкл
]]=0,1,0)</f>
        <v>1</v>
      </c>
      <c r="BC77" s="117">
        <f>MATCH(MIN(Таблица17[[#This Row],[1 класс вкл]:[6 класс вкл]]),Таблица17[[#This Row],[1 класс вкл]:[6 класс вкл]],0)</f>
        <v>1</v>
      </c>
      <c r="BD77" s="118">
        <v>1.5152539997391645</v>
      </c>
      <c r="BE77" s="118">
        <v>23.320720373420301</v>
      </c>
      <c r="BF77" s="118">
        <v>23.28088834423567</v>
      </c>
      <c r="BG77" s="120">
        <v>142.6932102028552</v>
      </c>
      <c r="BH77" s="118">
        <v>194.4160996162951</v>
      </c>
      <c r="BI77" s="118">
        <v>101.4824357646977</v>
      </c>
      <c r="BJ77" s="147">
        <f>IF(Таблица17[[#This Row],[обуч выборка2]]-Таблица17[[#This Row],[Апосториорная вероятность вкл]]=0,1,0)</f>
        <v>1</v>
      </c>
      <c r="BK77" s="117">
        <f>MATCH(MAX(Таблица17[[#This Row],[1 класс вкл.]:[6 класс вкл.]]),Таблица17[[#This Row],[1 класс вкл.]:[6 класс вкл.]],0)</f>
        <v>1</v>
      </c>
      <c r="BL77" s="119">
        <v>0.9999758852294669</v>
      </c>
      <c r="BM77" s="119">
        <v>1.4725927339174697E-5</v>
      </c>
      <c r="BN77" s="119">
        <v>9.3888431939150777E-6</v>
      </c>
      <c r="BO77" s="119">
        <v>4.411800341067252E-32</v>
      </c>
      <c r="BP77" s="119">
        <v>0</v>
      </c>
      <c r="BQ77" s="123">
        <v>5.8818382287830376E-23</v>
      </c>
      <c r="BR77" s="121" t="str">
        <f>RIGHT(Таблица17[[#This Row],[Класиф искл2]])</f>
        <v>1</v>
      </c>
      <c r="BS77" s="222">
        <v>1</v>
      </c>
      <c r="BT77" s="147">
        <f>IF(Таблица17[[#This Row],[обуч выборка2]]-Таблица17[[#This Row],[Класиф искл]]=0,1,0)</f>
        <v>1</v>
      </c>
      <c r="BU77" s="117" t="s">
        <v>213</v>
      </c>
      <c r="BV77" s="147">
        <f>IF(Таблица17[[#This Row],[обуч выборка2]]-Таблица17[[#This Row],[Расстояние Махаланобиса искл]]=0,1,0)</f>
        <v>1</v>
      </c>
      <c r="BW77" s="117">
        <f>MATCH(MIN(Таблица17[[#This Row],[1 класс искл]:[6 класс искл]]),Таблица17[[#This Row],[1 класс искл]:[6 класс искл]],0)</f>
        <v>1</v>
      </c>
      <c r="BX77" s="120">
        <v>2.0899282170756237</v>
      </c>
      <c r="BY77" s="120">
        <v>24.518156554495636</v>
      </c>
      <c r="BZ77" s="120">
        <v>21.894562719083023</v>
      </c>
      <c r="CA77" s="120">
        <v>140.95638228923292</v>
      </c>
      <c r="CB77" s="120">
        <v>216.47549447725251</v>
      </c>
      <c r="CC77" s="120">
        <v>75.303057664880527</v>
      </c>
      <c r="CD77" s="147">
        <f>IF(Таблица17[[#This Row],[обуч выборка2]]-Таблица17[[#This Row],[Апосториорная вероятность искл]]=0,1,0)</f>
        <v>1</v>
      </c>
      <c r="CE77" s="117">
        <f>MATCH(MAX(Таблица17[[#This Row],[1 класс искл.]:[6 класс искл.]]),Таблица17[[#This Row],[1 класс искл.]:[6 класс искл.]],0)</f>
        <v>1</v>
      </c>
      <c r="CF77" s="120">
        <v>0.99996418596659653</v>
      </c>
      <c r="CG77" s="120">
        <v>1.0785655137727419E-5</v>
      </c>
      <c r="CH77" s="120">
        <v>2.5028378265783254E-5</v>
      </c>
      <c r="CI77" s="120">
        <v>1.4013514881185057E-31</v>
      </c>
      <c r="CJ77" s="120">
        <v>0</v>
      </c>
      <c r="CK77" s="120">
        <v>3.7938192827399738E-17</v>
      </c>
      <c r="CL77" s="198">
        <v>-0.14824621074977959</v>
      </c>
      <c r="CM77" s="198">
        <v>1.6283985682877478E-2</v>
      </c>
      <c r="CN77" s="199">
        <v>0.41987700971785535</v>
      </c>
      <c r="CO77" s="192">
        <v>4</v>
      </c>
      <c r="CP77" s="195">
        <v>4</v>
      </c>
      <c r="CQ77" s="209">
        <v>-0.26457000000000003</v>
      </c>
      <c r="CR77" s="209">
        <v>-0.13340000000000002</v>
      </c>
      <c r="CS77" s="223">
        <v>4</v>
      </c>
      <c r="CT77" s="223">
        <v>6</v>
      </c>
      <c r="CU77" s="209">
        <v>-0.13340000000000002</v>
      </c>
      <c r="CV77" s="209">
        <v>-0.26457000000000003</v>
      </c>
      <c r="CW77" s="209">
        <v>5</v>
      </c>
      <c r="CX77" s="210">
        <v>1</v>
      </c>
      <c r="CY77" s="239" t="s">
        <v>340</v>
      </c>
      <c r="CZ77" s="238">
        <v>5</v>
      </c>
    </row>
    <row r="78" spans="1:104" x14ac:dyDescent="0.3">
      <c r="A78" s="57" t="s">
        <v>86</v>
      </c>
      <c r="B78" s="57">
        <v>5</v>
      </c>
      <c r="C78" s="57">
        <v>6</v>
      </c>
      <c r="D78" s="57">
        <v>1</v>
      </c>
      <c r="E78" s="58">
        <v>6</v>
      </c>
      <c r="F78" s="58">
        <v>-1.5932487</v>
      </c>
      <c r="G78" s="58">
        <v>-0.66762753000000019</v>
      </c>
      <c r="H78" s="58">
        <v>-0.71118363700000009</v>
      </c>
      <c r="I78" s="58">
        <v>0.54222945000000011</v>
      </c>
      <c r="J78" s="58">
        <v>-0.34737015300000007</v>
      </c>
      <c r="K78" s="58">
        <v>-0.20188236300000001</v>
      </c>
      <c r="L78" s="58">
        <v>0.52267640500000001</v>
      </c>
      <c r="M78" s="58">
        <v>0.12100949899999999</v>
      </c>
      <c r="N78" s="58">
        <v>0.36471500300000004</v>
      </c>
      <c r="O78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4.3662363498695731</v>
      </c>
      <c r="P78" s="114"/>
      <c r="Q78" s="114"/>
      <c r="R78" s="121" t="str">
        <f>RIGHT(Таблица17[[#This Row],[Классиф ДА2]])</f>
        <v>1</v>
      </c>
      <c r="S78">
        <v>1</v>
      </c>
      <c r="T78" s="147">
        <f>IF(Таблица17[[#This Row],[обуч выборка2]]-Таблица17[[#This Row],[Классиф ДА]]=0,1,0)</f>
        <v>0</v>
      </c>
      <c r="U78" s="117" t="s">
        <v>213</v>
      </c>
      <c r="V78" s="147">
        <f>IF(Таблица17[[#This Row],[обуч выборка2]]-Таблица17[[#This Row],[расстояние Махаланобиса]]=0,1,0)</f>
        <v>0</v>
      </c>
      <c r="W78" s="117">
        <f>MATCH(MIN(Таблица17[[#This Row],[1 класс]:[6 класс]]),Таблица17[[#This Row],[1 класс]:[6 класс]],0)</f>
        <v>1</v>
      </c>
      <c r="X78" s="118">
        <v>27.900926082460622</v>
      </c>
      <c r="Y78" s="118">
        <v>104.57493260412477</v>
      </c>
      <c r="Z78" s="118">
        <v>92.7188224570627</v>
      </c>
      <c r="AA78" s="118">
        <v>242.86439789339494</v>
      </c>
      <c r="AB78" s="118">
        <v>444.72205226111436</v>
      </c>
      <c r="AC78" s="118">
        <v>60.358902954950644</v>
      </c>
      <c r="AD78" s="212">
        <v>27.900926082460622</v>
      </c>
      <c r="AE78" s="212">
        <v>104.57493260412477</v>
      </c>
      <c r="AF78" s="212">
        <v>92.7188224570627</v>
      </c>
      <c r="AG78" s="212">
        <v>242.86439789339494</v>
      </c>
      <c r="AH78" s="212">
        <v>444.72205226111436</v>
      </c>
      <c r="AI78" s="212">
        <v>60.358902954950644</v>
      </c>
      <c r="AJ78" s="147">
        <f>IF(Таблица17[[#This Row],[обуч выборка2]]-Таблица17[[#This Row],[Апосториорная вероятность]]=0,1,0)</f>
        <v>0</v>
      </c>
      <c r="AK78" s="117">
        <f>MATCH(MAX(Таблица17[[#This Row],[1 класс.]:[6 класс.]]),Таблица17[[#This Row],[1 класс.]:[6 класс.]],0)</f>
        <v>1</v>
      </c>
      <c r="AL78" s="120">
        <v>0.9999999731489555</v>
      </c>
      <c r="AM78" s="120">
        <v>1.7928378256049276E-17</v>
      </c>
      <c r="AN78" s="120">
        <v>4.2067105498061287E-15</v>
      </c>
      <c r="AO78" s="120">
        <v>0</v>
      </c>
      <c r="AP78" s="120">
        <v>0</v>
      </c>
      <c r="AQ78" s="120">
        <v>2.6851040419249555E-8</v>
      </c>
      <c r="AR78" s="216">
        <v>0.9999999731489555</v>
      </c>
      <c r="AS78" s="216">
        <v>1.7928378256049276E-17</v>
      </c>
      <c r="AT78" s="216">
        <v>4.2067105498061287E-15</v>
      </c>
      <c r="AU78" s="216">
        <v>0</v>
      </c>
      <c r="AV78" s="216">
        <v>0</v>
      </c>
      <c r="AW78" s="216">
        <v>2.6851040419249555E-8</v>
      </c>
      <c r="AX78" s="121" t="str">
        <f>RIGHT(Таблица17[[#This Row],[Класиф вкл2]])</f>
        <v>1</v>
      </c>
      <c r="AY78" s="221">
        <v>1</v>
      </c>
      <c r="AZ78" s="147">
        <f>IF(Таблица17[[#This Row],[обуч выборка2]]-Таблица17[[#This Row],[Класиф вкл]]=0,1,0)</f>
        <v>0</v>
      </c>
      <c r="BA78" s="117" t="s">
        <v>213</v>
      </c>
      <c r="BB78" s="147">
        <f>IF(Таблица17[[#This Row],[обуч выборка2]]-Таблица17[[#This Row],[Расстояние Махаланобиса вкл
]]=0,1,0)</f>
        <v>0</v>
      </c>
      <c r="BC78" s="117">
        <f>MATCH(MIN(Таблица17[[#This Row],[1 класс вкл]:[6 класс вкл]]),Таблица17[[#This Row],[1 класс вкл]:[6 класс вкл]],0)</f>
        <v>1</v>
      </c>
      <c r="BD78" s="118">
        <v>20.288569640710051</v>
      </c>
      <c r="BE78" s="118">
        <v>61.811640064276546</v>
      </c>
      <c r="BF78" s="118">
        <v>60.774969722548065</v>
      </c>
      <c r="BG78" s="120">
        <v>175.55405229002935</v>
      </c>
      <c r="BH78" s="118">
        <v>282.94536276143344</v>
      </c>
      <c r="BI78" s="118">
        <v>42.620004252852873</v>
      </c>
      <c r="BJ78" s="147">
        <f>IF(Таблица17[[#This Row],[обуч выборка2]]-Таблица17[[#This Row],[Апосториорная вероятность вкл]]=0,1,0)</f>
        <v>0</v>
      </c>
      <c r="BK78" s="117">
        <f>MATCH(MAX(Таблица17[[#This Row],[1 класс вкл.]:[6 класс вкл.]]),Таблица17[[#This Row],[1 класс вкл.]:[6 класс вкл.]],0)</f>
        <v>1</v>
      </c>
      <c r="BL78" s="119">
        <v>0.9999957531061946</v>
      </c>
      <c r="BM78" s="119">
        <v>7.6995964618947338E-10</v>
      </c>
      <c r="BN78" s="119">
        <v>8.0808693660937598E-10</v>
      </c>
      <c r="BO78" s="119">
        <v>0</v>
      </c>
      <c r="BP78" s="119">
        <v>0</v>
      </c>
      <c r="BQ78" s="123">
        <v>4.2453157586669296E-6</v>
      </c>
      <c r="BR78" s="121" t="str">
        <f>RIGHT(Таблица17[[#This Row],[Класиф искл2]])</f>
        <v>1</v>
      </c>
      <c r="BS78" s="222">
        <v>1</v>
      </c>
      <c r="BT78" s="147">
        <f>IF(Таблица17[[#This Row],[обуч выборка2]]-Таблица17[[#This Row],[Класиф искл]]=0,1,0)</f>
        <v>0</v>
      </c>
      <c r="BU78" s="117" t="s">
        <v>213</v>
      </c>
      <c r="BV78" s="147">
        <f>IF(Таблица17[[#This Row],[обуч выборка2]]-Таблица17[[#This Row],[Расстояние Махаланобиса искл]]=0,1,0)</f>
        <v>0</v>
      </c>
      <c r="BW78" s="117">
        <f>MATCH(MIN(Таблица17[[#This Row],[1 класс искл]:[6 класс искл]]),Таблица17[[#This Row],[1 класс искл]:[6 класс искл]],0)</f>
        <v>1</v>
      </c>
      <c r="BX78" s="120">
        <v>14.312446780948239</v>
      </c>
      <c r="BY78" s="120">
        <v>55.381602152169172</v>
      </c>
      <c r="BZ78" s="120">
        <v>49.538112176212401</v>
      </c>
      <c r="CA78" s="120">
        <v>158.73853970151202</v>
      </c>
      <c r="CB78" s="120">
        <v>288.52910726201605</v>
      </c>
      <c r="CC78" s="120">
        <v>35.115195847556038</v>
      </c>
      <c r="CD78" s="147">
        <f>IF(Таблица17[[#This Row],[обуч выборка2]]-Таблица17[[#This Row],[Апосториорная вероятность искл]]=0,1,0)</f>
        <v>0</v>
      </c>
      <c r="CE78" s="117">
        <f>MATCH(MAX(Таблица17[[#This Row],[1 класс искл.]:[6 класс искл.]]),Таблица17[[#This Row],[1 класс искл.]:[6 класс искл.]],0)</f>
        <v>1</v>
      </c>
      <c r="CF78" s="120">
        <v>0.99999087069744963</v>
      </c>
      <c r="CG78" s="120">
        <v>9.6612260810219685E-10</v>
      </c>
      <c r="CH78" s="120">
        <v>1.1215276581437518E-8</v>
      </c>
      <c r="CI78" s="120">
        <v>0</v>
      </c>
      <c r="CJ78" s="120">
        <v>0</v>
      </c>
      <c r="CK78" s="120">
        <v>9.1171211510333355E-6</v>
      </c>
      <c r="CL78" s="198">
        <v>0.54814525741938513</v>
      </c>
      <c r="CM78" s="198">
        <v>-0.732693321291644</v>
      </c>
      <c r="CN78" s="199">
        <v>-7.4262717399777661E-2</v>
      </c>
      <c r="CO78" s="192">
        <v>5</v>
      </c>
      <c r="CP78" s="195">
        <v>5</v>
      </c>
      <c r="CQ78" s="209">
        <v>0.65083000000000013</v>
      </c>
      <c r="CR78" s="209">
        <v>-0.24948000000000004</v>
      </c>
      <c r="CS78" s="223">
        <v>5</v>
      </c>
      <c r="CT78" s="223">
        <v>6</v>
      </c>
      <c r="CU78" s="209">
        <v>-0.24948000000000004</v>
      </c>
      <c r="CV78" s="209">
        <v>0.65083000000000013</v>
      </c>
      <c r="CW78" s="209">
        <v>1</v>
      </c>
      <c r="CX78" s="210">
        <v>3</v>
      </c>
      <c r="CY78" s="272">
        <v>1</v>
      </c>
      <c r="CZ78" s="238">
        <v>5</v>
      </c>
    </row>
    <row r="79" spans="1:104" x14ac:dyDescent="0.3">
      <c r="A79" s="57" t="s">
        <v>87</v>
      </c>
      <c r="B79" s="57">
        <v>1</v>
      </c>
      <c r="C79" s="57">
        <v>6</v>
      </c>
      <c r="D79" s="57">
        <v>6</v>
      </c>
      <c r="E79" s="58">
        <v>5</v>
      </c>
      <c r="F79" s="58">
        <v>-0.83707345600000016</v>
      </c>
      <c r="G79" s="58">
        <v>0.60794150000000013</v>
      </c>
      <c r="H79" s="58">
        <v>-0.44033746300000004</v>
      </c>
      <c r="I79" s="58">
        <v>2.7656109</v>
      </c>
      <c r="J79" s="58">
        <v>-7.0711318499999995E-2</v>
      </c>
      <c r="K79" s="58">
        <v>-0.54879934800000008</v>
      </c>
      <c r="L79" s="58">
        <v>1.7907155700000001</v>
      </c>
      <c r="M79" s="58">
        <v>-0.26745411500000005</v>
      </c>
      <c r="N79" s="58">
        <v>1.0137416800000001</v>
      </c>
      <c r="O79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13.524832534606873</v>
      </c>
      <c r="P79" s="114"/>
      <c r="Q79" s="114"/>
      <c r="R79" s="121" t="str">
        <f>RIGHT(Таблица17[[#This Row],[Классиф ДА2]])</f>
        <v>6</v>
      </c>
      <c r="S79">
        <v>6</v>
      </c>
      <c r="T79" s="147">
        <f>IF(Таблица17[[#This Row],[обуч выборка2]]-Таблица17[[#This Row],[Классиф ДА]]=0,1,0)</f>
        <v>0</v>
      </c>
      <c r="U79" s="117" t="s">
        <v>217</v>
      </c>
      <c r="V79" s="147">
        <f>IF(Таблица17[[#This Row],[обуч выборка2]]-Таблица17[[#This Row],[расстояние Махаланобиса]]=0,1,0)</f>
        <v>0</v>
      </c>
      <c r="W79" s="117">
        <f>MATCH(MIN(Таблица17[[#This Row],[1 класс]:[6 класс]]),Таблица17[[#This Row],[1 класс]:[6 класс]],0)</f>
        <v>6</v>
      </c>
      <c r="X79" s="118">
        <v>202.22119437569125</v>
      </c>
      <c r="Y79" s="118">
        <v>289.45073881711875</v>
      </c>
      <c r="Z79" s="118">
        <v>277.11550214788929</v>
      </c>
      <c r="AA79" s="118">
        <v>356.15058186868725</v>
      </c>
      <c r="AB79" s="118">
        <v>775.54526730251678</v>
      </c>
      <c r="AC79" s="118">
        <v>93.107470744212179</v>
      </c>
      <c r="AD79" s="212">
        <v>202.22119437569125</v>
      </c>
      <c r="AE79" s="212">
        <v>289.45073881711875</v>
      </c>
      <c r="AF79" s="212">
        <v>277.11550214788929</v>
      </c>
      <c r="AG79" s="212">
        <v>356.15058186868725</v>
      </c>
      <c r="AH79" s="212">
        <v>775.54526730251678</v>
      </c>
      <c r="AI79" s="212">
        <v>93.107470744212179</v>
      </c>
      <c r="AJ79" s="147">
        <f>IF(Таблица17[[#This Row],[обуч выборка2]]-Таблица17[[#This Row],[Апосториорная вероятность]]=0,1,0)</f>
        <v>0</v>
      </c>
      <c r="AK79" s="117">
        <f>MATCH(MAX(Таблица17[[#This Row],[1 класс.]:[6 класс.]]),Таблица17[[#This Row],[1 класс.]:[6 класс.]],0)</f>
        <v>6</v>
      </c>
      <c r="AL79" s="120">
        <v>6.7473728414127866E-24</v>
      </c>
      <c r="AM79" s="120">
        <v>0</v>
      </c>
      <c r="AN79" s="120">
        <v>0</v>
      </c>
      <c r="AO79" s="120">
        <v>0</v>
      </c>
      <c r="AP79" s="120">
        <v>0</v>
      </c>
      <c r="AQ79" s="120">
        <v>1</v>
      </c>
      <c r="AR79" s="216">
        <v>6.7473728414127866E-24</v>
      </c>
      <c r="AS79" s="216">
        <v>0</v>
      </c>
      <c r="AT79" s="216">
        <v>0</v>
      </c>
      <c r="AU79" s="216">
        <v>0</v>
      </c>
      <c r="AV79" s="216">
        <v>0</v>
      </c>
      <c r="AW79" s="216">
        <v>1</v>
      </c>
      <c r="AX79" s="121" t="str">
        <f>RIGHT(Таблица17[[#This Row],[Класиф вкл2]])</f>
        <v>6</v>
      </c>
      <c r="AY79" s="221">
        <v>6</v>
      </c>
      <c r="AZ79" s="147">
        <f>IF(Таблица17[[#This Row],[обуч выборка2]]-Таблица17[[#This Row],[Класиф вкл]]=0,1,0)</f>
        <v>0</v>
      </c>
      <c r="BA79" s="117" t="s">
        <v>217</v>
      </c>
      <c r="BB79" s="147">
        <f>IF(Таблица17[[#This Row],[обуч выборка2]]-Таблица17[[#This Row],[Расстояние Махаланобиса вкл
]]=0,1,0)</f>
        <v>0</v>
      </c>
      <c r="BC79" s="117">
        <f>MATCH(MIN(Таблица17[[#This Row],[1 класс вкл]:[6 класс вкл]]),Таблица17[[#This Row],[1 класс вкл]:[6 класс вкл]],0)</f>
        <v>6</v>
      </c>
      <c r="BD79" s="118">
        <v>169.41304332560273</v>
      </c>
      <c r="BE79" s="118">
        <v>233.7181209254361</v>
      </c>
      <c r="BF79" s="118">
        <v>220.3742211438032</v>
      </c>
      <c r="BG79" s="120">
        <v>293.41692981627932</v>
      </c>
      <c r="BH79" s="118">
        <v>636.14271674378119</v>
      </c>
      <c r="BI79" s="118">
        <v>56.255177033680596</v>
      </c>
      <c r="BJ79" s="147">
        <f>IF(Таблица17[[#This Row],[обуч выборка2]]-Таблица17[[#This Row],[Апосториорная вероятность вкл]]=0,1,0)</f>
        <v>0</v>
      </c>
      <c r="BK79" s="117">
        <f>MATCH(MAX(Таблица17[[#This Row],[1 класс вкл.]:[6 класс вкл.]]),Таблица17[[#This Row],[1 класс вкл.]:[6 класс вкл.]],0)</f>
        <v>6</v>
      </c>
      <c r="BL79" s="119">
        <v>8.9322380341664096E-25</v>
      </c>
      <c r="BM79" s="119">
        <v>0</v>
      </c>
      <c r="BN79" s="119">
        <v>0</v>
      </c>
      <c r="BO79" s="119">
        <v>0</v>
      </c>
      <c r="BP79" s="119">
        <v>0</v>
      </c>
      <c r="BQ79" s="119">
        <v>1</v>
      </c>
      <c r="BR79" s="121" t="str">
        <f>RIGHT(Таблица17[[#This Row],[Класиф искл2]])</f>
        <v>6</v>
      </c>
      <c r="BS79" s="222">
        <v>6</v>
      </c>
      <c r="BT79" s="147">
        <f>IF(Таблица17[[#This Row],[обуч выборка2]]-Таблица17[[#This Row],[Класиф искл]]=0,1,0)</f>
        <v>0</v>
      </c>
      <c r="BU79" s="117" t="s">
        <v>217</v>
      </c>
      <c r="BV79" s="147">
        <f>IF(Таблица17[[#This Row],[обуч выборка2]]-Таблица17[[#This Row],[Расстояние Махаланобиса искл]]=0,1,0)</f>
        <v>0</v>
      </c>
      <c r="BW79" s="117">
        <f>MATCH(MIN(Таблица17[[#This Row],[1 класс искл]:[6 класс искл]]),Таблица17[[#This Row],[1 класс искл]:[6 класс искл]],0)</f>
        <v>6</v>
      </c>
      <c r="BX79" s="120">
        <v>119.75073517294391</v>
      </c>
      <c r="BY79" s="120">
        <v>145.94143673293991</v>
      </c>
      <c r="BZ79" s="120">
        <v>144.53228178665415</v>
      </c>
      <c r="CA79" s="120">
        <v>154.18070765594035</v>
      </c>
      <c r="CB79" s="120">
        <v>462.24012209865242</v>
      </c>
      <c r="CC79" s="120">
        <v>63.17543237241803</v>
      </c>
      <c r="CD79" s="147">
        <f>IF(Таблица17[[#This Row],[обуч выборка2]]-Таблица17[[#This Row],[Апосториорная вероятность искл]]=0,1,0)</f>
        <v>0</v>
      </c>
      <c r="CE79" s="117">
        <f>MATCH(MAX(Таблица17[[#This Row],[1 класс искл.]:[6 класс искл.]]),Таблица17[[#This Row],[1 класс искл.]:[6 класс искл.]],0)</f>
        <v>6</v>
      </c>
      <c r="CF79" s="120">
        <v>1.7286530474916441E-12</v>
      </c>
      <c r="CG79" s="120">
        <v>2.8415757692861483E-18</v>
      </c>
      <c r="CH79" s="120">
        <v>3.5928026865086946E-18</v>
      </c>
      <c r="CI79" s="120">
        <v>1.1544212198359536E-20</v>
      </c>
      <c r="CJ79" s="120">
        <v>0</v>
      </c>
      <c r="CK79" s="120">
        <v>0.99999999999827138</v>
      </c>
      <c r="CL79" s="198">
        <v>1.4547738298003259</v>
      </c>
      <c r="CM79" s="198">
        <v>-0.9229060546623441</v>
      </c>
      <c r="CN79" s="199">
        <v>-0.75741908532695523</v>
      </c>
      <c r="CO79" s="192">
        <v>2</v>
      </c>
      <c r="CP79" s="195">
        <v>2</v>
      </c>
      <c r="CQ79" s="209">
        <v>2.0257999999999998</v>
      </c>
      <c r="CR79" s="209">
        <v>0.10603000000000001</v>
      </c>
      <c r="CS79" s="223">
        <v>3</v>
      </c>
      <c r="CT79" s="223">
        <v>3</v>
      </c>
      <c r="CU79" s="209">
        <v>0.10603000000000001</v>
      </c>
      <c r="CV79" s="209">
        <v>2.0257999999999998</v>
      </c>
      <c r="CW79" s="209">
        <v>4</v>
      </c>
      <c r="CX79" s="210">
        <v>4</v>
      </c>
      <c r="CY79" s="272">
        <v>6</v>
      </c>
      <c r="CZ79" s="238">
        <v>3</v>
      </c>
    </row>
    <row r="80" spans="1:104" x14ac:dyDescent="0.3">
      <c r="A80" s="57" t="s">
        <v>88</v>
      </c>
      <c r="B80" s="57">
        <v>5</v>
      </c>
      <c r="C80" s="57">
        <v>6</v>
      </c>
      <c r="D80" s="57">
        <v>1</v>
      </c>
      <c r="E80" s="58">
        <v>6</v>
      </c>
      <c r="F80" s="58">
        <v>-0.776309374</v>
      </c>
      <c r="G80" s="58">
        <v>0.16961855100000001</v>
      </c>
      <c r="H80" s="58">
        <v>-0.66571604100000004</v>
      </c>
      <c r="I80" s="58">
        <v>-0.14499569300000004</v>
      </c>
      <c r="J80" s="58">
        <v>1.06352259</v>
      </c>
      <c r="K80" s="58">
        <v>0.59398601399999995</v>
      </c>
      <c r="L80" s="58">
        <v>-0.24752416200000002</v>
      </c>
      <c r="M80" s="58">
        <v>-0.26745411500000005</v>
      </c>
      <c r="N80" s="58">
        <v>0.52866474099999994</v>
      </c>
      <c r="O80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2.9918143026115289</v>
      </c>
      <c r="P80" s="114"/>
      <c r="Q80" s="114"/>
      <c r="R80" s="121" t="str">
        <f>RIGHT(Таблица17[[#This Row],[Классиф ДА2]])</f>
        <v>1</v>
      </c>
      <c r="S80">
        <v>1</v>
      </c>
      <c r="T80" s="147">
        <f>IF(Таблица17[[#This Row],[обуч выборка2]]-Таблица17[[#This Row],[Классиф ДА]]=0,1,0)</f>
        <v>0</v>
      </c>
      <c r="U80" s="117" t="s">
        <v>213</v>
      </c>
      <c r="V80" s="147">
        <f>IF(Таблица17[[#This Row],[обуч выборка2]]-Таблица17[[#This Row],[расстояние Махаланобиса]]=0,1,0)</f>
        <v>0</v>
      </c>
      <c r="W80" s="117">
        <f>MATCH(MIN(Таблица17[[#This Row],[1 класс]:[6 класс]]),Таблица17[[#This Row],[1 класс]:[6 класс]],0)</f>
        <v>1</v>
      </c>
      <c r="X80" s="118">
        <v>36.981445339810442</v>
      </c>
      <c r="Y80" s="118">
        <v>56.621046902706802</v>
      </c>
      <c r="Z80" s="118">
        <v>57.969214483650639</v>
      </c>
      <c r="AA80" s="118">
        <v>167.03458051580031</v>
      </c>
      <c r="AB80" s="118">
        <v>264.11123528656037</v>
      </c>
      <c r="AC80" s="118">
        <v>188.7136261954077</v>
      </c>
      <c r="AD80" s="212">
        <v>36.981445339810442</v>
      </c>
      <c r="AE80" s="212">
        <v>56.621046902706802</v>
      </c>
      <c r="AF80" s="212">
        <v>57.969214483650639</v>
      </c>
      <c r="AG80" s="212">
        <v>167.03458051580031</v>
      </c>
      <c r="AH80" s="212">
        <v>264.11123528656037</v>
      </c>
      <c r="AI80" s="212">
        <v>188.7136261954077</v>
      </c>
      <c r="AJ80" s="147">
        <f>IF(Таблица17[[#This Row],[обуч выборка2]]-Таблица17[[#This Row],[Апосториорная вероятность]]=0,1,0)</f>
        <v>0</v>
      </c>
      <c r="AK80" s="117">
        <f>MATCH(MAX(Таблица17[[#This Row],[1 класс.]:[6 класс.]]),Таблица17[[#This Row],[1 класс.]:[6 класс.]],0)</f>
        <v>1</v>
      </c>
      <c r="AL80" s="120">
        <v>0.99994265907611291</v>
      </c>
      <c r="AM80" s="120">
        <v>4.3489036969163729E-5</v>
      </c>
      <c r="AN80" s="120">
        <v>1.3851886917943514E-5</v>
      </c>
      <c r="AO80" s="120">
        <v>1.1490147704482652E-29</v>
      </c>
      <c r="AP80" s="120">
        <v>0</v>
      </c>
      <c r="AQ80" s="120">
        <v>0</v>
      </c>
      <c r="AR80" s="216">
        <v>0.99994265907611291</v>
      </c>
      <c r="AS80" s="216">
        <v>4.3489036969163729E-5</v>
      </c>
      <c r="AT80" s="216">
        <v>1.3851886917943514E-5</v>
      </c>
      <c r="AU80" s="216">
        <v>1.1490147704482652E-29</v>
      </c>
      <c r="AV80" s="216">
        <v>0</v>
      </c>
      <c r="AW80" s="216">
        <v>0</v>
      </c>
      <c r="AX80" s="121" t="str">
        <f>RIGHT(Таблица17[[#This Row],[Класиф вкл2]])</f>
        <v>1</v>
      </c>
      <c r="AY80" s="221">
        <v>1</v>
      </c>
      <c r="AZ80" s="147">
        <f>IF(Таблица17[[#This Row],[обуч выборка2]]-Таблица17[[#This Row],[Класиф вкл]]=0,1,0)</f>
        <v>0</v>
      </c>
      <c r="BA80" s="117" t="s">
        <v>213</v>
      </c>
      <c r="BB80" s="147">
        <f>IF(Таблица17[[#This Row],[обуч выборка2]]-Таблица17[[#This Row],[Расстояние Махаланобиса вкл
]]=0,1,0)</f>
        <v>0</v>
      </c>
      <c r="BC80" s="117">
        <f>MATCH(MIN(Таблица17[[#This Row],[1 класс вкл]:[6 класс вкл]]),Таблица17[[#This Row],[1 класс вкл]:[6 класс вкл]],0)</f>
        <v>1</v>
      </c>
      <c r="BD80" s="118">
        <v>36.357784491535533</v>
      </c>
      <c r="BE80" s="118">
        <v>44.562643951133602</v>
      </c>
      <c r="BF80" s="118">
        <v>51.175099437630394</v>
      </c>
      <c r="BG80" s="120">
        <v>107.20076357905657</v>
      </c>
      <c r="BH80" s="118">
        <v>164.32377291141142</v>
      </c>
      <c r="BI80" s="118">
        <v>177.0665120102615</v>
      </c>
      <c r="BJ80" s="147">
        <f>IF(Таблица17[[#This Row],[обуч выборка2]]-Таблица17[[#This Row],[Апосториорная вероятность вкл]]=0,1,0)</f>
        <v>0</v>
      </c>
      <c r="BK80" s="117">
        <f>MATCH(MAX(Таблица17[[#This Row],[1 класс вкл.]:[6 класс вкл.]]),Таблица17[[#This Row],[1 класс вкл.]:[6 класс вкл.]],0)</f>
        <v>1</v>
      </c>
      <c r="BL80" s="119">
        <v>0.98665163192985694</v>
      </c>
      <c r="BM80" s="119">
        <v>1.3049420667806058E-2</v>
      </c>
      <c r="BN80" s="119">
        <v>2.9894740233692477E-4</v>
      </c>
      <c r="BO80" s="119">
        <v>8.1627479131287838E-17</v>
      </c>
      <c r="BP80" s="119">
        <v>3.2190855099481956E-29</v>
      </c>
      <c r="BQ80" s="123">
        <v>8.2560655943801126E-32</v>
      </c>
      <c r="BR80" s="121" t="str">
        <f>RIGHT(Таблица17[[#This Row],[Класиф искл2]])</f>
        <v>1</v>
      </c>
      <c r="BS80" s="222">
        <v>1</v>
      </c>
      <c r="BT80" s="147">
        <f>IF(Таблица17[[#This Row],[обуч выборка2]]-Таблица17[[#This Row],[Класиф искл]]=0,1,0)</f>
        <v>0</v>
      </c>
      <c r="BU80" s="117" t="s">
        <v>213</v>
      </c>
      <c r="BV80" s="147">
        <f>IF(Таблица17[[#This Row],[обуч выборка2]]-Таблица17[[#This Row],[Расстояние Махаланобиса искл]]=0,1,0)</f>
        <v>0</v>
      </c>
      <c r="BW80" s="117">
        <f>MATCH(MIN(Таблица17[[#This Row],[1 класс искл]:[6 класс искл]]),Таблица17[[#This Row],[1 класс искл]:[6 класс искл]],0)</f>
        <v>1</v>
      </c>
      <c r="BX80" s="120">
        <v>7.4102079424521863</v>
      </c>
      <c r="BY80" s="120">
        <v>32.256499183134679</v>
      </c>
      <c r="BZ80" s="120">
        <v>32.908709940267734</v>
      </c>
      <c r="CA80" s="120">
        <v>118.13062842215484</v>
      </c>
      <c r="CB80" s="120">
        <v>222.99742060470948</v>
      </c>
      <c r="CC80" s="120">
        <v>63.988580327359998</v>
      </c>
      <c r="CD80" s="147">
        <f>IF(Таблица17[[#This Row],[обуч выборка2]]-Таблица17[[#This Row],[Апосториорная вероятность искл]]=0,1,0)</f>
        <v>0</v>
      </c>
      <c r="CE80" s="117">
        <f>MATCH(MAX(Таблица17[[#This Row],[1 класс искл.]:[6 класс искл.]]),Таблица17[[#This Row],[1 класс искл.]:[6 класс искл.]],0)</f>
        <v>1</v>
      </c>
      <c r="CF80" s="120">
        <v>0.99999532828921023</v>
      </c>
      <c r="CG80" s="120">
        <v>3.2194698868406011E-6</v>
      </c>
      <c r="CH80" s="120">
        <v>1.4522407475767675E-6</v>
      </c>
      <c r="CI80" s="120">
        <v>1.8129847147906991E-25</v>
      </c>
      <c r="CJ80" s="120">
        <v>0</v>
      </c>
      <c r="CK80" s="120">
        <v>1.5533945062826789E-13</v>
      </c>
      <c r="CL80" s="198">
        <v>0.605509288233405</v>
      </c>
      <c r="CM80" s="198">
        <v>0.57568127794030155</v>
      </c>
      <c r="CN80" s="199">
        <v>-0.10065515321502315</v>
      </c>
      <c r="CO80" s="192">
        <v>4</v>
      </c>
      <c r="CP80" s="195">
        <v>3</v>
      </c>
      <c r="CQ80" s="209">
        <v>-9.597E-2</v>
      </c>
      <c r="CR80" s="209">
        <v>0.78450999999999993</v>
      </c>
      <c r="CS80" s="223">
        <v>4</v>
      </c>
      <c r="CT80" s="223">
        <v>2</v>
      </c>
      <c r="CU80" s="209">
        <v>0.78450999999999993</v>
      </c>
      <c r="CV80" s="209">
        <v>-9.597E-2</v>
      </c>
      <c r="CW80" s="209">
        <v>6</v>
      </c>
      <c r="CX80" s="210">
        <v>5</v>
      </c>
      <c r="CY80" s="272">
        <v>1</v>
      </c>
      <c r="CZ80" s="238">
        <v>5</v>
      </c>
    </row>
    <row r="81" spans="1:104" x14ac:dyDescent="0.3">
      <c r="A81" s="57" t="s">
        <v>89</v>
      </c>
      <c r="B81" s="57">
        <v>2</v>
      </c>
      <c r="C81" s="57">
        <v>5</v>
      </c>
      <c r="D81" s="57">
        <v>5</v>
      </c>
      <c r="E81" s="58">
        <v>6</v>
      </c>
      <c r="F81" s="58">
        <v>2.4171807200000002</v>
      </c>
      <c r="G81" s="58">
        <v>1.98693505</v>
      </c>
      <c r="H81" s="58">
        <v>-0.54726778999999992</v>
      </c>
      <c r="I81" s="58">
        <v>-2.0802994899999998</v>
      </c>
      <c r="J81" s="58">
        <v>-0.42141509700000007</v>
      </c>
      <c r="K81" s="58">
        <v>0.22666214800000001</v>
      </c>
      <c r="L81" s="58">
        <v>-0.8596919890000001</v>
      </c>
      <c r="M81" s="58">
        <v>1.4158882100000001</v>
      </c>
      <c r="N81" s="58">
        <v>-0.71662549500000017</v>
      </c>
      <c r="O81" s="130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17.904149778851341</v>
      </c>
      <c r="P81" s="114" t="s">
        <v>212</v>
      </c>
      <c r="Q81" s="114" t="str">
        <f>RIGHT(P81)</f>
        <v>5</v>
      </c>
      <c r="R81" s="121" t="str">
        <f>RIGHT(Таблица17[[#This Row],[Классиф ДА2]])</f>
        <v>5</v>
      </c>
      <c r="S81">
        <v>5</v>
      </c>
      <c r="T81" s="147">
        <f>IF(Таблица17[[#This Row],[обуч выборка2]]-Таблица17[[#This Row],[Классиф ДА]]=0,1,0)</f>
        <v>1</v>
      </c>
      <c r="U81" s="117" t="s">
        <v>212</v>
      </c>
      <c r="V81" s="147">
        <f>IF(Таблица17[[#This Row],[обуч выборка2]]-Таблица17[[#This Row],[расстояние Махаланобиса]]=0,1,0)</f>
        <v>1</v>
      </c>
      <c r="W81" s="117">
        <f>MATCH(MIN(Таблица17[[#This Row],[1 класс]:[6 класс]]),Таблица17[[#This Row],[1 класс]:[6 класс]],0)</f>
        <v>5</v>
      </c>
      <c r="X81" s="118">
        <v>278.58003493887952</v>
      </c>
      <c r="Y81" s="118">
        <v>133.0826940715842</v>
      </c>
      <c r="Z81" s="118">
        <v>179.91523295991857</v>
      </c>
      <c r="AA81" s="118">
        <v>492.61689102386651</v>
      </c>
      <c r="AB81" s="118">
        <v>6.1262798123681419</v>
      </c>
      <c r="AC81" s="118">
        <v>488.34877288832894</v>
      </c>
      <c r="AD81" s="212">
        <v>278.58003493887952</v>
      </c>
      <c r="AE81" s="212">
        <v>133.0826940715842</v>
      </c>
      <c r="AF81" s="212">
        <v>179.91523295991857</v>
      </c>
      <c r="AG81" s="212">
        <v>492.61689102386651</v>
      </c>
      <c r="AH81" s="212">
        <v>6.1262798123681419</v>
      </c>
      <c r="AI81" s="212">
        <v>488.34877288832894</v>
      </c>
      <c r="AJ81" s="147">
        <f>IF(Таблица17[[#This Row],[обуч выборка2]]-Таблица17[[#This Row],[Апосториорная вероятность]]=0,1,0)</f>
        <v>1</v>
      </c>
      <c r="AK81" s="117">
        <f>MATCH(MAX(Таблица17[[#This Row],[1 класс.]:[6 класс.]]),Таблица17[[#This Row],[1 класс.]:[6 класс.]],0)</f>
        <v>5</v>
      </c>
      <c r="AL81" s="120">
        <v>0</v>
      </c>
      <c r="AM81" s="120">
        <v>1.0809980581949824E-27</v>
      </c>
      <c r="AN81" s="120">
        <v>0</v>
      </c>
      <c r="AO81" s="120">
        <v>0</v>
      </c>
      <c r="AP81" s="120">
        <v>1</v>
      </c>
      <c r="AQ81" s="120">
        <v>0</v>
      </c>
      <c r="AR81" s="216">
        <v>0</v>
      </c>
      <c r="AS81" s="216">
        <v>1.0809980581949824E-27</v>
      </c>
      <c r="AT81" s="216">
        <v>0</v>
      </c>
      <c r="AU81" s="216">
        <v>0</v>
      </c>
      <c r="AV81" s="216">
        <v>1</v>
      </c>
      <c r="AW81" s="216">
        <v>0</v>
      </c>
      <c r="AX81" s="121" t="str">
        <f>RIGHT(Таблица17[[#This Row],[Класиф вкл2]])</f>
        <v>5</v>
      </c>
      <c r="AY81" s="221">
        <v>5</v>
      </c>
      <c r="AZ81" s="147">
        <f>IF(Таблица17[[#This Row],[обуч выборка2]]-Таблица17[[#This Row],[Класиф вкл]]=0,1,0)</f>
        <v>1</v>
      </c>
      <c r="BA81" s="117" t="s">
        <v>212</v>
      </c>
      <c r="BB81" s="147">
        <f>IF(Таблица17[[#This Row],[обуч выборка2]]-Таблица17[[#This Row],[Расстояние Махаланобиса вкл
]]=0,1,0)</f>
        <v>1</v>
      </c>
      <c r="BC81" s="117">
        <f>MATCH(MIN(Таблица17[[#This Row],[1 класс вкл]:[6 класс вкл]]),Таблица17[[#This Row],[1 класс вкл]:[6 класс вкл]],0)</f>
        <v>5</v>
      </c>
      <c r="BD81" s="118">
        <v>190.13584339342381</v>
      </c>
      <c r="BE81" s="118">
        <v>103.4991721252588</v>
      </c>
      <c r="BF81" s="118">
        <v>131.45619934250016</v>
      </c>
      <c r="BG81" s="120">
        <v>395.94069213360302</v>
      </c>
      <c r="BH81" s="118">
        <v>2.4848285274193143</v>
      </c>
      <c r="BI81" s="118">
        <v>375.54915395373172</v>
      </c>
      <c r="BJ81" s="147">
        <f>IF(Таблица17[[#This Row],[обуч выборка2]]-Таблица17[[#This Row],[Апосториорная вероятность вкл]]=0,1,0)</f>
        <v>1</v>
      </c>
      <c r="BK81" s="117">
        <f>MATCH(MAX(Таблица17[[#This Row],[1 класс вкл.]:[6 класс вкл.]]),Таблица17[[#This Row],[1 класс вкл.]:[6 класс вкл.]],0)</f>
        <v>5</v>
      </c>
      <c r="BL81" s="119">
        <v>0</v>
      </c>
      <c r="BM81" s="119">
        <v>4.6459441262434457E-22</v>
      </c>
      <c r="BN81" s="119">
        <v>2.4669632188332365E-28</v>
      </c>
      <c r="BO81" s="119">
        <v>0</v>
      </c>
      <c r="BP81" s="119">
        <v>1</v>
      </c>
      <c r="BQ81" s="119">
        <v>0</v>
      </c>
      <c r="BR81" s="121" t="str">
        <f>RIGHT(Таблица17[[#This Row],[Класиф искл2]])</f>
        <v>5</v>
      </c>
      <c r="BS81" s="222">
        <v>5</v>
      </c>
      <c r="BT81" s="147">
        <f>IF(Таблица17[[#This Row],[обуч выборка2]]-Таблица17[[#This Row],[Класиф искл]]=0,1,0)</f>
        <v>1</v>
      </c>
      <c r="BU81" s="117" t="s">
        <v>212</v>
      </c>
      <c r="BV81" s="147">
        <f>IF(Таблица17[[#This Row],[обуч выборка2]]-Таблица17[[#This Row],[Расстояние Махаланобиса искл]]=0,1,0)</f>
        <v>1</v>
      </c>
      <c r="BW81" s="117">
        <f>MATCH(MIN(Таблица17[[#This Row],[1 класс искл]:[6 класс искл]]),Таблица17[[#This Row],[1 класс искл]:[6 класс искл]],0)</f>
        <v>5</v>
      </c>
      <c r="BX81" s="120">
        <v>196.87713382713781</v>
      </c>
      <c r="BY81" s="120">
        <v>98.009144386676411</v>
      </c>
      <c r="BZ81" s="120">
        <v>138.66058491273444</v>
      </c>
      <c r="CA81" s="120">
        <v>395.71774122512898</v>
      </c>
      <c r="CB81" s="120">
        <v>5.7506560177300914</v>
      </c>
      <c r="CC81" s="120">
        <v>291.95339625560734</v>
      </c>
      <c r="CD81" s="147">
        <f>IF(Таблица17[[#This Row],[обуч выборка2]]-Таблица17[[#This Row],[Апосториорная вероятность искл]]=0,1,0)</f>
        <v>1</v>
      </c>
      <c r="CE81" s="117">
        <f>MATCH(MAX(Таблица17[[#This Row],[1 класс искл.]:[6 класс искл.]]),Таблица17[[#This Row],[1 класс искл.]:[6 класс искл.]],0)</f>
        <v>5</v>
      </c>
      <c r="CF81" s="120">
        <v>0</v>
      </c>
      <c r="CG81" s="120">
        <v>3.701551427616228E-20</v>
      </c>
      <c r="CH81" s="120">
        <v>3.4428305976977555E-29</v>
      </c>
      <c r="CI81" s="120">
        <v>0</v>
      </c>
      <c r="CJ81" s="120">
        <v>1</v>
      </c>
      <c r="CK81" s="120">
        <v>0</v>
      </c>
      <c r="CL81" s="198">
        <v>-1.6596365580984691</v>
      </c>
      <c r="CM81" s="198">
        <v>1.7836887138566841</v>
      </c>
      <c r="CN81" s="199">
        <v>0.23369708472807382</v>
      </c>
      <c r="CO81" s="192">
        <v>6</v>
      </c>
      <c r="CP81" s="195">
        <v>6</v>
      </c>
      <c r="CQ81" s="209">
        <v>-1.9755199999999999</v>
      </c>
      <c r="CR81" s="209">
        <v>4.0479999999999995E-2</v>
      </c>
      <c r="CS81" s="223">
        <v>6</v>
      </c>
      <c r="CT81" s="223">
        <v>5</v>
      </c>
      <c r="CU81" s="209">
        <v>4.0479999999999995E-2</v>
      </c>
      <c r="CV81" s="209">
        <v>-1.9755199999999999</v>
      </c>
      <c r="CW81" s="209">
        <v>3</v>
      </c>
      <c r="CX81" s="210">
        <v>2</v>
      </c>
      <c r="CY81" s="272" t="str">
        <f>RIGHT(CX81)</f>
        <v>2</v>
      </c>
      <c r="CZ81" s="238">
        <v>1</v>
      </c>
    </row>
    <row r="82" spans="1:104" x14ac:dyDescent="0.3">
      <c r="A82" s="57" t="s">
        <v>90</v>
      </c>
      <c r="B82" s="57">
        <v>5</v>
      </c>
      <c r="C82" s="57">
        <v>6</v>
      </c>
      <c r="D82" s="57">
        <v>1</v>
      </c>
      <c r="E82" s="58">
        <v>6</v>
      </c>
      <c r="F82" s="58">
        <v>-0.43535535800000003</v>
      </c>
      <c r="G82" s="58">
        <v>1.6944265900000002E-2</v>
      </c>
      <c r="H82" s="58">
        <v>-0.74363944300000018</v>
      </c>
      <c r="I82" s="58">
        <v>-8.9072869499999985E-2</v>
      </c>
      <c r="J82" s="58">
        <v>-0.236975874</v>
      </c>
      <c r="K82" s="58">
        <v>-0.44676494</v>
      </c>
      <c r="L82" s="58">
        <v>-0.63559056800000002</v>
      </c>
      <c r="M82" s="58">
        <v>0.531054425</v>
      </c>
      <c r="N82" s="58">
        <v>-0.53832257499999991</v>
      </c>
      <c r="O82" s="131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1.9822968370951561</v>
      </c>
      <c r="P82" s="114" t="s">
        <v>213</v>
      </c>
      <c r="Q82" s="114" t="str">
        <f>RIGHT(P82)</f>
        <v>1</v>
      </c>
      <c r="R82" s="121" t="str">
        <f>RIGHT(Таблица17[[#This Row],[Классиф ДА2]])</f>
        <v>1</v>
      </c>
      <c r="S82">
        <v>1</v>
      </c>
      <c r="T82" s="147">
        <f>IF(Таблица17[[#This Row],[обуч выборка2]]-Таблица17[[#This Row],[Классиф ДА]]=0,1,0)</f>
        <v>1</v>
      </c>
      <c r="U82" s="117" t="s">
        <v>213</v>
      </c>
      <c r="V82" s="147">
        <f>IF(Таблица17[[#This Row],[обуч выборка2]]-Таблица17[[#This Row],[расстояние Махаланобиса]]=0,1,0)</f>
        <v>1</v>
      </c>
      <c r="W82" s="117">
        <f>MATCH(MIN(Таблица17[[#This Row],[1 класс]:[6 класс]]),Таблица17[[#This Row],[1 класс]:[6 класс]],0)</f>
        <v>1</v>
      </c>
      <c r="X82" s="118">
        <v>6.1408182863293908</v>
      </c>
      <c r="Y82" s="118">
        <v>43.294796654483036</v>
      </c>
      <c r="Z82" s="118">
        <v>42.239004496743462</v>
      </c>
      <c r="AA82" s="118">
        <v>254.37741416086993</v>
      </c>
      <c r="AB82" s="118">
        <v>322.86064190880148</v>
      </c>
      <c r="AC82" s="118">
        <v>108.73350809822111</v>
      </c>
      <c r="AD82" s="212">
        <v>6.1408182863293908</v>
      </c>
      <c r="AE82" s="212">
        <v>43.294796654483036</v>
      </c>
      <c r="AF82" s="212">
        <v>42.239004496743462</v>
      </c>
      <c r="AG82" s="212">
        <v>254.37741416086993</v>
      </c>
      <c r="AH82" s="212">
        <v>322.86064190880148</v>
      </c>
      <c r="AI82" s="212">
        <v>108.73350809822111</v>
      </c>
      <c r="AJ82" s="147">
        <f>IF(Таблица17[[#This Row],[обуч выборка2]]-Таблица17[[#This Row],[Апосториорная вероятность]]=0,1,0)</f>
        <v>1</v>
      </c>
      <c r="AK82" s="117">
        <f>MATCH(MAX(Таблица17[[#This Row],[1 класс.]:[6 класс.]]),Таблица17[[#This Row],[1 класс.]:[6 класс.]],0)</f>
        <v>1</v>
      </c>
      <c r="AL82" s="120">
        <v>0.99999998590746286</v>
      </c>
      <c r="AM82" s="120">
        <v>6.8423626418187163E-9</v>
      </c>
      <c r="AN82" s="120">
        <v>7.2501744966971528E-9</v>
      </c>
      <c r="AO82" s="120">
        <v>0</v>
      </c>
      <c r="AP82" s="120">
        <v>0</v>
      </c>
      <c r="AQ82" s="120">
        <v>1.5827113403102679E-23</v>
      </c>
      <c r="AR82" s="216">
        <v>0.99999998590746286</v>
      </c>
      <c r="AS82" s="216">
        <v>6.8423626418187163E-9</v>
      </c>
      <c r="AT82" s="216">
        <v>7.2501744966971528E-9</v>
      </c>
      <c r="AU82" s="216">
        <v>0</v>
      </c>
      <c r="AV82" s="216">
        <v>0</v>
      </c>
      <c r="AW82" s="216">
        <v>1.5827113403102679E-23</v>
      </c>
      <c r="AX82" s="121" t="str">
        <f>RIGHT(Таблица17[[#This Row],[Класиф вкл2]])</f>
        <v>1</v>
      </c>
      <c r="AY82" s="221">
        <v>1</v>
      </c>
      <c r="AZ82" s="147">
        <f>IF(Таблица17[[#This Row],[обуч выборка2]]-Таблица17[[#This Row],[Класиф вкл]]=0,1,0)</f>
        <v>1</v>
      </c>
      <c r="BA82" s="117" t="s">
        <v>213</v>
      </c>
      <c r="BB82" s="147">
        <f>IF(Таблица17[[#This Row],[обуч выборка2]]-Таблица17[[#This Row],[Расстояние Махаланобиса вкл
]]=0,1,0)</f>
        <v>1</v>
      </c>
      <c r="BC82" s="117">
        <f>MATCH(MIN(Таблица17[[#This Row],[1 класс вкл]:[6 класс вкл]]),Таблица17[[#This Row],[1 класс вкл]:[6 класс вкл]],0)</f>
        <v>1</v>
      </c>
      <c r="BD82" s="118">
        <v>3.4977771381646421</v>
      </c>
      <c r="BE82" s="118">
        <v>21.356965639979091</v>
      </c>
      <c r="BF82" s="118">
        <v>26.050866664363895</v>
      </c>
      <c r="BG82" s="120">
        <v>195.69098805075345</v>
      </c>
      <c r="BH82" s="118">
        <v>205.52102584012624</v>
      </c>
      <c r="BI82" s="118">
        <v>97.116296989927832</v>
      </c>
      <c r="BJ82" s="147">
        <f>IF(Таблица17[[#This Row],[обуч выборка2]]-Таблица17[[#This Row],[Апосториорная вероятность вкл]]=0,1,0)</f>
        <v>1</v>
      </c>
      <c r="BK82" s="117">
        <f>MATCH(MAX(Таблица17[[#This Row],[1 класс вкл.]:[6 класс вкл.]]),Таблица17[[#This Row],[1 класс вкл.]:[6 класс вкл.]],0)</f>
        <v>1</v>
      </c>
      <c r="BL82" s="119">
        <v>0.99988774992764895</v>
      </c>
      <c r="BM82" s="119">
        <v>1.0591750107811967E-4</v>
      </c>
      <c r="BN82" s="119">
        <v>6.3325712729301617E-6</v>
      </c>
      <c r="BO82" s="119">
        <v>0</v>
      </c>
      <c r="BP82" s="119">
        <v>0</v>
      </c>
      <c r="BQ82" s="123">
        <v>1.4062716273406396E-21</v>
      </c>
      <c r="BR82" s="121" t="str">
        <f>RIGHT(Таблица17[[#This Row],[Класиф искл2]])</f>
        <v>1</v>
      </c>
      <c r="BS82" s="222">
        <v>1</v>
      </c>
      <c r="BT82" s="147">
        <f>IF(Таблица17[[#This Row],[обуч выборка2]]-Таблица17[[#This Row],[Класиф искл]]=0,1,0)</f>
        <v>1</v>
      </c>
      <c r="BU82" s="117" t="s">
        <v>213</v>
      </c>
      <c r="BV82" s="147">
        <f>IF(Таблица17[[#This Row],[обуч выборка2]]-Таблица17[[#This Row],[Расстояние Махаланобиса искл]]=0,1,0)</f>
        <v>1</v>
      </c>
      <c r="BW82" s="117">
        <f>MATCH(MIN(Таблица17[[#This Row],[1 класс искл]:[6 класс искл]]),Таблица17[[#This Row],[1 класс искл]:[6 класс искл]],0)</f>
        <v>1</v>
      </c>
      <c r="BX82" s="120">
        <v>3.7314775686294723</v>
      </c>
      <c r="BY82" s="120">
        <v>19.075211344132686</v>
      </c>
      <c r="BZ82" s="120">
        <v>22.227673411133122</v>
      </c>
      <c r="CA82" s="120">
        <v>186.23276679587539</v>
      </c>
      <c r="CB82" s="120">
        <v>215.13440836924784</v>
      </c>
      <c r="CC82" s="120">
        <v>78.514887965033921</v>
      </c>
      <c r="CD82" s="147">
        <f>IF(Таблица17[[#This Row],[обуч выборка2]]-Таблица17[[#This Row],[Апосториорная вероятность искл]]=0,1,0)</f>
        <v>1</v>
      </c>
      <c r="CE82" s="117">
        <f>MATCH(MAX(Таблица17[[#This Row],[1 класс искл.]:[6 класс искл.]]),Таблица17[[#This Row],[1 класс искл.]:[6 класс искл.]],0)</f>
        <v>1</v>
      </c>
      <c r="CF82" s="120">
        <v>0.99957943162260487</v>
      </c>
      <c r="CG82" s="120">
        <v>3.7244130765293416E-4</v>
      </c>
      <c r="CH82" s="120">
        <v>4.8127069742110878E-5</v>
      </c>
      <c r="CI82" s="120">
        <v>0</v>
      </c>
      <c r="CJ82" s="120">
        <v>0</v>
      </c>
      <c r="CK82" s="120">
        <v>1.7295269322162282E-17</v>
      </c>
      <c r="CL82" s="198">
        <v>-0.42598939160003141</v>
      </c>
      <c r="CM82" s="198">
        <v>-6.9064857570127342E-2</v>
      </c>
      <c r="CN82" s="199">
        <v>0.26707733660428745</v>
      </c>
      <c r="CO82" s="192">
        <v>5</v>
      </c>
      <c r="CP82" s="195">
        <v>4</v>
      </c>
      <c r="CQ82" s="209">
        <v>-0.23470000000000002</v>
      </c>
      <c r="CR82" s="209">
        <v>-0.33383000000000007</v>
      </c>
      <c r="CS82" s="223">
        <v>5</v>
      </c>
      <c r="CT82" s="223">
        <v>1</v>
      </c>
      <c r="CU82" s="209">
        <v>-0.33383000000000007</v>
      </c>
      <c r="CV82" s="209">
        <v>-0.23470000000000002</v>
      </c>
      <c r="CW82" s="209">
        <v>5</v>
      </c>
      <c r="CX82" s="210">
        <v>3</v>
      </c>
      <c r="CY82" s="239" t="s">
        <v>339</v>
      </c>
      <c r="CZ82" s="238">
        <v>5</v>
      </c>
    </row>
    <row r="83" spans="1:104" x14ac:dyDescent="0.3">
      <c r="A83" s="57" t="s">
        <v>91</v>
      </c>
      <c r="B83" s="57">
        <v>1</v>
      </c>
      <c r="C83" s="57">
        <v>6</v>
      </c>
      <c r="D83" s="57">
        <v>6</v>
      </c>
      <c r="E83" s="58">
        <v>5</v>
      </c>
      <c r="F83" s="58">
        <v>0.43447122400000004</v>
      </c>
      <c r="G83" s="58">
        <v>-2.21407029</v>
      </c>
      <c r="H83" s="58">
        <v>1.68656903</v>
      </c>
      <c r="I83" s="58">
        <v>1.9762518</v>
      </c>
      <c r="J83" s="58">
        <v>-0.82327720000000004</v>
      </c>
      <c r="K83" s="58">
        <v>-0.83449568800000007</v>
      </c>
      <c r="L83" s="58">
        <v>4.0017250500000001</v>
      </c>
      <c r="M83" s="58">
        <v>-1.28177578</v>
      </c>
      <c r="N83" s="58">
        <v>-0.75260953100000016</v>
      </c>
      <c r="O83" s="131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31.438300797835456</v>
      </c>
      <c r="P83" s="115"/>
      <c r="Q83" s="115"/>
      <c r="R83" s="121" t="str">
        <f>RIGHT(Таблица17[[#This Row],[Классиф ДА2]])</f>
        <v>6</v>
      </c>
      <c r="S83">
        <v>6</v>
      </c>
      <c r="T83" s="147">
        <f>IF(Таблица17[[#This Row],[обуч выборка2]]-Таблица17[[#This Row],[Классиф ДА]]=0,1,0)</f>
        <v>0</v>
      </c>
      <c r="U83" s="117" t="s">
        <v>217</v>
      </c>
      <c r="V83" s="147">
        <f>IF(Таблица17[[#This Row],[обуч выборка2]]-Таблица17[[#This Row],[расстояние Махаланобиса]]=0,1,0)</f>
        <v>0</v>
      </c>
      <c r="W83" s="117">
        <f>MATCH(MIN(Таблица17[[#This Row],[1 класс]:[6 класс]]),Таблица17[[#This Row],[1 класс]:[6 класс]],0)</f>
        <v>6</v>
      </c>
      <c r="X83" s="118">
        <v>327.53575737474802</v>
      </c>
      <c r="Y83" s="118">
        <v>281.02390370212663</v>
      </c>
      <c r="Z83" s="118">
        <v>259.05646322207861</v>
      </c>
      <c r="AA83" s="118">
        <v>619.92684664796263</v>
      </c>
      <c r="AB83" s="118">
        <v>493.74423361590368</v>
      </c>
      <c r="AC83" s="118">
        <v>138.05835805488363</v>
      </c>
      <c r="AD83" s="212">
        <v>327.53575737474802</v>
      </c>
      <c r="AE83" s="212">
        <v>281.02390370212663</v>
      </c>
      <c r="AF83" s="212">
        <v>259.05646322207861</v>
      </c>
      <c r="AG83" s="212">
        <v>619.92684664796263</v>
      </c>
      <c r="AH83" s="212">
        <v>493.74423361590368</v>
      </c>
      <c r="AI83" s="212">
        <v>138.05835805488363</v>
      </c>
      <c r="AJ83" s="147">
        <f>IF(Таблица17[[#This Row],[обуч выборка2]]-Таблица17[[#This Row],[Апосториорная вероятность]]=0,1,0)</f>
        <v>0</v>
      </c>
      <c r="AK83" s="117">
        <f>MATCH(MAX(Таблица17[[#This Row],[1 класс.]:[6 класс.]]),Таблица17[[#This Row],[1 класс.]:[6 класс.]],0)</f>
        <v>6</v>
      </c>
      <c r="AL83" s="120">
        <v>0</v>
      </c>
      <c r="AM83" s="120">
        <v>2.4065503022586795E-31</v>
      </c>
      <c r="AN83" s="120">
        <v>8.8602107499284828E-27</v>
      </c>
      <c r="AO83" s="120">
        <v>0</v>
      </c>
      <c r="AP83" s="120">
        <v>0</v>
      </c>
      <c r="AQ83" s="120">
        <v>1</v>
      </c>
      <c r="AR83" s="216">
        <v>0</v>
      </c>
      <c r="AS83" s="216">
        <v>2.4065503022586795E-31</v>
      </c>
      <c r="AT83" s="216">
        <v>8.8602107499284828E-27</v>
      </c>
      <c r="AU83" s="216">
        <v>0</v>
      </c>
      <c r="AV83" s="216">
        <v>0</v>
      </c>
      <c r="AW83" s="216">
        <v>1</v>
      </c>
      <c r="AX83" s="121" t="str">
        <f>RIGHT(Таблица17[[#This Row],[Класиф вкл2]])</f>
        <v>6</v>
      </c>
      <c r="AY83" s="221">
        <v>6</v>
      </c>
      <c r="AZ83" s="147">
        <f>IF(Таблица17[[#This Row],[обуч выборка2]]-Таблица17[[#This Row],[Класиф вкл]]=0,1,0)</f>
        <v>0</v>
      </c>
      <c r="BA83" s="117" t="s">
        <v>217</v>
      </c>
      <c r="BB83" s="147">
        <f>IF(Таблица17[[#This Row],[обуч выборка2]]-Таблица17[[#This Row],[Расстояние Махаланобиса вкл
]]=0,1,0)</f>
        <v>0</v>
      </c>
      <c r="BC83" s="117">
        <f>MATCH(MIN(Таблица17[[#This Row],[1 класс вкл]:[6 класс вкл]]),Таблица17[[#This Row],[1 класс вкл]:[6 класс вкл]],0)</f>
        <v>6</v>
      </c>
      <c r="BD83" s="118">
        <v>270.36170804802282</v>
      </c>
      <c r="BE83" s="118">
        <v>234.57817766284148</v>
      </c>
      <c r="BF83" s="118">
        <v>219.7464628889939</v>
      </c>
      <c r="BG83" s="120">
        <v>410.23260869555378</v>
      </c>
      <c r="BH83" s="118">
        <v>360.60591948075387</v>
      </c>
      <c r="BI83" s="118">
        <v>111.17102430490044</v>
      </c>
      <c r="BJ83" s="147">
        <f>IF(Таблица17[[#This Row],[обуч выборка2]]-Таблица17[[#This Row],[Апосториорная вероятность вкл]]=0,1,0)</f>
        <v>0</v>
      </c>
      <c r="BK83" s="117">
        <f>MATCH(MAX(Таблица17[[#This Row],[1 класс вкл.]:[6 класс вкл.]]),Таблица17[[#This Row],[1 класс вкл.]:[6 класс вкл.]],0)</f>
        <v>6</v>
      </c>
      <c r="BL83" s="119">
        <v>0</v>
      </c>
      <c r="BM83" s="119">
        <v>4.2505572197879826E-27</v>
      </c>
      <c r="BN83" s="119">
        <v>4.4156213645538532E-24</v>
      </c>
      <c r="BO83" s="119">
        <v>0</v>
      </c>
      <c r="BP83" s="119">
        <v>0</v>
      </c>
      <c r="BQ83" s="119">
        <v>1</v>
      </c>
      <c r="BR83" s="121" t="str">
        <f>RIGHT(Таблица17[[#This Row],[Класиф искл2]])</f>
        <v>6</v>
      </c>
      <c r="BS83" s="222">
        <v>6</v>
      </c>
      <c r="BT83" s="147">
        <f>IF(Таблица17[[#This Row],[обуч выборка2]]-Таблица17[[#This Row],[Класиф искл]]=0,1,0)</f>
        <v>0</v>
      </c>
      <c r="BU83" s="117" t="s">
        <v>217</v>
      </c>
      <c r="BV83" s="147">
        <f>IF(Таблица17[[#This Row],[обуч выборка2]]-Таблица17[[#This Row],[Расстояние Махаланобиса искл]]=0,1,0)</f>
        <v>0</v>
      </c>
      <c r="BW83" s="117">
        <f>MATCH(MIN(Таблица17[[#This Row],[1 класс искл]:[6 класс искл]]),Таблица17[[#This Row],[1 класс искл]:[6 класс искл]],0)</f>
        <v>6</v>
      </c>
      <c r="BX83" s="120">
        <v>263.54578885401827</v>
      </c>
      <c r="BY83" s="120">
        <v>221.54579152686264</v>
      </c>
      <c r="BZ83" s="120">
        <v>205.2282067579535</v>
      </c>
      <c r="CA83" s="120">
        <v>382.29390935083046</v>
      </c>
      <c r="CB83" s="120">
        <v>346.26877723298526</v>
      </c>
      <c r="CC83" s="120">
        <v>105.09590117770968</v>
      </c>
      <c r="CD83" s="147">
        <f>IF(Таблица17[[#This Row],[обуч выборка2]]-Таблица17[[#This Row],[Апосториорная вероятность искл]]=0,1,0)</f>
        <v>0</v>
      </c>
      <c r="CE83" s="117">
        <f>MATCH(MAX(Таблица17[[#This Row],[1 класс искл.]:[6 класс искл.]]),Таблица17[[#This Row],[1 класс искл.]:[6 класс искл.]],0)</f>
        <v>6</v>
      </c>
      <c r="CF83" s="120">
        <v>0</v>
      </c>
      <c r="CG83" s="120">
        <v>1.3778322121135121E-25</v>
      </c>
      <c r="CH83" s="120">
        <v>3.0088106852880404E-22</v>
      </c>
      <c r="CI83" s="120">
        <v>0</v>
      </c>
      <c r="CJ83" s="120">
        <v>0</v>
      </c>
      <c r="CK83" s="120">
        <v>1</v>
      </c>
      <c r="CL83" s="198">
        <v>1.207500458842643</v>
      </c>
      <c r="CM83" s="198">
        <v>-2.7419796543657977</v>
      </c>
      <c r="CN83" s="199">
        <v>0.10709569643901534</v>
      </c>
      <c r="CO83" s="192">
        <v>2</v>
      </c>
      <c r="CP83" s="195">
        <v>2</v>
      </c>
      <c r="CQ83" s="209">
        <v>2.6389500000000004</v>
      </c>
      <c r="CR83" s="209">
        <v>-1.01142</v>
      </c>
      <c r="CS83" s="223">
        <v>3</v>
      </c>
      <c r="CT83" s="223">
        <v>3</v>
      </c>
      <c r="CU83" s="209">
        <v>-1.01142</v>
      </c>
      <c r="CV83" s="209">
        <v>2.6389500000000004</v>
      </c>
      <c r="CW83" s="209">
        <v>4</v>
      </c>
      <c r="CX83" s="210">
        <v>4</v>
      </c>
      <c r="CY83" s="273">
        <v>6</v>
      </c>
      <c r="CZ83" s="238">
        <v>3</v>
      </c>
    </row>
    <row r="84" spans="1:104" x14ac:dyDescent="0.3">
      <c r="A84" s="57" t="s">
        <v>92</v>
      </c>
      <c r="B84" s="57">
        <v>1</v>
      </c>
      <c r="C84" s="57">
        <v>6</v>
      </c>
      <c r="D84" s="57">
        <v>6</v>
      </c>
      <c r="E84" s="58">
        <v>5</v>
      </c>
      <c r="F84" s="58">
        <v>1.4314522700000001</v>
      </c>
      <c r="G84" s="58">
        <v>0.3813925600000001</v>
      </c>
      <c r="H84" s="58">
        <v>-0.6404484960000002</v>
      </c>
      <c r="I84" s="58">
        <v>4.0313083199999999</v>
      </c>
      <c r="J84" s="58">
        <v>-0.60989313600000017</v>
      </c>
      <c r="K84" s="58">
        <v>-0.56920622899999995</v>
      </c>
      <c r="L84" s="58">
        <v>3.2937487700000001</v>
      </c>
      <c r="M84" s="58">
        <v>-1.8644712000000001</v>
      </c>
      <c r="N84" s="58">
        <v>-0.3640628050000001</v>
      </c>
      <c r="O84" s="131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34.009677842637942</v>
      </c>
      <c r="P84" s="115"/>
      <c r="Q84" s="115"/>
      <c r="R84" s="121" t="str">
        <f>RIGHT(Таблица17[[#This Row],[Классиф ДА2]])</f>
        <v>6</v>
      </c>
      <c r="S84">
        <v>6</v>
      </c>
      <c r="T84" s="147">
        <f>IF(Таблица17[[#This Row],[обуч выборка2]]-Таблица17[[#This Row],[Классиф ДА]]=0,1,0)</f>
        <v>0</v>
      </c>
      <c r="U84" s="117" t="s">
        <v>217</v>
      </c>
      <c r="V84" s="147">
        <f>IF(Таблица17[[#This Row],[обуч выборка2]]-Таблица17[[#This Row],[расстояние Махаланобиса]]=0,1,0)</f>
        <v>0</v>
      </c>
      <c r="W84" s="117">
        <f>MATCH(MIN(Таблица17[[#This Row],[1 класс]:[6 класс]]),Таблица17[[#This Row],[1 класс]:[6 класс]],0)</f>
        <v>6</v>
      </c>
      <c r="X84" s="118">
        <v>491.23955114776265</v>
      </c>
      <c r="Y84" s="118">
        <v>519.3284270645313</v>
      </c>
      <c r="Z84" s="118">
        <v>522.02669453673047</v>
      </c>
      <c r="AA84" s="118">
        <v>683.23995230037337</v>
      </c>
      <c r="AB84" s="118">
        <v>1016.4379148179345</v>
      </c>
      <c r="AC84" s="118">
        <v>220.6288087305567</v>
      </c>
      <c r="AD84" s="212">
        <v>491.23955114776265</v>
      </c>
      <c r="AE84" s="212">
        <v>519.3284270645313</v>
      </c>
      <c r="AF84" s="212">
        <v>522.02669453673047</v>
      </c>
      <c r="AG84" s="212">
        <v>683.23995230037337</v>
      </c>
      <c r="AH84" s="212">
        <v>1016.4379148179345</v>
      </c>
      <c r="AI84" s="212">
        <v>220.6288087305567</v>
      </c>
      <c r="AJ84" s="147">
        <f>IF(Таблица17[[#This Row],[обуч выборка2]]-Таблица17[[#This Row],[Апосториорная вероятность]]=0,1,0)</f>
        <v>0</v>
      </c>
      <c r="AK84" s="117">
        <f>MATCH(MAX(Таблица17[[#This Row],[1 класс.]:[6 класс.]]),Таблица17[[#This Row],[1 класс.]:[6 класс.]],0)</f>
        <v>6</v>
      </c>
      <c r="AL84" s="120">
        <v>0</v>
      </c>
      <c r="AM84" s="120">
        <v>0</v>
      </c>
      <c r="AN84" s="120">
        <v>0</v>
      </c>
      <c r="AO84" s="120">
        <v>0</v>
      </c>
      <c r="AP84" s="120">
        <v>0</v>
      </c>
      <c r="AQ84" s="120">
        <v>1</v>
      </c>
      <c r="AR84" s="216">
        <v>0</v>
      </c>
      <c r="AS84" s="216">
        <v>0</v>
      </c>
      <c r="AT84" s="216">
        <v>0</v>
      </c>
      <c r="AU84" s="216">
        <v>0</v>
      </c>
      <c r="AV84" s="216">
        <v>0</v>
      </c>
      <c r="AW84" s="216">
        <v>1</v>
      </c>
      <c r="AX84" s="121" t="str">
        <f>RIGHT(Таблица17[[#This Row],[Класиф вкл2]])</f>
        <v>6</v>
      </c>
      <c r="AY84" s="221">
        <v>6</v>
      </c>
      <c r="AZ84" s="147">
        <f>IF(Таблица17[[#This Row],[обуч выборка2]]-Таблица17[[#This Row],[Класиф вкл]]=0,1,0)</f>
        <v>0</v>
      </c>
      <c r="BA84" s="117" t="s">
        <v>217</v>
      </c>
      <c r="BB84" s="147">
        <f>IF(Таблица17[[#This Row],[обуч выборка2]]-Таблица17[[#This Row],[Расстояние Махаланобиса вкл
]]=0,1,0)</f>
        <v>0</v>
      </c>
      <c r="BC84" s="117">
        <f>MATCH(MIN(Таблица17[[#This Row],[1 класс вкл]:[6 класс вкл]]),Таблица17[[#This Row],[1 класс вкл]:[6 класс вкл]],0)</f>
        <v>6</v>
      </c>
      <c r="BD84" s="118">
        <v>424.47281803407969</v>
      </c>
      <c r="BE84" s="118">
        <v>465.8342730357457</v>
      </c>
      <c r="BF84" s="118">
        <v>457.29244549657381</v>
      </c>
      <c r="BG84" s="120">
        <v>561.09460504377921</v>
      </c>
      <c r="BH84" s="118">
        <v>924.85746105377643</v>
      </c>
      <c r="BI84" s="118">
        <v>171.17835308222624</v>
      </c>
      <c r="BJ84" s="147">
        <f>IF(Таблица17[[#This Row],[обуч выборка2]]-Таблица17[[#This Row],[Апосториорная вероятность вкл]]=0,1,0)</f>
        <v>0</v>
      </c>
      <c r="BK84" s="117">
        <f>MATCH(MAX(Таблица17[[#This Row],[1 класс вкл.]:[6 класс вкл.]]),Таблица17[[#This Row],[1 класс вкл.]:[6 класс вкл.]],0)</f>
        <v>6</v>
      </c>
      <c r="BL84" s="119">
        <v>0</v>
      </c>
      <c r="BM84" s="119">
        <v>0</v>
      </c>
      <c r="BN84" s="119">
        <v>0</v>
      </c>
      <c r="BO84" s="119">
        <v>0</v>
      </c>
      <c r="BP84" s="119">
        <v>0</v>
      </c>
      <c r="BQ84" s="119">
        <v>1</v>
      </c>
      <c r="BR84" s="121" t="str">
        <f>RIGHT(Таблица17[[#This Row],[Класиф искл2]])</f>
        <v>6</v>
      </c>
      <c r="BS84" s="222">
        <v>6</v>
      </c>
      <c r="BT84" s="147">
        <f>IF(Таблица17[[#This Row],[обуч выборка2]]-Таблица17[[#This Row],[Класиф искл]]=0,1,0)</f>
        <v>0</v>
      </c>
      <c r="BU84" s="117" t="s">
        <v>217</v>
      </c>
      <c r="BV84" s="147">
        <f>IF(Таблица17[[#This Row],[обуч выборка2]]-Таблица17[[#This Row],[Расстояние Махаланобиса искл]]=0,1,0)</f>
        <v>0</v>
      </c>
      <c r="BW84" s="117">
        <f>MATCH(MIN(Таблица17[[#This Row],[1 класс искл]:[6 класс искл]]),Таблица17[[#This Row],[1 класс искл]:[6 класс искл]],0)</f>
        <v>6</v>
      </c>
      <c r="BX84" s="120">
        <v>298.20412240760442</v>
      </c>
      <c r="BY84" s="120">
        <v>269.80743225829042</v>
      </c>
      <c r="BZ84" s="120">
        <v>286.5816257828298</v>
      </c>
      <c r="CA84" s="120">
        <v>277.50326054856333</v>
      </c>
      <c r="CB84" s="120">
        <v>558.71051312801137</v>
      </c>
      <c r="CC84" s="120">
        <v>156.2995851556241</v>
      </c>
      <c r="CD84" s="147">
        <f>IF(Таблица17[[#This Row],[обуч выборка2]]-Таблица17[[#This Row],[Апосториорная вероятность искл]]=0,1,0)</f>
        <v>0</v>
      </c>
      <c r="CE84" s="117">
        <f>MATCH(MAX(Таблица17[[#This Row],[1 класс искл.]:[6 класс искл.]]),Таблица17[[#This Row],[1 класс искл.]:[6 класс искл.]],0)</f>
        <v>6</v>
      </c>
      <c r="CF84" s="120">
        <v>5.1132850324021865E-31</v>
      </c>
      <c r="CG84" s="120">
        <v>5.9986414976272024E-25</v>
      </c>
      <c r="CH84" s="120">
        <v>8.540102473697276E-29</v>
      </c>
      <c r="CI84" s="120">
        <v>3.1979011572628417E-27</v>
      </c>
      <c r="CJ84" s="120">
        <v>0</v>
      </c>
      <c r="CK84" s="120">
        <v>1</v>
      </c>
      <c r="CL84" s="198">
        <v>1.8519577028092515</v>
      </c>
      <c r="CM84" s="198">
        <v>-1.5444107482984073</v>
      </c>
      <c r="CN84" s="199">
        <v>0.88996585424911689</v>
      </c>
      <c r="CO84" s="192">
        <v>2</v>
      </c>
      <c r="CP84" s="195">
        <v>2</v>
      </c>
      <c r="CQ84" s="209">
        <v>3.1473</v>
      </c>
      <c r="CR84" s="209">
        <v>-0.16088</v>
      </c>
      <c r="CS84" s="223">
        <v>3</v>
      </c>
      <c r="CT84" s="223">
        <v>3</v>
      </c>
      <c r="CU84" s="209">
        <v>-0.16088</v>
      </c>
      <c r="CV84" s="209">
        <v>3.1473</v>
      </c>
      <c r="CW84" s="209">
        <v>4</v>
      </c>
      <c r="CX84" s="210">
        <v>4</v>
      </c>
      <c r="CY84" s="273">
        <v>2</v>
      </c>
      <c r="CZ84" s="238">
        <v>3</v>
      </c>
    </row>
    <row r="85" spans="1:104" x14ac:dyDescent="0.3">
      <c r="A85" s="57" t="s">
        <v>93</v>
      </c>
      <c r="B85" s="57">
        <v>5</v>
      </c>
      <c r="C85" s="57">
        <v>6</v>
      </c>
      <c r="D85" s="57">
        <v>1</v>
      </c>
      <c r="E85" s="58">
        <v>6</v>
      </c>
      <c r="F85" s="58">
        <v>-0.64690438400000005</v>
      </c>
      <c r="G85" s="58">
        <v>-0.91880135500000004</v>
      </c>
      <c r="H85" s="58">
        <v>-0.75930536000000004</v>
      </c>
      <c r="I85" s="58">
        <v>-0.45771125099999999</v>
      </c>
      <c r="J85" s="58">
        <v>-0.39045084800000002</v>
      </c>
      <c r="K85" s="58">
        <v>-0.32432365200000007</v>
      </c>
      <c r="L85" s="58">
        <v>-0.34949888600000006</v>
      </c>
      <c r="M85" s="58">
        <v>-0.93647478499999992</v>
      </c>
      <c r="N85" s="58">
        <v>-0.53680639399999996</v>
      </c>
      <c r="O85" s="131">
        <f>(Таблица17[[#This Row],[х1]]-Таблица17[[#Totals],[х1]])^2+(Таблица17[[#This Row],[x2]]-Таблица17[[#Totals],[x2]])^2+(Таблица17[[#This Row],[x3]]-Таблица17[[#Totals],[x3]])^2+(Таблица17[[#This Row],[x4]]-Таблица17[[#Totals],[x4]])^2+(Таблица17[[#This Row],[x5]]-Таблица17[[#Totals],[x5]])^2+(Таблица17[[#This Row],[x6]]-Таблица17[[#Totals],[x6]])^2+(Таблица17[[#This Row],[x7]]-Таблица17[[#Totals],[x7]])^2+(Таблица17[[#This Row],[x8]]-Таблица17[[#Totals],[x8]])^2+(Таблица17[[#This Row],[x9]]-Таблица17[[#Totals],[x9]])^2</f>
        <v>3.5936587268459972</v>
      </c>
      <c r="P85" s="128"/>
      <c r="Q85" s="128"/>
      <c r="R85" s="121" t="str">
        <f>RIGHT(Таблица17[[#This Row],[Классиф ДА2]])</f>
        <v>1</v>
      </c>
      <c r="S85">
        <v>1</v>
      </c>
      <c r="T85" s="147">
        <f>IF(Таблица17[[#This Row],[обуч выборка2]]-Таблица17[[#This Row],[Классиф ДА]]=0,1,0)</f>
        <v>0</v>
      </c>
      <c r="U85" s="117" t="s">
        <v>213</v>
      </c>
      <c r="V85" s="147">
        <f>IF(Таблица17[[#This Row],[обуч выборка2]]-Таблица17[[#This Row],[расстояние Махаланобиса]]=0,1,0)</f>
        <v>0</v>
      </c>
      <c r="W85" s="117">
        <f>MATCH(MIN(Таблица17[[#This Row],[1 класс]:[6 класс]]),Таблица17[[#This Row],[1 класс]:[6 класс]],0)</f>
        <v>1</v>
      </c>
      <c r="X85" s="118">
        <v>18.93176659398204</v>
      </c>
      <c r="Y85" s="118">
        <v>28.86005493345241</v>
      </c>
      <c r="Z85" s="118">
        <v>28.192713047875451</v>
      </c>
      <c r="AA85" s="118">
        <v>302.48881564952507</v>
      </c>
      <c r="AB85" s="118">
        <v>246.20331299313412</v>
      </c>
      <c r="AC85" s="118">
        <v>122.507891158418</v>
      </c>
      <c r="AD85" s="212">
        <v>18.93176659398204</v>
      </c>
      <c r="AE85" s="212">
        <v>28.86005493345241</v>
      </c>
      <c r="AF85" s="212">
        <v>28.192713047875451</v>
      </c>
      <c r="AG85" s="212">
        <v>302.48881564952507</v>
      </c>
      <c r="AH85" s="212">
        <v>246.20331299313412</v>
      </c>
      <c r="AI85" s="212">
        <v>122.507891158418</v>
      </c>
      <c r="AJ85" s="147">
        <f>IF(Таблица17[[#This Row],[обуч выборка2]]-Таблица17[[#This Row],[Апосториорная вероятность]]=0,1,0)</f>
        <v>0</v>
      </c>
      <c r="AK85" s="117">
        <f>MATCH(MAX(Таблица17[[#This Row],[1 класс.]:[6 класс.]]),Таблица17[[#This Row],[1 класс.]:[6 класс.]],0)</f>
        <v>1</v>
      </c>
      <c r="AL85" s="120">
        <v>0.98964611241340639</v>
      </c>
      <c r="AM85" s="120">
        <v>5.5292915441705372E-3</v>
      </c>
      <c r="AN85" s="120">
        <v>4.8245960424229553E-3</v>
      </c>
      <c r="AO85" s="120">
        <v>0</v>
      </c>
      <c r="AP85" s="120">
        <v>0</v>
      </c>
      <c r="AQ85" s="120">
        <v>9.5792498326339129E-24</v>
      </c>
      <c r="AR85" s="216">
        <v>0.98964611241340639</v>
      </c>
      <c r="AS85" s="216">
        <v>5.5292915441705372E-3</v>
      </c>
      <c r="AT85" s="216">
        <v>4.8245960424229553E-3</v>
      </c>
      <c r="AU85" s="216">
        <v>0</v>
      </c>
      <c r="AV85" s="216">
        <v>0</v>
      </c>
      <c r="AW85" s="216">
        <v>9.5792498326339129E-24</v>
      </c>
      <c r="AX85" s="121" t="str">
        <f>RIGHT(Таблица17[[#This Row],[Класиф вкл2]])</f>
        <v>1</v>
      </c>
      <c r="AY85" s="221">
        <v>1</v>
      </c>
      <c r="AZ85" s="147">
        <f>IF(Таблица17[[#This Row],[обуч выборка2]]-Таблица17[[#This Row],[Класиф вкл]]=0,1,0)</f>
        <v>0</v>
      </c>
      <c r="BA85" s="117" t="s">
        <v>213</v>
      </c>
      <c r="BB85" s="147">
        <f>IF(Таблица17[[#This Row],[обуч выборка2]]-Таблица17[[#This Row],[Расстояние Махаланобиса вкл
]]=0,1,0)</f>
        <v>0</v>
      </c>
      <c r="BC85" s="117">
        <f>MATCH(MIN(Таблица17[[#This Row],[1 класс вкл]:[6 класс вкл]]),Таблица17[[#This Row],[1 класс вкл]:[6 класс вкл]],0)</f>
        <v>1</v>
      </c>
      <c r="BD85" s="118">
        <v>8.6464283529829817</v>
      </c>
      <c r="BE85" s="118">
        <v>16.475672753777662</v>
      </c>
      <c r="BF85" s="118">
        <v>24.622802028955412</v>
      </c>
      <c r="BG85" s="120">
        <v>202.03410595476842</v>
      </c>
      <c r="BH85" s="118">
        <v>143.83671098960087</v>
      </c>
      <c r="BI85" s="118">
        <v>104.88202237100806</v>
      </c>
      <c r="BJ85" s="147">
        <f>IF(Таблица17[[#This Row],[обуч выборка2]]-Таблица17[[#This Row],[Апосториорная вероятность вкл]]=0,1,0)</f>
        <v>0</v>
      </c>
      <c r="BK85" s="117">
        <f>MATCH(MAX(Таблица17[[#This Row],[1 класс вкл.]:[6 класс вкл.]]),Таблица17[[#This Row],[1 класс вкл.]:[6 класс вкл.]],0)</f>
        <v>1</v>
      </c>
      <c r="BL85" s="119">
        <v>0.98412779852198473</v>
      </c>
      <c r="BM85" s="119">
        <v>1.5705170878610418E-2</v>
      </c>
      <c r="BN85" s="119">
        <v>1.6703059940491305E-4</v>
      </c>
      <c r="BO85" s="119">
        <v>0</v>
      </c>
      <c r="BP85" s="119">
        <v>8.667315728126126E-31</v>
      </c>
      <c r="BQ85" s="123">
        <v>3.7400639818033023E-22</v>
      </c>
      <c r="BR85" s="121" t="str">
        <f>RIGHT(Таблица17[[#This Row],[Класиф искл2]])</f>
        <v>1</v>
      </c>
      <c r="BS85" s="222">
        <v>1</v>
      </c>
      <c r="BT85" s="147">
        <f>IF(Таблица17[[#This Row],[обуч выборка2]]-Таблица17[[#This Row],[Класиф искл]]=0,1,0)</f>
        <v>0</v>
      </c>
      <c r="BU85" s="117" t="s">
        <v>213</v>
      </c>
      <c r="BV85" s="147">
        <f>IF(Таблица17[[#This Row],[обуч выборка2]]-Таблица17[[#This Row],[Расстояние Махаланобиса искл]]=0,1,0)</f>
        <v>0</v>
      </c>
      <c r="BW85" s="117">
        <f>MATCH(MIN(Таблица17[[#This Row],[1 класс искл]:[6 класс искл]]),Таблица17[[#This Row],[1 класс искл]:[6 класс искл]],0)</f>
        <v>1</v>
      </c>
      <c r="BX85" s="120">
        <v>9.1303937704955604</v>
      </c>
      <c r="BY85" s="120">
        <v>26.819405446122328</v>
      </c>
      <c r="BZ85" s="120">
        <v>27.144944261156478</v>
      </c>
      <c r="CA85" s="120">
        <v>216.88870576082945</v>
      </c>
      <c r="CB85" s="120">
        <v>196.58227300387495</v>
      </c>
      <c r="CC85" s="120">
        <v>74.228867933111317</v>
      </c>
      <c r="CD85" s="147">
        <f>IF(Таблица17[[#This Row],[обуч выборка2]]-Таблица17[[#This Row],[Апосториорная вероятность искл]]=0,1,0)</f>
        <v>0</v>
      </c>
      <c r="CE85" s="117">
        <f>MATCH(MAX(Таблица17[[#This Row],[1 класс искл.]:[6 класс искл.]]),Таблица17[[#This Row],[1 класс искл.]:[6 класс искл.]],0)</f>
        <v>1</v>
      </c>
      <c r="CF85" s="120">
        <v>0.99982343623403636</v>
      </c>
      <c r="CG85" s="120">
        <v>1.153169690509789E-4</v>
      </c>
      <c r="CH85" s="120">
        <v>6.1246796910504806E-5</v>
      </c>
      <c r="CI85" s="120">
        <v>0</v>
      </c>
      <c r="CJ85" s="120">
        <v>0</v>
      </c>
      <c r="CK85" s="120">
        <v>2.1932619924942272E-15</v>
      </c>
      <c r="CL85" s="198">
        <v>-3.9211966847335744E-2</v>
      </c>
      <c r="CM85" s="198">
        <v>-0.45473315175147266</v>
      </c>
      <c r="CN85" s="199">
        <v>1.297665012569102</v>
      </c>
      <c r="CO85" s="192">
        <v>5</v>
      </c>
      <c r="CP85" s="195">
        <v>5</v>
      </c>
      <c r="CQ85" s="209">
        <v>-8.9029999999999998E-2</v>
      </c>
      <c r="CR85" s="209">
        <v>-0.38491000000000009</v>
      </c>
      <c r="CS85" s="223">
        <v>5</v>
      </c>
      <c r="CT85" s="223">
        <v>6</v>
      </c>
      <c r="CU85" s="209">
        <v>-0.38491000000000009</v>
      </c>
      <c r="CV85" s="209">
        <v>-8.9029999999999998E-2</v>
      </c>
      <c r="CW85" s="209">
        <v>5</v>
      </c>
      <c r="CX85" s="210">
        <v>3</v>
      </c>
      <c r="CY85" s="274">
        <v>3</v>
      </c>
      <c r="CZ85" s="238">
        <v>2</v>
      </c>
    </row>
    <row r="86" spans="1:104" x14ac:dyDescent="0.3">
      <c r="A86" s="133"/>
      <c r="B86" s="133"/>
      <c r="C86" s="133"/>
      <c r="D86" s="133">
        <f>SUBTOTAL(103,Таблица17[к-средних])</f>
        <v>84</v>
      </c>
      <c r="E86" s="134">
        <f>SUBTOTAL(102,Таблица17[взвеш ср])</f>
        <v>84</v>
      </c>
      <c r="F86" s="134">
        <f>SUBTOTAL(101,Таблица17[х1])</f>
        <v>1.9761905603995648E-10</v>
      </c>
      <c r="G86" s="134">
        <f>SUBTOTAL(101,Таблица17[x2])</f>
        <v>1.713095353403492E-10</v>
      </c>
      <c r="H86" s="134">
        <f>SUBTOTAL(101,Таблица17[x3])</f>
        <v>2.7380933499357309E-11</v>
      </c>
      <c r="I86" s="134">
        <f>SUBTOTAL(101,Таблица17[x4])</f>
        <v>2.809523116798998E-11</v>
      </c>
      <c r="J86" s="134">
        <f>SUBTOTAL(101,Таблица17[x5])</f>
        <v>-1.1369050740522063E-10</v>
      </c>
      <c r="K86" s="134">
        <f>SUBTOTAL(101,Таблица17[x6])</f>
        <v>1.4071426629722711E-10</v>
      </c>
      <c r="L86" s="134">
        <f>SUBTOTAL(101,Таблица17[x7])</f>
        <v>7.0237737583750141E-12</v>
      </c>
      <c r="M86" s="134">
        <f>SUBTOTAL(101,Таблица17[x8])</f>
        <v>1.2571423531800482E-10</v>
      </c>
      <c r="N86" s="134">
        <f>SUBTOTAL(101,Таблица17[x9])</f>
        <v>1.0667854430511711E-10</v>
      </c>
      <c r="O86" s="135">
        <f>SUBTOTAL(109,Таблица17[расстояния])</f>
        <v>746.9999999181473</v>
      </c>
      <c r="P86" s="136">
        <f>SUBTOTAL(103,Таблица17[Обуч выборка])</f>
        <v>30</v>
      </c>
      <c r="Q86" s="116"/>
      <c r="R86" s="136"/>
      <c r="S86" s="136"/>
      <c r="T86" s="148">
        <f>SUBTOTAL(109,Таблица17[соответствие ДА])</f>
        <v>29</v>
      </c>
      <c r="U86" s="136"/>
      <c r="V86" s="148">
        <f>SUBTOTAL(109,Таблица17[соотв расс М])</f>
        <v>29</v>
      </c>
      <c r="W86" s="134"/>
      <c r="X86" s="134"/>
      <c r="Y86" s="134"/>
      <c r="Z86" s="134"/>
      <c r="AA86" s="134"/>
      <c r="AB86" s="137"/>
      <c r="AC86" s="137"/>
      <c r="AD86" s="213"/>
      <c r="AE86" s="213"/>
      <c r="AF86" s="213"/>
      <c r="AG86" s="213"/>
      <c r="AH86" s="214"/>
      <c r="AI86" s="214"/>
      <c r="AJ86" s="150">
        <f>SUBTOTAL(109,Таблица17[соотв ап вер])</f>
        <v>29</v>
      </c>
      <c r="AK86" s="137"/>
      <c r="AL86" s="137"/>
      <c r="AM86" s="137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50">
        <f>SUBTOTAL(109,Таблица17[[Соотв ДА вкл ]])</f>
        <v>28</v>
      </c>
      <c r="BA86" s="137"/>
      <c r="BB86" s="150">
        <f>SUBTOTAL(109,Таблица17[Соотв расс М вкл])</f>
        <v>28</v>
      </c>
      <c r="BC86" s="137"/>
      <c r="BD86" s="137"/>
      <c r="BE86" s="137"/>
      <c r="BF86" s="137"/>
      <c r="BG86" s="137"/>
      <c r="BH86" s="137"/>
      <c r="BI86" s="137"/>
      <c r="BJ86" s="150">
        <f>SUBTOTAL(109,Таблица17[Соотв ап вер вкл])</f>
        <v>28</v>
      </c>
      <c r="BK86" s="137"/>
      <c r="BL86" s="137"/>
      <c r="BM86" s="137"/>
      <c r="BN86" s="137"/>
      <c r="BO86" s="137"/>
      <c r="BP86" s="137"/>
      <c r="BQ86" s="138"/>
      <c r="BR86" s="137"/>
      <c r="BS86" s="137"/>
      <c r="BT86" s="150">
        <f>SUBTOTAL(109,Таблица17[соотв ДА искл])</f>
        <v>29</v>
      </c>
      <c r="BU86" s="137"/>
      <c r="BV86" s="150">
        <f>SUBTOTAL(109,Таблица17[соотв расс М искл])</f>
        <v>29</v>
      </c>
      <c r="BW86" s="137"/>
      <c r="BX86" s="137"/>
      <c r="BY86" s="137"/>
      <c r="BZ86" s="137"/>
      <c r="CA86" s="137"/>
      <c r="CB86" s="137"/>
      <c r="CC86" s="137"/>
      <c r="CD86" s="150">
        <f>SUBTOTAL(109,Таблица17[Соотв ап вер искл])</f>
        <v>29</v>
      </c>
      <c r="CE86" s="143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  <c r="CT86" s="137"/>
      <c r="CU86" s="137"/>
      <c r="CV86" s="137"/>
      <c r="CW86" s="139"/>
      <c r="CX86" s="139"/>
      <c r="CY86" s="268"/>
      <c r="CZ86" s="137"/>
    </row>
    <row r="87" spans="1:104" s="141" customFormat="1" x14ac:dyDescent="0.3">
      <c r="P87" s="153" t="s">
        <v>272</v>
      </c>
      <c r="R87" s="154">
        <f>Таблица17[[#Totals],[соответствие ДА]]/Таблица17[[#Totals],[Обуч выборка]]</f>
        <v>0.96666666666666667</v>
      </c>
      <c r="S87" s="154"/>
      <c r="W87" s="154">
        <f>Таблица17[[#Totals],[соотв расс М]]/Таблица17[[#Totals],[Обуч выборка]]</f>
        <v>0.96666666666666667</v>
      </c>
      <c r="X87" s="155"/>
      <c r="AD87" s="178"/>
      <c r="AE87" s="178"/>
      <c r="AF87" s="178"/>
      <c r="AG87" s="178"/>
      <c r="AH87" s="178"/>
      <c r="AI87" s="178"/>
      <c r="AJ87" s="155"/>
      <c r="AK87" s="155"/>
      <c r="AL87" s="155"/>
      <c r="AM87" s="155"/>
      <c r="AN87" s="155"/>
      <c r="AP87" s="154">
        <f>Таблица17[[#Totals],[соотв ап вер]]/Таблица17[[#Totals],[Обуч выборка]]</f>
        <v>0.96666666666666667</v>
      </c>
      <c r="AQ87" s="155"/>
      <c r="AR87" s="155"/>
      <c r="AS87" s="155"/>
      <c r="AT87" s="155"/>
      <c r="AU87" s="155"/>
      <c r="AV87" s="155"/>
      <c r="AW87" s="155"/>
      <c r="AX87" s="155"/>
      <c r="AY87" s="155"/>
      <c r="AZ87" s="155"/>
      <c r="BA87" s="155"/>
      <c r="BB87" s="155"/>
      <c r="BC87" s="154">
        <f>Таблица17[[#Totals],[Соотв ДА вкл ]]/Таблица17[[#Totals],[Обуч выборка]]</f>
        <v>0.93333333333333335</v>
      </c>
      <c r="BD87" s="154"/>
      <c r="BE87" s="155"/>
      <c r="BF87" s="153"/>
      <c r="BG87" s="154">
        <f>Таблица17[[#Totals],[Соотв расс М вкл]]/Таблица17[[#Totals],[Обуч выборка]]</f>
        <v>0.93333333333333335</v>
      </c>
      <c r="BH87" s="155"/>
      <c r="BI87" s="155"/>
      <c r="BJ87" s="155"/>
      <c r="BK87" s="155"/>
      <c r="BL87" s="155"/>
      <c r="BM87" s="155"/>
      <c r="BN87" s="153"/>
      <c r="BO87" s="154">
        <f>Таблица17[[#Totals],[Соотв ап вер вкл]]/Таблица17[[#Totals],[Обуч выборка]]</f>
        <v>0.93333333333333335</v>
      </c>
      <c r="BP87" s="155"/>
      <c r="BQ87" s="155"/>
      <c r="BR87" s="155"/>
      <c r="BS87" s="155"/>
      <c r="BT87" s="155"/>
      <c r="BU87" s="155"/>
      <c r="BV87" s="154">
        <f>Таблица17[[#Totals],[соотв ДА искл]]/Таблица17[[#Totals],[Обуч выборка]]</f>
        <v>0.96666666666666667</v>
      </c>
      <c r="BW87" s="156"/>
      <c r="BX87" s="155"/>
      <c r="BY87" s="153"/>
      <c r="BZ87" s="154">
        <f>Таблица17[[#Totals],[соотв расс М искл]]/Таблица17[[#Totals],[Обуч выборка]]</f>
        <v>0.96666666666666667</v>
      </c>
      <c r="CA87" s="155"/>
      <c r="CB87" s="155"/>
      <c r="CC87" s="155"/>
      <c r="CD87" s="155"/>
      <c r="CE87" s="155"/>
      <c r="CF87" s="155"/>
      <c r="CG87" s="153"/>
      <c r="CH87" s="154">
        <f>Таблица17[[#Totals],[Соотв ап вер искл]]/Таблица17[[#Totals],[Обуч выборка]]</f>
        <v>0.96666666666666667</v>
      </c>
      <c r="CO87" s="155"/>
      <c r="CP87" s="155"/>
      <c r="CQ87" s="155"/>
      <c r="CR87" s="155"/>
      <c r="CS87" s="155"/>
      <c r="CT87" s="155"/>
      <c r="CY87" s="269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C5929-D2C4-4217-9F47-13B48AF62E41}">
  <dimension ref="A1:J9"/>
  <sheetViews>
    <sheetView zoomScale="189" workbookViewId="0">
      <selection activeCell="C5" sqref="C5"/>
    </sheetView>
  </sheetViews>
  <sheetFormatPr defaultRowHeight="14.4" x14ac:dyDescent="0.3"/>
  <cols>
    <col min="1" max="1" width="9.33203125" bestFit="1" customWidth="1"/>
    <col min="2" max="2" width="9.77734375" bestFit="1" customWidth="1"/>
    <col min="3" max="3" width="9.33203125" bestFit="1" customWidth="1"/>
    <col min="4" max="4" width="9.77734375" bestFit="1" customWidth="1"/>
    <col min="5" max="6" width="9.33203125" bestFit="1" customWidth="1"/>
    <col min="7" max="7" width="11.88671875" bestFit="1" customWidth="1"/>
    <col min="8" max="9" width="9.33203125" bestFit="1" customWidth="1"/>
  </cols>
  <sheetData>
    <row r="1" spans="1:10" x14ac:dyDescent="0.3">
      <c r="A1" s="99">
        <v>84.338750000000005</v>
      </c>
      <c r="B1" s="100">
        <v>128.94999999999999</v>
      </c>
      <c r="C1" s="101">
        <v>5.6942779999999998E-2</v>
      </c>
      <c r="D1" s="100">
        <v>112.6268</v>
      </c>
      <c r="E1" s="101">
        <v>1.134625E-2</v>
      </c>
      <c r="F1" s="101">
        <v>3.3125E-4</v>
      </c>
      <c r="G1" s="102">
        <v>38962.57</v>
      </c>
      <c r="H1" s="99">
        <v>12.887499999999999</v>
      </c>
      <c r="I1" s="101">
        <v>7.3377499999999998E-2</v>
      </c>
      <c r="J1">
        <v>2</v>
      </c>
    </row>
    <row r="2" spans="1:10" x14ac:dyDescent="0.3">
      <c r="A2" s="99">
        <v>75.647999999999996</v>
      </c>
      <c r="B2" s="100">
        <v>123.72</v>
      </c>
      <c r="C2" s="111">
        <v>0.33771820000000002</v>
      </c>
      <c r="D2" s="100">
        <v>116.5639</v>
      </c>
      <c r="E2" s="101">
        <v>6.6160000000000004E-3</v>
      </c>
      <c r="F2" s="101">
        <v>1.66E-4</v>
      </c>
      <c r="G2" s="102">
        <v>41284.33</v>
      </c>
      <c r="H2" s="99">
        <v>14.38</v>
      </c>
      <c r="I2" s="101">
        <v>3.8364000000000002E-2</v>
      </c>
      <c r="J2">
        <v>3</v>
      </c>
    </row>
    <row r="3" spans="1:10" x14ac:dyDescent="0.3">
      <c r="A3" s="99">
        <v>70.054000000000002</v>
      </c>
      <c r="B3" s="100">
        <v>115.58</v>
      </c>
      <c r="C3" s="101">
        <v>9.7419019999999995E-2</v>
      </c>
      <c r="D3" s="100">
        <v>124.5513</v>
      </c>
      <c r="E3" s="101">
        <v>9.6839999999999999E-3</v>
      </c>
      <c r="F3" s="101">
        <v>3.4699999999999998E-4</v>
      </c>
      <c r="G3" s="102">
        <v>39071.9</v>
      </c>
      <c r="H3" s="99">
        <v>13.09</v>
      </c>
      <c r="I3" s="101">
        <v>5.6860000000000001E-2</v>
      </c>
      <c r="J3">
        <v>1</v>
      </c>
    </row>
    <row r="4" spans="1:10" x14ac:dyDescent="0.3">
      <c r="A4" s="105">
        <v>66.47</v>
      </c>
      <c r="B4" s="106">
        <v>94.633330000000001</v>
      </c>
      <c r="C4" s="101">
        <v>0.16498740000000001</v>
      </c>
      <c r="D4" s="110">
        <v>216.77359999999999</v>
      </c>
      <c r="E4" s="107">
        <v>3.2133330000000001E-3</v>
      </c>
      <c r="F4" s="107">
        <v>1.6666669999999999E-4</v>
      </c>
      <c r="G4" s="112">
        <v>92847.37</v>
      </c>
      <c r="H4" s="99">
        <v>7.733333</v>
      </c>
      <c r="I4" s="101">
        <v>3.2036670000000003E-2</v>
      </c>
      <c r="J4">
        <v>6</v>
      </c>
    </row>
    <row r="5" spans="1:10" x14ac:dyDescent="0.3">
      <c r="A5" s="99">
        <v>80.885000000000005</v>
      </c>
      <c r="B5" s="100">
        <v>147.55000000000001</v>
      </c>
      <c r="C5" s="107">
        <v>1.551544E-2</v>
      </c>
      <c r="D5" s="100">
        <v>162.8501</v>
      </c>
      <c r="E5" s="111">
        <v>3.4770000000000002E-2</v>
      </c>
      <c r="F5" s="111">
        <v>2.31E-3</v>
      </c>
      <c r="G5" s="102">
        <v>54133.96</v>
      </c>
      <c r="H5" s="105">
        <v>7.15</v>
      </c>
      <c r="I5" s="111">
        <v>0.40967500000000001</v>
      </c>
      <c r="J5">
        <v>4</v>
      </c>
    </row>
    <row r="6" spans="1:10" x14ac:dyDescent="0.3">
      <c r="A6" s="109">
        <v>91.905000000000001</v>
      </c>
      <c r="B6" s="110">
        <v>190.65</v>
      </c>
      <c r="C6" s="101">
        <v>0.12685730000000001</v>
      </c>
      <c r="D6" s="106">
        <v>20.836259999999999</v>
      </c>
      <c r="E6" s="101">
        <v>4.365E-3</v>
      </c>
      <c r="F6" s="101">
        <v>3.0499999999999999E-4</v>
      </c>
      <c r="G6" s="108">
        <v>31086.15</v>
      </c>
      <c r="H6" s="109">
        <v>24.55</v>
      </c>
      <c r="I6" s="101">
        <v>8.2199999999999999E-3</v>
      </c>
      <c r="J6">
        <v>5</v>
      </c>
    </row>
    <row r="7" spans="1:10" x14ac:dyDescent="0.3">
      <c r="A7" s="104">
        <f>MIN(A1:A6)</f>
        <v>66.47</v>
      </c>
      <c r="B7" s="104">
        <f t="shared" ref="B7:I7" si="0">MIN(B1:B6)</f>
        <v>94.633330000000001</v>
      </c>
      <c r="C7" s="104">
        <f t="shared" si="0"/>
        <v>1.551544E-2</v>
      </c>
      <c r="D7" s="104">
        <f t="shared" si="0"/>
        <v>20.836259999999999</v>
      </c>
      <c r="E7" s="104">
        <f t="shared" si="0"/>
        <v>3.2133330000000001E-3</v>
      </c>
      <c r="F7" s="104">
        <f t="shared" si="0"/>
        <v>1.66E-4</v>
      </c>
      <c r="G7" s="104">
        <f t="shared" si="0"/>
        <v>31086.15</v>
      </c>
      <c r="H7" s="104">
        <f t="shared" si="0"/>
        <v>7.15</v>
      </c>
      <c r="I7" s="104">
        <f t="shared" si="0"/>
        <v>8.2199999999999999E-3</v>
      </c>
      <c r="J7" t="s">
        <v>219</v>
      </c>
    </row>
    <row r="8" spans="1:10" x14ac:dyDescent="0.3">
      <c r="A8" s="103">
        <f>MAX(A1:A6)</f>
        <v>91.905000000000001</v>
      </c>
      <c r="B8" s="103">
        <f t="shared" ref="B8:I8" si="1">MAX(B1:B6)</f>
        <v>190.65</v>
      </c>
      <c r="C8" s="103">
        <f t="shared" si="1"/>
        <v>0.33771820000000002</v>
      </c>
      <c r="D8" s="103">
        <f t="shared" si="1"/>
        <v>216.77359999999999</v>
      </c>
      <c r="E8" s="103">
        <f t="shared" si="1"/>
        <v>3.4770000000000002E-2</v>
      </c>
      <c r="F8" s="103">
        <f t="shared" si="1"/>
        <v>2.31E-3</v>
      </c>
      <c r="G8" s="103">
        <f t="shared" si="1"/>
        <v>92847.37</v>
      </c>
      <c r="H8" s="103">
        <f t="shared" si="1"/>
        <v>24.55</v>
      </c>
      <c r="I8" s="103">
        <f t="shared" si="1"/>
        <v>0.40967500000000001</v>
      </c>
      <c r="J8" t="s">
        <v>218</v>
      </c>
    </row>
    <row r="9" spans="1:10" x14ac:dyDescent="0.3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2717-7358-4189-A42B-1C0DA16740D5}">
  <dimension ref="A1:T24"/>
  <sheetViews>
    <sheetView workbookViewId="0">
      <selection activeCell="P6" sqref="P6:T13"/>
    </sheetView>
  </sheetViews>
  <sheetFormatPr defaultRowHeight="14.4" x14ac:dyDescent="0.3"/>
  <cols>
    <col min="1" max="1" width="8.88671875" style="1"/>
    <col min="2" max="3" width="10.5546875" bestFit="1" customWidth="1"/>
    <col min="4" max="8" width="12.5546875" bestFit="1" customWidth="1"/>
    <col min="9" max="9" width="8.109375" customWidth="1"/>
    <col min="10" max="10" width="11.109375" bestFit="1" customWidth="1"/>
    <col min="11" max="11" width="7.44140625" customWidth="1"/>
    <col min="12" max="12" width="11.6640625" bestFit="1" customWidth="1"/>
  </cols>
  <sheetData>
    <row r="1" spans="1:20" s="1" customFormat="1" x14ac:dyDescent="0.3">
      <c r="A1" s="29"/>
      <c r="B1" s="30" t="s">
        <v>207</v>
      </c>
      <c r="C1" s="30" t="s">
        <v>105</v>
      </c>
      <c r="D1" s="30" t="s">
        <v>106</v>
      </c>
      <c r="E1" s="30" t="s">
        <v>107</v>
      </c>
      <c r="F1" s="30" t="s">
        <v>220</v>
      </c>
      <c r="G1" s="30" t="s">
        <v>221</v>
      </c>
      <c r="H1" s="30" t="s">
        <v>222</v>
      </c>
      <c r="I1" s="178" t="s">
        <v>315</v>
      </c>
      <c r="J1" s="178" t="s">
        <v>314</v>
      </c>
      <c r="K1" s="178" t="s">
        <v>317</v>
      </c>
      <c r="L1" s="178" t="s">
        <v>316</v>
      </c>
      <c r="M1" s="178" t="s">
        <v>346</v>
      </c>
      <c r="N1" s="30" t="s">
        <v>350</v>
      </c>
    </row>
    <row r="2" spans="1:20" x14ac:dyDescent="0.3">
      <c r="A2" s="30">
        <v>1</v>
      </c>
      <c r="B2" s="124">
        <v>0</v>
      </c>
      <c r="C2" s="125">
        <v>42.180165646110204</v>
      </c>
      <c r="D2" s="124">
        <v>0</v>
      </c>
      <c r="E2" s="126">
        <v>79.212163369752005</v>
      </c>
      <c r="F2" s="126">
        <v>134.76492071732341</v>
      </c>
      <c r="G2" s="127">
        <v>96.938367281794655</v>
      </c>
      <c r="H2" s="16">
        <v>78.400781308911803</v>
      </c>
      <c r="I2" s="200">
        <v>50.76675920953371</v>
      </c>
      <c r="J2" s="201">
        <v>62.822661934905454</v>
      </c>
      <c r="K2" s="201">
        <v>23.235271425184493</v>
      </c>
      <c r="L2" s="201">
        <v>51.512724489915023</v>
      </c>
      <c r="M2" s="2">
        <v>130.04731226280978</v>
      </c>
      <c r="N2" s="2">
        <v>106.35691492156</v>
      </c>
    </row>
    <row r="3" spans="1:20" x14ac:dyDescent="0.3">
      <c r="A3" s="30">
        <v>2</v>
      </c>
      <c r="B3" s="124">
        <v>0</v>
      </c>
      <c r="C3" s="125">
        <v>35.994819088664357</v>
      </c>
      <c r="D3" s="124">
        <v>0</v>
      </c>
      <c r="E3" s="124">
        <v>87.267204786047742</v>
      </c>
      <c r="F3" s="127">
        <v>54.852228945545171</v>
      </c>
      <c r="G3" s="127">
        <v>77.565090799255003</v>
      </c>
      <c r="H3" s="127">
        <v>87.201173053097691</v>
      </c>
      <c r="I3" s="201">
        <v>42.180165646110204</v>
      </c>
      <c r="J3" s="201">
        <v>42.180165646110204</v>
      </c>
      <c r="K3" s="201">
        <v>30.082273322678382</v>
      </c>
      <c r="L3" s="201">
        <v>49.63992927204432</v>
      </c>
      <c r="M3" s="2">
        <v>239.51575345326799</v>
      </c>
      <c r="N3" s="2">
        <v>10.824764250896537</v>
      </c>
    </row>
    <row r="4" spans="1:20" x14ac:dyDescent="0.3">
      <c r="A4" s="30">
        <v>3</v>
      </c>
      <c r="B4" s="124">
        <v>0</v>
      </c>
      <c r="C4" s="124">
        <v>30.082273322678382</v>
      </c>
      <c r="D4" s="124">
        <v>0</v>
      </c>
      <c r="E4" s="124">
        <v>69.358109809934774</v>
      </c>
      <c r="F4" s="127">
        <v>57.498682991311725</v>
      </c>
      <c r="G4" s="127">
        <v>59.02958187793768</v>
      </c>
      <c r="H4" s="127">
        <v>60.998778744668606</v>
      </c>
      <c r="I4" s="201">
        <v>62.822661934905454</v>
      </c>
      <c r="J4" s="201">
        <v>70.253691987088033</v>
      </c>
      <c r="K4" s="201">
        <v>30.52432479711009</v>
      </c>
      <c r="L4" s="201">
        <v>138.42210202948769</v>
      </c>
      <c r="M4" s="2">
        <v>12.870397194820363</v>
      </c>
      <c r="N4" s="2">
        <v>42.180165646110204</v>
      </c>
    </row>
    <row r="5" spans="1:20" x14ac:dyDescent="0.3">
      <c r="A5" s="30">
        <v>4</v>
      </c>
      <c r="B5" s="126">
        <v>39.697652634152618</v>
      </c>
      <c r="C5" s="124">
        <v>71.75750928679345</v>
      </c>
      <c r="D5" s="124">
        <v>2.6586030169749519</v>
      </c>
      <c r="E5" s="124">
        <v>51.431223975905617</v>
      </c>
      <c r="F5" s="127">
        <v>69.165019754232048</v>
      </c>
      <c r="G5" s="127">
        <v>69.165019754232048</v>
      </c>
      <c r="H5" s="127">
        <v>69.165019754232048</v>
      </c>
      <c r="I5" s="201">
        <v>79.206251891351201</v>
      </c>
      <c r="J5" s="201">
        <v>112.25413916683532</v>
      </c>
      <c r="K5" s="201">
        <v>42.180165646110204</v>
      </c>
      <c r="L5" s="201">
        <v>47.914374669994757</v>
      </c>
      <c r="M5" s="2">
        <v>23.377092819125956</v>
      </c>
      <c r="N5" s="2">
        <v>98.806024315753135</v>
      </c>
    </row>
    <row r="6" spans="1:20" x14ac:dyDescent="0.3">
      <c r="A6" s="30">
        <v>5</v>
      </c>
      <c r="B6" s="126">
        <v>42.180165646110204</v>
      </c>
      <c r="C6" s="124">
        <v>74.180493876466272</v>
      </c>
      <c r="D6" s="124">
        <v>7.6027678246265644</v>
      </c>
      <c r="E6" s="124">
        <v>7.6027678096689408</v>
      </c>
      <c r="F6" s="127">
        <v>30.52432479711009</v>
      </c>
      <c r="G6" s="127">
        <v>80.569244336607369</v>
      </c>
      <c r="H6" s="127">
        <v>75.689453249570292</v>
      </c>
      <c r="I6" s="201">
        <v>64.999902441237367</v>
      </c>
      <c r="J6" s="201">
        <v>44.162059278897708</v>
      </c>
      <c r="K6" s="201">
        <v>144.11587953541019</v>
      </c>
      <c r="L6" s="201">
        <v>56.817511301103693</v>
      </c>
      <c r="M6" s="2">
        <v>0</v>
      </c>
      <c r="N6" s="2">
        <v>123.47012569878569</v>
      </c>
      <c r="P6" s="29"/>
      <c r="Q6" s="30" t="s">
        <v>105</v>
      </c>
      <c r="R6" s="30" t="s">
        <v>107</v>
      </c>
      <c r="S6" s="178" t="s">
        <v>346</v>
      </c>
      <c r="T6" s="30" t="s">
        <v>350</v>
      </c>
    </row>
    <row r="7" spans="1:20" x14ac:dyDescent="0.3">
      <c r="A7" s="30">
        <v>6</v>
      </c>
      <c r="B7" s="126">
        <v>316.00945418066362</v>
      </c>
      <c r="C7" s="124">
        <v>100.14348524837418</v>
      </c>
      <c r="D7" s="124">
        <v>460.12485752778764</v>
      </c>
      <c r="E7" s="124">
        <v>53.226371167217316</v>
      </c>
      <c r="F7" s="127">
        <v>47.914374669994757</v>
      </c>
      <c r="G7" s="127">
        <v>95.556957786233568</v>
      </c>
      <c r="H7" s="16">
        <v>83.795374290456493</v>
      </c>
      <c r="I7" s="201">
        <v>55.147255774425858</v>
      </c>
      <c r="J7" s="201">
        <v>33.243052108240356</v>
      </c>
      <c r="K7" s="201">
        <v>105.03451361315473</v>
      </c>
      <c r="L7" s="201">
        <v>30.082273322678382</v>
      </c>
      <c r="M7" s="2">
        <v>65.100488573044984</v>
      </c>
      <c r="N7" s="2">
        <v>0</v>
      </c>
      <c r="P7" s="30">
        <v>1</v>
      </c>
      <c r="Q7" s="125">
        <v>42.180165646110204</v>
      </c>
      <c r="R7" s="126">
        <v>79.212163369752005</v>
      </c>
      <c r="S7" s="2">
        <v>130.04731226280978</v>
      </c>
      <c r="T7" s="2">
        <v>106.35691492156</v>
      </c>
    </row>
    <row r="8" spans="1:20" x14ac:dyDescent="0.3">
      <c r="A8" s="29"/>
      <c r="B8" s="95">
        <f t="shared" ref="B8:L8" si="0">SUM(B2:B7)</f>
        <v>397.88727246092645</v>
      </c>
      <c r="C8" s="22">
        <f t="shared" si="0"/>
        <v>354.33874646908686</v>
      </c>
      <c r="D8" s="22">
        <f t="shared" si="0"/>
        <v>470.38622836938913</v>
      </c>
      <c r="E8" s="23">
        <f t="shared" si="0"/>
        <v>348.0978409185264</v>
      </c>
      <c r="F8" s="95">
        <f t="shared" si="0"/>
        <v>394.71955187551714</v>
      </c>
      <c r="G8" s="95">
        <f t="shared" si="0"/>
        <v>478.82426183606032</v>
      </c>
      <c r="H8" s="95">
        <f t="shared" si="0"/>
        <v>455.250580400937</v>
      </c>
      <c r="I8" s="202">
        <f t="shared" si="0"/>
        <v>355.12299689756378</v>
      </c>
      <c r="J8" s="202">
        <f t="shared" si="0"/>
        <v>364.91577012207705</v>
      </c>
      <c r="K8" s="202">
        <f t="shared" si="0"/>
        <v>375.17242833964809</v>
      </c>
      <c r="L8" s="202">
        <f t="shared" si="0"/>
        <v>374.38891508522386</v>
      </c>
      <c r="M8" s="141">
        <f>SUM(M2:M7)</f>
        <v>470.91104430306905</v>
      </c>
      <c r="N8" s="141">
        <f>SUM(N2:N7)</f>
        <v>381.63799483310555</v>
      </c>
      <c r="P8" s="30">
        <v>2</v>
      </c>
      <c r="Q8" s="125">
        <v>35.994819088664357</v>
      </c>
      <c r="R8" s="124">
        <v>87.267204786047742</v>
      </c>
      <c r="S8" s="2">
        <v>239.51575345326799</v>
      </c>
      <c r="T8" s="2">
        <v>10.824764250896537</v>
      </c>
    </row>
    <row r="9" spans="1:20" x14ac:dyDescent="0.3">
      <c r="A9" s="217" t="s">
        <v>332</v>
      </c>
      <c r="B9" s="218">
        <v>427.91800000000001</v>
      </c>
      <c r="C9" s="219">
        <v>350.07499999999999</v>
      </c>
      <c r="D9" s="219">
        <v>470.38600000000002</v>
      </c>
      <c r="E9" s="219">
        <v>336.68400000000003</v>
      </c>
      <c r="F9" s="217">
        <f>SUM(F10:F15)</f>
        <v>383.29898854343173</v>
      </c>
      <c r="G9" s="217">
        <f>SUM(G10:G15)</f>
        <v>371.21227102713794</v>
      </c>
      <c r="H9" s="217">
        <f>SUM(H10:H15)</f>
        <v>363.0122223715785</v>
      </c>
      <c r="I9" s="217">
        <f t="shared" ref="I9:J9" si="1">SUM(I10:I15)</f>
        <v>363.97569672159403</v>
      </c>
      <c r="J9" s="217">
        <f t="shared" si="1"/>
        <v>360.02663488743133</v>
      </c>
      <c r="K9" s="220">
        <v>375.17200000000003</v>
      </c>
      <c r="L9" s="220">
        <v>377.702</v>
      </c>
      <c r="M9" s="2"/>
      <c r="N9" s="2"/>
      <c r="P9" s="30">
        <v>3</v>
      </c>
      <c r="Q9" s="124">
        <v>30.082273322678382</v>
      </c>
      <c r="R9" s="124">
        <v>69.358109809934774</v>
      </c>
      <c r="S9" s="2">
        <v>12.870397194820363</v>
      </c>
      <c r="T9" s="2">
        <v>42.180165646110204</v>
      </c>
    </row>
    <row r="10" spans="1:20" x14ac:dyDescent="0.3">
      <c r="F10">
        <v>117.81269227301327</v>
      </c>
      <c r="G10">
        <v>69.5569276333799</v>
      </c>
      <c r="H10">
        <v>75.09086600323252</v>
      </c>
      <c r="I10">
        <v>62.822661934905454</v>
      </c>
      <c r="J10">
        <v>108.93727038919448</v>
      </c>
      <c r="P10" s="30">
        <v>4</v>
      </c>
      <c r="Q10" s="124">
        <v>71.75750928679345</v>
      </c>
      <c r="R10" s="124">
        <v>51.431223975905617</v>
      </c>
      <c r="S10" s="2">
        <v>23.377092819125956</v>
      </c>
      <c r="T10" s="2">
        <v>98.806024315753135</v>
      </c>
    </row>
    <row r="11" spans="1:20" x14ac:dyDescent="0.3">
      <c r="F11">
        <v>67.732217067431804</v>
      </c>
      <c r="G11">
        <v>105.59462218707679</v>
      </c>
      <c r="H11">
        <v>66.19087898670864</v>
      </c>
      <c r="I11">
        <v>100.86973309832496</v>
      </c>
      <c r="J11">
        <v>78.474564489103457</v>
      </c>
      <c r="P11" s="30">
        <v>5</v>
      </c>
      <c r="Q11" s="124">
        <v>74.180493876466272</v>
      </c>
      <c r="R11" s="124">
        <v>7.6027678096689408</v>
      </c>
      <c r="S11" s="2">
        <v>0</v>
      </c>
      <c r="T11" s="2">
        <v>123.47012569878569</v>
      </c>
    </row>
    <row r="12" spans="1:20" x14ac:dyDescent="0.3">
      <c r="F12">
        <v>50.150359981649778</v>
      </c>
      <c r="G12">
        <v>50.999787811604619</v>
      </c>
      <c r="H12">
        <v>71.357547499612124</v>
      </c>
      <c r="I12">
        <v>42.180165646110204</v>
      </c>
      <c r="J12">
        <v>42.180165646110204</v>
      </c>
      <c r="P12" s="30">
        <v>6</v>
      </c>
      <c r="Q12" s="124">
        <v>100.14348524837418</v>
      </c>
      <c r="R12" s="124">
        <v>53.226371167217316</v>
      </c>
      <c r="S12" s="2">
        <v>65.100488573044984</v>
      </c>
      <c r="T12" s="2">
        <v>0</v>
      </c>
    </row>
    <row r="13" spans="1:20" x14ac:dyDescent="0.3">
      <c r="F13">
        <v>69.165019754232048</v>
      </c>
      <c r="G13">
        <v>69.165019754232048</v>
      </c>
      <c r="H13">
        <v>69.165019754232048</v>
      </c>
      <c r="I13">
        <v>79.206251891351201</v>
      </c>
      <c r="J13">
        <v>51.431223938004848</v>
      </c>
      <c r="P13" s="29"/>
      <c r="Q13" s="22">
        <f t="shared" ref="Q13:R13" si="2">SUM(Q7:Q12)</f>
        <v>354.33874646908686</v>
      </c>
      <c r="R13" s="23">
        <f t="shared" si="2"/>
        <v>348.0978409185264</v>
      </c>
      <c r="S13" s="141">
        <f>SUM(S7:S12)</f>
        <v>470.91104430306905</v>
      </c>
      <c r="T13" s="141">
        <f>SUM(T7:T12)</f>
        <v>381.63799483310555</v>
      </c>
    </row>
    <row r="14" spans="1:20" x14ac:dyDescent="0.3">
      <c r="F14">
        <v>30.52432479711009</v>
      </c>
      <c r="G14">
        <v>27.981538970849861</v>
      </c>
      <c r="H14">
        <v>27.981538970849861</v>
      </c>
      <c r="I14">
        <v>64.999902441237367</v>
      </c>
      <c r="J14">
        <v>33.243052108240356</v>
      </c>
    </row>
    <row r="15" spans="1:20" x14ac:dyDescent="0.3">
      <c r="F15">
        <v>47.914374669994757</v>
      </c>
      <c r="G15">
        <v>47.914374669994757</v>
      </c>
      <c r="H15">
        <v>53.226371156943344</v>
      </c>
      <c r="I15">
        <v>13.896981709664891</v>
      </c>
      <c r="J15">
        <v>45.76035831677796</v>
      </c>
    </row>
    <row r="17" spans="3:18" x14ac:dyDescent="0.3">
      <c r="C17" s="29"/>
      <c r="D17" s="30" t="s">
        <v>105</v>
      </c>
      <c r="E17" s="30" t="s">
        <v>107</v>
      </c>
      <c r="F17" s="30" t="s">
        <v>220</v>
      </c>
      <c r="G17" s="30" t="s">
        <v>221</v>
      </c>
      <c r="H17" s="30" t="s">
        <v>222</v>
      </c>
      <c r="I17" s="30" t="s">
        <v>346</v>
      </c>
      <c r="K17" s="29"/>
      <c r="L17" s="30" t="s">
        <v>105</v>
      </c>
      <c r="M17" s="30" t="s">
        <v>107</v>
      </c>
      <c r="N17" s="30" t="s">
        <v>220</v>
      </c>
      <c r="O17" s="30" t="s">
        <v>221</v>
      </c>
      <c r="P17" s="30" t="s">
        <v>222</v>
      </c>
      <c r="Q17" s="178" t="s">
        <v>346</v>
      </c>
      <c r="R17" s="30" t="s">
        <v>350</v>
      </c>
    </row>
    <row r="18" spans="3:18" x14ac:dyDescent="0.3">
      <c r="C18" s="30">
        <v>1</v>
      </c>
      <c r="D18" s="237">
        <v>4.1065398274616296</v>
      </c>
      <c r="E18" s="237">
        <v>10.740033758771855</v>
      </c>
      <c r="F18" s="237">
        <v>10.740033758771855</v>
      </c>
      <c r="G18" s="237">
        <v>9.7766023846371741</v>
      </c>
      <c r="H18" s="237">
        <v>10.740033758771855</v>
      </c>
      <c r="I18" s="237">
        <v>14.132223428720208</v>
      </c>
      <c r="K18" s="30">
        <v>1</v>
      </c>
      <c r="L18" s="125">
        <v>42.180165646110204</v>
      </c>
      <c r="M18" s="126">
        <v>79.212163369752005</v>
      </c>
      <c r="N18" s="126">
        <v>134.76492071732341</v>
      </c>
      <c r="O18" s="127">
        <v>96.938367281794655</v>
      </c>
      <c r="P18" s="16">
        <v>78.400781308911803</v>
      </c>
      <c r="Q18" s="2">
        <v>130.04731226280978</v>
      </c>
      <c r="R18" s="2">
        <v>106.35691492156</v>
      </c>
    </row>
    <row r="19" spans="3:18" x14ac:dyDescent="0.3">
      <c r="C19" s="30">
        <v>2</v>
      </c>
      <c r="D19" s="237">
        <v>10.831932485633823</v>
      </c>
      <c r="E19" s="237">
        <v>8.8400241298582376</v>
      </c>
      <c r="F19" s="237">
        <v>8.8400241298582376</v>
      </c>
      <c r="G19" s="237">
        <v>11.144508719627964</v>
      </c>
      <c r="H19" s="237">
        <v>8.8400241298582376</v>
      </c>
      <c r="I19" s="237">
        <v>38.075256640963872</v>
      </c>
      <c r="K19" s="30">
        <v>2</v>
      </c>
      <c r="L19" s="125">
        <v>35.994819088664357</v>
      </c>
      <c r="M19" s="124">
        <v>87.267204786047742</v>
      </c>
      <c r="N19" s="127">
        <v>54.852228945545171</v>
      </c>
      <c r="O19" s="127">
        <v>77.565090799255003</v>
      </c>
      <c r="P19" s="127">
        <v>87.201173053097691</v>
      </c>
      <c r="Q19" s="2">
        <v>239.51575345326799</v>
      </c>
      <c r="R19" s="2">
        <v>10.824764250896537</v>
      </c>
    </row>
    <row r="20" spans="3:18" x14ac:dyDescent="0.3">
      <c r="C20" s="30">
        <v>3</v>
      </c>
      <c r="D20" s="237">
        <v>0</v>
      </c>
      <c r="E20" s="237">
        <v>4.5112975695591446</v>
      </c>
      <c r="F20" s="237">
        <v>4.5112975695591446</v>
      </c>
      <c r="G20" s="237">
        <v>4.5112975695591446</v>
      </c>
      <c r="H20" s="237">
        <v>4.5112975695591446</v>
      </c>
      <c r="I20" s="237">
        <v>18.275595767340775</v>
      </c>
      <c r="K20" s="30">
        <v>3</v>
      </c>
      <c r="L20" s="124">
        <v>30.082273322678382</v>
      </c>
      <c r="M20" s="124">
        <v>69.358109809934774</v>
      </c>
      <c r="N20" s="127">
        <v>57.498682991311725</v>
      </c>
      <c r="O20" s="127">
        <v>59.02958187793768</v>
      </c>
      <c r="P20" s="127">
        <v>60.998778744668606</v>
      </c>
      <c r="Q20" s="2">
        <v>12.870397194820363</v>
      </c>
      <c r="R20" s="2">
        <v>42.180165646110204</v>
      </c>
    </row>
    <row r="21" spans="3:18" x14ac:dyDescent="0.3">
      <c r="C21" s="30">
        <v>4</v>
      </c>
      <c r="D21" s="237">
        <v>23.212545220821845</v>
      </c>
      <c r="E21" s="237">
        <v>20.9899889258473</v>
      </c>
      <c r="F21" s="237">
        <v>20.9899889258473</v>
      </c>
      <c r="G21" s="237">
        <v>20.9899889258473</v>
      </c>
      <c r="H21" s="237">
        <v>20.9899889258473</v>
      </c>
      <c r="I21" s="237">
        <v>4.1065398274616296</v>
      </c>
      <c r="K21" s="30">
        <v>4</v>
      </c>
      <c r="L21" s="124">
        <v>71.75750928679345</v>
      </c>
      <c r="M21" s="124">
        <v>51.431223975905617</v>
      </c>
      <c r="N21" s="127">
        <v>69.165019754232048</v>
      </c>
      <c r="O21" s="127">
        <v>69.165019754232048</v>
      </c>
      <c r="P21" s="127">
        <v>69.165019754232048</v>
      </c>
      <c r="Q21" s="2">
        <v>23.377092819125956</v>
      </c>
      <c r="R21" s="2">
        <v>98.806024315753135</v>
      </c>
    </row>
    <row r="22" spans="3:18" x14ac:dyDescent="0.3">
      <c r="C22" s="30">
        <v>5</v>
      </c>
      <c r="D22" s="237">
        <v>10.740033758771855</v>
      </c>
      <c r="E22" s="237">
        <v>7.6027678246265644</v>
      </c>
      <c r="F22" s="237">
        <v>7.6027678246265644</v>
      </c>
      <c r="G22" s="237">
        <v>7.6027678246265644</v>
      </c>
      <c r="H22" s="237">
        <v>7.6027678246265644</v>
      </c>
      <c r="I22" s="237">
        <v>13.162549438168483</v>
      </c>
      <c r="K22" s="30">
        <v>5</v>
      </c>
      <c r="L22" s="124">
        <v>74.180493876466272</v>
      </c>
      <c r="M22" s="124">
        <v>7.6027678096689408</v>
      </c>
      <c r="N22" s="127">
        <v>30.52432479711009</v>
      </c>
      <c r="O22" s="127">
        <v>80.569244336607369</v>
      </c>
      <c r="P22" s="127">
        <v>75.689453249570292</v>
      </c>
      <c r="Q22" s="2">
        <v>0</v>
      </c>
      <c r="R22" s="2">
        <v>123.47012569878569</v>
      </c>
    </row>
    <row r="23" spans="3:18" x14ac:dyDescent="0.3">
      <c r="C23" s="30">
        <v>6</v>
      </c>
      <c r="D23" s="237">
        <v>33.63176382092761</v>
      </c>
      <c r="E23" s="237">
        <v>4.1065398274616296</v>
      </c>
      <c r="F23" s="237">
        <v>4.1065398274616296</v>
      </c>
      <c r="G23" s="237">
        <v>4.1065398274616296</v>
      </c>
      <c r="H23" s="237">
        <v>4.1065398274616296</v>
      </c>
      <c r="I23" s="237">
        <v>0</v>
      </c>
      <c r="K23" s="30">
        <v>6</v>
      </c>
      <c r="L23" s="124">
        <v>100.14348524837418</v>
      </c>
      <c r="M23" s="124">
        <v>53.226371167217316</v>
      </c>
      <c r="N23" s="127">
        <v>47.914374669994757</v>
      </c>
      <c r="O23" s="127">
        <v>95.556957786233568</v>
      </c>
      <c r="P23" s="16">
        <v>83.795374290456493</v>
      </c>
      <c r="Q23" s="2">
        <v>65.100488573044984</v>
      </c>
      <c r="R23" s="2">
        <v>0</v>
      </c>
    </row>
    <row r="24" spans="3:18" x14ac:dyDescent="0.3">
      <c r="C24" s="29"/>
      <c r="D24" s="22">
        <f>SUM(D18:D23)</f>
        <v>82.522815113616758</v>
      </c>
      <c r="E24" s="23">
        <f t="shared" ref="E24:I24" si="3">SUM(E18:E23)</f>
        <v>56.79065203612474</v>
      </c>
      <c r="F24" s="23">
        <f t="shared" si="3"/>
        <v>56.79065203612474</v>
      </c>
      <c r="G24" s="22">
        <f t="shared" si="3"/>
        <v>58.131705251759783</v>
      </c>
      <c r="H24" s="23">
        <f t="shared" si="3"/>
        <v>56.79065203612474</v>
      </c>
      <c r="I24" s="22">
        <f t="shared" si="3"/>
        <v>87.75216510265497</v>
      </c>
      <c r="K24" s="29"/>
      <c r="L24" s="22">
        <f t="shared" ref="L24:P24" si="4">SUM(L18:L23)</f>
        <v>354.33874646908686</v>
      </c>
      <c r="M24" s="23">
        <f t="shared" si="4"/>
        <v>348.0978409185264</v>
      </c>
      <c r="N24" s="95">
        <f t="shared" si="4"/>
        <v>394.71955187551714</v>
      </c>
      <c r="O24" s="95">
        <f t="shared" si="4"/>
        <v>478.82426183606032</v>
      </c>
      <c r="P24" s="95">
        <f t="shared" si="4"/>
        <v>455.250580400937</v>
      </c>
      <c r="Q24" s="141">
        <f>SUM(Q18:Q23)</f>
        <v>470.91104430306905</v>
      </c>
      <c r="R24" s="141">
        <f>SUM(R18:R23)</f>
        <v>381.63799483310555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01AB-A6BF-4B46-9120-1685AEE6426B}">
  <dimension ref="A3:G13"/>
  <sheetViews>
    <sheetView workbookViewId="0">
      <selection activeCell="J10" sqref="J10"/>
    </sheetView>
  </sheetViews>
  <sheetFormatPr defaultRowHeight="14.4" x14ac:dyDescent="0.3"/>
  <cols>
    <col min="1" max="1" width="19.33203125" bestFit="1" customWidth="1"/>
    <col min="2" max="2" width="20.33203125" bestFit="1" customWidth="1"/>
    <col min="3" max="16" width="12.6640625" bestFit="1" customWidth="1"/>
    <col min="17" max="54" width="20.33203125" bestFit="1" customWidth="1"/>
    <col min="55" max="63" width="22.21875" bestFit="1" customWidth="1"/>
  </cols>
  <sheetData>
    <row r="3" spans="1:7" x14ac:dyDescent="0.3">
      <c r="B3" s="19" t="s">
        <v>183</v>
      </c>
    </row>
    <row r="4" spans="1:7" x14ac:dyDescent="0.3">
      <c r="A4" s="19" t="s">
        <v>184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1:7" x14ac:dyDescent="0.3">
      <c r="A5" s="20" t="s">
        <v>211</v>
      </c>
      <c r="B5" s="21">
        <v>-0.75310087162500006</v>
      </c>
      <c r="C5" s="21">
        <v>1.0692589622500002</v>
      </c>
      <c r="D5" s="21">
        <v>-0.48542945999999992</v>
      </c>
      <c r="E5" s="21">
        <v>0.66859165835294121</v>
      </c>
      <c r="F5" s="21">
        <v>-0.75943046194074082</v>
      </c>
      <c r="G5" s="21">
        <v>-6.956522900000002E-2</v>
      </c>
    </row>
    <row r="6" spans="1:7" x14ac:dyDescent="0.3">
      <c r="A6" s="20" t="s">
        <v>175</v>
      </c>
      <c r="B6" s="21">
        <v>-0.88247965000000006</v>
      </c>
      <c r="C6" s="21">
        <v>0.57131198410000006</v>
      </c>
      <c r="D6" s="21">
        <v>1.2654259240000001</v>
      </c>
      <c r="E6" s="21">
        <v>2.4590399176470492E-3</v>
      </c>
      <c r="F6" s="21">
        <v>-0.36009008060037045</v>
      </c>
      <c r="G6" s="21">
        <v>0.36204443702857153</v>
      </c>
    </row>
    <row r="7" spans="1:7" x14ac:dyDescent="0.3">
      <c r="A7" s="20" t="s">
        <v>182</v>
      </c>
      <c r="B7" s="21">
        <v>0.17515717187500002</v>
      </c>
      <c r="C7" s="21">
        <v>4.9769384500000027E-3</v>
      </c>
      <c r="D7" s="21">
        <v>-0.73552086950000006</v>
      </c>
      <c r="E7" s="21">
        <v>-0.56650615770588231</v>
      </c>
      <c r="F7" s="21">
        <v>-0.25846499044074078</v>
      </c>
      <c r="G7" s="21">
        <v>1.1856651981428572</v>
      </c>
    </row>
    <row r="8" spans="1:7" x14ac:dyDescent="0.3">
      <c r="A8" s="20" t="s">
        <v>176</v>
      </c>
      <c r="B8" s="21">
        <v>2.12604318125</v>
      </c>
      <c r="C8" s="21">
        <v>-0.97143232856250017</v>
      </c>
      <c r="D8" s="21">
        <v>1.0456777235000001</v>
      </c>
      <c r="E8" s="21">
        <v>-0.10266792899411771</v>
      </c>
      <c r="F8" s="21">
        <v>9.5002021831851843E-2</v>
      </c>
      <c r="G8" s="21">
        <v>-0.3126059595857143</v>
      </c>
    </row>
    <row r="9" spans="1:7" x14ac:dyDescent="0.3">
      <c r="A9" s="20" t="s">
        <v>177</v>
      </c>
      <c r="B9" s="21">
        <v>-0.54678664943749999</v>
      </c>
      <c r="C9" s="21">
        <v>-0.32204341712500001</v>
      </c>
      <c r="D9" s="21">
        <v>4.3777069549999998</v>
      </c>
      <c r="E9" s="21">
        <v>0.65663176692941172</v>
      </c>
      <c r="F9" s="21">
        <v>-0.1179056210462963</v>
      </c>
      <c r="G9" s="21">
        <v>-0.51483673711428579</v>
      </c>
    </row>
    <row r="10" spans="1:7" x14ac:dyDescent="0.3">
      <c r="A10" s="20" t="s">
        <v>178</v>
      </c>
      <c r="B10" s="21">
        <v>-0.53349418662500014</v>
      </c>
      <c r="C10" s="21">
        <v>-0.36641284483875003</v>
      </c>
      <c r="D10" s="21">
        <v>3.5019666250000001</v>
      </c>
      <c r="E10" s="21">
        <v>0.8472714252329413</v>
      </c>
      <c r="F10" s="21">
        <v>-0.16106860006370372</v>
      </c>
      <c r="G10" s="21">
        <v>-0.49486687535714291</v>
      </c>
    </row>
    <row r="11" spans="1:7" x14ac:dyDescent="0.3">
      <c r="A11" s="20" t="s">
        <v>179</v>
      </c>
      <c r="B11" s="21">
        <v>2.4241274725000004</v>
      </c>
      <c r="C11" s="21">
        <v>-0.63465251362499997</v>
      </c>
      <c r="D11" s="21">
        <v>1.8978305455</v>
      </c>
      <c r="E11" s="21">
        <v>-0.19748338063764706</v>
      </c>
      <c r="F11" s="21">
        <v>-0.13075787863592594</v>
      </c>
      <c r="G11" s="21">
        <v>-0.43904003274285719</v>
      </c>
    </row>
    <row r="12" spans="1:7" x14ac:dyDescent="0.3">
      <c r="A12" s="20" t="s">
        <v>180</v>
      </c>
      <c r="B12" s="21">
        <v>-0.78540560083750011</v>
      </c>
      <c r="C12" s="21">
        <v>-4.7594500624999994E-2</v>
      </c>
      <c r="D12" s="21">
        <v>-0.64512707400000002</v>
      </c>
      <c r="E12" s="21">
        <v>-0.47565030090588228</v>
      </c>
      <c r="F12" s="21">
        <v>-8.7609849445925925E-2</v>
      </c>
      <c r="G12" s="21">
        <v>1.3418951446928573</v>
      </c>
    </row>
    <row r="13" spans="1:7" x14ac:dyDescent="0.3">
      <c r="A13" s="20" t="s">
        <v>181</v>
      </c>
      <c r="B13" s="21">
        <v>-0.14656659775000003</v>
      </c>
      <c r="C13" s="21">
        <v>-0.41354085421875009</v>
      </c>
      <c r="D13" s="21">
        <v>3.8341421150000001</v>
      </c>
      <c r="E13" s="21">
        <v>0.61864266844829408</v>
      </c>
      <c r="F13" s="21">
        <v>-7.4258789265185213E-2</v>
      </c>
      <c r="G13" s="21">
        <v>-0.5993597017857144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50255-0EC3-487D-BEB0-ABF06F931CAB}">
  <dimension ref="A1:AF37"/>
  <sheetViews>
    <sheetView topLeftCell="R32" zoomScale="121" workbookViewId="0">
      <selection activeCell="V58" sqref="V58"/>
    </sheetView>
  </sheetViews>
  <sheetFormatPr defaultRowHeight="14.4" x14ac:dyDescent="0.3"/>
  <cols>
    <col min="24" max="24" width="12.88671875" bestFit="1" customWidth="1"/>
  </cols>
  <sheetData>
    <row r="1" spans="1:32" x14ac:dyDescent="0.3">
      <c r="A1" s="285" t="s">
        <v>208</v>
      </c>
      <c r="B1" s="285"/>
      <c r="C1" s="285"/>
      <c r="D1" s="285"/>
      <c r="E1" s="285"/>
      <c r="F1" s="285"/>
      <c r="G1" s="285"/>
      <c r="H1" s="285"/>
      <c r="I1" s="285"/>
      <c r="J1" s="285"/>
      <c r="L1" s="285" t="s">
        <v>189</v>
      </c>
      <c r="M1" s="285"/>
      <c r="N1" s="285"/>
      <c r="O1" s="285"/>
      <c r="P1" s="285"/>
      <c r="Q1" s="285"/>
      <c r="R1" s="285"/>
      <c r="S1" s="285"/>
      <c r="T1" s="285"/>
      <c r="U1" s="285"/>
      <c r="Y1" t="s">
        <v>346</v>
      </c>
    </row>
    <row r="2" spans="1:32" x14ac:dyDescent="0.3">
      <c r="A2" s="6"/>
      <c r="B2" s="7" t="s">
        <v>94</v>
      </c>
      <c r="C2" s="7" t="s">
        <v>95</v>
      </c>
      <c r="D2" s="7" t="s">
        <v>96</v>
      </c>
      <c r="E2" s="7" t="s">
        <v>97</v>
      </c>
      <c r="F2" s="7" t="s">
        <v>98</v>
      </c>
      <c r="G2" s="7" t="s">
        <v>99</v>
      </c>
      <c r="H2" s="7" t="s">
        <v>100</v>
      </c>
      <c r="I2" s="7" t="s">
        <v>101</v>
      </c>
      <c r="J2" s="7" t="s">
        <v>102</v>
      </c>
      <c r="L2" s="6"/>
      <c r="M2" s="7" t="s">
        <v>94</v>
      </c>
      <c r="N2" s="7" t="s">
        <v>95</v>
      </c>
      <c r="O2" s="7" t="s">
        <v>96</v>
      </c>
      <c r="P2" s="7" t="s">
        <v>97</v>
      </c>
      <c r="Q2" s="7" t="s">
        <v>98</v>
      </c>
      <c r="R2" s="7" t="s">
        <v>99</v>
      </c>
      <c r="S2" s="7" t="s">
        <v>100</v>
      </c>
      <c r="T2" s="7" t="s">
        <v>101</v>
      </c>
      <c r="U2" s="7" t="s">
        <v>102</v>
      </c>
      <c r="W2" s="6"/>
      <c r="X2" s="7" t="s">
        <v>94</v>
      </c>
      <c r="Y2" s="7" t="s">
        <v>95</v>
      </c>
      <c r="Z2" s="7" t="s">
        <v>96</v>
      </c>
      <c r="AA2" s="7" t="s">
        <v>97</v>
      </c>
      <c r="AB2" s="7" t="s">
        <v>98</v>
      </c>
      <c r="AC2" s="7" t="s">
        <v>99</v>
      </c>
      <c r="AD2" s="7" t="s">
        <v>100</v>
      </c>
      <c r="AE2" s="7" t="s">
        <v>101</v>
      </c>
      <c r="AF2" s="7" t="s">
        <v>102</v>
      </c>
    </row>
    <row r="3" spans="1:32" x14ac:dyDescent="0.3">
      <c r="A3" s="7">
        <v>1</v>
      </c>
      <c r="B3" s="16">
        <v>-1.2545451999999999</v>
      </c>
      <c r="C3" s="16">
        <v>1.7259112700000001</v>
      </c>
      <c r="D3" s="16">
        <v>-0.71721293799999997</v>
      </c>
      <c r="E3" s="16">
        <v>0.92777866700000011</v>
      </c>
      <c r="F3" s="16">
        <v>6.8915327899999994</v>
      </c>
      <c r="G3" s="16">
        <v>3.8590870500000003</v>
      </c>
      <c r="H3" s="16">
        <v>3.06948211</v>
      </c>
      <c r="I3" s="16">
        <v>-0.18112886799999997</v>
      </c>
      <c r="J3" s="16">
        <v>1.3464929300000001</v>
      </c>
      <c r="L3" s="13">
        <v>1</v>
      </c>
      <c r="M3" s="14">
        <v>-1.2545451999999999</v>
      </c>
      <c r="N3" s="14">
        <v>1.7259112700000001</v>
      </c>
      <c r="O3" s="14">
        <v>-0.71721293799999997</v>
      </c>
      <c r="P3" s="14">
        <v>0.92777866700000011</v>
      </c>
      <c r="Q3" s="14">
        <v>6.8915327899999994</v>
      </c>
      <c r="R3" s="14">
        <v>3.8590870500000003</v>
      </c>
      <c r="S3" s="14">
        <v>3.06948211</v>
      </c>
      <c r="T3" s="14">
        <v>-0.18112886799999997</v>
      </c>
      <c r="U3" s="14">
        <v>1.3464929300000001</v>
      </c>
      <c r="W3" s="13">
        <v>1</v>
      </c>
      <c r="X3" s="2">
        <v>-0.45394662293043486</v>
      </c>
      <c r="Y3" s="2">
        <v>-0.20018297882608693</v>
      </c>
      <c r="Z3" s="2">
        <v>0.2853986448956522</v>
      </c>
      <c r="AA3" s="2">
        <v>7.7525384102608674E-2</v>
      </c>
      <c r="AB3" s="2">
        <v>-2.1396800954347841E-2</v>
      </c>
      <c r="AC3" s="2">
        <v>1.1059008893913022E-2</v>
      </c>
      <c r="AD3" s="2">
        <v>-0.18449272031173911</v>
      </c>
      <c r="AE3" s="2">
        <v>5.0635655989565188E-2</v>
      </c>
      <c r="AF3" s="2">
        <v>8.3465571218260856E-2</v>
      </c>
    </row>
    <row r="4" spans="1:32" x14ac:dyDescent="0.3">
      <c r="A4" s="7">
        <v>2</v>
      </c>
      <c r="B4" s="16">
        <v>0.28368628000000007</v>
      </c>
      <c r="C4" s="16">
        <v>0.80494057800000007</v>
      </c>
      <c r="D4" s="16">
        <v>-0.75382880100000016</v>
      </c>
      <c r="E4" s="16">
        <v>1.1635767800000001</v>
      </c>
      <c r="F4" s="16">
        <v>1.8638811200000001</v>
      </c>
      <c r="G4" s="16">
        <v>3.1448461999999999</v>
      </c>
      <c r="H4" s="16">
        <v>0.726178981</v>
      </c>
      <c r="I4" s="16">
        <v>-1.10912528</v>
      </c>
      <c r="J4" s="16">
        <v>6.3217913000000001</v>
      </c>
      <c r="L4" s="13">
        <v>2</v>
      </c>
      <c r="M4" s="6">
        <v>0.28368628000000007</v>
      </c>
      <c r="N4" s="6">
        <v>0.80494057800000007</v>
      </c>
      <c r="O4" s="6">
        <v>-0.75382880100000016</v>
      </c>
      <c r="P4" s="6">
        <v>1.1635767800000001</v>
      </c>
      <c r="Q4" s="6">
        <v>1.8638811200000001</v>
      </c>
      <c r="R4" s="6">
        <v>3.1448461999999999</v>
      </c>
      <c r="S4" s="6">
        <v>0.726178981</v>
      </c>
      <c r="T4" s="6">
        <v>-1.10912528</v>
      </c>
      <c r="U4" s="6">
        <v>6.3217913000000001</v>
      </c>
      <c r="W4" s="13">
        <v>2</v>
      </c>
      <c r="X4" s="2">
        <v>0.49581236361538461</v>
      </c>
      <c r="Y4" s="2">
        <v>0.19954725772051282</v>
      </c>
      <c r="Z4" s="2">
        <v>-0.22397550533333335</v>
      </c>
      <c r="AA4" s="2">
        <v>-0.25912216123589754</v>
      </c>
      <c r="AB4" s="2">
        <v>0.14469215396153839</v>
      </c>
      <c r="AC4" s="2">
        <v>5.8492252630769426E-3</v>
      </c>
      <c r="AD4" s="2">
        <v>-0.14488332491897438</v>
      </c>
      <c r="AE4" s="2">
        <v>5.4052095289743585E-2</v>
      </c>
      <c r="AF4" s="2">
        <v>-7.8232825745102555E-2</v>
      </c>
    </row>
    <row r="5" spans="1:32" x14ac:dyDescent="0.3">
      <c r="A5" s="7">
        <v>3</v>
      </c>
      <c r="B5" s="17">
        <v>1.0634920000000001</v>
      </c>
      <c r="C5" s="17">
        <v>4.7301472100000002</v>
      </c>
      <c r="D5" s="17">
        <v>0.27651410200000004</v>
      </c>
      <c r="E5" s="17">
        <v>-2.2608627800000001</v>
      </c>
      <c r="F5" s="17">
        <v>-0.7142291930000001</v>
      </c>
      <c r="G5" s="17">
        <v>-0.69164751800000013</v>
      </c>
      <c r="H5" s="17">
        <v>-0.8456277310000001</v>
      </c>
      <c r="I5" s="17">
        <v>3.46611285</v>
      </c>
      <c r="J5" s="17">
        <v>-0.77969863700000019</v>
      </c>
      <c r="L5" s="13">
        <v>3</v>
      </c>
      <c r="M5" s="6">
        <v>0.71691168000000005</v>
      </c>
      <c r="N5" s="6">
        <v>1.6668115500000003</v>
      </c>
      <c r="O5" s="6">
        <v>-0.62574745100000018</v>
      </c>
      <c r="P5" s="6">
        <v>0.10582420100000002</v>
      </c>
      <c r="Q5" s="6">
        <v>1.0938137000000001</v>
      </c>
      <c r="R5" s="6">
        <v>4.5733278999999998</v>
      </c>
      <c r="S5" s="6">
        <v>-0.18025893800000001</v>
      </c>
      <c r="T5" s="6">
        <v>-1.51917021</v>
      </c>
      <c r="U5" s="6">
        <v>0.29759871200000004</v>
      </c>
      <c r="W5" s="13">
        <v>3</v>
      </c>
      <c r="X5" s="2">
        <v>-0.45378150303749992</v>
      </c>
      <c r="Y5" s="2">
        <v>-3.2305502974999997E-2</v>
      </c>
      <c r="Z5" s="2">
        <v>0.33406554881250006</v>
      </c>
      <c r="AA5" s="2">
        <v>-0.19713116110000001</v>
      </c>
      <c r="AB5" s="2">
        <v>-0.40854137395000001</v>
      </c>
      <c r="AC5" s="2">
        <v>-0.451866661</v>
      </c>
      <c r="AD5" s="2">
        <v>-0.270045971025</v>
      </c>
      <c r="AE5" s="2">
        <v>9.9428187712500005E-2</v>
      </c>
      <c r="AF5" s="2">
        <v>-0.58422496350000008</v>
      </c>
    </row>
    <row r="6" spans="1:32" x14ac:dyDescent="0.3">
      <c r="A6" s="7">
        <v>4</v>
      </c>
      <c r="B6" s="17">
        <v>0.5473188052857143</v>
      </c>
      <c r="C6" s="17">
        <v>8.3783239571428567E-2</v>
      </c>
      <c r="D6" s="17">
        <v>-0.56878774642857155</v>
      </c>
      <c r="E6" s="17">
        <v>0.19701326628571428</v>
      </c>
      <c r="F6" s="17">
        <v>0.79657614368571428</v>
      </c>
      <c r="G6" s="17">
        <v>1.9087722337142858</v>
      </c>
      <c r="H6" s="17">
        <v>2.4857748428571507E-2</v>
      </c>
      <c r="I6" s="17">
        <v>-0.68366513157142861</v>
      </c>
      <c r="J6" s="17">
        <v>0.89750111046857139</v>
      </c>
      <c r="L6" s="13">
        <v>4</v>
      </c>
      <c r="M6" s="6">
        <v>-0.79993985150000002</v>
      </c>
      <c r="N6" s="6">
        <v>0.52175440350000013</v>
      </c>
      <c r="O6" s="6">
        <v>4.7557420549999998</v>
      </c>
      <c r="P6" s="6">
        <v>-0.24057684020000006</v>
      </c>
      <c r="Q6" s="6">
        <v>-0.52642429000000013</v>
      </c>
      <c r="R6" s="6">
        <v>0.16544150349999998</v>
      </c>
      <c r="S6" s="6">
        <v>-0.41732127450000001</v>
      </c>
      <c r="T6" s="6">
        <v>1.3295629645</v>
      </c>
      <c r="U6" s="6">
        <v>-0.33404241499999998</v>
      </c>
      <c r="W6" s="13">
        <v>4</v>
      </c>
      <c r="X6" s="2">
        <v>-1.0526734208000001</v>
      </c>
      <c r="Y6" s="2">
        <v>-0.90993639718200003</v>
      </c>
      <c r="Z6" s="2">
        <v>-0.2092697744</v>
      </c>
      <c r="AA6" s="2">
        <v>0.90058795160000005</v>
      </c>
      <c r="AB6" s="2">
        <v>-0.41172194080000002</v>
      </c>
      <c r="AC6" s="2">
        <v>-0.4386021878000001</v>
      </c>
      <c r="AD6" s="2">
        <v>1.1396788346000002</v>
      </c>
      <c r="AE6" s="2">
        <v>-0.61707136624000003</v>
      </c>
      <c r="AF6" s="2">
        <v>-0.40037029280000003</v>
      </c>
    </row>
    <row r="7" spans="1:32" x14ac:dyDescent="0.3">
      <c r="A7" s="7">
        <v>5</v>
      </c>
      <c r="B7" s="17">
        <v>-0.75310087162500006</v>
      </c>
      <c r="C7" s="17">
        <v>-0.88247965000000006</v>
      </c>
      <c r="D7" s="17">
        <v>0.17515717187500002</v>
      </c>
      <c r="E7" s="17">
        <v>2.12604318125</v>
      </c>
      <c r="F7" s="17">
        <v>-0.54678664943749999</v>
      </c>
      <c r="G7" s="17">
        <v>-0.53349418662500014</v>
      </c>
      <c r="H7" s="17">
        <v>2.4241274725000004</v>
      </c>
      <c r="I7" s="17">
        <v>-0.78540560083750011</v>
      </c>
      <c r="J7" s="17">
        <v>-0.14656659775000003</v>
      </c>
      <c r="L7" s="13">
        <v>5</v>
      </c>
      <c r="M7" s="6">
        <v>1.7403363600000001</v>
      </c>
      <c r="N7" s="6">
        <v>3.3585411299999999</v>
      </c>
      <c r="O7" s="6">
        <v>-0.13537684399999994</v>
      </c>
      <c r="P7" s="6">
        <v>-2.1705811349999999</v>
      </c>
      <c r="Q7" s="6">
        <v>-0.56782214500000006</v>
      </c>
      <c r="R7" s="6">
        <v>-0.23249268500000006</v>
      </c>
      <c r="S7" s="6">
        <v>-0.85265986000000016</v>
      </c>
      <c r="T7" s="6">
        <v>2.4410005300000002</v>
      </c>
      <c r="U7" s="6">
        <v>-0.74816206600000013</v>
      </c>
      <c r="W7" s="13">
        <v>5</v>
      </c>
      <c r="X7" s="2">
        <v>0.71691168000000005</v>
      </c>
      <c r="Y7" s="2">
        <v>1.6668115500000003</v>
      </c>
      <c r="Z7" s="2">
        <v>-0.62574745100000018</v>
      </c>
      <c r="AA7" s="2">
        <v>0.10582420100000002</v>
      </c>
      <c r="AB7" s="2">
        <v>1.0938137000000001</v>
      </c>
      <c r="AC7" s="2">
        <v>4.5733278999999998</v>
      </c>
      <c r="AD7" s="2">
        <v>-0.18025893800000001</v>
      </c>
      <c r="AE7" s="2">
        <v>-1.51917021</v>
      </c>
      <c r="AF7" s="2">
        <v>0.29759871200000004</v>
      </c>
    </row>
    <row r="8" spans="1:32" x14ac:dyDescent="0.3">
      <c r="A8" s="7">
        <v>6</v>
      </c>
      <c r="B8" s="17">
        <v>3.183245867575759E-2</v>
      </c>
      <c r="C8" s="17">
        <v>-1.1934007888030274E-2</v>
      </c>
      <c r="D8" s="17">
        <v>5.7193704383333294E-2</v>
      </c>
      <c r="E8" s="17">
        <v>-0.2760292572521213</v>
      </c>
      <c r="F8" s="17">
        <v>-0.14004431116439398</v>
      </c>
      <c r="G8" s="17">
        <v>-0.23342027065424231</v>
      </c>
      <c r="H8" s="17">
        <v>-0.34116753603651506</v>
      </c>
      <c r="I8" s="17">
        <v>0.13474306115545454</v>
      </c>
      <c r="J8" s="17">
        <v>-0.18179637235331819</v>
      </c>
      <c r="L8" s="13">
        <v>6</v>
      </c>
      <c r="M8" s="6">
        <v>-2.1127867018181805E-2</v>
      </c>
      <c r="N8" s="6">
        <v>-0.15530200585207793</v>
      </c>
      <c r="O8" s="6">
        <v>-9.2778457528571417E-2</v>
      </c>
      <c r="P8" s="6">
        <v>3.4092679282597411E-2</v>
      </c>
      <c r="Q8" s="6">
        <v>-9.9490061682467587E-2</v>
      </c>
      <c r="R8" s="6">
        <v>-0.14861245162571424</v>
      </c>
      <c r="S8" s="6">
        <v>-1.3966751732597461E-2</v>
      </c>
      <c r="T8" s="6">
        <v>-6.1450683382337688E-2</v>
      </c>
      <c r="U8" s="6">
        <v>-7.5343817805701263E-2</v>
      </c>
      <c r="W8" s="13">
        <v>6</v>
      </c>
      <c r="X8" s="2">
        <v>-8.9900298587499997E-2</v>
      </c>
      <c r="Y8" s="2">
        <v>-4.6025080000000052E-3</v>
      </c>
      <c r="Z8" s="2">
        <v>0.14630597627499997</v>
      </c>
      <c r="AA8" s="2">
        <v>0.66137072325000001</v>
      </c>
      <c r="AB8" s="2">
        <v>-0.11471757456250006</v>
      </c>
      <c r="AC8" s="2">
        <v>9.401741862499996E-2</v>
      </c>
      <c r="AD8" s="2">
        <v>0.81700184659999997</v>
      </c>
      <c r="AE8" s="2">
        <v>6.7056218250000049E-2</v>
      </c>
      <c r="AF8" s="2">
        <v>0.93867806687499999</v>
      </c>
    </row>
    <row r="30" spans="1:32" x14ac:dyDescent="0.3">
      <c r="A30" s="285" t="s">
        <v>105</v>
      </c>
      <c r="B30" s="285"/>
      <c r="C30" s="285"/>
      <c r="D30" s="285"/>
      <c r="E30" s="285"/>
      <c r="F30" s="285"/>
      <c r="G30" s="285"/>
      <c r="H30" s="285"/>
      <c r="I30" s="285"/>
      <c r="J30" s="285"/>
      <c r="L30" s="285" t="s">
        <v>107</v>
      </c>
      <c r="M30" s="285"/>
      <c r="N30" s="285"/>
      <c r="O30" s="285"/>
      <c r="P30" s="285"/>
      <c r="Q30" s="285"/>
      <c r="R30" s="285"/>
      <c r="S30" s="285"/>
      <c r="T30" s="285"/>
      <c r="U30" s="285"/>
      <c r="X30" t="s">
        <v>350</v>
      </c>
    </row>
    <row r="31" spans="1:32" x14ac:dyDescent="0.3">
      <c r="A31" s="8"/>
      <c r="B31" s="12" t="s">
        <v>94</v>
      </c>
      <c r="C31" s="12" t="s">
        <v>95</v>
      </c>
      <c r="D31" s="12" t="s">
        <v>96</v>
      </c>
      <c r="E31" s="12" t="s">
        <v>97</v>
      </c>
      <c r="F31" s="12" t="s">
        <v>98</v>
      </c>
      <c r="G31" s="12" t="s">
        <v>99</v>
      </c>
      <c r="H31" s="12" t="s">
        <v>100</v>
      </c>
      <c r="I31" s="12" t="s">
        <v>101</v>
      </c>
      <c r="J31" s="12" t="s">
        <v>102</v>
      </c>
      <c r="L31" s="10"/>
      <c r="M31" s="11" t="s">
        <v>94</v>
      </c>
      <c r="N31" s="11" t="s">
        <v>95</v>
      </c>
      <c r="O31" s="11" t="s">
        <v>96</v>
      </c>
      <c r="P31" s="11" t="s">
        <v>97</v>
      </c>
      <c r="Q31" s="11" t="s">
        <v>98</v>
      </c>
      <c r="R31" s="11" t="s">
        <v>99</v>
      </c>
      <c r="S31" s="11" t="s">
        <v>100</v>
      </c>
      <c r="T31" s="11" t="s">
        <v>101</v>
      </c>
      <c r="U31" s="11" t="s">
        <v>102</v>
      </c>
      <c r="W31" s="6"/>
      <c r="X31" s="7" t="s">
        <v>94</v>
      </c>
      <c r="Y31" s="7" t="s">
        <v>95</v>
      </c>
      <c r="Z31" s="7" t="s">
        <v>96</v>
      </c>
      <c r="AA31" s="7" t="s">
        <v>97</v>
      </c>
      <c r="AB31" s="7" t="s">
        <v>98</v>
      </c>
      <c r="AC31" s="7" t="s">
        <v>99</v>
      </c>
      <c r="AD31" s="7" t="s">
        <v>100</v>
      </c>
      <c r="AE31" s="7" t="s">
        <v>101</v>
      </c>
      <c r="AF31" s="7" t="s">
        <v>102</v>
      </c>
    </row>
    <row r="32" spans="1:32" x14ac:dyDescent="0.3">
      <c r="A32" s="13">
        <v>1</v>
      </c>
      <c r="B32" s="24">
        <v>-0.75310087162500006</v>
      </c>
      <c r="C32" s="24">
        <v>-0.88247965000000006</v>
      </c>
      <c r="D32" s="24">
        <v>0.17515717187500002</v>
      </c>
      <c r="E32" s="24">
        <v>2.12604318125</v>
      </c>
      <c r="F32" s="24">
        <v>-0.54678664943749999</v>
      </c>
      <c r="G32" s="24">
        <v>-0.53349418662500014</v>
      </c>
      <c r="H32" s="24">
        <v>2.4241274725000004</v>
      </c>
      <c r="I32" s="24">
        <v>-0.78540560083750011</v>
      </c>
      <c r="J32" s="24">
        <v>-0.14656659775000003</v>
      </c>
      <c r="L32" s="11">
        <v>1</v>
      </c>
      <c r="M32" s="15">
        <v>-0.73728823381011999</v>
      </c>
      <c r="N32" s="15">
        <v>-0.36720393637219689</v>
      </c>
      <c r="O32" s="15">
        <v>-0.29918578896201231</v>
      </c>
      <c r="P32" s="15">
        <v>2.2317248716847319E-2</v>
      </c>
      <c r="Q32" s="15">
        <v>-0.11333601773524003</v>
      </c>
      <c r="R32" s="15">
        <v>-6.8250203770263793E-2</v>
      </c>
      <c r="S32" s="15">
        <v>-0.20443235241407953</v>
      </c>
      <c r="T32" s="15">
        <v>5.696173455079781E-2</v>
      </c>
      <c r="U32" s="15">
        <v>-0.12355732446692121</v>
      </c>
      <c r="W32" s="13">
        <v>1</v>
      </c>
      <c r="X32" s="2">
        <v>0.95148166708333326</v>
      </c>
      <c r="Y32" s="2">
        <v>0.57449269854166662</v>
      </c>
      <c r="Z32" s="2">
        <v>-5.017868741666663E-3</v>
      </c>
      <c r="AA32" s="2">
        <v>-0.79573339529166687</v>
      </c>
      <c r="AB32" s="2">
        <v>-0.36905073745833344</v>
      </c>
      <c r="AC32" s="2">
        <v>-0.4042506041308333</v>
      </c>
      <c r="AD32" s="2">
        <v>-0.59667110750000008</v>
      </c>
      <c r="AE32" s="2">
        <v>0.54544196654166666</v>
      </c>
      <c r="AF32" s="2">
        <v>-0.37658393531250017</v>
      </c>
    </row>
    <row r="33" spans="1:32" x14ac:dyDescent="0.3">
      <c r="A33" s="13">
        <v>2</v>
      </c>
      <c r="B33" s="18">
        <v>1.0692589622500002</v>
      </c>
      <c r="C33" s="18">
        <v>0.57131198410000006</v>
      </c>
      <c r="D33" s="18">
        <v>4.9769384500000027E-3</v>
      </c>
      <c r="E33" s="18">
        <v>-0.97143232856250017</v>
      </c>
      <c r="F33" s="18">
        <v>-0.32204341712500001</v>
      </c>
      <c r="G33" s="18">
        <v>-0.36641284483875003</v>
      </c>
      <c r="H33" s="18">
        <v>-0.63465251362499997</v>
      </c>
      <c r="I33" s="18">
        <v>-4.7594500624999994E-2</v>
      </c>
      <c r="J33" s="18">
        <v>-0.41354085421875009</v>
      </c>
      <c r="L33" s="11">
        <v>2</v>
      </c>
      <c r="M33" s="25">
        <v>0.91258202628994711</v>
      </c>
      <c r="N33" s="25">
        <v>0.3004040505602753</v>
      </c>
      <c r="O33" s="25">
        <v>-0.39215896213538776</v>
      </c>
      <c r="P33" s="25">
        <v>-0.54605035593771156</v>
      </c>
      <c r="Q33" s="25">
        <v>0.17692788198053422</v>
      </c>
      <c r="R33" s="25">
        <v>2.5616574740274255E-2</v>
      </c>
      <c r="S33" s="25">
        <v>-0.44898256095176081</v>
      </c>
      <c r="T33" s="25">
        <v>-0.12997316552214103</v>
      </c>
      <c r="U33" s="25">
        <v>0.14126357374807266</v>
      </c>
      <c r="W33" s="13">
        <v>2</v>
      </c>
      <c r="X33" s="2">
        <v>-0.26971697107999998</v>
      </c>
      <c r="Y33" s="2">
        <v>-0.92175634080000002</v>
      </c>
      <c r="Z33" s="2">
        <v>0.43354306779999996</v>
      </c>
      <c r="AA33" s="2">
        <v>-0.32334532994000009</v>
      </c>
      <c r="AB33" s="2">
        <v>-0.45359099080000009</v>
      </c>
      <c r="AC33" s="2">
        <v>-0.44676494064000005</v>
      </c>
      <c r="AD33" s="2">
        <v>-0.22673069514000002</v>
      </c>
      <c r="AE33" s="2">
        <v>-1.1997667891999999</v>
      </c>
      <c r="AF33" s="2">
        <v>-0.56031731160000009</v>
      </c>
    </row>
    <row r="34" spans="1:32" x14ac:dyDescent="0.3">
      <c r="A34" s="13">
        <v>3</v>
      </c>
      <c r="B34" s="17">
        <v>-0.48542945999999992</v>
      </c>
      <c r="C34" s="17">
        <v>1.2654259240000001</v>
      </c>
      <c r="D34" s="17">
        <v>-0.73552086950000006</v>
      </c>
      <c r="E34" s="17">
        <v>1.0456777235000001</v>
      </c>
      <c r="F34" s="17">
        <v>4.3777069549999998</v>
      </c>
      <c r="G34" s="17">
        <v>3.5019666250000001</v>
      </c>
      <c r="H34" s="17">
        <v>1.8978305455</v>
      </c>
      <c r="I34" s="17">
        <v>-0.64512707400000002</v>
      </c>
      <c r="J34" s="17">
        <v>3.8341421150000001</v>
      </c>
      <c r="L34" s="11">
        <v>3</v>
      </c>
      <c r="M34" s="25">
        <v>7.3074970814032109E-2</v>
      </c>
      <c r="N34" s="25">
        <v>-3.0663844598860578E-2</v>
      </c>
      <c r="O34" s="25">
        <v>1.7924172898715078</v>
      </c>
      <c r="P34" s="25">
        <v>-0.17342803105471413</v>
      </c>
      <c r="Q34" s="25">
        <v>-0.56905622721186466</v>
      </c>
      <c r="R34" s="25">
        <v>-0.50118329104601023</v>
      </c>
      <c r="S34" s="25">
        <v>-0.34834487319466173</v>
      </c>
      <c r="T34" s="25">
        <v>0.64435631279723049</v>
      </c>
      <c r="U34" s="25">
        <v>-0.57554482555948383</v>
      </c>
      <c r="W34" s="13">
        <v>3</v>
      </c>
      <c r="X34" s="2">
        <v>-0.75310087162500006</v>
      </c>
      <c r="Y34" s="2">
        <v>-0.88247965000000006</v>
      </c>
      <c r="Z34" s="2">
        <v>0.17515717187500002</v>
      </c>
      <c r="AA34" s="2">
        <v>2.12604318125</v>
      </c>
      <c r="AB34" s="2">
        <v>-0.54678664943749999</v>
      </c>
      <c r="AC34" s="2">
        <v>-0.53349418662500014</v>
      </c>
      <c r="AD34" s="2">
        <v>2.4241274725000004</v>
      </c>
      <c r="AE34" s="2">
        <v>-0.78540560083750011</v>
      </c>
      <c r="AF34" s="2">
        <v>-0.14656659775000003</v>
      </c>
    </row>
    <row r="35" spans="1:32" x14ac:dyDescent="0.3">
      <c r="A35" s="13">
        <v>4</v>
      </c>
      <c r="B35" s="17">
        <v>0.66859165835294121</v>
      </c>
      <c r="C35" s="17">
        <v>2.4590399176470492E-3</v>
      </c>
      <c r="D35" s="17">
        <v>-0.56650615770588231</v>
      </c>
      <c r="E35" s="17">
        <v>-0.10266792899411771</v>
      </c>
      <c r="F35" s="17">
        <v>0.65663176692941172</v>
      </c>
      <c r="G35" s="17">
        <v>0.8472714252329413</v>
      </c>
      <c r="H35" s="17">
        <v>-0.19748338063764706</v>
      </c>
      <c r="I35" s="17">
        <v>-0.47565030090588228</v>
      </c>
      <c r="J35" s="17">
        <v>0.61864266844829408</v>
      </c>
      <c r="L35" s="11">
        <v>4</v>
      </c>
      <c r="M35" s="25">
        <v>-8.4649081681740498E-2</v>
      </c>
      <c r="N35" s="25">
        <v>1.3992211306917544</v>
      </c>
      <c r="O35" s="25">
        <v>-0.69892973005595005</v>
      </c>
      <c r="P35" s="25">
        <v>0.73239321494839904</v>
      </c>
      <c r="Q35" s="25">
        <v>3.2830758722312186</v>
      </c>
      <c r="R35" s="25">
        <v>3.8590870471477849</v>
      </c>
      <c r="S35" s="25">
        <v>1.2051340502009384</v>
      </c>
      <c r="T35" s="25">
        <v>-0.93647478474716905</v>
      </c>
      <c r="U35" s="25">
        <v>2.6552943154833524</v>
      </c>
      <c r="W35" s="13">
        <v>4</v>
      </c>
      <c r="X35" s="2">
        <v>0.72718906186666676</v>
      </c>
      <c r="Y35" s="2">
        <v>0.10165386983999999</v>
      </c>
      <c r="Z35" s="2">
        <v>-0.61795696833333336</v>
      </c>
      <c r="AA35" s="2">
        <v>4.7214456073333314E-2</v>
      </c>
      <c r="AB35" s="2">
        <v>0.87226225782666644</v>
      </c>
      <c r="AC35" s="2">
        <v>1.1041580506919999</v>
      </c>
      <c r="AD35" s="2">
        <v>-6.3178177589333348E-2</v>
      </c>
      <c r="AE35" s="2">
        <v>-0.54513366202666658</v>
      </c>
      <c r="AF35" s="2">
        <v>1.0882906253360667</v>
      </c>
    </row>
    <row r="36" spans="1:32" x14ac:dyDescent="0.3">
      <c r="A36" s="13">
        <v>5</v>
      </c>
      <c r="B36" s="17">
        <v>-0.75943046194074082</v>
      </c>
      <c r="C36" s="17">
        <v>-0.36009008060037045</v>
      </c>
      <c r="D36" s="17">
        <v>-0.25846499044074078</v>
      </c>
      <c r="E36" s="17">
        <v>9.5002021831851843E-2</v>
      </c>
      <c r="F36" s="17">
        <v>-0.1179056210462963</v>
      </c>
      <c r="G36" s="17">
        <v>-0.16106860006370372</v>
      </c>
      <c r="H36" s="17">
        <v>-0.13075787863592594</v>
      </c>
      <c r="I36" s="17">
        <v>-8.7609849445925925E-2</v>
      </c>
      <c r="J36" s="17">
        <v>-7.4258789265185213E-2</v>
      </c>
      <c r="L36" s="11">
        <v>5</v>
      </c>
      <c r="M36" s="25">
        <v>1.7403363580761253</v>
      </c>
      <c r="N36" s="25">
        <v>3.3585411284062761</v>
      </c>
      <c r="O36" s="25">
        <v>-0.1353768439474361</v>
      </c>
      <c r="P36" s="25">
        <v>-2.1705811327607378</v>
      </c>
      <c r="Q36" s="25">
        <v>-0.56782214481747173</v>
      </c>
      <c r="R36" s="25">
        <v>-0.23249268518227406</v>
      </c>
      <c r="S36" s="25">
        <v>-0.85265986020724938</v>
      </c>
      <c r="T36" s="25">
        <v>2.4410005294603199</v>
      </c>
      <c r="U36" s="25">
        <v>-0.74816206579743905</v>
      </c>
      <c r="W36" s="13">
        <v>5</v>
      </c>
      <c r="X36" s="2">
        <v>-0.81017609332258078</v>
      </c>
      <c r="Y36" s="2">
        <v>-0.17322339239387094</v>
      </c>
      <c r="Z36" s="2">
        <v>0.21090398713225805</v>
      </c>
      <c r="AA36" s="2">
        <v>6.6773780030967747E-2</v>
      </c>
      <c r="AB36" s="2">
        <v>-0.14438712317580649</v>
      </c>
      <c r="AC36" s="2">
        <v>-0.13605371300709679</v>
      </c>
      <c r="AD36" s="2">
        <v>-0.19551836031838712</v>
      </c>
      <c r="AE36" s="2">
        <v>0.24353565692451615</v>
      </c>
      <c r="AF36" s="2">
        <v>-0.15028124237354842</v>
      </c>
    </row>
    <row r="37" spans="1:32" x14ac:dyDescent="0.3">
      <c r="A37" s="13">
        <v>6</v>
      </c>
      <c r="B37" s="17">
        <v>-6.956522900000002E-2</v>
      </c>
      <c r="C37" s="17">
        <v>0.36204443702857153</v>
      </c>
      <c r="D37" s="17">
        <v>1.1856651981428572</v>
      </c>
      <c r="E37" s="17">
        <v>-0.3126059595857143</v>
      </c>
      <c r="F37" s="17">
        <v>-0.51483673711428579</v>
      </c>
      <c r="G37" s="17">
        <v>-0.49486687535714291</v>
      </c>
      <c r="H37" s="17">
        <v>-0.43904003274285719</v>
      </c>
      <c r="I37" s="17">
        <v>1.3418951446928573</v>
      </c>
      <c r="J37" s="17">
        <v>-0.5993597017857144</v>
      </c>
      <c r="L37" s="11">
        <v>6</v>
      </c>
      <c r="M37" s="25">
        <v>-0.65415606473227195</v>
      </c>
      <c r="N37" s="25">
        <v>-0.80826298347676451</v>
      </c>
      <c r="O37" s="25">
        <v>8.0176315009161489E-2</v>
      </c>
      <c r="P37" s="25">
        <v>2.0307382103809837</v>
      </c>
      <c r="Q37" s="25">
        <v>-0.34983831824425665</v>
      </c>
      <c r="R37" s="25">
        <v>-0.40821860884843059</v>
      </c>
      <c r="S37" s="25">
        <v>2.3033320131868518</v>
      </c>
      <c r="T37" s="25">
        <v>-0.89571008446919442</v>
      </c>
      <c r="U37" s="25">
        <v>5.0348851015025738E-2</v>
      </c>
      <c r="W37" s="13">
        <v>6</v>
      </c>
      <c r="X37" s="2">
        <v>-1.2545451999999999</v>
      </c>
      <c r="Y37" s="2">
        <v>1.7259112700000001</v>
      </c>
      <c r="Z37" s="2">
        <v>-0.71721293799999997</v>
      </c>
      <c r="AA37" s="2">
        <v>0.92777866700000011</v>
      </c>
      <c r="AB37" s="2">
        <v>6.8915327899999994</v>
      </c>
      <c r="AC37" s="2">
        <v>3.8590870500000003</v>
      </c>
      <c r="AD37" s="2">
        <v>3.06948211</v>
      </c>
      <c r="AE37" s="2">
        <v>-0.18112886799999997</v>
      </c>
      <c r="AF37" s="2">
        <v>1.3464929300000001</v>
      </c>
    </row>
  </sheetData>
  <mergeCells count="4">
    <mergeCell ref="A1:J1"/>
    <mergeCell ref="A30:J30"/>
    <mergeCell ref="L1:U1"/>
    <mergeCell ref="L30:U3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485A-1054-448B-823D-C91A43790DC2}">
  <dimension ref="A1"/>
  <sheetViews>
    <sheetView topLeftCell="A24" zoomScale="28" workbookViewId="0">
      <selection activeCell="AD121" sqref="AD121"/>
    </sheetView>
  </sheetViews>
  <sheetFormatPr defaultRowHeight="14.4" x14ac:dyDescent="0.3"/>
  <sheetData>
    <row r="1" spans="1:1" x14ac:dyDescent="0.3">
      <c r="A1" t="s">
        <v>190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1728-6467-4FF7-8573-EF75C80F41D2}">
  <dimension ref="A1:DN88"/>
  <sheetViews>
    <sheetView tabSelected="1" topLeftCell="DF1" zoomScale="56" zoomScaleNormal="100" workbookViewId="0">
      <selection activeCell="EA41" sqref="EA41"/>
    </sheetView>
  </sheetViews>
  <sheetFormatPr defaultRowHeight="14.4" x14ac:dyDescent="0.3"/>
  <cols>
    <col min="1" max="1" width="42.6640625" style="2" customWidth="1"/>
    <col min="2" max="2" width="7.33203125" style="2" customWidth="1"/>
    <col min="3" max="3" width="12" style="2" customWidth="1"/>
    <col min="4" max="4" width="16.109375" style="2" customWidth="1"/>
    <col min="5" max="5" width="18.21875" style="2" customWidth="1"/>
    <col min="6" max="6" width="8.77734375" style="182" customWidth="1"/>
    <col min="7" max="7" width="12" style="2" customWidth="1"/>
    <col min="8" max="8" width="17.6640625" style="5" customWidth="1"/>
    <col min="9" max="9" width="15.77734375" style="5" customWidth="1"/>
    <col min="13" max="27" width="8.88671875" customWidth="1"/>
    <col min="28" max="28" width="14.88671875" style="2" customWidth="1"/>
    <col min="29" max="29" width="17.33203125" style="2" customWidth="1"/>
    <col min="30" max="30" width="16.109375" style="2" customWidth="1"/>
    <col min="31" max="31" width="23" customWidth="1"/>
    <col min="32" max="32" width="10.5546875" style="2" customWidth="1"/>
    <col min="33" max="33" width="18.21875" style="2" customWidth="1"/>
    <col min="34" max="34" width="18.5546875" style="2" customWidth="1"/>
    <col min="35" max="35" width="8.88671875" style="2" customWidth="1"/>
    <col min="36" max="36" width="22.21875" customWidth="1"/>
    <col min="37" max="37" width="16.109375" style="2" customWidth="1"/>
    <col min="38" max="38" width="18.21875" style="2" customWidth="1"/>
    <col min="39" max="40" width="11.6640625" style="2" customWidth="1"/>
    <col min="41" max="41" width="19.77734375" style="5" customWidth="1"/>
    <col min="42" max="42" width="17.109375" style="2" customWidth="1"/>
    <col min="43" max="43" width="14.44140625" style="2" customWidth="1"/>
    <col min="44" max="44" width="14.5546875" style="5" customWidth="1"/>
    <col min="45" max="45" width="14.33203125" style="5" customWidth="1"/>
    <col min="46" max="46" width="32.109375" customWidth="1"/>
    <col min="47" max="47" width="11.6640625" style="2" customWidth="1"/>
    <col min="48" max="48" width="12" style="2" customWidth="1"/>
    <col min="49" max="49" width="16.88671875" style="5" customWidth="1"/>
    <col min="50" max="50" width="14.33203125" style="5" customWidth="1"/>
    <col min="51" max="51" width="23" customWidth="1"/>
    <col min="52" max="53" width="8.88671875" customWidth="1"/>
    <col min="74" max="74" width="34.21875" style="2" customWidth="1"/>
    <col min="75" max="75" width="7.5546875" style="2" customWidth="1"/>
    <col min="76" max="76" width="27.88671875" customWidth="1"/>
    <col min="77" max="77" width="17.77734375" customWidth="1"/>
    <col min="78" max="78" width="19.21875" customWidth="1"/>
    <col min="79" max="79" width="11.6640625" customWidth="1"/>
    <col min="80" max="80" width="13.21875" customWidth="1"/>
    <col min="81" max="81" width="26.5546875" customWidth="1"/>
    <col min="82" max="83" width="8.88671875" customWidth="1"/>
    <col min="86" max="86" width="43.5546875" bestFit="1" customWidth="1"/>
    <col min="89" max="89" width="12.109375" style="2" customWidth="1"/>
    <col min="91" max="91" width="43.5546875" style="223" bestFit="1" customWidth="1"/>
    <col min="92" max="93" width="8.88671875" style="223"/>
    <col min="94" max="94" width="12.109375" style="2" customWidth="1"/>
    <col min="110" max="110" width="43.5546875" bestFit="1" customWidth="1"/>
    <col min="115" max="115" width="43.5546875" bestFit="1" customWidth="1"/>
    <col min="118" max="118" width="8.88671875" style="223"/>
  </cols>
  <sheetData>
    <row r="1" spans="1:118" s="145" customFormat="1" ht="86.4" customHeight="1" x14ac:dyDescent="0.3">
      <c r="A1" s="168" t="s">
        <v>186</v>
      </c>
      <c r="B1" s="169" t="s">
        <v>105</v>
      </c>
      <c r="C1" s="169" t="s">
        <v>210</v>
      </c>
      <c r="D1" s="183" t="s">
        <v>297</v>
      </c>
      <c r="E1" s="183" t="s">
        <v>298</v>
      </c>
      <c r="F1" s="180" t="s">
        <v>313</v>
      </c>
      <c r="G1" s="170" t="s">
        <v>314</v>
      </c>
      <c r="H1" s="129" t="s">
        <v>309</v>
      </c>
      <c r="I1" s="129" t="s">
        <v>310</v>
      </c>
      <c r="J1" s="129" t="s">
        <v>311</v>
      </c>
      <c r="K1" s="129" t="s">
        <v>312</v>
      </c>
      <c r="AE1" s="168" t="s">
        <v>186</v>
      </c>
      <c r="AF1" s="169" t="s">
        <v>210</v>
      </c>
      <c r="AG1" s="183" t="s">
        <v>297</v>
      </c>
      <c r="AH1" s="183" t="s">
        <v>298</v>
      </c>
      <c r="AJ1" s="191" t="s">
        <v>186</v>
      </c>
      <c r="AK1" s="183" t="s">
        <v>297</v>
      </c>
      <c r="AL1" s="183" t="s">
        <v>298</v>
      </c>
      <c r="AM1" s="183" t="s">
        <v>313</v>
      </c>
      <c r="AO1" s="168" t="s">
        <v>186</v>
      </c>
      <c r="AP1" s="183" t="s">
        <v>297</v>
      </c>
      <c r="AQ1" s="183" t="s">
        <v>298</v>
      </c>
      <c r="AR1" s="183" t="s">
        <v>314</v>
      </c>
      <c r="AS1" s="203"/>
      <c r="AT1" s="168" t="s">
        <v>186</v>
      </c>
      <c r="AU1" s="169" t="s">
        <v>105</v>
      </c>
      <c r="AV1" s="129" t="s">
        <v>309</v>
      </c>
      <c r="AW1" s="129" t="s">
        <v>310</v>
      </c>
      <c r="AY1" s="168" t="s">
        <v>186</v>
      </c>
      <c r="AZ1" s="169" t="s">
        <v>210</v>
      </c>
      <c r="BA1" s="129" t="s">
        <v>309</v>
      </c>
      <c r="BB1" s="129" t="s">
        <v>310</v>
      </c>
      <c r="BX1" s="191" t="s">
        <v>186</v>
      </c>
      <c r="BY1" s="129" t="s">
        <v>309</v>
      </c>
      <c r="BZ1" s="129" t="s">
        <v>310</v>
      </c>
      <c r="CA1" s="129" t="s">
        <v>311</v>
      </c>
      <c r="CC1" s="196" t="s">
        <v>186</v>
      </c>
      <c r="CD1" s="129" t="s">
        <v>309</v>
      </c>
      <c r="CE1" s="129" t="s">
        <v>310</v>
      </c>
      <c r="CF1" s="129" t="s">
        <v>312</v>
      </c>
      <c r="CH1" s="258" t="s">
        <v>186</v>
      </c>
      <c r="CI1" s="258" t="s">
        <v>352</v>
      </c>
      <c r="CJ1" s="258" t="s">
        <v>353</v>
      </c>
      <c r="CK1" s="258" t="s">
        <v>350</v>
      </c>
      <c r="CM1" s="258" t="s">
        <v>186</v>
      </c>
      <c r="CN1" s="258" t="s">
        <v>330</v>
      </c>
      <c r="CO1" s="258" t="s">
        <v>331</v>
      </c>
      <c r="CP1" s="258" t="s">
        <v>350</v>
      </c>
      <c r="DF1" s="258" t="s">
        <v>186</v>
      </c>
      <c r="DG1" s="258" t="s">
        <v>330</v>
      </c>
      <c r="DH1" s="258" t="s">
        <v>331</v>
      </c>
      <c r="DI1" s="275" t="s">
        <v>346</v>
      </c>
      <c r="DK1" s="258" t="s">
        <v>186</v>
      </c>
      <c r="DL1" s="275" t="s">
        <v>352</v>
      </c>
      <c r="DM1" s="275" t="s">
        <v>353</v>
      </c>
      <c r="DN1" s="275" t="s">
        <v>346</v>
      </c>
    </row>
    <row r="2" spans="1:118" x14ac:dyDescent="0.3">
      <c r="A2" s="144" t="s">
        <v>10</v>
      </c>
      <c r="B2" s="57">
        <v>4</v>
      </c>
      <c r="C2" s="57">
        <v>1</v>
      </c>
      <c r="D2" s="184">
        <v>0.31487910497791727</v>
      </c>
      <c r="E2" s="184">
        <v>0.27717479857018701</v>
      </c>
      <c r="F2" s="171">
        <v>4</v>
      </c>
      <c r="G2" s="172">
        <v>3</v>
      </c>
      <c r="H2" s="209">
        <v>-0.22970000000000002</v>
      </c>
      <c r="I2" s="209">
        <v>0.34366000000000002</v>
      </c>
      <c r="J2" s="209">
        <v>6</v>
      </c>
      <c r="K2" s="210">
        <v>1</v>
      </c>
      <c r="AB2"/>
      <c r="AC2"/>
      <c r="AD2"/>
      <c r="AE2" s="144" t="s">
        <v>10</v>
      </c>
      <c r="AF2" s="57">
        <v>1</v>
      </c>
      <c r="AG2" s="184">
        <v>0.31487910497791727</v>
      </c>
      <c r="AH2" s="184">
        <v>0.27717479857018701</v>
      </c>
      <c r="AI2"/>
      <c r="AJ2" s="57" t="s">
        <v>26</v>
      </c>
      <c r="AK2" s="184">
        <v>-0.82992785060055119</v>
      </c>
      <c r="AL2" s="184">
        <v>-0.72568069932029255</v>
      </c>
      <c r="AM2" s="192">
        <v>1</v>
      </c>
      <c r="AN2"/>
      <c r="AO2" s="144" t="s">
        <v>10</v>
      </c>
      <c r="AP2" s="184">
        <v>0.31487910497791727</v>
      </c>
      <c r="AQ2" s="184">
        <v>0.27717479857018701</v>
      </c>
      <c r="AR2" s="195">
        <v>3</v>
      </c>
      <c r="AS2" s="204"/>
      <c r="AT2" s="144" t="s">
        <v>28</v>
      </c>
      <c r="AU2" s="57">
        <v>1</v>
      </c>
      <c r="AV2" s="209">
        <v>1.7328400000000002</v>
      </c>
      <c r="AW2" s="209">
        <v>-0.8220400000000001</v>
      </c>
      <c r="AX2"/>
      <c r="AY2" s="144" t="s">
        <v>10</v>
      </c>
      <c r="AZ2" s="57">
        <v>1</v>
      </c>
      <c r="BA2" s="209">
        <v>-0.22970000000000002</v>
      </c>
      <c r="BB2" s="209">
        <v>0.34366000000000002</v>
      </c>
      <c r="BV2"/>
      <c r="BW2"/>
      <c r="BX2" s="57" t="s">
        <v>10</v>
      </c>
      <c r="BY2" s="209">
        <v>-0.22970000000000002</v>
      </c>
      <c r="BZ2" s="209">
        <v>0.34366000000000002</v>
      </c>
      <c r="CA2" s="209">
        <v>6</v>
      </c>
      <c r="CC2" s="144" t="s">
        <v>10</v>
      </c>
      <c r="CD2" s="209">
        <v>-0.22970000000000002</v>
      </c>
      <c r="CE2" s="209">
        <v>0.34366000000000002</v>
      </c>
      <c r="CF2" s="210">
        <v>1</v>
      </c>
      <c r="CH2" s="57" t="s">
        <v>13</v>
      </c>
      <c r="CI2" s="184">
        <v>-0.45381752488339855</v>
      </c>
      <c r="CJ2" s="184">
        <v>0.1406067175712564</v>
      </c>
      <c r="CK2" s="260">
        <v>1</v>
      </c>
      <c r="CM2" s="57" t="s">
        <v>13</v>
      </c>
      <c r="CN2" s="259">
        <v>-0.27215</v>
      </c>
      <c r="CO2" s="259">
        <v>-0.18746000000000002</v>
      </c>
      <c r="CP2" s="260">
        <v>1</v>
      </c>
      <c r="DF2" s="57" t="s">
        <v>10</v>
      </c>
      <c r="DG2" s="276">
        <v>-0.22970000000000002</v>
      </c>
      <c r="DH2" s="276">
        <v>0.34366000000000002</v>
      </c>
      <c r="DI2" s="279">
        <v>1</v>
      </c>
      <c r="DK2" s="57" t="s">
        <v>10</v>
      </c>
      <c r="DL2" s="184">
        <v>0.31487910497791727</v>
      </c>
      <c r="DM2" s="184">
        <v>0.27717479857018701</v>
      </c>
      <c r="DN2" s="279">
        <v>1</v>
      </c>
    </row>
    <row r="3" spans="1:118" x14ac:dyDescent="0.3">
      <c r="A3" s="144" t="s">
        <v>11</v>
      </c>
      <c r="B3" s="57">
        <v>5</v>
      </c>
      <c r="C3" s="57">
        <v>1</v>
      </c>
      <c r="D3" s="184">
        <v>-0.13614383828314655</v>
      </c>
      <c r="E3" s="184">
        <v>-1.0318367031366553</v>
      </c>
      <c r="F3" s="171">
        <v>5</v>
      </c>
      <c r="G3" s="172">
        <v>5</v>
      </c>
      <c r="H3" s="209">
        <v>0.54157</v>
      </c>
      <c r="I3" s="209">
        <v>-0.73274000000000017</v>
      </c>
      <c r="J3" s="209">
        <v>1</v>
      </c>
      <c r="K3" s="210">
        <v>3</v>
      </c>
      <c r="AB3"/>
      <c r="AC3"/>
      <c r="AD3"/>
      <c r="AE3" s="144" t="s">
        <v>27</v>
      </c>
      <c r="AF3" s="57">
        <v>1</v>
      </c>
      <c r="AG3" s="184">
        <v>5.6630355757247952E-2</v>
      </c>
      <c r="AH3" s="184">
        <v>0.11045861529005846</v>
      </c>
      <c r="AI3"/>
      <c r="AJ3" s="57" t="s">
        <v>31</v>
      </c>
      <c r="AK3" s="184">
        <v>-0.83243682646702744</v>
      </c>
      <c r="AL3" s="184">
        <v>-0.37899252472610234</v>
      </c>
      <c r="AM3" s="192">
        <v>1</v>
      </c>
      <c r="AN3"/>
      <c r="AO3" s="144" t="s">
        <v>11</v>
      </c>
      <c r="AP3" s="184">
        <v>-0.13614383828314655</v>
      </c>
      <c r="AQ3" s="184">
        <v>-1.0318367031366553</v>
      </c>
      <c r="AR3" s="195">
        <v>5</v>
      </c>
      <c r="AS3" s="204"/>
      <c r="AT3" s="144" t="s">
        <v>39</v>
      </c>
      <c r="AU3" s="57">
        <v>1</v>
      </c>
      <c r="AV3" s="209">
        <v>2.4770400000000001</v>
      </c>
      <c r="AW3" s="209">
        <v>-0.89207999999999998</v>
      </c>
      <c r="AX3"/>
      <c r="AY3" s="144" t="s">
        <v>11</v>
      </c>
      <c r="AZ3" s="57">
        <v>1</v>
      </c>
      <c r="BA3" s="209">
        <v>0.54157</v>
      </c>
      <c r="BB3" s="209">
        <v>-0.73274000000000017</v>
      </c>
      <c r="BV3"/>
      <c r="BW3"/>
      <c r="BX3" s="57" t="s">
        <v>11</v>
      </c>
      <c r="BY3" s="209">
        <v>0.54157</v>
      </c>
      <c r="BZ3" s="209">
        <v>-0.73274000000000017</v>
      </c>
      <c r="CA3" s="209">
        <v>1</v>
      </c>
      <c r="CC3" s="144" t="s">
        <v>11</v>
      </c>
      <c r="CD3" s="209">
        <v>0.54157</v>
      </c>
      <c r="CE3" s="209">
        <v>-0.73274000000000017</v>
      </c>
      <c r="CF3" s="210">
        <v>3</v>
      </c>
      <c r="CH3" s="57" t="s">
        <v>14</v>
      </c>
      <c r="CI3" s="184">
        <v>-0.24660909801096273</v>
      </c>
      <c r="CJ3" s="184">
        <v>0.55887832602816589</v>
      </c>
      <c r="CK3" s="260">
        <v>1</v>
      </c>
      <c r="CM3" s="57" t="s">
        <v>14</v>
      </c>
      <c r="CN3" s="259">
        <v>-0.49475999999999998</v>
      </c>
      <c r="CO3" s="259">
        <v>4.2800000000000005E-2</v>
      </c>
      <c r="CP3" s="260">
        <v>1</v>
      </c>
      <c r="DF3" s="57" t="s">
        <v>12</v>
      </c>
      <c r="DG3" s="276">
        <v>0.66937000000000013</v>
      </c>
      <c r="DH3" s="276">
        <v>-0.32400000000000007</v>
      </c>
      <c r="DI3" s="279">
        <v>1</v>
      </c>
      <c r="DK3" s="57" t="s">
        <v>12</v>
      </c>
      <c r="DL3" s="184">
        <v>0.2353977000536992</v>
      </c>
      <c r="DM3" s="184">
        <v>-0.7437048566733222</v>
      </c>
      <c r="DN3" s="279">
        <v>1</v>
      </c>
    </row>
    <row r="4" spans="1:118" x14ac:dyDescent="0.3">
      <c r="A4" s="144" t="s">
        <v>12</v>
      </c>
      <c r="B4" s="57">
        <v>5</v>
      </c>
      <c r="C4" s="57">
        <v>1</v>
      </c>
      <c r="D4" s="184">
        <v>0.2353977000536992</v>
      </c>
      <c r="E4" s="184">
        <v>-0.7437048566733222</v>
      </c>
      <c r="F4" s="171">
        <v>5</v>
      </c>
      <c r="G4" s="172">
        <v>5</v>
      </c>
      <c r="H4" s="209">
        <v>0.66937000000000013</v>
      </c>
      <c r="I4" s="209">
        <v>-0.32400000000000007</v>
      </c>
      <c r="J4" s="209">
        <v>1</v>
      </c>
      <c r="K4" s="210">
        <v>3</v>
      </c>
      <c r="AB4"/>
      <c r="AC4"/>
      <c r="AD4"/>
      <c r="AE4" s="144" t="s">
        <v>34</v>
      </c>
      <c r="AF4" s="57">
        <v>1</v>
      </c>
      <c r="AG4" s="184">
        <v>0.744261293994261</v>
      </c>
      <c r="AH4" s="184">
        <v>-4.292699226516633E-2</v>
      </c>
      <c r="AI4"/>
      <c r="AJ4" s="57" t="s">
        <v>51</v>
      </c>
      <c r="AK4" s="184">
        <v>-0.84963960583490516</v>
      </c>
      <c r="AL4" s="184">
        <v>-0.4126141810854681</v>
      </c>
      <c r="AM4" s="192">
        <v>1</v>
      </c>
      <c r="AN4"/>
      <c r="AO4" s="144" t="s">
        <v>12</v>
      </c>
      <c r="AP4" s="184">
        <v>0.2353977000536992</v>
      </c>
      <c r="AQ4" s="184">
        <v>-0.7437048566733222</v>
      </c>
      <c r="AR4" s="195">
        <v>5</v>
      </c>
      <c r="AS4" s="204"/>
      <c r="AT4" s="144" t="s">
        <v>41</v>
      </c>
      <c r="AU4" s="57">
        <v>1</v>
      </c>
      <c r="AV4" s="209">
        <v>1.4858899999999999</v>
      </c>
      <c r="AW4" s="209">
        <v>-0.73268000000000011</v>
      </c>
      <c r="AX4"/>
      <c r="AY4" s="144" t="s">
        <v>12</v>
      </c>
      <c r="AZ4" s="57">
        <v>1</v>
      </c>
      <c r="BA4" s="209">
        <v>0.66937000000000013</v>
      </c>
      <c r="BB4" s="209">
        <v>-0.32400000000000007</v>
      </c>
      <c r="BV4"/>
      <c r="BW4"/>
      <c r="BX4" s="57" t="s">
        <v>12</v>
      </c>
      <c r="BY4" s="209">
        <v>0.66937000000000013</v>
      </c>
      <c r="BZ4" s="209">
        <v>-0.32400000000000007</v>
      </c>
      <c r="CA4" s="209">
        <v>1</v>
      </c>
      <c r="CC4" s="144" t="s">
        <v>12</v>
      </c>
      <c r="CD4" s="209">
        <v>0.66937000000000013</v>
      </c>
      <c r="CE4" s="209">
        <v>-0.32400000000000007</v>
      </c>
      <c r="CF4" s="210">
        <v>3</v>
      </c>
      <c r="CH4" s="57" t="s">
        <v>15</v>
      </c>
      <c r="CI4" s="184">
        <v>-0.71286734834126664</v>
      </c>
      <c r="CJ4" s="184">
        <v>0.74803718606105185</v>
      </c>
      <c r="CK4" s="260">
        <v>1</v>
      </c>
      <c r="CM4" s="57" t="s">
        <v>15</v>
      </c>
      <c r="CN4" s="259">
        <v>-0.77102999999999999</v>
      </c>
      <c r="CO4" s="259">
        <v>2.7200000000000002E-3</v>
      </c>
      <c r="CP4" s="260">
        <v>1</v>
      </c>
      <c r="DF4" s="57" t="s">
        <v>21</v>
      </c>
      <c r="DG4" s="276">
        <v>0.34099000000000002</v>
      </c>
      <c r="DH4" s="276">
        <v>-1.0431300000000001</v>
      </c>
      <c r="DI4" s="279">
        <v>1</v>
      </c>
      <c r="DK4" s="57" t="s">
        <v>21</v>
      </c>
      <c r="DL4" s="184">
        <v>-0.37087827546333718</v>
      </c>
      <c r="DM4" s="184">
        <v>-1.5215214439673252</v>
      </c>
      <c r="DN4" s="279">
        <v>1</v>
      </c>
    </row>
    <row r="5" spans="1:118" x14ac:dyDescent="0.3">
      <c r="A5" s="144" t="s">
        <v>13</v>
      </c>
      <c r="B5" s="57">
        <v>2</v>
      </c>
      <c r="C5" s="57">
        <v>2</v>
      </c>
      <c r="D5" s="184">
        <v>-0.45381752488339855</v>
      </c>
      <c r="E5" s="184">
        <v>0.1406067175712564</v>
      </c>
      <c r="F5" s="171">
        <v>5</v>
      </c>
      <c r="G5" s="172">
        <v>4</v>
      </c>
      <c r="H5" s="209">
        <v>-0.27215</v>
      </c>
      <c r="I5" s="209">
        <v>-0.18746000000000002</v>
      </c>
      <c r="J5" s="209">
        <v>5</v>
      </c>
      <c r="K5" s="210">
        <v>1</v>
      </c>
      <c r="AB5"/>
      <c r="AC5"/>
      <c r="AD5"/>
      <c r="AE5" s="144" t="s">
        <v>46</v>
      </c>
      <c r="AF5" s="57">
        <v>1</v>
      </c>
      <c r="AG5" s="184">
        <v>-4.8555712137070377E-2</v>
      </c>
      <c r="AH5" s="184">
        <v>0.21406479878870677</v>
      </c>
      <c r="AI5"/>
      <c r="AJ5" s="57" t="s">
        <v>53</v>
      </c>
      <c r="AK5" s="184">
        <v>-1.5241183555249409</v>
      </c>
      <c r="AL5" s="184">
        <v>-0.83005765926504826</v>
      </c>
      <c r="AM5" s="192">
        <v>1</v>
      </c>
      <c r="AN5"/>
      <c r="AO5" s="144" t="s">
        <v>13</v>
      </c>
      <c r="AP5" s="184">
        <v>-0.45381752488339855</v>
      </c>
      <c r="AQ5" s="184">
        <v>0.1406067175712564</v>
      </c>
      <c r="AR5" s="195">
        <v>4</v>
      </c>
      <c r="AS5" s="204"/>
      <c r="AT5" s="144" t="s">
        <v>64</v>
      </c>
      <c r="AU5" s="57">
        <v>1</v>
      </c>
      <c r="AV5" s="209">
        <v>1.57186</v>
      </c>
      <c r="AW5" s="209">
        <v>-0.24538000000000001</v>
      </c>
      <c r="AX5"/>
      <c r="AY5" s="144" t="s">
        <v>16</v>
      </c>
      <c r="AZ5" s="57">
        <v>1</v>
      </c>
      <c r="BA5" s="209">
        <v>-0.20889000000000002</v>
      </c>
      <c r="BB5" s="209">
        <v>-0.36255000000000004</v>
      </c>
      <c r="BV5"/>
      <c r="BW5"/>
      <c r="BX5" s="57" t="s">
        <v>13</v>
      </c>
      <c r="BY5" s="209">
        <v>-0.27215</v>
      </c>
      <c r="BZ5" s="209">
        <v>-0.18746000000000002</v>
      </c>
      <c r="CA5" s="209">
        <v>5</v>
      </c>
      <c r="CC5" s="144" t="s">
        <v>13</v>
      </c>
      <c r="CD5" s="209">
        <v>-0.27215</v>
      </c>
      <c r="CE5" s="209">
        <v>-0.18746000000000002</v>
      </c>
      <c r="CF5" s="210">
        <v>1</v>
      </c>
      <c r="CH5" s="57" t="s">
        <v>23</v>
      </c>
      <c r="CI5" s="184">
        <v>-1.0337243333738841</v>
      </c>
      <c r="CJ5" s="184">
        <v>0.19895696132898522</v>
      </c>
      <c r="CK5" s="260">
        <v>1</v>
      </c>
      <c r="CM5" s="57" t="s">
        <v>23</v>
      </c>
      <c r="CN5" s="259">
        <v>-0.77775000000000005</v>
      </c>
      <c r="CO5" s="259">
        <v>-0.46984000000000004</v>
      </c>
      <c r="CP5" s="260">
        <v>1</v>
      </c>
      <c r="DF5" s="57" t="s">
        <v>22</v>
      </c>
      <c r="DG5" s="276">
        <v>0.35738000000000009</v>
      </c>
      <c r="DH5" s="276">
        <v>-0.37621000000000004</v>
      </c>
      <c r="DI5" s="279">
        <v>1</v>
      </c>
      <c r="DK5" s="57" t="s">
        <v>22</v>
      </c>
      <c r="DL5" s="184">
        <v>0.25347253807895676</v>
      </c>
      <c r="DM5" s="184">
        <v>-0.74512044153099644</v>
      </c>
      <c r="DN5" s="279">
        <v>1</v>
      </c>
    </row>
    <row r="6" spans="1:118" x14ac:dyDescent="0.3">
      <c r="A6" s="144" t="s">
        <v>14</v>
      </c>
      <c r="B6" s="57">
        <v>4</v>
      </c>
      <c r="C6" s="57">
        <v>2</v>
      </c>
      <c r="D6" s="184">
        <v>-0.24660909801096273</v>
      </c>
      <c r="E6" s="184">
        <v>0.55887832602816589</v>
      </c>
      <c r="F6" s="171">
        <v>4</v>
      </c>
      <c r="G6" s="172">
        <v>3</v>
      </c>
      <c r="H6" s="209">
        <v>-0.49475999999999998</v>
      </c>
      <c r="I6" s="209">
        <v>4.2800000000000005E-2</v>
      </c>
      <c r="J6" s="209">
        <v>5</v>
      </c>
      <c r="K6" s="210">
        <v>1</v>
      </c>
      <c r="AB6"/>
      <c r="AC6"/>
      <c r="AD6"/>
      <c r="AE6" s="144" t="s">
        <v>49</v>
      </c>
      <c r="AF6" s="57">
        <v>1</v>
      </c>
      <c r="AG6" s="184">
        <v>0.30561908669063659</v>
      </c>
      <c r="AH6" s="184">
        <v>0.29554761095456156</v>
      </c>
      <c r="AI6"/>
      <c r="AJ6" s="57" t="s">
        <v>58</v>
      </c>
      <c r="AK6" s="184">
        <v>-1.2487648064820194</v>
      </c>
      <c r="AL6" s="184">
        <v>-0.19687682640737933</v>
      </c>
      <c r="AM6" s="192">
        <v>1</v>
      </c>
      <c r="AN6"/>
      <c r="AO6" s="144" t="s">
        <v>14</v>
      </c>
      <c r="AP6" s="184">
        <v>-0.24660909801096273</v>
      </c>
      <c r="AQ6" s="184">
        <v>0.55887832602816589</v>
      </c>
      <c r="AR6" s="195">
        <v>3</v>
      </c>
      <c r="AS6" s="204"/>
      <c r="AT6" s="144" t="s">
        <v>74</v>
      </c>
      <c r="AU6" s="57">
        <v>1</v>
      </c>
      <c r="AV6" s="209">
        <v>1.8784200000000002</v>
      </c>
      <c r="AW6" s="209">
        <v>-0.41471000000000002</v>
      </c>
      <c r="AX6"/>
      <c r="AY6" s="144" t="s">
        <v>22</v>
      </c>
      <c r="AZ6" s="57">
        <v>1</v>
      </c>
      <c r="BA6" s="209">
        <v>0.35738000000000009</v>
      </c>
      <c r="BB6" s="209">
        <v>-0.37621000000000004</v>
      </c>
      <c r="BV6"/>
      <c r="BW6"/>
      <c r="BX6" s="57" t="s">
        <v>14</v>
      </c>
      <c r="BY6" s="209">
        <v>-0.49475999999999998</v>
      </c>
      <c r="BZ6" s="209">
        <v>4.2800000000000005E-2</v>
      </c>
      <c r="CA6" s="209">
        <v>5</v>
      </c>
      <c r="CC6" s="144" t="s">
        <v>14</v>
      </c>
      <c r="CD6" s="209">
        <v>-0.49475999999999998</v>
      </c>
      <c r="CE6" s="209">
        <v>4.2800000000000005E-2</v>
      </c>
      <c r="CF6" s="210">
        <v>1</v>
      </c>
      <c r="CH6" s="57" t="s">
        <v>25</v>
      </c>
      <c r="CI6" s="184">
        <v>-1.1236311727474124</v>
      </c>
      <c r="CJ6" s="184">
        <v>0.7756887293156608</v>
      </c>
      <c r="CK6" s="260">
        <v>1</v>
      </c>
      <c r="CM6" s="57" t="s">
        <v>25</v>
      </c>
      <c r="CN6" s="259">
        <v>-1.2376800000000001</v>
      </c>
      <c r="CO6" s="259">
        <v>-0.23866000000000001</v>
      </c>
      <c r="CP6" s="260">
        <v>1</v>
      </c>
      <c r="DF6" s="57" t="s">
        <v>26</v>
      </c>
      <c r="DG6" s="276">
        <v>-0.12827</v>
      </c>
      <c r="DH6" s="276">
        <v>-0.65498000000000012</v>
      </c>
      <c r="DI6" s="279">
        <v>1</v>
      </c>
      <c r="DK6" s="57" t="s">
        <v>26</v>
      </c>
      <c r="DL6" s="184">
        <v>-0.82992785060055119</v>
      </c>
      <c r="DM6" s="184">
        <v>-0.72568069932029255</v>
      </c>
      <c r="DN6" s="279">
        <v>1</v>
      </c>
    </row>
    <row r="7" spans="1:118" x14ac:dyDescent="0.3">
      <c r="A7" s="144" t="s">
        <v>15</v>
      </c>
      <c r="B7" s="57">
        <v>2</v>
      </c>
      <c r="C7" s="57">
        <v>2</v>
      </c>
      <c r="D7" s="184">
        <v>-0.71286734834126664</v>
      </c>
      <c r="E7" s="184">
        <v>0.74803718606105185</v>
      </c>
      <c r="F7" s="171">
        <v>6</v>
      </c>
      <c r="G7" s="172">
        <v>6</v>
      </c>
      <c r="H7" s="209">
        <v>-0.77102999999999999</v>
      </c>
      <c r="I7" s="209">
        <v>2.7200000000000002E-3</v>
      </c>
      <c r="J7" s="209">
        <v>5</v>
      </c>
      <c r="K7" s="210">
        <v>1</v>
      </c>
      <c r="AB7"/>
      <c r="AC7"/>
      <c r="AD7"/>
      <c r="AE7" s="144" t="s">
        <v>50</v>
      </c>
      <c r="AF7" s="57">
        <v>1</v>
      </c>
      <c r="AG7" s="184">
        <v>0.75087772297068511</v>
      </c>
      <c r="AH7" s="184">
        <v>0.284518146266525</v>
      </c>
      <c r="AI7"/>
      <c r="AJ7" s="57" t="s">
        <v>62</v>
      </c>
      <c r="AK7" s="184">
        <v>-1.0254524028729568</v>
      </c>
      <c r="AL7" s="184">
        <v>-0.28548174574471535</v>
      </c>
      <c r="AM7" s="192">
        <v>1</v>
      </c>
      <c r="AN7"/>
      <c r="AO7" s="144" t="s">
        <v>15</v>
      </c>
      <c r="AP7" s="184">
        <v>-0.71286734834126664</v>
      </c>
      <c r="AQ7" s="184">
        <v>0.74803718606105185</v>
      </c>
      <c r="AR7" s="195">
        <v>6</v>
      </c>
      <c r="AS7" s="204"/>
      <c r="AT7" s="144" t="s">
        <v>87</v>
      </c>
      <c r="AU7" s="57">
        <v>1</v>
      </c>
      <c r="AV7" s="209">
        <v>2.0257999999999998</v>
      </c>
      <c r="AW7" s="209">
        <v>0.10603000000000001</v>
      </c>
      <c r="AX7"/>
      <c r="AY7" s="144" t="s">
        <v>23</v>
      </c>
      <c r="AZ7" s="57">
        <v>1</v>
      </c>
      <c r="BA7" s="209">
        <v>-0.77775000000000005</v>
      </c>
      <c r="BB7" s="209">
        <v>-0.46984000000000004</v>
      </c>
      <c r="BV7"/>
      <c r="BW7"/>
      <c r="BX7" s="57" t="s">
        <v>15</v>
      </c>
      <c r="BY7" s="209">
        <v>-0.77102999999999999</v>
      </c>
      <c r="BZ7" s="209">
        <v>2.7200000000000002E-3</v>
      </c>
      <c r="CA7" s="209">
        <v>5</v>
      </c>
      <c r="CC7" s="144" t="s">
        <v>15</v>
      </c>
      <c r="CD7" s="209">
        <v>-0.77102999999999999</v>
      </c>
      <c r="CE7" s="209">
        <v>2.7200000000000002E-3</v>
      </c>
      <c r="CF7" s="210">
        <v>1</v>
      </c>
      <c r="CH7" s="57" t="s">
        <v>29</v>
      </c>
      <c r="CI7" s="184">
        <v>-0.95306631457546787</v>
      </c>
      <c r="CJ7" s="184">
        <v>0.19932319917675709</v>
      </c>
      <c r="CK7" s="260">
        <v>1</v>
      </c>
      <c r="CM7" s="57" t="s">
        <v>29</v>
      </c>
      <c r="CN7" s="259">
        <v>-0.88119999999999998</v>
      </c>
      <c r="CO7" s="259">
        <v>-0.50312000000000001</v>
      </c>
      <c r="CP7" s="260">
        <v>1</v>
      </c>
      <c r="DF7" s="57" t="s">
        <v>27</v>
      </c>
      <c r="DG7" s="276">
        <v>-3.0219999999999997E-2</v>
      </c>
      <c r="DH7" s="276">
        <v>-3.8620000000000002E-2</v>
      </c>
      <c r="DI7" s="279">
        <v>1</v>
      </c>
      <c r="DK7" s="57" t="s">
        <v>27</v>
      </c>
      <c r="DL7" s="184">
        <v>5.6630355757248001E-2</v>
      </c>
      <c r="DM7" s="184">
        <v>0.11045861529005846</v>
      </c>
      <c r="DN7" s="279">
        <v>1</v>
      </c>
    </row>
    <row r="8" spans="1:118" x14ac:dyDescent="0.3">
      <c r="A8" s="144" t="s">
        <v>16</v>
      </c>
      <c r="B8" s="57">
        <v>5</v>
      </c>
      <c r="C8" s="57">
        <v>1</v>
      </c>
      <c r="D8" s="184">
        <v>-0.12373275751270651</v>
      </c>
      <c r="E8" s="184">
        <v>-0.37419270560537177</v>
      </c>
      <c r="F8" s="171">
        <v>5</v>
      </c>
      <c r="G8" s="172">
        <v>5</v>
      </c>
      <c r="H8" s="209">
        <v>-0.20889000000000002</v>
      </c>
      <c r="I8" s="209">
        <v>-0.36255000000000004</v>
      </c>
      <c r="J8" s="209">
        <v>5</v>
      </c>
      <c r="K8" s="210">
        <v>3</v>
      </c>
      <c r="AB8"/>
      <c r="AC8"/>
      <c r="AD8"/>
      <c r="AE8" s="144" t="s">
        <v>75</v>
      </c>
      <c r="AF8" s="57">
        <v>1</v>
      </c>
      <c r="AG8" s="184">
        <v>1.1610158884903476</v>
      </c>
      <c r="AH8" s="184">
        <v>0.21047329433474243</v>
      </c>
      <c r="AI8"/>
      <c r="AJ8" s="57" t="s">
        <v>67</v>
      </c>
      <c r="AK8" s="184">
        <v>-1.4139507965015217</v>
      </c>
      <c r="AL8" s="184">
        <v>-0.29572258336795737</v>
      </c>
      <c r="AM8" s="192">
        <v>1</v>
      </c>
      <c r="AN8"/>
      <c r="AO8" s="144" t="s">
        <v>16</v>
      </c>
      <c r="AP8" s="184">
        <v>-0.12373275751270651</v>
      </c>
      <c r="AQ8" s="184">
        <v>-0.37419270560537177</v>
      </c>
      <c r="AR8" s="195">
        <v>5</v>
      </c>
      <c r="AS8" s="204"/>
      <c r="AT8" s="144" t="s">
        <v>91</v>
      </c>
      <c r="AU8" s="57">
        <v>1</v>
      </c>
      <c r="AV8" s="209">
        <v>2.6389500000000004</v>
      </c>
      <c r="AW8" s="209">
        <v>-1.01142</v>
      </c>
      <c r="AX8"/>
      <c r="AY8" s="144" t="s">
        <v>24</v>
      </c>
      <c r="AZ8" s="57">
        <v>1</v>
      </c>
      <c r="BA8" s="209">
        <v>0.32751000000000008</v>
      </c>
      <c r="BB8" s="209">
        <v>-0.18464</v>
      </c>
      <c r="BV8"/>
      <c r="BW8"/>
      <c r="BX8" s="57" t="s">
        <v>16</v>
      </c>
      <c r="BY8" s="209">
        <v>-0.20889000000000002</v>
      </c>
      <c r="BZ8" s="209">
        <v>-0.36255000000000004</v>
      </c>
      <c r="CA8" s="209">
        <v>5</v>
      </c>
      <c r="CC8" s="144" t="s">
        <v>16</v>
      </c>
      <c r="CD8" s="209">
        <v>-0.20889000000000002</v>
      </c>
      <c r="CE8" s="209">
        <v>-0.36255000000000004</v>
      </c>
      <c r="CF8" s="210">
        <v>3</v>
      </c>
      <c r="CH8" s="57" t="s">
        <v>37</v>
      </c>
      <c r="CI8" s="184">
        <v>-0.12212939757241779</v>
      </c>
      <c r="CJ8" s="184">
        <v>0.67138208743299133</v>
      </c>
      <c r="CK8" s="260">
        <v>1</v>
      </c>
      <c r="CM8" s="57" t="s">
        <v>37</v>
      </c>
      <c r="CN8" s="259">
        <v>-4.2010000000000006E-2</v>
      </c>
      <c r="CO8" s="259">
        <v>0.17597000000000002</v>
      </c>
      <c r="CP8" s="260">
        <v>1</v>
      </c>
      <c r="DF8" s="57" t="s">
        <v>29</v>
      </c>
      <c r="DG8" s="276">
        <v>-0.88119999999999998</v>
      </c>
      <c r="DH8" s="276">
        <v>-0.50312000000000001</v>
      </c>
      <c r="DI8" s="279">
        <v>1</v>
      </c>
      <c r="DK8" s="57" t="s">
        <v>29</v>
      </c>
      <c r="DL8" s="184">
        <v>-0.95306631457546787</v>
      </c>
      <c r="DM8" s="184">
        <v>0.19932319917675709</v>
      </c>
      <c r="DN8" s="279">
        <v>1</v>
      </c>
    </row>
    <row r="9" spans="1:118" x14ac:dyDescent="0.3">
      <c r="A9" s="144" t="s">
        <v>17</v>
      </c>
      <c r="B9" s="57">
        <v>4</v>
      </c>
      <c r="C9" s="57">
        <v>2</v>
      </c>
      <c r="D9" s="184">
        <v>0.54956734188769396</v>
      </c>
      <c r="E9" s="184">
        <v>1.345013006803121</v>
      </c>
      <c r="F9" s="171">
        <v>4</v>
      </c>
      <c r="G9" s="172">
        <v>3</v>
      </c>
      <c r="H9" s="209">
        <v>-0.49468999999999996</v>
      </c>
      <c r="I9" s="209">
        <v>1.2204999999999999</v>
      </c>
      <c r="J9" s="209">
        <v>6</v>
      </c>
      <c r="K9" s="210">
        <v>5</v>
      </c>
      <c r="AB9"/>
      <c r="AC9"/>
      <c r="AD9"/>
      <c r="AE9" s="144" t="s">
        <v>88</v>
      </c>
      <c r="AF9" s="57">
        <v>1</v>
      </c>
      <c r="AG9" s="184">
        <v>0.605509288233405</v>
      </c>
      <c r="AH9" s="184">
        <v>0.57568127794030155</v>
      </c>
      <c r="AI9"/>
      <c r="AJ9" s="57" t="s">
        <v>68</v>
      </c>
      <c r="AK9" s="184">
        <v>-0.99674455503673365</v>
      </c>
      <c r="AL9" s="184">
        <v>-0.62645314821502851</v>
      </c>
      <c r="AM9" s="192">
        <v>1</v>
      </c>
      <c r="AN9"/>
      <c r="AO9" s="144" t="s">
        <v>17</v>
      </c>
      <c r="AP9" s="184">
        <v>0.54956734188769396</v>
      </c>
      <c r="AQ9" s="184">
        <v>1.345013006803121</v>
      </c>
      <c r="AR9" s="195">
        <v>3</v>
      </c>
      <c r="AS9" s="204"/>
      <c r="AT9" s="144" t="s">
        <v>92</v>
      </c>
      <c r="AU9" s="57">
        <v>1</v>
      </c>
      <c r="AV9" s="209">
        <v>3.1473</v>
      </c>
      <c r="AW9" s="209">
        <v>-0.16088</v>
      </c>
      <c r="AX9"/>
      <c r="AY9" s="144" t="s">
        <v>27</v>
      </c>
      <c r="AZ9" s="57">
        <v>1</v>
      </c>
      <c r="BA9" s="209">
        <v>-3.0219999999999997E-2</v>
      </c>
      <c r="BB9" s="209">
        <v>-3.8620000000000002E-2</v>
      </c>
      <c r="BV9"/>
      <c r="BW9"/>
      <c r="BX9" s="57" t="s">
        <v>17</v>
      </c>
      <c r="BY9" s="209">
        <v>-0.49468999999999996</v>
      </c>
      <c r="BZ9" s="209">
        <v>1.2204999999999999</v>
      </c>
      <c r="CA9" s="209">
        <v>6</v>
      </c>
      <c r="CC9" s="144" t="s">
        <v>17</v>
      </c>
      <c r="CD9" s="209">
        <v>-0.49468999999999996</v>
      </c>
      <c r="CE9" s="209">
        <v>1.2204999999999999</v>
      </c>
      <c r="CF9" s="210">
        <v>5</v>
      </c>
      <c r="CH9" s="57" t="s">
        <v>47</v>
      </c>
      <c r="CI9" s="184">
        <v>-0.63228597945242293</v>
      </c>
      <c r="CJ9" s="184">
        <v>-3.6711754820950154E-2</v>
      </c>
      <c r="CK9" s="260">
        <v>1</v>
      </c>
      <c r="CM9" s="57" t="s">
        <v>47</v>
      </c>
      <c r="CN9" s="259">
        <v>-0.39466000000000001</v>
      </c>
      <c r="CO9" s="259">
        <v>-0.45457000000000003</v>
      </c>
      <c r="CP9" s="260">
        <v>1</v>
      </c>
      <c r="DF9" s="57" t="s">
        <v>33</v>
      </c>
      <c r="DG9" s="276">
        <v>-0.47765000000000002</v>
      </c>
      <c r="DH9" s="276">
        <v>2.1166700000000001</v>
      </c>
      <c r="DI9" s="279">
        <v>1</v>
      </c>
      <c r="DK9" s="57" t="s">
        <v>33</v>
      </c>
      <c r="DL9" s="184">
        <v>0.99117733961336074</v>
      </c>
      <c r="DM9" s="184">
        <v>2.0882362408117352</v>
      </c>
      <c r="DN9" s="279">
        <v>1</v>
      </c>
    </row>
    <row r="10" spans="1:118" x14ac:dyDescent="0.3">
      <c r="A10" s="144" t="s">
        <v>18</v>
      </c>
      <c r="B10" s="57">
        <v>6</v>
      </c>
      <c r="C10" s="57">
        <v>3</v>
      </c>
      <c r="D10" s="184">
        <v>-0.44316822585800819</v>
      </c>
      <c r="E10" s="184">
        <v>-0.57811526202185071</v>
      </c>
      <c r="F10" s="171">
        <v>5</v>
      </c>
      <c r="G10" s="172">
        <v>5</v>
      </c>
      <c r="H10" s="209">
        <v>-1.193E-2</v>
      </c>
      <c r="I10" s="209">
        <v>-0.53752</v>
      </c>
      <c r="J10" s="209">
        <v>5</v>
      </c>
      <c r="K10" s="210">
        <v>3</v>
      </c>
      <c r="AB10"/>
      <c r="AC10"/>
      <c r="AD10"/>
      <c r="AE10" s="144" t="s">
        <v>31</v>
      </c>
      <c r="AF10" s="57">
        <v>1</v>
      </c>
      <c r="AG10" s="184">
        <v>-0.83243682646702744</v>
      </c>
      <c r="AH10" s="184">
        <v>-0.37899252472610234</v>
      </c>
      <c r="AI10"/>
      <c r="AJ10" s="57" t="s">
        <v>28</v>
      </c>
      <c r="AK10" s="184">
        <v>0.83515241087902459</v>
      </c>
      <c r="AL10" s="184">
        <v>-2.0048492791874573</v>
      </c>
      <c r="AM10" s="192">
        <v>2</v>
      </c>
      <c r="AN10"/>
      <c r="AO10" s="144" t="s">
        <v>18</v>
      </c>
      <c r="AP10" s="184">
        <v>-0.44316822585800819</v>
      </c>
      <c r="AQ10" s="184">
        <v>-0.57811526202185071</v>
      </c>
      <c r="AR10" s="195">
        <v>5</v>
      </c>
      <c r="AS10" s="204"/>
      <c r="AT10" s="144" t="s">
        <v>13</v>
      </c>
      <c r="AU10" s="57">
        <v>2</v>
      </c>
      <c r="AV10" s="209">
        <v>-0.27215</v>
      </c>
      <c r="AW10" s="209">
        <v>-0.18746000000000002</v>
      </c>
      <c r="AX10"/>
      <c r="AY10" s="144" t="s">
        <v>31</v>
      </c>
      <c r="AZ10" s="57">
        <v>1</v>
      </c>
      <c r="BA10" s="209">
        <v>-0.26874999999999999</v>
      </c>
      <c r="BB10" s="209">
        <v>-0.66684000000000021</v>
      </c>
      <c r="BV10"/>
      <c r="BW10"/>
      <c r="BX10" s="57" t="s">
        <v>18</v>
      </c>
      <c r="BY10" s="209">
        <v>-1.193E-2</v>
      </c>
      <c r="BZ10" s="209">
        <v>-0.53752</v>
      </c>
      <c r="CA10" s="209">
        <v>5</v>
      </c>
      <c r="CC10" s="144" t="s">
        <v>18</v>
      </c>
      <c r="CD10" s="209">
        <v>-1.193E-2</v>
      </c>
      <c r="CE10" s="209">
        <v>-0.53752</v>
      </c>
      <c r="CF10" s="210">
        <v>3</v>
      </c>
      <c r="CH10" s="57" t="s">
        <v>48</v>
      </c>
      <c r="CI10" s="184">
        <v>-0.53558584549118027</v>
      </c>
      <c r="CJ10" s="184">
        <v>0.26146422268170821</v>
      </c>
      <c r="CK10" s="260">
        <v>1</v>
      </c>
      <c r="CM10" s="57" t="s">
        <v>48</v>
      </c>
      <c r="CN10" s="259">
        <v>-0.48174</v>
      </c>
      <c r="CO10" s="259">
        <v>-0.21878000000000003</v>
      </c>
      <c r="CP10" s="260">
        <v>1</v>
      </c>
      <c r="DF10" s="57" t="s">
        <v>34</v>
      </c>
      <c r="DG10" s="276">
        <v>0.45074999999999998</v>
      </c>
      <c r="DH10" s="276">
        <v>0.34032000000000007</v>
      </c>
      <c r="DI10" s="279">
        <v>1</v>
      </c>
      <c r="DK10" s="57" t="s">
        <v>34</v>
      </c>
      <c r="DL10" s="184">
        <v>0.744261293994261</v>
      </c>
      <c r="DM10" s="184">
        <v>-4.292699226516633E-2</v>
      </c>
      <c r="DN10" s="279">
        <v>1</v>
      </c>
    </row>
    <row r="11" spans="1:118" x14ac:dyDescent="0.3">
      <c r="A11" s="144" t="s">
        <v>19</v>
      </c>
      <c r="B11" s="57">
        <v>4</v>
      </c>
      <c r="C11" s="57">
        <v>2</v>
      </c>
      <c r="D11" s="184">
        <v>9.2910548556283681E-2</v>
      </c>
      <c r="E11" s="184">
        <v>0.61711236088415244</v>
      </c>
      <c r="F11" s="171">
        <v>4</v>
      </c>
      <c r="G11" s="172">
        <v>3</v>
      </c>
      <c r="H11" s="209">
        <v>-0.39745000000000003</v>
      </c>
      <c r="I11" s="209">
        <v>0.37058000000000008</v>
      </c>
      <c r="J11" s="209">
        <v>6</v>
      </c>
      <c r="K11" s="210">
        <v>1</v>
      </c>
      <c r="AB11"/>
      <c r="AC11"/>
      <c r="AD11"/>
      <c r="AE11" s="144" t="s">
        <v>85</v>
      </c>
      <c r="AF11" s="57">
        <v>1</v>
      </c>
      <c r="AG11" s="184">
        <v>-0.14824621074977959</v>
      </c>
      <c r="AH11" s="184">
        <v>1.6283985682877478E-2</v>
      </c>
      <c r="AI11"/>
      <c r="AJ11" s="57" t="s">
        <v>39</v>
      </c>
      <c r="AK11" s="184">
        <v>1.3427118487526655</v>
      </c>
      <c r="AL11" s="184">
        <v>-2.5000966528853699</v>
      </c>
      <c r="AM11" s="192">
        <v>2</v>
      </c>
      <c r="AN11"/>
      <c r="AO11" s="144" t="s">
        <v>19</v>
      </c>
      <c r="AP11" s="184">
        <v>9.2910548556283681E-2</v>
      </c>
      <c r="AQ11" s="184">
        <v>0.61711236088415244</v>
      </c>
      <c r="AR11" s="195">
        <v>3</v>
      </c>
      <c r="AS11" s="204"/>
      <c r="AT11" s="144" t="s">
        <v>15</v>
      </c>
      <c r="AU11" s="57">
        <v>2</v>
      </c>
      <c r="AV11" s="209">
        <v>-0.77102999999999999</v>
      </c>
      <c r="AW11" s="209">
        <v>2.7200000000000002E-3</v>
      </c>
      <c r="AX11"/>
      <c r="AY11" s="144" t="s">
        <v>32</v>
      </c>
      <c r="AZ11" s="57">
        <v>1</v>
      </c>
      <c r="BA11" s="209">
        <v>-0.23275000000000001</v>
      </c>
      <c r="BB11" s="209">
        <v>-0.75420000000000009</v>
      </c>
      <c r="BV11"/>
      <c r="BW11"/>
      <c r="BX11" s="57" t="s">
        <v>19</v>
      </c>
      <c r="BY11" s="209">
        <v>-0.39745000000000003</v>
      </c>
      <c r="BZ11" s="209">
        <v>0.37058000000000008</v>
      </c>
      <c r="CA11" s="209">
        <v>6</v>
      </c>
      <c r="CC11" s="144" t="s">
        <v>19</v>
      </c>
      <c r="CD11" s="209">
        <v>-0.39745000000000003</v>
      </c>
      <c r="CE11" s="209">
        <v>0.37058000000000008</v>
      </c>
      <c r="CF11" s="210">
        <v>1</v>
      </c>
      <c r="CH11" s="57" t="s">
        <v>51</v>
      </c>
      <c r="CI11" s="184">
        <v>-0.84963960583490516</v>
      </c>
      <c r="CJ11" s="184">
        <v>-0.4126141810854681</v>
      </c>
      <c r="CK11" s="260">
        <v>1</v>
      </c>
      <c r="CM11" s="57" t="s">
        <v>51</v>
      </c>
      <c r="CN11" s="259">
        <v>-0.40191000000000004</v>
      </c>
      <c r="CO11" s="259">
        <v>-0.67977000000000021</v>
      </c>
      <c r="CP11" s="260">
        <v>1</v>
      </c>
      <c r="DF11" s="57" t="s">
        <v>35</v>
      </c>
      <c r="DG11" s="276">
        <v>-2.2209999999999997E-2</v>
      </c>
      <c r="DH11" s="276">
        <v>-0.39037000000000005</v>
      </c>
      <c r="DI11" s="279">
        <v>1</v>
      </c>
      <c r="DK11" s="57" t="s">
        <v>35</v>
      </c>
      <c r="DL11" s="184">
        <v>-5.9127238767861384E-2</v>
      </c>
      <c r="DM11" s="184">
        <v>-0.49287047364693615</v>
      </c>
      <c r="DN11" s="279">
        <v>1</v>
      </c>
    </row>
    <row r="12" spans="1:118" x14ac:dyDescent="0.3">
      <c r="A12" s="144" t="s">
        <v>20</v>
      </c>
      <c r="B12" s="57">
        <v>3</v>
      </c>
      <c r="C12" s="57">
        <v>4</v>
      </c>
      <c r="D12" s="184">
        <v>3.8561089628134808</v>
      </c>
      <c r="E12" s="184">
        <v>2.4828261942325693</v>
      </c>
      <c r="F12" s="171">
        <v>3</v>
      </c>
      <c r="G12" s="172">
        <v>1</v>
      </c>
      <c r="H12" s="209">
        <v>1.2853300000000001</v>
      </c>
      <c r="I12" s="209">
        <v>4.5312900000000003</v>
      </c>
      <c r="J12" s="209">
        <v>2</v>
      </c>
      <c r="K12" s="210">
        <v>6</v>
      </c>
      <c r="AB12"/>
      <c r="AC12"/>
      <c r="AD12"/>
      <c r="AE12" s="144" t="s">
        <v>36</v>
      </c>
      <c r="AF12" s="57">
        <v>1</v>
      </c>
      <c r="AG12" s="184">
        <v>-0.43793553770023014</v>
      </c>
      <c r="AH12" s="184">
        <v>-0.12976085990879424</v>
      </c>
      <c r="AI12"/>
      <c r="AJ12" s="57" t="s">
        <v>41</v>
      </c>
      <c r="AK12" s="184">
        <v>0.77969586727480056</v>
      </c>
      <c r="AL12" s="184">
        <v>-1.7895749805900687</v>
      </c>
      <c r="AM12" s="192">
        <v>2</v>
      </c>
      <c r="AN12"/>
      <c r="AO12" s="144" t="s">
        <v>20</v>
      </c>
      <c r="AP12" s="184">
        <v>3.8561089628134808</v>
      </c>
      <c r="AQ12" s="184">
        <v>2.4828261942325693</v>
      </c>
      <c r="AR12" s="195">
        <v>1</v>
      </c>
      <c r="AS12" s="204"/>
      <c r="AT12" s="144" t="s">
        <v>25</v>
      </c>
      <c r="AU12" s="57">
        <v>2</v>
      </c>
      <c r="AV12" s="209">
        <v>-1.2376800000000001</v>
      </c>
      <c r="AW12" s="209">
        <v>-0.23866000000000001</v>
      </c>
      <c r="AX12"/>
      <c r="AY12" s="144" t="s">
        <v>34</v>
      </c>
      <c r="AZ12" s="57">
        <v>1</v>
      </c>
      <c r="BA12" s="209">
        <v>0.45074999999999998</v>
      </c>
      <c r="BB12" s="209">
        <v>0.34032000000000007</v>
      </c>
      <c r="BV12"/>
      <c r="BW12"/>
      <c r="BX12" s="57" t="s">
        <v>20</v>
      </c>
      <c r="BY12" s="209">
        <v>1.2853300000000001</v>
      </c>
      <c r="BZ12" s="209">
        <v>4.5312900000000003</v>
      </c>
      <c r="CA12" s="209">
        <v>2</v>
      </c>
      <c r="CC12" s="144" t="s">
        <v>20</v>
      </c>
      <c r="CD12" s="209">
        <v>1.2853300000000001</v>
      </c>
      <c r="CE12" s="209">
        <v>4.5312900000000003</v>
      </c>
      <c r="CF12" s="210">
        <v>6</v>
      </c>
      <c r="CH12" s="57" t="s">
        <v>52</v>
      </c>
      <c r="CI12" s="184">
        <v>-0.99743975160533349</v>
      </c>
      <c r="CJ12" s="184">
        <v>0.22426554636965412</v>
      </c>
      <c r="CK12" s="260">
        <v>1</v>
      </c>
      <c r="CM12" s="57" t="s">
        <v>52</v>
      </c>
      <c r="CN12" s="259">
        <v>-0.76722000000000001</v>
      </c>
      <c r="CO12" s="259">
        <v>-0.45534000000000002</v>
      </c>
      <c r="CP12" s="260">
        <v>1</v>
      </c>
      <c r="DF12" s="57" t="s">
        <v>37</v>
      </c>
      <c r="DG12" s="276">
        <v>-4.2010000000000006E-2</v>
      </c>
      <c r="DH12" s="276">
        <v>0.17597000000000002</v>
      </c>
      <c r="DI12" s="279">
        <v>1</v>
      </c>
      <c r="DK12" s="57" t="s">
        <v>37</v>
      </c>
      <c r="DL12" s="184">
        <v>-0.12212939757241779</v>
      </c>
      <c r="DM12" s="184">
        <v>0.67138208743299133</v>
      </c>
      <c r="DN12" s="279">
        <v>1</v>
      </c>
    </row>
    <row r="13" spans="1:118" x14ac:dyDescent="0.3">
      <c r="A13" s="144" t="s">
        <v>21</v>
      </c>
      <c r="B13" s="57">
        <v>5</v>
      </c>
      <c r="C13" s="57">
        <v>3</v>
      </c>
      <c r="D13" s="184">
        <v>-0.37087827546333718</v>
      </c>
      <c r="E13" s="184">
        <v>-1.5215214439673252</v>
      </c>
      <c r="F13" s="171">
        <v>5</v>
      </c>
      <c r="G13" s="172">
        <v>5</v>
      </c>
      <c r="H13" s="209">
        <v>0.34099000000000002</v>
      </c>
      <c r="I13" s="209">
        <v>-1.0431300000000001</v>
      </c>
      <c r="J13" s="209">
        <v>1</v>
      </c>
      <c r="K13" s="210">
        <v>3</v>
      </c>
      <c r="AB13"/>
      <c r="AC13"/>
      <c r="AD13"/>
      <c r="AE13" s="144" t="s">
        <v>43</v>
      </c>
      <c r="AF13" s="57">
        <v>1</v>
      </c>
      <c r="AG13" s="184">
        <v>-0.47224168753713147</v>
      </c>
      <c r="AH13" s="184">
        <v>-0.35353861553225002</v>
      </c>
      <c r="AI13"/>
      <c r="AJ13" s="57" t="s">
        <v>64</v>
      </c>
      <c r="AK13" s="184">
        <v>1.0516483442580258</v>
      </c>
      <c r="AL13" s="184">
        <v>-1.2563485133534897</v>
      </c>
      <c r="AM13" s="192">
        <v>2</v>
      </c>
      <c r="AN13"/>
      <c r="AO13" s="144" t="s">
        <v>21</v>
      </c>
      <c r="AP13" s="184">
        <v>-0.37087827546333718</v>
      </c>
      <c r="AQ13" s="184">
        <v>-1.5215214439673252</v>
      </c>
      <c r="AR13" s="195">
        <v>5</v>
      </c>
      <c r="AS13" s="204"/>
      <c r="AT13" s="144" t="s">
        <v>29</v>
      </c>
      <c r="AU13" s="57">
        <v>2</v>
      </c>
      <c r="AV13" s="209">
        <v>-0.88119999999999998</v>
      </c>
      <c r="AW13" s="209">
        <v>-0.50312000000000001</v>
      </c>
      <c r="AX13"/>
      <c r="AY13" s="144" t="s">
        <v>35</v>
      </c>
      <c r="AZ13" s="57">
        <v>1</v>
      </c>
      <c r="BA13" s="209">
        <v>-2.2209999999999997E-2</v>
      </c>
      <c r="BB13" s="209">
        <v>-0.39037000000000005</v>
      </c>
      <c r="BV13"/>
      <c r="BW13"/>
      <c r="BX13" s="57" t="s">
        <v>21</v>
      </c>
      <c r="BY13" s="209">
        <v>0.34099000000000002</v>
      </c>
      <c r="BZ13" s="209">
        <v>-1.0431300000000001</v>
      </c>
      <c r="CA13" s="209">
        <v>1</v>
      </c>
      <c r="CC13" s="144" t="s">
        <v>21</v>
      </c>
      <c r="CD13" s="209">
        <v>0.34099000000000002</v>
      </c>
      <c r="CE13" s="209">
        <v>-1.0431300000000001</v>
      </c>
      <c r="CF13" s="210">
        <v>3</v>
      </c>
      <c r="CH13" s="57" t="s">
        <v>56</v>
      </c>
      <c r="CI13" s="184">
        <v>-1.1292697822017885</v>
      </c>
      <c r="CJ13" s="184">
        <v>1.5028990490382081</v>
      </c>
      <c r="CK13" s="260">
        <v>1</v>
      </c>
      <c r="CM13" s="57" t="s">
        <v>56</v>
      </c>
      <c r="CN13" s="259">
        <v>-1.7160299999999999</v>
      </c>
      <c r="CO13" s="259">
        <v>0.33411000000000007</v>
      </c>
      <c r="CP13" s="260">
        <v>1</v>
      </c>
      <c r="DF13" s="57" t="s">
        <v>44</v>
      </c>
      <c r="DG13" s="276">
        <v>0.41580000000000006</v>
      </c>
      <c r="DH13" s="276">
        <v>0.25735000000000002</v>
      </c>
      <c r="DI13" s="279">
        <v>1</v>
      </c>
      <c r="DK13" s="57" t="s">
        <v>44</v>
      </c>
      <c r="DL13" s="184">
        <v>0.59186605717887009</v>
      </c>
      <c r="DM13" s="184">
        <v>-0.27484254626323917</v>
      </c>
      <c r="DN13" s="279">
        <v>1</v>
      </c>
    </row>
    <row r="14" spans="1:118" x14ac:dyDescent="0.3">
      <c r="A14" s="144" t="s">
        <v>22</v>
      </c>
      <c r="B14" s="57">
        <v>5</v>
      </c>
      <c r="C14" s="57">
        <v>1</v>
      </c>
      <c r="D14" s="184">
        <v>0.25347253807895676</v>
      </c>
      <c r="E14" s="184">
        <v>-0.74512044153099644</v>
      </c>
      <c r="F14" s="171">
        <v>5</v>
      </c>
      <c r="G14" s="172">
        <v>5</v>
      </c>
      <c r="H14" s="209">
        <v>0.35738000000000009</v>
      </c>
      <c r="I14" s="209">
        <v>-0.37621000000000004</v>
      </c>
      <c r="J14" s="209">
        <v>1</v>
      </c>
      <c r="K14" s="210">
        <v>3</v>
      </c>
      <c r="AB14"/>
      <c r="AC14"/>
      <c r="AD14"/>
      <c r="AE14" s="144" t="s">
        <v>55</v>
      </c>
      <c r="AF14" s="57">
        <v>1</v>
      </c>
      <c r="AG14" s="184">
        <v>-0.65128035231628534</v>
      </c>
      <c r="AH14" s="184">
        <v>-0.14495052678642351</v>
      </c>
      <c r="AI14"/>
      <c r="AJ14" s="57" t="s">
        <v>74</v>
      </c>
      <c r="AK14" s="184">
        <v>1.2630330246509991</v>
      </c>
      <c r="AL14" s="184">
        <v>-1.6117585949491351</v>
      </c>
      <c r="AM14" s="192">
        <v>2</v>
      </c>
      <c r="AN14"/>
      <c r="AO14" s="144" t="s">
        <v>22</v>
      </c>
      <c r="AP14" s="184">
        <v>0.25347253807895676</v>
      </c>
      <c r="AQ14" s="184">
        <v>-0.74512044153099644</v>
      </c>
      <c r="AR14" s="195">
        <v>5</v>
      </c>
      <c r="AS14" s="204"/>
      <c r="AT14" s="144" t="s">
        <v>38</v>
      </c>
      <c r="AU14" s="57">
        <v>2</v>
      </c>
      <c r="AV14" s="209">
        <v>-0.30683000000000005</v>
      </c>
      <c r="AW14" s="209">
        <v>-0.45441000000000004</v>
      </c>
      <c r="AX14"/>
      <c r="AY14" s="144" t="s">
        <v>36</v>
      </c>
      <c r="AZ14" s="57">
        <v>1</v>
      </c>
      <c r="BA14" s="209">
        <v>-0.33123000000000002</v>
      </c>
      <c r="BB14" s="209">
        <v>-0.37042000000000008</v>
      </c>
      <c r="BV14"/>
      <c r="BW14"/>
      <c r="BX14" s="57" t="s">
        <v>22</v>
      </c>
      <c r="BY14" s="209">
        <v>0.35738000000000009</v>
      </c>
      <c r="BZ14" s="209">
        <v>-0.37621000000000004</v>
      </c>
      <c r="CA14" s="209">
        <v>1</v>
      </c>
      <c r="CC14" s="144" t="s">
        <v>22</v>
      </c>
      <c r="CD14" s="209">
        <v>0.35738000000000009</v>
      </c>
      <c r="CE14" s="209">
        <v>-0.37621000000000004</v>
      </c>
      <c r="CF14" s="210">
        <v>3</v>
      </c>
      <c r="CH14" s="57" t="s">
        <v>57</v>
      </c>
      <c r="CI14" s="184">
        <v>-2.5785742851848039</v>
      </c>
      <c r="CJ14" s="184">
        <v>1.9739397164118095</v>
      </c>
      <c r="CK14" s="260">
        <v>1</v>
      </c>
      <c r="CM14" s="57" t="s">
        <v>57</v>
      </c>
      <c r="CN14" s="259">
        <v>-2.4865599999999999</v>
      </c>
      <c r="CO14" s="259">
        <v>-0.43007000000000006</v>
      </c>
      <c r="CP14" s="260">
        <v>1</v>
      </c>
      <c r="DF14" s="57" t="s">
        <v>46</v>
      </c>
      <c r="DG14" s="276">
        <v>-0.13754000000000002</v>
      </c>
      <c r="DH14" s="276">
        <v>0.10106000000000001</v>
      </c>
      <c r="DI14" s="279">
        <v>1</v>
      </c>
      <c r="DK14" s="57" t="s">
        <v>46</v>
      </c>
      <c r="DL14" s="184">
        <v>-4.8555712137070377E-2</v>
      </c>
      <c r="DM14" s="184">
        <v>0.21406479878870677</v>
      </c>
      <c r="DN14" s="279">
        <v>1</v>
      </c>
    </row>
    <row r="15" spans="1:118" x14ac:dyDescent="0.3">
      <c r="A15" s="144" t="s">
        <v>23</v>
      </c>
      <c r="B15" s="57">
        <v>6</v>
      </c>
      <c r="C15" s="57">
        <v>1</v>
      </c>
      <c r="D15" s="184">
        <v>-1.0337243333738841</v>
      </c>
      <c r="E15" s="184">
        <v>0.19895696132898522</v>
      </c>
      <c r="F15" s="171">
        <v>6</v>
      </c>
      <c r="G15" s="172">
        <v>4</v>
      </c>
      <c r="H15" s="209">
        <v>-0.77775000000000005</v>
      </c>
      <c r="I15" s="209">
        <v>-0.46984000000000004</v>
      </c>
      <c r="J15" s="209">
        <v>5</v>
      </c>
      <c r="K15" s="210">
        <v>2</v>
      </c>
      <c r="AB15"/>
      <c r="AC15"/>
      <c r="AD15"/>
      <c r="AE15" s="144" t="s">
        <v>90</v>
      </c>
      <c r="AF15" s="57">
        <v>1</v>
      </c>
      <c r="AG15" s="184">
        <v>-0.42598939160003141</v>
      </c>
      <c r="AH15" s="184">
        <v>-6.9064857570127342E-2</v>
      </c>
      <c r="AI15"/>
      <c r="AJ15" s="57" t="s">
        <v>87</v>
      </c>
      <c r="AK15" s="184">
        <v>1.4547738298003259</v>
      </c>
      <c r="AL15" s="184">
        <v>-0.9229060546623441</v>
      </c>
      <c r="AM15" s="192">
        <v>2</v>
      </c>
      <c r="AN15"/>
      <c r="AO15" s="144" t="s">
        <v>23</v>
      </c>
      <c r="AP15" s="184">
        <v>-1.0337243333738841</v>
      </c>
      <c r="AQ15" s="184">
        <v>0.19895696132898522</v>
      </c>
      <c r="AR15" s="195">
        <v>4</v>
      </c>
      <c r="AS15" s="204"/>
      <c r="AT15" s="144" t="s">
        <v>47</v>
      </c>
      <c r="AU15" s="57">
        <v>2</v>
      </c>
      <c r="AV15" s="209">
        <v>-0.39466000000000001</v>
      </c>
      <c r="AW15" s="209">
        <v>-0.45457000000000003</v>
      </c>
      <c r="AX15"/>
      <c r="AY15" s="144" t="s">
        <v>43</v>
      </c>
      <c r="AZ15" s="57">
        <v>1</v>
      </c>
      <c r="BA15" s="209">
        <v>-0.21897000000000003</v>
      </c>
      <c r="BB15" s="209">
        <v>-0.49012999999999995</v>
      </c>
      <c r="BV15"/>
      <c r="BW15"/>
      <c r="BX15" s="57" t="s">
        <v>23</v>
      </c>
      <c r="BY15" s="209">
        <v>-0.77775000000000005</v>
      </c>
      <c r="BZ15" s="209">
        <v>-0.46984000000000004</v>
      </c>
      <c r="CA15" s="209">
        <v>5</v>
      </c>
      <c r="CC15" s="144" t="s">
        <v>23</v>
      </c>
      <c r="CD15" s="209">
        <v>-0.77775000000000005</v>
      </c>
      <c r="CE15" s="209">
        <v>-0.46984000000000004</v>
      </c>
      <c r="CF15" s="210">
        <v>2</v>
      </c>
      <c r="CH15" s="57" t="s">
        <v>58</v>
      </c>
      <c r="CI15" s="184">
        <v>-1.2487648064820194</v>
      </c>
      <c r="CJ15" s="184">
        <v>-0.19687682640737933</v>
      </c>
      <c r="CK15" s="260">
        <v>1</v>
      </c>
      <c r="CM15" s="57" t="s">
        <v>58</v>
      </c>
      <c r="CN15" s="259">
        <v>-0.28801000000000004</v>
      </c>
      <c r="CO15" s="259">
        <v>-0.7896200000000001</v>
      </c>
      <c r="CP15" s="260">
        <v>1</v>
      </c>
      <c r="DF15" s="57" t="s">
        <v>53</v>
      </c>
      <c r="DG15" s="276">
        <v>-0.55001</v>
      </c>
      <c r="DH15" s="276">
        <v>-1.0174700000000001</v>
      </c>
      <c r="DI15" s="279">
        <v>1</v>
      </c>
      <c r="DK15" s="57" t="s">
        <v>53</v>
      </c>
      <c r="DL15" s="184">
        <v>-1.5241183555249409</v>
      </c>
      <c r="DM15" s="184">
        <v>-0.83005765926504826</v>
      </c>
      <c r="DN15" s="279">
        <v>1</v>
      </c>
    </row>
    <row r="16" spans="1:118" x14ac:dyDescent="0.3">
      <c r="A16" s="144" t="s">
        <v>24</v>
      </c>
      <c r="B16" s="57">
        <v>5</v>
      </c>
      <c r="C16" s="57">
        <v>1</v>
      </c>
      <c r="D16" s="184">
        <v>0.13029648603905444</v>
      </c>
      <c r="E16" s="184">
        <v>-0.45858727837088781</v>
      </c>
      <c r="F16" s="171">
        <v>5</v>
      </c>
      <c r="G16" s="172">
        <v>5</v>
      </c>
      <c r="H16" s="209">
        <v>0.32751000000000008</v>
      </c>
      <c r="I16" s="209">
        <v>-0.18464</v>
      </c>
      <c r="J16" s="209">
        <v>1</v>
      </c>
      <c r="K16" s="210">
        <v>3</v>
      </c>
      <c r="AB16"/>
      <c r="AC16"/>
      <c r="AD16"/>
      <c r="AE16" s="144" t="s">
        <v>23</v>
      </c>
      <c r="AF16" s="57">
        <v>1</v>
      </c>
      <c r="AG16" s="184">
        <v>-1.0337243333738841</v>
      </c>
      <c r="AH16" s="184">
        <v>0.19895696132898522</v>
      </c>
      <c r="AI16"/>
      <c r="AJ16" s="57" t="s">
        <v>91</v>
      </c>
      <c r="AK16" s="184">
        <v>1.207500458842643</v>
      </c>
      <c r="AL16" s="184">
        <v>-2.7419796543657977</v>
      </c>
      <c r="AM16" s="192">
        <v>2</v>
      </c>
      <c r="AN16"/>
      <c r="AO16" s="144" t="s">
        <v>24</v>
      </c>
      <c r="AP16" s="184">
        <v>0.13029648603905444</v>
      </c>
      <c r="AQ16" s="184">
        <v>-0.45858727837088781</v>
      </c>
      <c r="AR16" s="195">
        <v>5</v>
      </c>
      <c r="AS16" s="204"/>
      <c r="AT16" s="144" t="s">
        <v>48</v>
      </c>
      <c r="AU16" s="57">
        <v>2</v>
      </c>
      <c r="AV16" s="209">
        <v>-0.48174</v>
      </c>
      <c r="AW16" s="209">
        <v>-0.21878000000000003</v>
      </c>
      <c r="AX16"/>
      <c r="AY16" s="144" t="s">
        <v>44</v>
      </c>
      <c r="AZ16" s="57">
        <v>1</v>
      </c>
      <c r="BA16" s="209">
        <v>0.41580000000000006</v>
      </c>
      <c r="BB16" s="209">
        <v>0.25735000000000002</v>
      </c>
      <c r="BV16"/>
      <c r="BW16"/>
      <c r="BX16" s="57" t="s">
        <v>24</v>
      </c>
      <c r="BY16" s="209">
        <v>0.32751000000000008</v>
      </c>
      <c r="BZ16" s="209">
        <v>-0.18464</v>
      </c>
      <c r="CA16" s="209">
        <v>1</v>
      </c>
      <c r="CC16" s="144" t="s">
        <v>24</v>
      </c>
      <c r="CD16" s="209">
        <v>0.32751000000000008</v>
      </c>
      <c r="CE16" s="209">
        <v>-0.18464</v>
      </c>
      <c r="CF16" s="210">
        <v>3</v>
      </c>
      <c r="CH16" s="57" t="s">
        <v>61</v>
      </c>
      <c r="CI16" s="184">
        <v>-0.82072510041306823</v>
      </c>
      <c r="CJ16" s="184">
        <v>1.0096285474269118</v>
      </c>
      <c r="CK16" s="260">
        <v>1</v>
      </c>
      <c r="CM16" s="57" t="s">
        <v>61</v>
      </c>
      <c r="CN16" s="259">
        <v>-1.3916299999999999</v>
      </c>
      <c r="CO16" s="259">
        <v>0.14761000000000002</v>
      </c>
      <c r="CP16" s="260">
        <v>1</v>
      </c>
      <c r="DF16" s="57" t="s">
        <v>58</v>
      </c>
      <c r="DG16" s="276">
        <v>-0.28801000000000004</v>
      </c>
      <c r="DH16" s="276">
        <v>-0.7896200000000001</v>
      </c>
      <c r="DI16" s="279">
        <v>1</v>
      </c>
      <c r="DK16" s="57" t="s">
        <v>58</v>
      </c>
      <c r="DL16" s="184">
        <v>-1.2487648064820194</v>
      </c>
      <c r="DM16" s="184">
        <v>-0.19687682640737933</v>
      </c>
      <c r="DN16" s="279">
        <v>1</v>
      </c>
    </row>
    <row r="17" spans="1:118" x14ac:dyDescent="0.3">
      <c r="A17" s="144" t="s">
        <v>25</v>
      </c>
      <c r="B17" s="57">
        <v>2</v>
      </c>
      <c r="C17" s="57">
        <v>2</v>
      </c>
      <c r="D17" s="184">
        <v>-1.1236311727474124</v>
      </c>
      <c r="E17" s="184">
        <v>0.7756887293156608</v>
      </c>
      <c r="F17" s="171">
        <v>6</v>
      </c>
      <c r="G17" s="172">
        <v>6</v>
      </c>
      <c r="H17" s="209">
        <v>-1.2376800000000001</v>
      </c>
      <c r="I17" s="209">
        <v>-0.23866000000000001</v>
      </c>
      <c r="J17" s="209">
        <v>3</v>
      </c>
      <c r="K17" s="210">
        <v>2</v>
      </c>
      <c r="AB17"/>
      <c r="AC17"/>
      <c r="AD17"/>
      <c r="AE17" s="144" t="s">
        <v>44</v>
      </c>
      <c r="AF17" s="57">
        <v>1</v>
      </c>
      <c r="AG17" s="184">
        <v>0.59186605717887009</v>
      </c>
      <c r="AH17" s="184">
        <v>-0.27484254626323917</v>
      </c>
      <c r="AI17"/>
      <c r="AJ17" s="57" t="s">
        <v>92</v>
      </c>
      <c r="AK17" s="184">
        <v>1.8519577028092515</v>
      </c>
      <c r="AL17" s="184">
        <v>-1.5444107482984073</v>
      </c>
      <c r="AM17" s="192">
        <v>2</v>
      </c>
      <c r="AN17"/>
      <c r="AO17" s="144" t="s">
        <v>25</v>
      </c>
      <c r="AP17" s="184">
        <v>-1.1236311727474124</v>
      </c>
      <c r="AQ17" s="184">
        <v>0.7756887293156608</v>
      </c>
      <c r="AR17" s="195">
        <v>6</v>
      </c>
      <c r="AS17" s="204"/>
      <c r="AT17" s="144" t="s">
        <v>52</v>
      </c>
      <c r="AU17" s="57">
        <v>2</v>
      </c>
      <c r="AV17" s="209">
        <v>-0.76722000000000001</v>
      </c>
      <c r="AW17" s="209">
        <v>-0.45534000000000002</v>
      </c>
      <c r="AX17"/>
      <c r="AY17" s="144" t="s">
        <v>45</v>
      </c>
      <c r="AZ17" s="57">
        <v>1</v>
      </c>
      <c r="BA17" s="209">
        <v>-3.7600000000000001E-2</v>
      </c>
      <c r="BB17" s="209">
        <v>-6.7860000000000004E-2</v>
      </c>
      <c r="BV17"/>
      <c r="BW17"/>
      <c r="BX17" s="57" t="s">
        <v>25</v>
      </c>
      <c r="BY17" s="209">
        <v>-1.2376800000000001</v>
      </c>
      <c r="BZ17" s="209">
        <v>-0.23866000000000001</v>
      </c>
      <c r="CA17" s="209">
        <v>3</v>
      </c>
      <c r="CC17" s="144" t="s">
        <v>25</v>
      </c>
      <c r="CD17" s="209">
        <v>-1.2376800000000001</v>
      </c>
      <c r="CE17" s="209">
        <v>-0.23866000000000001</v>
      </c>
      <c r="CF17" s="210">
        <v>2</v>
      </c>
      <c r="CH17" s="57" t="s">
        <v>62</v>
      </c>
      <c r="CI17" s="184">
        <v>-1.0254524028729568</v>
      </c>
      <c r="CJ17" s="184">
        <v>-0.28548174574471535</v>
      </c>
      <c r="CK17" s="260">
        <v>1</v>
      </c>
      <c r="CM17" s="57" t="s">
        <v>62</v>
      </c>
      <c r="CN17" s="259">
        <v>-0.53047999999999995</v>
      </c>
      <c r="CO17" s="259">
        <v>-0.73325000000000007</v>
      </c>
      <c r="CP17" s="260">
        <v>1</v>
      </c>
      <c r="DF17" s="57" t="s">
        <v>60</v>
      </c>
      <c r="DG17" s="276">
        <v>1.02027</v>
      </c>
      <c r="DH17" s="276">
        <v>-0.52498</v>
      </c>
      <c r="DI17" s="279">
        <v>1</v>
      </c>
      <c r="DK17" s="57" t="s">
        <v>60</v>
      </c>
      <c r="DL17" s="184">
        <v>0.32014076197858876</v>
      </c>
      <c r="DM17" s="184">
        <v>-1.1190718715909549</v>
      </c>
      <c r="DN17" s="279">
        <v>1</v>
      </c>
    </row>
    <row r="18" spans="1:118" x14ac:dyDescent="0.3">
      <c r="A18" s="144" t="s">
        <v>26</v>
      </c>
      <c r="B18" s="57">
        <v>6</v>
      </c>
      <c r="C18" s="57">
        <v>3</v>
      </c>
      <c r="D18" s="184">
        <v>-0.82992785060055119</v>
      </c>
      <c r="E18" s="184">
        <v>-0.72568069932029255</v>
      </c>
      <c r="F18" s="171">
        <v>1</v>
      </c>
      <c r="G18" s="172">
        <v>4</v>
      </c>
      <c r="H18" s="209">
        <v>-0.12827</v>
      </c>
      <c r="I18" s="209">
        <v>-0.65498000000000012</v>
      </c>
      <c r="J18" s="209">
        <v>5</v>
      </c>
      <c r="K18" s="210">
        <v>3</v>
      </c>
      <c r="AB18"/>
      <c r="AC18"/>
      <c r="AD18"/>
      <c r="AE18" s="144" t="s">
        <v>11</v>
      </c>
      <c r="AF18" s="57">
        <v>1</v>
      </c>
      <c r="AG18" s="184">
        <v>-0.13614383828314655</v>
      </c>
      <c r="AH18" s="184">
        <v>-1.0318367031366553</v>
      </c>
      <c r="AI18"/>
      <c r="AJ18" s="57" t="s">
        <v>20</v>
      </c>
      <c r="AK18" s="184">
        <v>3.8561089628134808</v>
      </c>
      <c r="AL18" s="184">
        <v>2.4828261942325693</v>
      </c>
      <c r="AM18" s="192">
        <v>3</v>
      </c>
      <c r="AN18"/>
      <c r="AO18" s="144" t="s">
        <v>26</v>
      </c>
      <c r="AP18" s="184">
        <v>-0.82992785060055119</v>
      </c>
      <c r="AQ18" s="184">
        <v>-0.72568069932029255</v>
      </c>
      <c r="AR18" s="195">
        <v>4</v>
      </c>
      <c r="AS18" s="204"/>
      <c r="AT18" s="144" t="s">
        <v>56</v>
      </c>
      <c r="AU18" s="57">
        <v>2</v>
      </c>
      <c r="AV18" s="209">
        <v>-1.7160299999999999</v>
      </c>
      <c r="AW18" s="209">
        <v>0.33411000000000007</v>
      </c>
      <c r="AX18"/>
      <c r="AY18" s="144" t="s">
        <v>46</v>
      </c>
      <c r="AZ18" s="57">
        <v>1</v>
      </c>
      <c r="BA18" s="209">
        <v>-0.13754000000000002</v>
      </c>
      <c r="BB18" s="209">
        <v>0.10106000000000001</v>
      </c>
      <c r="BV18"/>
      <c r="BW18"/>
      <c r="BX18" s="57" t="s">
        <v>26</v>
      </c>
      <c r="BY18" s="209">
        <v>-0.12827</v>
      </c>
      <c r="BZ18" s="209">
        <v>-0.65498000000000012</v>
      </c>
      <c r="CA18" s="209">
        <v>5</v>
      </c>
      <c r="CC18" s="144" t="s">
        <v>26</v>
      </c>
      <c r="CD18" s="209">
        <v>-0.12827</v>
      </c>
      <c r="CE18" s="209">
        <v>-0.65498000000000012</v>
      </c>
      <c r="CF18" s="210">
        <v>3</v>
      </c>
      <c r="CH18" s="57" t="s">
        <v>63</v>
      </c>
      <c r="CI18" s="184">
        <v>-0.76122623184126581</v>
      </c>
      <c r="CJ18" s="184">
        <v>0.47200246922534045</v>
      </c>
      <c r="CK18" s="260">
        <v>1</v>
      </c>
      <c r="CM18" s="57" t="s">
        <v>63</v>
      </c>
      <c r="CN18" s="259">
        <v>-0.68134000000000006</v>
      </c>
      <c r="CO18" s="259">
        <v>-0.15080000000000002</v>
      </c>
      <c r="CP18" s="260">
        <v>1</v>
      </c>
      <c r="DF18" s="57" t="s">
        <v>73</v>
      </c>
      <c r="DG18" s="276">
        <v>-0.38332000000000011</v>
      </c>
      <c r="DH18" s="276">
        <v>0.13881000000000002</v>
      </c>
      <c r="DI18" s="266">
        <v>1</v>
      </c>
      <c r="DK18" s="57" t="s">
        <v>73</v>
      </c>
      <c r="DL18" s="184">
        <v>-0.20559813238350497</v>
      </c>
      <c r="DM18" s="184">
        <v>0.24229698766122199</v>
      </c>
      <c r="DN18" s="266">
        <v>1</v>
      </c>
    </row>
    <row r="19" spans="1:118" x14ac:dyDescent="0.3">
      <c r="A19" s="144" t="s">
        <v>27</v>
      </c>
      <c r="B19" s="57">
        <v>5</v>
      </c>
      <c r="C19" s="57">
        <v>1</v>
      </c>
      <c r="D19" s="184">
        <v>5.6630355757247952E-2</v>
      </c>
      <c r="E19" s="184">
        <v>0.11045861529005846</v>
      </c>
      <c r="F19" s="171">
        <v>4</v>
      </c>
      <c r="G19" s="172">
        <v>3</v>
      </c>
      <c r="H19" s="209">
        <v>-3.0219999999999997E-2</v>
      </c>
      <c r="I19" s="209">
        <v>-3.8620000000000002E-2</v>
      </c>
      <c r="J19" s="209">
        <v>6</v>
      </c>
      <c r="K19" s="210">
        <v>1</v>
      </c>
      <c r="AB19"/>
      <c r="AC19"/>
      <c r="AD19"/>
      <c r="AE19" s="144" t="s">
        <v>12</v>
      </c>
      <c r="AF19" s="57">
        <v>1</v>
      </c>
      <c r="AG19" s="184">
        <v>0.235397700053699</v>
      </c>
      <c r="AH19" s="184">
        <v>-0.7437048566733222</v>
      </c>
      <c r="AI19"/>
      <c r="AJ19" s="57" t="s">
        <v>33</v>
      </c>
      <c r="AK19" s="184">
        <v>0.99117733961336074</v>
      </c>
      <c r="AL19" s="184">
        <v>2.0882362408117401</v>
      </c>
      <c r="AM19" s="192">
        <v>3</v>
      </c>
      <c r="AN19"/>
      <c r="AO19" s="144" t="s">
        <v>27</v>
      </c>
      <c r="AP19" s="184">
        <v>5.6630355757248001E-2</v>
      </c>
      <c r="AQ19" s="184">
        <v>0.11045861529005846</v>
      </c>
      <c r="AR19" s="195">
        <v>3</v>
      </c>
      <c r="AS19" s="204"/>
      <c r="AT19" s="144" t="s">
        <v>61</v>
      </c>
      <c r="AU19" s="57">
        <v>2</v>
      </c>
      <c r="AV19" s="209">
        <v>-1.3916299999999999</v>
      </c>
      <c r="AW19" s="209">
        <v>0.14761000000000002</v>
      </c>
      <c r="AX19"/>
      <c r="AY19" s="144" t="s">
        <v>49</v>
      </c>
      <c r="AZ19" s="57">
        <v>1</v>
      </c>
      <c r="BA19" s="209">
        <v>5.679E-2</v>
      </c>
      <c r="BB19" s="209">
        <v>0.35210000000000002</v>
      </c>
      <c r="BV19"/>
      <c r="BW19"/>
      <c r="BX19" s="57" t="s">
        <v>27</v>
      </c>
      <c r="BY19" s="209">
        <v>-3.0219999999999997E-2</v>
      </c>
      <c r="BZ19" s="209">
        <v>-3.8620000000000002E-2</v>
      </c>
      <c r="CA19" s="209">
        <v>6</v>
      </c>
      <c r="CC19" s="144" t="s">
        <v>27</v>
      </c>
      <c r="CD19" s="209">
        <v>-3.0219999999999997E-2</v>
      </c>
      <c r="CE19" s="209">
        <v>-3.8620000000000002E-2</v>
      </c>
      <c r="CF19" s="210">
        <v>1</v>
      </c>
      <c r="CH19" s="57" t="s">
        <v>65</v>
      </c>
      <c r="CI19" s="184">
        <v>-0.9378004994331991</v>
      </c>
      <c r="CJ19" s="184">
        <v>0.17086698406252218</v>
      </c>
      <c r="CK19" s="260">
        <v>1</v>
      </c>
      <c r="CM19" s="57" t="s">
        <v>65</v>
      </c>
      <c r="CN19" s="259">
        <v>-0.77271000000000001</v>
      </c>
      <c r="CO19" s="259">
        <v>-0.41152000000000005</v>
      </c>
      <c r="CP19" s="260">
        <v>1</v>
      </c>
      <c r="DF19" s="57" t="s">
        <v>75</v>
      </c>
      <c r="DG19" s="276">
        <v>0.39494000000000001</v>
      </c>
      <c r="DH19" s="276">
        <v>0.85702000000000012</v>
      </c>
      <c r="DI19" s="266">
        <v>1</v>
      </c>
      <c r="DK19" s="57" t="s">
        <v>75</v>
      </c>
      <c r="DL19" s="184">
        <v>1.1610158884903476</v>
      </c>
      <c r="DM19" s="184">
        <v>0.21047329433474243</v>
      </c>
      <c r="DN19" s="266">
        <v>1</v>
      </c>
    </row>
    <row r="20" spans="1:118" x14ac:dyDescent="0.3">
      <c r="A20" s="144" t="s">
        <v>28</v>
      </c>
      <c r="B20" s="57">
        <v>1</v>
      </c>
      <c r="C20" s="57">
        <v>6</v>
      </c>
      <c r="D20" s="184">
        <v>0.83515241087902459</v>
      </c>
      <c r="E20" s="184">
        <v>-2.0048492791874573</v>
      </c>
      <c r="F20" s="171">
        <v>2</v>
      </c>
      <c r="G20" s="172">
        <v>2</v>
      </c>
      <c r="H20" s="209">
        <v>1.7328400000000002</v>
      </c>
      <c r="I20" s="209">
        <v>-0.8220400000000001</v>
      </c>
      <c r="J20" s="209">
        <v>4</v>
      </c>
      <c r="K20" s="210">
        <v>4</v>
      </c>
      <c r="AB20"/>
      <c r="AC20"/>
      <c r="AD20"/>
      <c r="AE20" s="144" t="s">
        <v>16</v>
      </c>
      <c r="AF20" s="57">
        <v>1</v>
      </c>
      <c r="AG20" s="184">
        <v>-0.12373275751270651</v>
      </c>
      <c r="AH20" s="184">
        <v>-0.37419270560537177</v>
      </c>
      <c r="AI20"/>
      <c r="AJ20" s="57" t="s">
        <v>40</v>
      </c>
      <c r="AK20" s="184">
        <v>3.2488353767908791</v>
      </c>
      <c r="AL20" s="184">
        <v>2.4658023062022982</v>
      </c>
      <c r="AM20" s="192">
        <v>3</v>
      </c>
      <c r="AN20"/>
      <c r="AO20" s="144" t="s">
        <v>28</v>
      </c>
      <c r="AP20" s="184">
        <v>0.83515241087902459</v>
      </c>
      <c r="AQ20" s="184">
        <v>-2.0048492791874573</v>
      </c>
      <c r="AR20" s="195">
        <v>2</v>
      </c>
      <c r="AS20" s="204"/>
      <c r="AT20" s="144" t="s">
        <v>63</v>
      </c>
      <c r="AU20" s="57">
        <v>2</v>
      </c>
      <c r="AV20" s="209">
        <v>-0.68134000000000006</v>
      </c>
      <c r="AW20" s="209">
        <v>-0.15080000000000002</v>
      </c>
      <c r="AX20"/>
      <c r="AY20" s="144" t="s">
        <v>50</v>
      </c>
      <c r="AZ20" s="57">
        <v>1</v>
      </c>
      <c r="BA20" s="209">
        <v>0.33506000000000008</v>
      </c>
      <c r="BB20" s="209">
        <v>0.61020000000000008</v>
      </c>
      <c r="BV20"/>
      <c r="BW20"/>
      <c r="BX20" s="57" t="s">
        <v>28</v>
      </c>
      <c r="BY20" s="209">
        <v>1.7328400000000002</v>
      </c>
      <c r="BZ20" s="209">
        <v>-0.8220400000000001</v>
      </c>
      <c r="CA20" s="209">
        <v>4</v>
      </c>
      <c r="CC20" s="144" t="s">
        <v>28</v>
      </c>
      <c r="CD20" s="209">
        <v>1.7328400000000002</v>
      </c>
      <c r="CE20" s="209">
        <v>-0.8220400000000001</v>
      </c>
      <c r="CF20" s="210">
        <v>4</v>
      </c>
      <c r="CH20" s="57" t="s">
        <v>67</v>
      </c>
      <c r="CI20" s="184">
        <v>-1.4139507965015217</v>
      </c>
      <c r="CJ20" s="184">
        <v>-0.29572258336795737</v>
      </c>
      <c r="CK20" s="260">
        <v>1</v>
      </c>
      <c r="CM20" s="57" t="s">
        <v>67</v>
      </c>
      <c r="CN20" s="259">
        <v>-0.27686000000000005</v>
      </c>
      <c r="CO20" s="259">
        <v>-0.86673000000000011</v>
      </c>
      <c r="CP20" s="260">
        <v>1</v>
      </c>
      <c r="DF20" s="57" t="s">
        <v>77</v>
      </c>
      <c r="DG20" s="276">
        <v>-0.20149000000000003</v>
      </c>
      <c r="DH20" s="276">
        <v>-0.30217000000000005</v>
      </c>
      <c r="DI20" s="279">
        <v>1</v>
      </c>
      <c r="DK20" s="57" t="s">
        <v>77</v>
      </c>
      <c r="DL20" s="184">
        <v>-0.2674957311388067</v>
      </c>
      <c r="DM20" s="184">
        <v>-0.27727710951001838</v>
      </c>
      <c r="DN20" s="279">
        <v>1</v>
      </c>
    </row>
    <row r="21" spans="1:118" x14ac:dyDescent="0.3">
      <c r="A21" s="144" t="s">
        <v>29</v>
      </c>
      <c r="B21" s="57">
        <v>2</v>
      </c>
      <c r="C21" s="57">
        <v>2</v>
      </c>
      <c r="D21" s="184">
        <v>-0.95306631457546787</v>
      </c>
      <c r="E21" s="184">
        <v>0.19932319917675709</v>
      </c>
      <c r="F21" s="171">
        <v>6</v>
      </c>
      <c r="G21" s="172">
        <v>4</v>
      </c>
      <c r="H21" s="209">
        <v>-0.88119999999999998</v>
      </c>
      <c r="I21" s="209">
        <v>-0.50312000000000001</v>
      </c>
      <c r="J21" s="209">
        <v>5</v>
      </c>
      <c r="K21" s="210">
        <v>2</v>
      </c>
      <c r="AB21"/>
      <c r="AC21"/>
      <c r="AD21"/>
      <c r="AE21" s="144" t="s">
        <v>22</v>
      </c>
      <c r="AF21" s="57">
        <v>1</v>
      </c>
      <c r="AG21" s="184">
        <v>0.25347253807895676</v>
      </c>
      <c r="AH21" s="184">
        <v>-0.74512044153099644</v>
      </c>
      <c r="AI21"/>
      <c r="AJ21" s="57" t="s">
        <v>66</v>
      </c>
      <c r="AK21" s="184">
        <v>1.4341881059576949</v>
      </c>
      <c r="AL21" s="184">
        <v>2.161038063750881</v>
      </c>
      <c r="AM21" s="192">
        <v>3</v>
      </c>
      <c r="AN21"/>
      <c r="AO21" s="144" t="s">
        <v>29</v>
      </c>
      <c r="AP21" s="184">
        <v>-0.95306631457546787</v>
      </c>
      <c r="AQ21" s="184">
        <v>0.19932319917675709</v>
      </c>
      <c r="AR21" s="195">
        <v>4</v>
      </c>
      <c r="AS21" s="204"/>
      <c r="AT21" s="144" t="s">
        <v>65</v>
      </c>
      <c r="AU21" s="57">
        <v>2</v>
      </c>
      <c r="AV21" s="209">
        <v>-0.77271000000000001</v>
      </c>
      <c r="AW21" s="209">
        <v>-0.41152000000000005</v>
      </c>
      <c r="AX21"/>
      <c r="AY21" s="144" t="s">
        <v>55</v>
      </c>
      <c r="AZ21" s="57">
        <v>1</v>
      </c>
      <c r="BA21" s="209">
        <v>-0.30474000000000001</v>
      </c>
      <c r="BB21" s="209">
        <v>-0.48752000000000006</v>
      </c>
      <c r="BV21"/>
      <c r="BW21"/>
      <c r="BX21" s="57" t="s">
        <v>29</v>
      </c>
      <c r="BY21" s="209">
        <v>-0.88119999999999998</v>
      </c>
      <c r="BZ21" s="209">
        <v>-0.50312000000000001</v>
      </c>
      <c r="CA21" s="209">
        <v>5</v>
      </c>
      <c r="CC21" s="144" t="s">
        <v>29</v>
      </c>
      <c r="CD21" s="209">
        <v>-0.88119999999999998</v>
      </c>
      <c r="CE21" s="209">
        <v>-0.50312000000000001</v>
      </c>
      <c r="CF21" s="210">
        <v>2</v>
      </c>
      <c r="CH21" s="57" t="s">
        <v>70</v>
      </c>
      <c r="CI21" s="184">
        <v>-0.33210730506777397</v>
      </c>
      <c r="CJ21" s="184">
        <v>0.12552322826749052</v>
      </c>
      <c r="CK21" s="260">
        <v>1</v>
      </c>
      <c r="CM21" s="57" t="s">
        <v>70</v>
      </c>
      <c r="CN21" s="259">
        <v>-0.26587000000000005</v>
      </c>
      <c r="CO21" s="259">
        <v>-0.19420000000000001</v>
      </c>
      <c r="CP21" s="260">
        <v>1</v>
      </c>
      <c r="DF21" s="57" t="s">
        <v>81</v>
      </c>
      <c r="DG21" s="276">
        <v>0.28377000000000002</v>
      </c>
      <c r="DH21" s="276">
        <v>-0.29338000000000009</v>
      </c>
      <c r="DI21" s="279">
        <v>1</v>
      </c>
      <c r="DK21" s="57" t="s">
        <v>81</v>
      </c>
      <c r="DL21" s="184">
        <v>0.22775094727323869</v>
      </c>
      <c r="DM21" s="184">
        <v>-0.69642572319985852</v>
      </c>
      <c r="DN21" s="279">
        <v>1</v>
      </c>
    </row>
    <row r="22" spans="1:118" x14ac:dyDescent="0.3">
      <c r="A22" s="144" t="s">
        <v>30</v>
      </c>
      <c r="B22" s="57">
        <v>4</v>
      </c>
      <c r="C22" s="57">
        <v>2</v>
      </c>
      <c r="D22" s="184">
        <v>2.1114207833418847E-2</v>
      </c>
      <c r="E22" s="184">
        <v>0.33185936800214466</v>
      </c>
      <c r="F22" s="171">
        <v>4</v>
      </c>
      <c r="G22" s="172">
        <v>3</v>
      </c>
      <c r="H22" s="209">
        <v>-0.10676000000000002</v>
      </c>
      <c r="I22" s="209">
        <v>0.21414000000000002</v>
      </c>
      <c r="J22" s="209">
        <v>6</v>
      </c>
      <c r="K22" s="210">
        <v>1</v>
      </c>
      <c r="AB22"/>
      <c r="AC22"/>
      <c r="AD22"/>
      <c r="AE22" s="144" t="s">
        <v>24</v>
      </c>
      <c r="AF22" s="57">
        <v>1</v>
      </c>
      <c r="AG22" s="184">
        <v>0.13029648603905444</v>
      </c>
      <c r="AH22" s="184">
        <v>-0.45858727837088781</v>
      </c>
      <c r="AI22"/>
      <c r="AJ22" s="57" t="s">
        <v>10</v>
      </c>
      <c r="AK22" s="184">
        <v>0.31487910497791727</v>
      </c>
      <c r="AL22" s="184">
        <v>0.27717479857018701</v>
      </c>
      <c r="AM22" s="192">
        <v>4</v>
      </c>
      <c r="AN22"/>
      <c r="AO22" s="144" t="s">
        <v>30</v>
      </c>
      <c r="AP22" s="184">
        <v>2.1114207833418847E-2</v>
      </c>
      <c r="AQ22" s="184">
        <v>0.33185936800214466</v>
      </c>
      <c r="AR22" s="195">
        <v>3</v>
      </c>
      <c r="AS22" s="204"/>
      <c r="AT22" s="144" t="s">
        <v>70</v>
      </c>
      <c r="AU22" s="57">
        <v>2</v>
      </c>
      <c r="AV22" s="209">
        <v>-0.26587000000000005</v>
      </c>
      <c r="AW22" s="209">
        <v>-0.19420000000000001</v>
      </c>
      <c r="AX22"/>
      <c r="AY22" s="144" t="s">
        <v>60</v>
      </c>
      <c r="AZ22" s="57">
        <v>1</v>
      </c>
      <c r="BA22" s="209">
        <v>1.02027</v>
      </c>
      <c r="BB22" s="209">
        <v>-0.52498</v>
      </c>
      <c r="BV22"/>
      <c r="BW22"/>
      <c r="BX22" s="57" t="s">
        <v>30</v>
      </c>
      <c r="BY22" s="209">
        <v>-0.10676000000000002</v>
      </c>
      <c r="BZ22" s="209">
        <v>0.21414000000000002</v>
      </c>
      <c r="CA22" s="209">
        <v>6</v>
      </c>
      <c r="CC22" s="144" t="s">
        <v>30</v>
      </c>
      <c r="CD22" s="209">
        <v>-0.10676000000000002</v>
      </c>
      <c r="CE22" s="209">
        <v>0.21414000000000002</v>
      </c>
      <c r="CF22" s="210">
        <v>1</v>
      </c>
      <c r="CH22" s="57" t="s">
        <v>73</v>
      </c>
      <c r="CI22" s="184">
        <v>-0.20559813238350497</v>
      </c>
      <c r="CJ22" s="184">
        <v>0.24229698766122199</v>
      </c>
      <c r="CK22" s="260">
        <v>1</v>
      </c>
      <c r="CM22" s="57" t="s">
        <v>73</v>
      </c>
      <c r="CN22" s="259">
        <v>-0.38332000000000011</v>
      </c>
      <c r="CO22" s="259">
        <v>0.13881000000000002</v>
      </c>
      <c r="CP22" s="260">
        <v>1</v>
      </c>
      <c r="DF22" s="57" t="s">
        <v>84</v>
      </c>
      <c r="DG22" s="276">
        <v>3.0859999999999999E-2</v>
      </c>
      <c r="DH22" s="276">
        <v>-0.26472999999999997</v>
      </c>
      <c r="DI22" s="279">
        <v>1</v>
      </c>
      <c r="DK22" s="57" t="s">
        <v>84</v>
      </c>
      <c r="DL22" s="184">
        <v>-0.16351862231155986</v>
      </c>
      <c r="DM22" s="184">
        <v>-0.23159466896528591</v>
      </c>
      <c r="DN22" s="279">
        <v>1</v>
      </c>
    </row>
    <row r="23" spans="1:118" x14ac:dyDescent="0.3">
      <c r="A23" s="144" t="s">
        <v>31</v>
      </c>
      <c r="B23" s="57">
        <v>6</v>
      </c>
      <c r="C23" s="57">
        <v>1</v>
      </c>
      <c r="D23" s="184">
        <v>-0.83243682646702744</v>
      </c>
      <c r="E23" s="184">
        <v>-0.37899252472610234</v>
      </c>
      <c r="F23" s="171">
        <v>1</v>
      </c>
      <c r="G23" s="172">
        <v>4</v>
      </c>
      <c r="H23" s="209">
        <v>-0.26874999999999999</v>
      </c>
      <c r="I23" s="209">
        <v>-0.66684000000000021</v>
      </c>
      <c r="J23" s="209">
        <v>5</v>
      </c>
      <c r="K23" s="210">
        <v>3</v>
      </c>
      <c r="AB23"/>
      <c r="AC23"/>
      <c r="AD23"/>
      <c r="AE23" s="144" t="s">
        <v>32</v>
      </c>
      <c r="AF23" s="57">
        <v>1</v>
      </c>
      <c r="AG23" s="184">
        <v>-0.53732615886278245</v>
      </c>
      <c r="AH23" s="184">
        <v>-0.70069206906462911</v>
      </c>
      <c r="AI23"/>
      <c r="AJ23" s="57" t="s">
        <v>14</v>
      </c>
      <c r="AK23" s="184">
        <v>-0.24660909801096273</v>
      </c>
      <c r="AL23" s="184">
        <v>0.55887832602816589</v>
      </c>
      <c r="AM23" s="192">
        <v>4</v>
      </c>
      <c r="AN23"/>
      <c r="AO23" s="144" t="s">
        <v>31</v>
      </c>
      <c r="AP23" s="184">
        <v>-0.83243682646702744</v>
      </c>
      <c r="AQ23" s="184">
        <v>-0.37899252472610234</v>
      </c>
      <c r="AR23" s="195">
        <v>4</v>
      </c>
      <c r="AS23" s="204"/>
      <c r="AT23" s="144" t="s">
        <v>76</v>
      </c>
      <c r="AU23" s="57">
        <v>2</v>
      </c>
      <c r="AV23" s="209">
        <v>-1.3698000000000001</v>
      </c>
      <c r="AW23" s="209">
        <v>-0.22654000000000002</v>
      </c>
      <c r="AX23"/>
      <c r="AY23" s="144" t="s">
        <v>75</v>
      </c>
      <c r="AZ23" s="57">
        <v>1</v>
      </c>
      <c r="BA23" s="209">
        <v>0.39494000000000001</v>
      </c>
      <c r="BB23" s="209">
        <v>0.85702000000000012</v>
      </c>
      <c r="BV23"/>
      <c r="BW23"/>
      <c r="BX23" s="57" t="s">
        <v>31</v>
      </c>
      <c r="BY23" s="209">
        <v>-0.26874999999999999</v>
      </c>
      <c r="BZ23" s="209">
        <v>-0.66684000000000021</v>
      </c>
      <c r="CA23" s="209">
        <v>5</v>
      </c>
      <c r="CC23" s="144" t="s">
        <v>31</v>
      </c>
      <c r="CD23" s="209">
        <v>-0.26874999999999999</v>
      </c>
      <c r="CE23" s="209">
        <v>-0.66684000000000021</v>
      </c>
      <c r="CF23" s="210">
        <v>3</v>
      </c>
      <c r="CH23" s="57" t="s">
        <v>76</v>
      </c>
      <c r="CI23" s="184">
        <v>-0.91516875736297776</v>
      </c>
      <c r="CJ23" s="184">
        <v>0.81195283894267822</v>
      </c>
      <c r="CK23" s="260">
        <v>1</v>
      </c>
      <c r="CM23" s="57" t="s">
        <v>76</v>
      </c>
      <c r="CN23" s="259">
        <v>-1.3698000000000001</v>
      </c>
      <c r="CO23" s="259">
        <v>-0.22654000000000002</v>
      </c>
      <c r="CP23" s="260">
        <v>1</v>
      </c>
      <c r="DF23" s="57" t="s">
        <v>86</v>
      </c>
      <c r="DG23" s="276">
        <v>0.65083000000000013</v>
      </c>
      <c r="DH23" s="276">
        <v>-0.24948000000000004</v>
      </c>
      <c r="DI23" s="266">
        <v>1</v>
      </c>
      <c r="DK23" s="57" t="s">
        <v>86</v>
      </c>
      <c r="DL23" s="184">
        <v>0.54814525741938513</v>
      </c>
      <c r="DM23" s="184">
        <v>-0.732693321291644</v>
      </c>
      <c r="DN23" s="266">
        <v>1</v>
      </c>
    </row>
    <row r="24" spans="1:118" x14ac:dyDescent="0.3">
      <c r="A24" s="144" t="s">
        <v>32</v>
      </c>
      <c r="B24" s="57">
        <v>5</v>
      </c>
      <c r="C24" s="57">
        <v>1</v>
      </c>
      <c r="D24" s="184">
        <v>-0.53732615886278245</v>
      </c>
      <c r="E24" s="184">
        <v>-0.70069206906462911</v>
      </c>
      <c r="F24" s="171">
        <v>5</v>
      </c>
      <c r="G24" s="172">
        <v>5</v>
      </c>
      <c r="H24" s="209">
        <v>-0.23275000000000001</v>
      </c>
      <c r="I24" s="209">
        <v>-0.75420000000000009</v>
      </c>
      <c r="J24" s="209">
        <v>5</v>
      </c>
      <c r="K24" s="210">
        <v>3</v>
      </c>
      <c r="AB24"/>
      <c r="AC24"/>
      <c r="AD24"/>
      <c r="AE24" s="144" t="s">
        <v>35</v>
      </c>
      <c r="AF24" s="57">
        <v>1</v>
      </c>
      <c r="AG24" s="184">
        <v>-5.9127238767861384E-2</v>
      </c>
      <c r="AH24" s="184">
        <v>-0.49287047364693615</v>
      </c>
      <c r="AI24"/>
      <c r="AJ24" s="57" t="s">
        <v>17</v>
      </c>
      <c r="AK24" s="184">
        <v>0.54956734188769396</v>
      </c>
      <c r="AL24" s="184">
        <v>1.345013006803121</v>
      </c>
      <c r="AM24" s="192">
        <v>4</v>
      </c>
      <c r="AN24"/>
      <c r="AO24" s="144" t="s">
        <v>32</v>
      </c>
      <c r="AP24" s="184">
        <v>-0.53732615886278245</v>
      </c>
      <c r="AQ24" s="184">
        <v>-0.70069206906462911</v>
      </c>
      <c r="AR24" s="195">
        <v>5</v>
      </c>
      <c r="AS24" s="204"/>
      <c r="AT24" s="144" t="s">
        <v>79</v>
      </c>
      <c r="AU24" s="57">
        <v>2</v>
      </c>
      <c r="AV24" s="209">
        <v>-0.65169000000000021</v>
      </c>
      <c r="AW24" s="209">
        <v>-0.25786000000000003</v>
      </c>
      <c r="AX24"/>
      <c r="AY24" s="144" t="s">
        <v>77</v>
      </c>
      <c r="AZ24" s="57">
        <v>1</v>
      </c>
      <c r="BA24" s="209">
        <v>-0.20149000000000003</v>
      </c>
      <c r="BB24" s="209">
        <v>-0.30217000000000005</v>
      </c>
      <c r="BV24"/>
      <c r="BW24"/>
      <c r="BX24" s="57" t="s">
        <v>32</v>
      </c>
      <c r="BY24" s="209">
        <v>-0.23275000000000001</v>
      </c>
      <c r="BZ24" s="209">
        <v>-0.75420000000000009</v>
      </c>
      <c r="CA24" s="209">
        <v>5</v>
      </c>
      <c r="CC24" s="144" t="s">
        <v>32</v>
      </c>
      <c r="CD24" s="209">
        <v>-0.23275000000000001</v>
      </c>
      <c r="CE24" s="209">
        <v>-0.75420000000000009</v>
      </c>
      <c r="CF24" s="210">
        <v>3</v>
      </c>
      <c r="CH24" s="57" t="s">
        <v>79</v>
      </c>
      <c r="CI24" s="184">
        <v>-0.7251936889102516</v>
      </c>
      <c r="CJ24" s="184">
        <v>0.3238663271064936</v>
      </c>
      <c r="CK24" s="260">
        <v>1</v>
      </c>
      <c r="CM24" s="57" t="s">
        <v>79</v>
      </c>
      <c r="CN24" s="259">
        <v>-0.65169000000000021</v>
      </c>
      <c r="CO24" s="259">
        <v>-0.25786000000000003</v>
      </c>
      <c r="CP24" s="260">
        <v>1</v>
      </c>
      <c r="DF24" s="57" t="s">
        <v>88</v>
      </c>
      <c r="DG24" s="276">
        <v>-9.597E-2</v>
      </c>
      <c r="DH24" s="276">
        <v>0.78450999999999993</v>
      </c>
      <c r="DI24" s="266">
        <v>1</v>
      </c>
      <c r="DK24" s="57" t="s">
        <v>88</v>
      </c>
      <c r="DL24" s="184">
        <v>0.605509288233405</v>
      </c>
      <c r="DM24" s="184">
        <v>0.57568127794030155</v>
      </c>
      <c r="DN24" s="266">
        <v>1</v>
      </c>
    </row>
    <row r="25" spans="1:118" x14ac:dyDescent="0.3">
      <c r="A25" s="144" t="s">
        <v>33</v>
      </c>
      <c r="B25" s="57">
        <v>4</v>
      </c>
      <c r="C25" s="57">
        <v>2</v>
      </c>
      <c r="D25" s="184">
        <v>0.99117733961336074</v>
      </c>
      <c r="E25" s="184">
        <v>2.0882362408117352</v>
      </c>
      <c r="F25" s="171">
        <v>3</v>
      </c>
      <c r="G25" s="172">
        <v>1</v>
      </c>
      <c r="H25" s="209">
        <v>-0.47765000000000002</v>
      </c>
      <c r="I25" s="209">
        <v>2.1166700000000001</v>
      </c>
      <c r="J25" s="209">
        <v>6</v>
      </c>
      <c r="K25" s="210">
        <v>5</v>
      </c>
      <c r="AB25"/>
      <c r="AC25"/>
      <c r="AD25"/>
      <c r="AE25" s="144" t="s">
        <v>45</v>
      </c>
      <c r="AF25" s="57">
        <v>1</v>
      </c>
      <c r="AG25" s="184">
        <v>0.11784038726282435</v>
      </c>
      <c r="AH25" s="184">
        <v>-0.19242814979095843</v>
      </c>
      <c r="AI25"/>
      <c r="AJ25" s="57" t="s">
        <v>19</v>
      </c>
      <c r="AK25" s="184">
        <v>9.2910548556283681E-2</v>
      </c>
      <c r="AL25" s="184">
        <v>0.61711236088415244</v>
      </c>
      <c r="AM25" s="192">
        <v>4</v>
      </c>
      <c r="AN25"/>
      <c r="AO25" s="144" t="s">
        <v>33</v>
      </c>
      <c r="AP25" s="184">
        <v>0.99117733961336074</v>
      </c>
      <c r="AQ25" s="184">
        <v>2.0882362408117352</v>
      </c>
      <c r="AR25" s="195">
        <v>1</v>
      </c>
      <c r="AS25" s="204"/>
      <c r="AT25" s="144" t="s">
        <v>89</v>
      </c>
      <c r="AU25" s="57">
        <v>2</v>
      </c>
      <c r="AV25" s="209">
        <v>-1.9755199999999999</v>
      </c>
      <c r="AW25" s="209">
        <v>4.0479999999999995E-2</v>
      </c>
      <c r="AX25"/>
      <c r="AY25" s="144" t="s">
        <v>80</v>
      </c>
      <c r="AZ25" s="57">
        <v>1</v>
      </c>
      <c r="BA25" s="209">
        <v>2.5940000000000001E-2</v>
      </c>
      <c r="BB25" s="209">
        <v>-0.40831000000000006</v>
      </c>
      <c r="BV25"/>
      <c r="BW25"/>
      <c r="BX25" s="57" t="s">
        <v>33</v>
      </c>
      <c r="BY25" s="209">
        <v>-0.47765000000000002</v>
      </c>
      <c r="BZ25" s="209">
        <v>2.1166700000000001</v>
      </c>
      <c r="CA25" s="209">
        <v>6</v>
      </c>
      <c r="CC25" s="144" t="s">
        <v>33</v>
      </c>
      <c r="CD25" s="209">
        <v>-0.47765000000000002</v>
      </c>
      <c r="CE25" s="209">
        <v>2.1166700000000001</v>
      </c>
      <c r="CF25" s="210">
        <v>5</v>
      </c>
      <c r="CH25" s="57" t="s">
        <v>89</v>
      </c>
      <c r="CI25" s="184">
        <v>-1.6596365580984691</v>
      </c>
      <c r="CJ25" s="184">
        <v>1.7836887138566841</v>
      </c>
      <c r="CK25" s="260">
        <v>1</v>
      </c>
      <c r="CM25" s="57" t="s">
        <v>89</v>
      </c>
      <c r="CN25" s="259">
        <v>-1.9755199999999999</v>
      </c>
      <c r="CO25" s="259">
        <v>4.0479999999999995E-2</v>
      </c>
      <c r="CP25" s="260">
        <v>1</v>
      </c>
      <c r="DF25" s="57" t="s">
        <v>13</v>
      </c>
      <c r="DG25" s="276">
        <v>-0.27215</v>
      </c>
      <c r="DH25" s="276">
        <v>-0.18746000000000002</v>
      </c>
      <c r="DI25" s="279">
        <v>2</v>
      </c>
      <c r="DK25" s="57" t="s">
        <v>13</v>
      </c>
      <c r="DL25" s="184">
        <v>-0.45381752488339855</v>
      </c>
      <c r="DM25" s="184">
        <v>0.1406067175712564</v>
      </c>
      <c r="DN25" s="279">
        <v>2</v>
      </c>
    </row>
    <row r="26" spans="1:118" x14ac:dyDescent="0.3">
      <c r="A26" s="144" t="s">
        <v>34</v>
      </c>
      <c r="B26" s="57">
        <v>5</v>
      </c>
      <c r="C26" s="57">
        <v>1</v>
      </c>
      <c r="D26" s="184">
        <v>0.744261293994261</v>
      </c>
      <c r="E26" s="184">
        <v>-4.292699226516633E-2</v>
      </c>
      <c r="F26" s="171">
        <v>4</v>
      </c>
      <c r="G26" s="172">
        <v>3</v>
      </c>
      <c r="H26" s="209">
        <v>0.45074999999999998</v>
      </c>
      <c r="I26" s="209">
        <v>0.34032000000000007</v>
      </c>
      <c r="J26" s="209">
        <v>6</v>
      </c>
      <c r="K26" s="210">
        <v>1</v>
      </c>
      <c r="AB26"/>
      <c r="AC26"/>
      <c r="AD26"/>
      <c r="AE26" s="144" t="s">
        <v>60</v>
      </c>
      <c r="AF26" s="57">
        <v>1</v>
      </c>
      <c r="AG26" s="184">
        <v>0.32014076197858876</v>
      </c>
      <c r="AH26" s="184">
        <v>-1.1190718715909549</v>
      </c>
      <c r="AI26"/>
      <c r="AJ26" s="57" t="s">
        <v>27</v>
      </c>
      <c r="AK26" s="184">
        <v>5.6630355757247952E-2</v>
      </c>
      <c r="AL26" s="184">
        <v>0.11045861529005846</v>
      </c>
      <c r="AM26" s="192">
        <v>4</v>
      </c>
      <c r="AN26"/>
      <c r="AO26" s="144" t="s">
        <v>34</v>
      </c>
      <c r="AP26" s="184">
        <v>0.744261293994261</v>
      </c>
      <c r="AQ26" s="184">
        <v>-4.292699226516633E-2</v>
      </c>
      <c r="AR26" s="195">
        <v>3</v>
      </c>
      <c r="AS26" s="204"/>
      <c r="AT26" s="144" t="s">
        <v>20</v>
      </c>
      <c r="AU26" s="57">
        <v>3</v>
      </c>
      <c r="AV26" s="209">
        <v>1.2853300000000001</v>
      </c>
      <c r="AW26" s="209">
        <v>4.5312900000000003</v>
      </c>
      <c r="AX26"/>
      <c r="AY26" s="144" t="s">
        <v>81</v>
      </c>
      <c r="AZ26" s="57">
        <v>1</v>
      </c>
      <c r="BA26" s="209">
        <v>0.28377000000000002</v>
      </c>
      <c r="BB26" s="209">
        <v>-0.29338000000000009</v>
      </c>
      <c r="BV26"/>
      <c r="BW26"/>
      <c r="BX26" s="57" t="s">
        <v>34</v>
      </c>
      <c r="BY26" s="209">
        <v>0.45074999999999998</v>
      </c>
      <c r="BZ26" s="209">
        <v>0.34032000000000007</v>
      </c>
      <c r="CA26" s="209">
        <v>6</v>
      </c>
      <c r="CC26" s="144" t="s">
        <v>34</v>
      </c>
      <c r="CD26" s="209">
        <v>0.45074999999999998</v>
      </c>
      <c r="CE26" s="209">
        <v>0.34032000000000007</v>
      </c>
      <c r="CF26" s="210">
        <v>1</v>
      </c>
      <c r="CH26" s="57" t="s">
        <v>16</v>
      </c>
      <c r="CI26" s="184">
        <v>-0.12373275751270651</v>
      </c>
      <c r="CJ26" s="184">
        <v>-0.37419270560537177</v>
      </c>
      <c r="CK26" s="260">
        <v>2</v>
      </c>
      <c r="CM26" s="57" t="s">
        <v>16</v>
      </c>
      <c r="CN26" s="259">
        <v>-0.20889000000000002</v>
      </c>
      <c r="CO26" s="259">
        <v>-0.36255000000000004</v>
      </c>
      <c r="CP26" s="260">
        <v>2</v>
      </c>
      <c r="DF26" s="57" t="s">
        <v>15</v>
      </c>
      <c r="DG26" s="276">
        <v>-0.77102999999999999</v>
      </c>
      <c r="DH26" s="276">
        <v>2.7200000000000002E-3</v>
      </c>
      <c r="DI26" s="279">
        <v>2</v>
      </c>
      <c r="DK26" s="57" t="s">
        <v>15</v>
      </c>
      <c r="DL26" s="184">
        <v>-0.71286734834126664</v>
      </c>
      <c r="DM26" s="184">
        <v>0.74803718606105185</v>
      </c>
      <c r="DN26" s="279">
        <v>2</v>
      </c>
    </row>
    <row r="27" spans="1:118" x14ac:dyDescent="0.3">
      <c r="A27" s="144" t="s">
        <v>35</v>
      </c>
      <c r="B27" s="57">
        <v>5</v>
      </c>
      <c r="C27" s="57">
        <v>1</v>
      </c>
      <c r="D27" s="184">
        <v>-5.9127238767861384E-2</v>
      </c>
      <c r="E27" s="184">
        <v>-0.49287047364693615</v>
      </c>
      <c r="F27" s="171">
        <v>5</v>
      </c>
      <c r="G27" s="172">
        <v>5</v>
      </c>
      <c r="H27" s="209">
        <v>-2.2209999999999997E-2</v>
      </c>
      <c r="I27" s="209">
        <v>-0.39037000000000005</v>
      </c>
      <c r="J27" s="209">
        <v>5</v>
      </c>
      <c r="K27" s="210">
        <v>3</v>
      </c>
      <c r="AB27"/>
      <c r="AC27"/>
      <c r="AD27"/>
      <c r="AE27" s="144" t="s">
        <v>77</v>
      </c>
      <c r="AF27" s="57">
        <v>1</v>
      </c>
      <c r="AG27" s="184">
        <v>-0.2674957311388067</v>
      </c>
      <c r="AH27" s="184">
        <v>-0.27727710951001838</v>
      </c>
      <c r="AI27"/>
      <c r="AJ27" s="57" t="s">
        <v>30</v>
      </c>
      <c r="AK27" s="184">
        <v>2.1114207833418847E-2</v>
      </c>
      <c r="AL27" s="184">
        <v>0.33185936800214466</v>
      </c>
      <c r="AM27" s="192">
        <v>4</v>
      </c>
      <c r="AN27"/>
      <c r="AO27" s="144" t="s">
        <v>35</v>
      </c>
      <c r="AP27" s="184">
        <v>-5.9127238767861384E-2</v>
      </c>
      <c r="AQ27" s="184">
        <v>-0.49287047364693615</v>
      </c>
      <c r="AR27" s="195">
        <v>5</v>
      </c>
      <c r="AS27" s="204"/>
      <c r="AT27" s="144" t="s">
        <v>40</v>
      </c>
      <c r="AU27" s="57">
        <v>3</v>
      </c>
      <c r="AV27" s="209">
        <v>0.66459000000000013</v>
      </c>
      <c r="AW27" s="209">
        <v>3.3225899999999999</v>
      </c>
      <c r="AX27"/>
      <c r="AY27" s="144" t="s">
        <v>84</v>
      </c>
      <c r="AZ27" s="57">
        <v>1</v>
      </c>
      <c r="BA27" s="209">
        <v>3.0859999999999999E-2</v>
      </c>
      <c r="BB27" s="209">
        <v>-0.26472999999999997</v>
      </c>
      <c r="BV27"/>
      <c r="BW27"/>
      <c r="BX27" s="57" t="s">
        <v>35</v>
      </c>
      <c r="BY27" s="209">
        <v>-2.2209999999999997E-2</v>
      </c>
      <c r="BZ27" s="209">
        <v>-0.39037000000000005</v>
      </c>
      <c r="CA27" s="209">
        <v>5</v>
      </c>
      <c r="CC27" s="144" t="s">
        <v>35</v>
      </c>
      <c r="CD27" s="209">
        <v>-2.2209999999999997E-2</v>
      </c>
      <c r="CE27" s="209">
        <v>-0.39037000000000005</v>
      </c>
      <c r="CF27" s="210">
        <v>3</v>
      </c>
      <c r="CH27" s="57" t="s">
        <v>21</v>
      </c>
      <c r="CI27" s="184">
        <v>-0.37087827546333718</v>
      </c>
      <c r="CJ27" s="184">
        <v>-1.5215214439673252</v>
      </c>
      <c r="CK27" s="260">
        <v>2</v>
      </c>
      <c r="CM27" s="57" t="s">
        <v>21</v>
      </c>
      <c r="CN27" s="259">
        <v>0.34099000000000002</v>
      </c>
      <c r="CO27" s="259">
        <v>-1.0431300000000001</v>
      </c>
      <c r="CP27" s="260">
        <v>2</v>
      </c>
      <c r="DF27" s="57" t="s">
        <v>16</v>
      </c>
      <c r="DG27" s="276">
        <v>-0.20889000000000002</v>
      </c>
      <c r="DH27" s="276">
        <v>-0.36255000000000004</v>
      </c>
      <c r="DI27" s="279">
        <v>2</v>
      </c>
      <c r="DK27" s="57" t="s">
        <v>16</v>
      </c>
      <c r="DL27" s="184">
        <v>-0.12373275751270651</v>
      </c>
      <c r="DM27" s="184">
        <v>-0.37419270560537177</v>
      </c>
      <c r="DN27" s="279">
        <v>2</v>
      </c>
    </row>
    <row r="28" spans="1:118" x14ac:dyDescent="0.3">
      <c r="A28" s="144" t="s">
        <v>36</v>
      </c>
      <c r="B28" s="57">
        <v>5</v>
      </c>
      <c r="C28" s="57">
        <v>1</v>
      </c>
      <c r="D28" s="184">
        <v>-0.43793553770023014</v>
      </c>
      <c r="E28" s="184">
        <v>-0.12976085990879424</v>
      </c>
      <c r="F28" s="171">
        <v>5</v>
      </c>
      <c r="G28" s="172">
        <v>4</v>
      </c>
      <c r="H28" s="209">
        <v>-0.33123000000000002</v>
      </c>
      <c r="I28" s="209">
        <v>-0.37042000000000008</v>
      </c>
      <c r="J28" s="209">
        <v>5</v>
      </c>
      <c r="K28" s="210">
        <v>3</v>
      </c>
      <c r="AB28"/>
      <c r="AC28"/>
      <c r="AD28"/>
      <c r="AE28" s="144" t="s">
        <v>80</v>
      </c>
      <c r="AF28" s="57">
        <v>1</v>
      </c>
      <c r="AG28" s="184">
        <v>-0.12413653824004578</v>
      </c>
      <c r="AH28" s="184">
        <v>-0.52790350300205502</v>
      </c>
      <c r="AI28"/>
      <c r="AJ28" s="57" t="s">
        <v>34</v>
      </c>
      <c r="AK28" s="184">
        <v>0.744261293994261</v>
      </c>
      <c r="AL28" s="184">
        <v>-4.292699226516633E-2</v>
      </c>
      <c r="AM28" s="192">
        <v>4</v>
      </c>
      <c r="AN28"/>
      <c r="AO28" s="144" t="s">
        <v>36</v>
      </c>
      <c r="AP28" s="184">
        <v>-0.43793553770023014</v>
      </c>
      <c r="AQ28" s="184">
        <v>-0.12976085990879424</v>
      </c>
      <c r="AR28" s="195">
        <v>4</v>
      </c>
      <c r="AS28" s="204"/>
      <c r="AT28" s="144" t="s">
        <v>10</v>
      </c>
      <c r="AU28" s="57">
        <v>4</v>
      </c>
      <c r="AV28" s="209">
        <v>-0.22970000000000002</v>
      </c>
      <c r="AW28" s="209">
        <v>0.34366000000000002</v>
      </c>
      <c r="AX28"/>
      <c r="AY28" s="144" t="s">
        <v>85</v>
      </c>
      <c r="AZ28" s="57">
        <v>1</v>
      </c>
      <c r="BA28" s="209">
        <v>-0.26457000000000003</v>
      </c>
      <c r="BB28" s="209">
        <v>-0.13340000000000002</v>
      </c>
      <c r="BV28"/>
      <c r="BW28"/>
      <c r="BX28" s="57" t="s">
        <v>36</v>
      </c>
      <c r="BY28" s="209">
        <v>-0.33123000000000002</v>
      </c>
      <c r="BZ28" s="209">
        <v>-0.37042000000000008</v>
      </c>
      <c r="CA28" s="209">
        <v>5</v>
      </c>
      <c r="CC28" s="144" t="s">
        <v>36</v>
      </c>
      <c r="CD28" s="209">
        <v>-0.33123000000000002</v>
      </c>
      <c r="CE28" s="209">
        <v>-0.37042000000000008</v>
      </c>
      <c r="CF28" s="210">
        <v>3</v>
      </c>
      <c r="CH28" s="57" t="s">
        <v>22</v>
      </c>
      <c r="CI28" s="184">
        <v>0.25347253807895676</v>
      </c>
      <c r="CJ28" s="184">
        <v>-0.74512044153099644</v>
      </c>
      <c r="CK28" s="260">
        <v>2</v>
      </c>
      <c r="CM28" s="57" t="s">
        <v>22</v>
      </c>
      <c r="CN28" s="259">
        <v>0.35738000000000009</v>
      </c>
      <c r="CO28" s="259">
        <v>-0.37621000000000004</v>
      </c>
      <c r="CP28" s="260">
        <v>2</v>
      </c>
      <c r="DF28" s="57" t="s">
        <v>17</v>
      </c>
      <c r="DG28" s="276">
        <v>-0.49468999999999996</v>
      </c>
      <c r="DH28" s="276">
        <v>1.2204999999999999</v>
      </c>
      <c r="DI28" s="279">
        <v>2</v>
      </c>
      <c r="DK28" s="57" t="s">
        <v>17</v>
      </c>
      <c r="DL28" s="184">
        <v>0.54956734188769396</v>
      </c>
      <c r="DM28" s="184">
        <v>1.345013006803121</v>
      </c>
      <c r="DN28" s="279">
        <v>2</v>
      </c>
    </row>
    <row r="29" spans="1:118" x14ac:dyDescent="0.3">
      <c r="A29" s="144" t="s">
        <v>37</v>
      </c>
      <c r="B29" s="57">
        <v>5</v>
      </c>
      <c r="C29" s="57">
        <v>2</v>
      </c>
      <c r="D29" s="184">
        <v>-0.12212939757241779</v>
      </c>
      <c r="E29" s="184">
        <v>0.67138208743299133</v>
      </c>
      <c r="F29" s="171">
        <v>4</v>
      </c>
      <c r="G29" s="172">
        <v>3</v>
      </c>
      <c r="H29" s="209">
        <v>-4.2010000000000006E-2</v>
      </c>
      <c r="I29" s="209">
        <v>0.17597000000000002</v>
      </c>
      <c r="J29" s="209">
        <v>6</v>
      </c>
      <c r="K29" s="210">
        <v>1</v>
      </c>
      <c r="AB29"/>
      <c r="AC29"/>
      <c r="AD29"/>
      <c r="AE29" s="144" t="s">
        <v>81</v>
      </c>
      <c r="AF29" s="57">
        <v>1</v>
      </c>
      <c r="AG29" s="184">
        <v>0.22775094727323869</v>
      </c>
      <c r="AH29" s="184">
        <v>-0.69642572319985852</v>
      </c>
      <c r="AI29"/>
      <c r="AJ29" s="57" t="s">
        <v>37</v>
      </c>
      <c r="AK29" s="184">
        <v>-0.12212939757241779</v>
      </c>
      <c r="AL29" s="184">
        <v>0.67138208743299133</v>
      </c>
      <c r="AM29" s="192">
        <v>4</v>
      </c>
      <c r="AN29"/>
      <c r="AO29" s="144" t="s">
        <v>37</v>
      </c>
      <c r="AP29" s="184">
        <v>-0.12212939757241779</v>
      </c>
      <c r="AQ29" s="184">
        <v>0.67138208743299133</v>
      </c>
      <c r="AR29" s="195">
        <v>3</v>
      </c>
      <c r="AS29" s="204"/>
      <c r="AT29" s="144" t="s">
        <v>14</v>
      </c>
      <c r="AU29" s="57">
        <v>4</v>
      </c>
      <c r="AV29" s="209">
        <v>-0.49475999999999998</v>
      </c>
      <c r="AW29" s="209">
        <v>4.2800000000000005E-2</v>
      </c>
      <c r="AX29"/>
      <c r="AY29" s="144" t="s">
        <v>86</v>
      </c>
      <c r="AZ29" s="57">
        <v>1</v>
      </c>
      <c r="BA29" s="209">
        <v>0.65083000000000013</v>
      </c>
      <c r="BB29" s="209">
        <v>-0.24948000000000004</v>
      </c>
      <c r="BV29"/>
      <c r="BW29"/>
      <c r="BX29" s="57" t="s">
        <v>37</v>
      </c>
      <c r="BY29" s="209">
        <v>-4.2010000000000006E-2</v>
      </c>
      <c r="BZ29" s="209">
        <v>0.17597000000000002</v>
      </c>
      <c r="CA29" s="209">
        <v>6</v>
      </c>
      <c r="CC29" s="144" t="s">
        <v>37</v>
      </c>
      <c r="CD29" s="209">
        <v>-4.2010000000000006E-2</v>
      </c>
      <c r="CE29" s="209">
        <v>0.17597000000000002</v>
      </c>
      <c r="CF29" s="210">
        <v>1</v>
      </c>
      <c r="CH29" s="57" t="s">
        <v>38</v>
      </c>
      <c r="CI29" s="184">
        <v>-0.51279440621154393</v>
      </c>
      <c r="CJ29" s="184">
        <v>-0.3777045991724946</v>
      </c>
      <c r="CK29" s="260">
        <v>2</v>
      </c>
      <c r="CM29" s="57" t="s">
        <v>38</v>
      </c>
      <c r="CN29" s="259">
        <v>-0.30683000000000005</v>
      </c>
      <c r="CO29" s="259">
        <v>-0.45441000000000004</v>
      </c>
      <c r="CP29" s="260">
        <v>2</v>
      </c>
      <c r="DF29" s="57" t="s">
        <v>19</v>
      </c>
      <c r="DG29" s="276">
        <v>-0.39745000000000003</v>
      </c>
      <c r="DH29" s="276">
        <v>0.37058000000000008</v>
      </c>
      <c r="DI29" s="279">
        <v>2</v>
      </c>
      <c r="DK29" s="57" t="s">
        <v>19</v>
      </c>
      <c r="DL29" s="184">
        <v>9.2910548556283681E-2</v>
      </c>
      <c r="DM29" s="184">
        <v>0.61711236088415244</v>
      </c>
      <c r="DN29" s="279">
        <v>2</v>
      </c>
    </row>
    <row r="30" spans="1:118" x14ac:dyDescent="0.3">
      <c r="A30" s="144" t="s">
        <v>38</v>
      </c>
      <c r="B30" s="57">
        <v>2</v>
      </c>
      <c r="C30" s="57">
        <v>3</v>
      </c>
      <c r="D30" s="184">
        <v>-0.51279440621154393</v>
      </c>
      <c r="E30" s="184">
        <v>-0.3777045991724946</v>
      </c>
      <c r="F30" s="171">
        <v>5</v>
      </c>
      <c r="G30" s="172">
        <v>4</v>
      </c>
      <c r="H30" s="209">
        <v>-0.30683000000000005</v>
      </c>
      <c r="I30" s="209">
        <v>-0.45441000000000004</v>
      </c>
      <c r="J30" s="209">
        <v>5</v>
      </c>
      <c r="K30" s="210">
        <v>3</v>
      </c>
      <c r="AB30"/>
      <c r="AC30"/>
      <c r="AD30"/>
      <c r="AE30" s="144" t="s">
        <v>84</v>
      </c>
      <c r="AF30" s="57">
        <v>1</v>
      </c>
      <c r="AG30" s="184">
        <v>-0.16351862231155986</v>
      </c>
      <c r="AH30" s="184">
        <v>-0.23159466896528591</v>
      </c>
      <c r="AI30"/>
      <c r="AJ30" s="57" t="s">
        <v>42</v>
      </c>
      <c r="AK30" s="184">
        <v>0.3625082007930116</v>
      </c>
      <c r="AL30" s="184">
        <v>0.32542452430306057</v>
      </c>
      <c r="AM30" s="192">
        <v>4</v>
      </c>
      <c r="AN30"/>
      <c r="AO30" s="144" t="s">
        <v>38</v>
      </c>
      <c r="AP30" s="184">
        <v>-0.51279440621154393</v>
      </c>
      <c r="AQ30" s="184">
        <v>-0.3777045991724946</v>
      </c>
      <c r="AR30" s="195">
        <v>4</v>
      </c>
      <c r="AS30" s="204"/>
      <c r="AT30" s="144" t="s">
        <v>17</v>
      </c>
      <c r="AU30" s="57">
        <v>4</v>
      </c>
      <c r="AV30" s="209">
        <v>-0.49468999999999996</v>
      </c>
      <c r="AW30" s="209">
        <v>1.2204999999999999</v>
      </c>
      <c r="AX30"/>
      <c r="AY30" s="144" t="s">
        <v>88</v>
      </c>
      <c r="AZ30" s="57">
        <v>1</v>
      </c>
      <c r="BA30" s="209">
        <v>-9.597E-2</v>
      </c>
      <c r="BB30" s="209">
        <v>0.78450999999999993</v>
      </c>
      <c r="BV30"/>
      <c r="BW30"/>
      <c r="BX30" s="57" t="s">
        <v>38</v>
      </c>
      <c r="BY30" s="209">
        <v>-0.30683000000000005</v>
      </c>
      <c r="BZ30" s="209">
        <v>-0.45441000000000004</v>
      </c>
      <c r="CA30" s="209">
        <v>5</v>
      </c>
      <c r="CC30" s="144" t="s">
        <v>38</v>
      </c>
      <c r="CD30" s="209">
        <v>-0.30683000000000005</v>
      </c>
      <c r="CE30" s="209">
        <v>-0.45441000000000004</v>
      </c>
      <c r="CF30" s="210">
        <v>3</v>
      </c>
      <c r="CH30" s="57" t="s">
        <v>93</v>
      </c>
      <c r="CI30" s="184">
        <v>-3.9211966847335744E-2</v>
      </c>
      <c r="CJ30" s="184">
        <v>-0.45473315175147266</v>
      </c>
      <c r="CK30" s="260">
        <v>2</v>
      </c>
      <c r="CM30" s="57" t="s">
        <v>93</v>
      </c>
      <c r="CN30" s="259">
        <v>-8.9029999999999998E-2</v>
      </c>
      <c r="CO30" s="259">
        <v>-0.38491000000000009</v>
      </c>
      <c r="CP30" s="260">
        <v>2</v>
      </c>
      <c r="DF30" s="57" t="s">
        <v>20</v>
      </c>
      <c r="DG30" s="276">
        <v>1.2853300000000001</v>
      </c>
      <c r="DH30" s="276">
        <v>4.5312900000000003</v>
      </c>
      <c r="DI30" s="279">
        <v>2</v>
      </c>
      <c r="DK30" s="57" t="s">
        <v>20</v>
      </c>
      <c r="DL30" s="184">
        <v>3.8561089628134808</v>
      </c>
      <c r="DM30" s="184">
        <v>2.4828261942325693</v>
      </c>
      <c r="DN30" s="279">
        <v>2</v>
      </c>
    </row>
    <row r="31" spans="1:118" x14ac:dyDescent="0.3">
      <c r="A31" s="144" t="s">
        <v>39</v>
      </c>
      <c r="B31" s="57">
        <v>1</v>
      </c>
      <c r="C31" s="57">
        <v>6</v>
      </c>
      <c r="D31" s="184">
        <v>1.3427118487526655</v>
      </c>
      <c r="E31" s="184">
        <v>-2.5000966528853699</v>
      </c>
      <c r="F31" s="171">
        <v>2</v>
      </c>
      <c r="G31" s="172">
        <v>2</v>
      </c>
      <c r="H31" s="209">
        <v>2.4770400000000001</v>
      </c>
      <c r="I31" s="209">
        <v>-0.89207999999999998</v>
      </c>
      <c r="J31" s="209">
        <v>4</v>
      </c>
      <c r="K31" s="210">
        <v>4</v>
      </c>
      <c r="AB31"/>
      <c r="AC31"/>
      <c r="AD31"/>
      <c r="AE31" s="144" t="s">
        <v>86</v>
      </c>
      <c r="AF31" s="57">
        <v>1</v>
      </c>
      <c r="AG31" s="184">
        <v>0.54814525741938513</v>
      </c>
      <c r="AH31" s="184">
        <v>-0.732693321291644</v>
      </c>
      <c r="AI31"/>
      <c r="AJ31" s="57" t="s">
        <v>46</v>
      </c>
      <c r="AK31" s="184">
        <v>-4.8555712137070377E-2</v>
      </c>
      <c r="AL31" s="184">
        <v>0.21406479878870677</v>
      </c>
      <c r="AM31" s="192">
        <v>4</v>
      </c>
      <c r="AN31"/>
      <c r="AO31" s="144" t="s">
        <v>39</v>
      </c>
      <c r="AP31" s="184">
        <v>1.3427118487526655</v>
      </c>
      <c r="AQ31" s="184">
        <v>-2.5000966528853699</v>
      </c>
      <c r="AR31" s="195">
        <v>2</v>
      </c>
      <c r="AS31" s="204"/>
      <c r="AT31" s="144" t="s">
        <v>19</v>
      </c>
      <c r="AU31" s="57">
        <v>4</v>
      </c>
      <c r="AV31" s="209">
        <v>-0.39745000000000003</v>
      </c>
      <c r="AW31" s="209">
        <v>0.37058000000000008</v>
      </c>
      <c r="AX31"/>
      <c r="AY31" s="144" t="s">
        <v>90</v>
      </c>
      <c r="AZ31" s="57">
        <v>1</v>
      </c>
      <c r="BA31" s="209">
        <v>-0.23470000000000002</v>
      </c>
      <c r="BB31" s="209">
        <v>-0.33383000000000007</v>
      </c>
      <c r="BV31"/>
      <c r="BW31"/>
      <c r="BX31" s="57" t="s">
        <v>39</v>
      </c>
      <c r="BY31" s="209">
        <v>2.4770400000000001</v>
      </c>
      <c r="BZ31" s="209">
        <v>-0.89207999999999998</v>
      </c>
      <c r="CA31" s="209">
        <v>4</v>
      </c>
      <c r="CC31" s="144" t="s">
        <v>39</v>
      </c>
      <c r="CD31" s="209">
        <v>2.4770400000000001</v>
      </c>
      <c r="CE31" s="209">
        <v>-0.89207999999999998</v>
      </c>
      <c r="CF31" s="210">
        <v>4</v>
      </c>
      <c r="CH31" s="57" t="s">
        <v>28</v>
      </c>
      <c r="CI31" s="184">
        <v>0.83515241087902459</v>
      </c>
      <c r="CJ31" s="184">
        <v>-2.0048492791874573</v>
      </c>
      <c r="CK31" s="260">
        <v>3</v>
      </c>
      <c r="CM31" s="57" t="s">
        <v>28</v>
      </c>
      <c r="CN31" s="259">
        <v>1.7328400000000002</v>
      </c>
      <c r="CO31" s="259">
        <v>-0.8220400000000001</v>
      </c>
      <c r="CP31" s="260">
        <v>3</v>
      </c>
      <c r="DF31" s="57" t="s">
        <v>24</v>
      </c>
      <c r="DG31" s="276">
        <v>0.32751000000000008</v>
      </c>
      <c r="DH31" s="276">
        <v>-0.18464</v>
      </c>
      <c r="DI31" s="279">
        <v>2</v>
      </c>
      <c r="DK31" s="57" t="s">
        <v>24</v>
      </c>
      <c r="DL31" s="184">
        <v>0.13029648603905444</v>
      </c>
      <c r="DM31" s="184">
        <v>-0.45858727837088781</v>
      </c>
      <c r="DN31" s="279">
        <v>2</v>
      </c>
    </row>
    <row r="32" spans="1:118" x14ac:dyDescent="0.3">
      <c r="A32" s="144" t="s">
        <v>40</v>
      </c>
      <c r="B32" s="57">
        <v>3</v>
      </c>
      <c r="C32" s="57">
        <v>4</v>
      </c>
      <c r="D32" s="184">
        <v>3.2488353767908791</v>
      </c>
      <c r="E32" s="184">
        <v>2.4658023062022982</v>
      </c>
      <c r="F32" s="171">
        <v>3</v>
      </c>
      <c r="G32" s="172">
        <v>1</v>
      </c>
      <c r="H32" s="209">
        <v>0.66459000000000013</v>
      </c>
      <c r="I32" s="209">
        <v>3.3225899999999999</v>
      </c>
      <c r="J32" s="209">
        <v>2</v>
      </c>
      <c r="K32" s="210">
        <v>6</v>
      </c>
      <c r="AB32"/>
      <c r="AC32"/>
      <c r="AD32"/>
      <c r="AE32" s="144" t="s">
        <v>93</v>
      </c>
      <c r="AF32" s="57">
        <v>1</v>
      </c>
      <c r="AG32" s="184">
        <v>-3.9211966847335744E-2</v>
      </c>
      <c r="AH32" s="184">
        <v>-0.45473315175147266</v>
      </c>
      <c r="AI32"/>
      <c r="AJ32" s="57" t="s">
        <v>49</v>
      </c>
      <c r="AK32" s="184">
        <v>0.30561908669063659</v>
      </c>
      <c r="AL32" s="184">
        <v>0.29554761095456156</v>
      </c>
      <c r="AM32" s="192">
        <v>4</v>
      </c>
      <c r="AN32"/>
      <c r="AO32" s="144" t="s">
        <v>40</v>
      </c>
      <c r="AP32" s="184">
        <v>3.2488353767908791</v>
      </c>
      <c r="AQ32" s="184">
        <v>2.4658023062022982</v>
      </c>
      <c r="AR32" s="195">
        <v>1</v>
      </c>
      <c r="AS32" s="204"/>
      <c r="AT32" s="144" t="s">
        <v>30</v>
      </c>
      <c r="AU32" s="57">
        <v>4</v>
      </c>
      <c r="AV32" s="209">
        <v>-0.10676000000000002</v>
      </c>
      <c r="AW32" s="209">
        <v>0.21414000000000002</v>
      </c>
      <c r="AX32"/>
      <c r="AY32" s="144" t="s">
        <v>93</v>
      </c>
      <c r="AZ32" s="57">
        <v>1</v>
      </c>
      <c r="BA32" s="209">
        <v>-8.9029999999999998E-2</v>
      </c>
      <c r="BB32" s="209">
        <v>-0.38491000000000009</v>
      </c>
      <c r="BV32"/>
      <c r="BW32"/>
      <c r="BX32" s="57" t="s">
        <v>40</v>
      </c>
      <c r="BY32" s="209">
        <v>0.66459000000000013</v>
      </c>
      <c r="BZ32" s="209">
        <v>3.3225899999999999</v>
      </c>
      <c r="CA32" s="209">
        <v>2</v>
      </c>
      <c r="CC32" s="144" t="s">
        <v>40</v>
      </c>
      <c r="CD32" s="209">
        <v>0.66459000000000013</v>
      </c>
      <c r="CE32" s="209">
        <v>3.3225899999999999</v>
      </c>
      <c r="CF32" s="210">
        <v>6</v>
      </c>
      <c r="CH32" s="57" t="s">
        <v>39</v>
      </c>
      <c r="CI32" s="184">
        <v>1.3427118487526655</v>
      </c>
      <c r="CJ32" s="184">
        <v>-2.5000966528853699</v>
      </c>
      <c r="CK32" s="260">
        <v>3</v>
      </c>
      <c r="CM32" s="57" t="s">
        <v>39</v>
      </c>
      <c r="CN32" s="259">
        <v>2.4770400000000001</v>
      </c>
      <c r="CO32" s="259">
        <v>-0.89207999999999998</v>
      </c>
      <c r="CP32" s="260">
        <v>3</v>
      </c>
      <c r="DF32" s="57" t="s">
        <v>25</v>
      </c>
      <c r="DG32" s="276">
        <v>-1.2376800000000001</v>
      </c>
      <c r="DH32" s="276">
        <v>-0.23866000000000001</v>
      </c>
      <c r="DI32" s="279">
        <v>2</v>
      </c>
      <c r="DK32" s="57" t="s">
        <v>25</v>
      </c>
      <c r="DL32" s="184">
        <v>-1.1236311727474124</v>
      </c>
      <c r="DM32" s="184">
        <v>0.7756887293156608</v>
      </c>
      <c r="DN32" s="279">
        <v>2</v>
      </c>
    </row>
    <row r="33" spans="1:118" x14ac:dyDescent="0.3">
      <c r="A33" s="144" t="s">
        <v>41</v>
      </c>
      <c r="B33" s="57">
        <v>1</v>
      </c>
      <c r="C33" s="57">
        <v>6</v>
      </c>
      <c r="D33" s="184">
        <v>0.77969586727480056</v>
      </c>
      <c r="E33" s="184">
        <v>-1.7895749805900687</v>
      </c>
      <c r="F33" s="171">
        <v>2</v>
      </c>
      <c r="G33" s="172">
        <v>2</v>
      </c>
      <c r="H33" s="209">
        <v>1.4858899999999999</v>
      </c>
      <c r="I33" s="209">
        <v>-0.73268000000000011</v>
      </c>
      <c r="J33" s="209">
        <v>4</v>
      </c>
      <c r="K33" s="210">
        <v>4</v>
      </c>
      <c r="AB33"/>
      <c r="AC33"/>
      <c r="AD33"/>
      <c r="AE33" s="144" t="s">
        <v>33</v>
      </c>
      <c r="AF33" s="57">
        <v>2</v>
      </c>
      <c r="AG33" s="184">
        <v>0.99117733961336074</v>
      </c>
      <c r="AH33" s="184">
        <v>2.0882362408117352</v>
      </c>
      <c r="AI33"/>
      <c r="AJ33" s="57" t="s">
        <v>50</v>
      </c>
      <c r="AK33" s="184">
        <v>0.75087772297068511</v>
      </c>
      <c r="AL33" s="184">
        <v>0.284518146266525</v>
      </c>
      <c r="AM33" s="192">
        <v>4</v>
      </c>
      <c r="AN33"/>
      <c r="AO33" s="144" t="s">
        <v>41</v>
      </c>
      <c r="AP33" s="184">
        <v>0.77969586727480056</v>
      </c>
      <c r="AQ33" s="184">
        <v>-1.7895749805900687</v>
      </c>
      <c r="AR33" s="195">
        <v>2</v>
      </c>
      <c r="AS33" s="204"/>
      <c r="AT33" s="144" t="s">
        <v>33</v>
      </c>
      <c r="AU33" s="57">
        <v>4</v>
      </c>
      <c r="AV33" s="209">
        <v>-0.47765000000000002</v>
      </c>
      <c r="AW33" s="209">
        <v>2.1166700000000001</v>
      </c>
      <c r="AX33"/>
      <c r="AY33" s="144" t="s">
        <v>13</v>
      </c>
      <c r="AZ33" s="57">
        <v>2</v>
      </c>
      <c r="BA33" s="209">
        <v>-0.27215</v>
      </c>
      <c r="BB33" s="209">
        <v>-0.18746000000000002</v>
      </c>
      <c r="BV33"/>
      <c r="BW33"/>
      <c r="BX33" s="57" t="s">
        <v>41</v>
      </c>
      <c r="BY33" s="209">
        <v>1.4858899999999999</v>
      </c>
      <c r="BZ33" s="209">
        <v>-0.73268000000000011</v>
      </c>
      <c r="CA33" s="209">
        <v>4</v>
      </c>
      <c r="CC33" s="144" t="s">
        <v>41</v>
      </c>
      <c r="CD33" s="209">
        <v>1.4858899999999999</v>
      </c>
      <c r="CE33" s="209">
        <v>-0.73268000000000011</v>
      </c>
      <c r="CF33" s="210">
        <v>4</v>
      </c>
      <c r="CH33" s="57" t="s">
        <v>41</v>
      </c>
      <c r="CI33" s="184">
        <v>0.77969586727480056</v>
      </c>
      <c r="CJ33" s="184">
        <v>-1.7895749805900687</v>
      </c>
      <c r="CK33" s="260">
        <v>3</v>
      </c>
      <c r="CM33" s="57" t="s">
        <v>41</v>
      </c>
      <c r="CN33" s="259">
        <v>1.4858899999999999</v>
      </c>
      <c r="CO33" s="259">
        <v>-0.73268000000000011</v>
      </c>
      <c r="CP33" s="260">
        <v>3</v>
      </c>
      <c r="DF33" s="57" t="s">
        <v>28</v>
      </c>
      <c r="DG33" s="276">
        <v>1.7328400000000002</v>
      </c>
      <c r="DH33" s="276">
        <v>-0.8220400000000001</v>
      </c>
      <c r="DI33" s="279">
        <v>2</v>
      </c>
      <c r="DK33" s="57" t="s">
        <v>28</v>
      </c>
      <c r="DL33" s="184">
        <v>0.83515241087902459</v>
      </c>
      <c r="DM33" s="184">
        <v>-2.0048492791874573</v>
      </c>
      <c r="DN33" s="279">
        <v>2</v>
      </c>
    </row>
    <row r="34" spans="1:118" x14ac:dyDescent="0.3">
      <c r="A34" s="144" t="s">
        <v>42</v>
      </c>
      <c r="B34" s="57">
        <v>4</v>
      </c>
      <c r="C34" s="57">
        <v>2</v>
      </c>
      <c r="D34" s="184">
        <v>0.3625082007930116</v>
      </c>
      <c r="E34" s="184">
        <v>0.32542452430306057</v>
      </c>
      <c r="F34" s="171">
        <v>4</v>
      </c>
      <c r="G34" s="172">
        <v>3</v>
      </c>
      <c r="H34" s="209">
        <v>-0.11483</v>
      </c>
      <c r="I34" s="209">
        <v>0.50266</v>
      </c>
      <c r="J34" s="209">
        <v>6</v>
      </c>
      <c r="K34" s="210">
        <v>1</v>
      </c>
      <c r="AB34"/>
      <c r="AC34"/>
      <c r="AD34"/>
      <c r="AE34" s="144" t="s">
        <v>14</v>
      </c>
      <c r="AF34" s="57">
        <v>2</v>
      </c>
      <c r="AG34" s="184">
        <v>-0.24660909801096273</v>
      </c>
      <c r="AH34" s="184">
        <v>0.55887832602816589</v>
      </c>
      <c r="AI34"/>
      <c r="AJ34" s="57" t="s">
        <v>54</v>
      </c>
      <c r="AK34" s="184">
        <v>0.16969776162509348</v>
      </c>
      <c r="AL34" s="184">
        <v>0.80167679796189062</v>
      </c>
      <c r="AM34" s="192">
        <v>4</v>
      </c>
      <c r="AN34"/>
      <c r="AO34" s="144" t="s">
        <v>42</v>
      </c>
      <c r="AP34" s="184">
        <v>0.3625082007930116</v>
      </c>
      <c r="AQ34" s="184">
        <v>0.32542452430306057</v>
      </c>
      <c r="AR34" s="195">
        <v>3</v>
      </c>
      <c r="AS34" s="204"/>
      <c r="AT34" s="144" t="s">
        <v>42</v>
      </c>
      <c r="AU34" s="57">
        <v>4</v>
      </c>
      <c r="AV34" s="209">
        <v>-0.11483</v>
      </c>
      <c r="AW34" s="209">
        <v>0.50266</v>
      </c>
      <c r="AX34"/>
      <c r="AY34" s="144" t="s">
        <v>14</v>
      </c>
      <c r="AZ34" s="57">
        <v>2</v>
      </c>
      <c r="BA34" s="209">
        <v>-0.49475999999999998</v>
      </c>
      <c r="BB34" s="209">
        <v>4.2800000000000005E-2</v>
      </c>
      <c r="BV34"/>
      <c r="BW34"/>
      <c r="BX34" s="57" t="s">
        <v>42</v>
      </c>
      <c r="BY34" s="209">
        <v>-0.11483</v>
      </c>
      <c r="BZ34" s="209">
        <v>0.50266</v>
      </c>
      <c r="CA34" s="209">
        <v>6</v>
      </c>
      <c r="CC34" s="144" t="s">
        <v>42</v>
      </c>
      <c r="CD34" s="209">
        <v>-0.11483</v>
      </c>
      <c r="CE34" s="209">
        <v>0.50266</v>
      </c>
      <c r="CF34" s="210">
        <v>1</v>
      </c>
      <c r="CH34" s="57" t="s">
        <v>64</v>
      </c>
      <c r="CI34" s="184">
        <v>1.0516483442580258</v>
      </c>
      <c r="CJ34" s="184">
        <v>-1.2563485133534897</v>
      </c>
      <c r="CK34" s="260">
        <v>3</v>
      </c>
      <c r="CM34" s="57" t="s">
        <v>64</v>
      </c>
      <c r="CN34" s="259">
        <v>1.57186</v>
      </c>
      <c r="CO34" s="259">
        <v>-0.24538000000000001</v>
      </c>
      <c r="CP34" s="260">
        <v>3</v>
      </c>
      <c r="DF34" s="57" t="s">
        <v>30</v>
      </c>
      <c r="DG34" s="276">
        <v>-0.10676000000000002</v>
      </c>
      <c r="DH34" s="276">
        <v>0.21414000000000002</v>
      </c>
      <c r="DI34" s="279">
        <v>2</v>
      </c>
      <c r="DK34" s="57" t="s">
        <v>30</v>
      </c>
      <c r="DL34" s="184">
        <v>2.1114207833418847E-2</v>
      </c>
      <c r="DM34" s="184">
        <v>0.33185936800214466</v>
      </c>
      <c r="DN34" s="279">
        <v>2</v>
      </c>
    </row>
    <row r="35" spans="1:118" x14ac:dyDescent="0.3">
      <c r="A35" s="144" t="s">
        <v>43</v>
      </c>
      <c r="B35" s="57">
        <v>6</v>
      </c>
      <c r="C35" s="57">
        <v>1</v>
      </c>
      <c r="D35" s="184">
        <v>-0.47224168753713147</v>
      </c>
      <c r="E35" s="184">
        <v>-0.35353861553225002</v>
      </c>
      <c r="F35" s="171">
        <v>5</v>
      </c>
      <c r="G35" s="172">
        <v>4</v>
      </c>
      <c r="H35" s="209">
        <v>-0.21897000000000003</v>
      </c>
      <c r="I35" s="209">
        <v>-0.49012999999999995</v>
      </c>
      <c r="J35" s="209">
        <v>5</v>
      </c>
      <c r="K35" s="210">
        <v>3</v>
      </c>
      <c r="AB35"/>
      <c r="AC35"/>
      <c r="AD35"/>
      <c r="AE35" s="144" t="s">
        <v>17</v>
      </c>
      <c r="AF35" s="57">
        <v>2</v>
      </c>
      <c r="AG35" s="184">
        <v>0.54956734188769396</v>
      </c>
      <c r="AH35" s="184">
        <v>1.345013006803121</v>
      </c>
      <c r="AI35"/>
      <c r="AJ35" s="57" t="s">
        <v>69</v>
      </c>
      <c r="AK35" s="184">
        <v>0.50471224770224676</v>
      </c>
      <c r="AL35" s="184">
        <v>1.1791100835715962</v>
      </c>
      <c r="AM35" s="192">
        <v>4</v>
      </c>
      <c r="AN35"/>
      <c r="AO35" s="144" t="s">
        <v>43</v>
      </c>
      <c r="AP35" s="184">
        <v>-0.47224168753713147</v>
      </c>
      <c r="AQ35" s="184">
        <v>-0.35353861553225002</v>
      </c>
      <c r="AR35" s="195">
        <v>4</v>
      </c>
      <c r="AS35" s="204"/>
      <c r="AT35" s="144" t="s">
        <v>50</v>
      </c>
      <c r="AU35" s="57">
        <v>4</v>
      </c>
      <c r="AV35" s="209">
        <v>0.33506000000000008</v>
      </c>
      <c r="AW35" s="209">
        <v>0.61020000000000008</v>
      </c>
      <c r="AX35"/>
      <c r="AY35" s="144" t="s">
        <v>15</v>
      </c>
      <c r="AZ35" s="57">
        <v>2</v>
      </c>
      <c r="BA35" s="209">
        <v>-0.77102999999999999</v>
      </c>
      <c r="BB35" s="209">
        <v>2.7200000000000002E-3</v>
      </c>
      <c r="BV35"/>
      <c r="BW35"/>
      <c r="BX35" s="57" t="s">
        <v>43</v>
      </c>
      <c r="BY35" s="209">
        <v>-0.21897000000000003</v>
      </c>
      <c r="BZ35" s="209">
        <v>-0.49012999999999995</v>
      </c>
      <c r="CA35" s="209">
        <v>5</v>
      </c>
      <c r="CC35" s="144" t="s">
        <v>43</v>
      </c>
      <c r="CD35" s="209">
        <v>-0.21897000000000003</v>
      </c>
      <c r="CE35" s="209">
        <v>-0.49012999999999995</v>
      </c>
      <c r="CF35" s="210">
        <v>3</v>
      </c>
      <c r="CH35" s="57" t="s">
        <v>74</v>
      </c>
      <c r="CI35" s="184">
        <v>1.2630330246509991</v>
      </c>
      <c r="CJ35" s="184">
        <v>-1.6117585949491351</v>
      </c>
      <c r="CK35" s="260">
        <v>3</v>
      </c>
      <c r="CM35" s="57" t="s">
        <v>74</v>
      </c>
      <c r="CN35" s="259">
        <v>1.8784200000000002</v>
      </c>
      <c r="CO35" s="259">
        <v>-0.41471000000000002</v>
      </c>
      <c r="CP35" s="260">
        <v>3</v>
      </c>
      <c r="DF35" s="57" t="s">
        <v>31</v>
      </c>
      <c r="DG35" s="276">
        <v>-0.26874999999999999</v>
      </c>
      <c r="DH35" s="276">
        <v>-0.66684000000000021</v>
      </c>
      <c r="DI35" s="279">
        <v>2</v>
      </c>
      <c r="DK35" s="57" t="s">
        <v>31</v>
      </c>
      <c r="DL35" s="184">
        <v>-0.83243682646702744</v>
      </c>
      <c r="DM35" s="184">
        <v>-0.37899252472610234</v>
      </c>
      <c r="DN35" s="279">
        <v>2</v>
      </c>
    </row>
    <row r="36" spans="1:118" x14ac:dyDescent="0.3">
      <c r="A36" s="144" t="s">
        <v>44</v>
      </c>
      <c r="B36" s="57">
        <v>5</v>
      </c>
      <c r="C36" s="57">
        <v>1</v>
      </c>
      <c r="D36" s="184">
        <v>0.59186605717887009</v>
      </c>
      <c r="E36" s="184">
        <v>-0.27484254626323917</v>
      </c>
      <c r="F36" s="171">
        <v>4</v>
      </c>
      <c r="G36" s="172">
        <v>5</v>
      </c>
      <c r="H36" s="209">
        <v>0.41580000000000006</v>
      </c>
      <c r="I36" s="209">
        <v>0.25735000000000002</v>
      </c>
      <c r="J36" s="209">
        <v>6</v>
      </c>
      <c r="K36" s="210">
        <v>1</v>
      </c>
      <c r="AB36"/>
      <c r="AC36"/>
      <c r="AD36"/>
      <c r="AE36" s="144" t="s">
        <v>19</v>
      </c>
      <c r="AF36" s="57">
        <v>2</v>
      </c>
      <c r="AG36" s="184">
        <v>9.2910548556283681E-2</v>
      </c>
      <c r="AH36" s="184">
        <v>0.61711236088415244</v>
      </c>
      <c r="AI36"/>
      <c r="AJ36" s="57" t="s">
        <v>71</v>
      </c>
      <c r="AK36" s="184">
        <v>0.38192584864448798</v>
      </c>
      <c r="AL36" s="184">
        <v>0.95067573213328405</v>
      </c>
      <c r="AM36" s="192">
        <v>4</v>
      </c>
      <c r="AN36"/>
      <c r="AO36" s="144" t="s">
        <v>44</v>
      </c>
      <c r="AP36" s="184">
        <v>0.59186605717887009</v>
      </c>
      <c r="AQ36" s="184">
        <v>-0.27484254626323917</v>
      </c>
      <c r="AR36" s="195">
        <v>5</v>
      </c>
      <c r="AS36" s="204"/>
      <c r="AT36" s="144" t="s">
        <v>54</v>
      </c>
      <c r="AU36" s="57">
        <v>4</v>
      </c>
      <c r="AV36" s="209">
        <v>-0.18694000000000002</v>
      </c>
      <c r="AW36" s="209">
        <v>0.65442000000000011</v>
      </c>
      <c r="AX36"/>
      <c r="AY36" s="144" t="s">
        <v>17</v>
      </c>
      <c r="AZ36" s="57">
        <v>2</v>
      </c>
      <c r="BA36" s="209">
        <v>-0.49468999999999996</v>
      </c>
      <c r="BB36" s="209">
        <v>1.2204999999999999</v>
      </c>
      <c r="BV36"/>
      <c r="BW36"/>
      <c r="BX36" s="57" t="s">
        <v>44</v>
      </c>
      <c r="BY36" s="209">
        <v>0.41580000000000006</v>
      </c>
      <c r="BZ36" s="209">
        <v>0.25735000000000002</v>
      </c>
      <c r="CA36" s="209">
        <v>6</v>
      </c>
      <c r="CC36" s="144" t="s">
        <v>44</v>
      </c>
      <c r="CD36" s="209">
        <v>0.41580000000000006</v>
      </c>
      <c r="CE36" s="209">
        <v>0.25735000000000002</v>
      </c>
      <c r="CF36" s="210">
        <v>1</v>
      </c>
      <c r="CH36" s="57" t="s">
        <v>87</v>
      </c>
      <c r="CI36" s="184">
        <v>1.4547738298003259</v>
      </c>
      <c r="CJ36" s="184">
        <v>-0.9229060546623441</v>
      </c>
      <c r="CK36" s="260">
        <v>3</v>
      </c>
      <c r="CM36" s="57" t="s">
        <v>87</v>
      </c>
      <c r="CN36" s="259">
        <v>2.0257999999999998</v>
      </c>
      <c r="CO36" s="259">
        <v>0.10603000000000001</v>
      </c>
      <c r="CP36" s="260">
        <v>3</v>
      </c>
      <c r="DF36" s="57" t="s">
        <v>32</v>
      </c>
      <c r="DG36" s="276">
        <v>-0.23275000000000001</v>
      </c>
      <c r="DH36" s="276">
        <v>-0.75420000000000009</v>
      </c>
      <c r="DI36" s="279">
        <v>2</v>
      </c>
      <c r="DK36" s="57" t="s">
        <v>32</v>
      </c>
      <c r="DL36" s="184">
        <v>-0.53732615886278245</v>
      </c>
      <c r="DM36" s="184">
        <v>-0.70069206906462911</v>
      </c>
      <c r="DN36" s="279">
        <v>2</v>
      </c>
    </row>
    <row r="37" spans="1:118" x14ac:dyDescent="0.3">
      <c r="A37" s="144" t="s">
        <v>45</v>
      </c>
      <c r="B37" s="57">
        <v>5</v>
      </c>
      <c r="C37" s="57">
        <v>1</v>
      </c>
      <c r="D37" s="184">
        <v>0.11784038726282435</v>
      </c>
      <c r="E37" s="184">
        <v>-0.19242814979095843</v>
      </c>
      <c r="F37" s="171">
        <v>5</v>
      </c>
      <c r="G37" s="172">
        <v>5</v>
      </c>
      <c r="H37" s="209">
        <v>-3.7600000000000001E-2</v>
      </c>
      <c r="I37" s="209">
        <v>-6.7860000000000004E-2</v>
      </c>
      <c r="J37" s="209">
        <v>6</v>
      </c>
      <c r="K37" s="210">
        <v>1</v>
      </c>
      <c r="AB37"/>
      <c r="AC37"/>
      <c r="AD37"/>
      <c r="AE37" s="144" t="s">
        <v>30</v>
      </c>
      <c r="AF37" s="57">
        <v>2</v>
      </c>
      <c r="AG37" s="184">
        <v>2.1114207833418847E-2</v>
      </c>
      <c r="AH37" s="184">
        <v>0.33185936800214466</v>
      </c>
      <c r="AI37"/>
      <c r="AJ37" s="57" t="s">
        <v>72</v>
      </c>
      <c r="AK37" s="184">
        <v>1.9225482032011199</v>
      </c>
      <c r="AL37" s="184">
        <v>0.19540940161061801</v>
      </c>
      <c r="AM37" s="192">
        <v>4</v>
      </c>
      <c r="AN37"/>
      <c r="AO37" s="144" t="s">
        <v>45</v>
      </c>
      <c r="AP37" s="184">
        <v>0.11784038726282435</v>
      </c>
      <c r="AQ37" s="184">
        <v>-0.19242814979095843</v>
      </c>
      <c r="AR37" s="195">
        <v>5</v>
      </c>
      <c r="AS37" s="204"/>
      <c r="AT37" s="144" t="s">
        <v>66</v>
      </c>
      <c r="AU37" s="57">
        <v>4</v>
      </c>
      <c r="AV37" s="209">
        <v>-0.20050000000000001</v>
      </c>
      <c r="AW37" s="209">
        <v>2.1512799999999999</v>
      </c>
      <c r="AX37"/>
      <c r="AY37" s="144" t="s">
        <v>19</v>
      </c>
      <c r="AZ37" s="57">
        <v>2</v>
      </c>
      <c r="BA37" s="209">
        <v>-0.39745000000000003</v>
      </c>
      <c r="BB37" s="209">
        <v>0.37058000000000008</v>
      </c>
      <c r="BV37"/>
      <c r="BW37"/>
      <c r="BX37" s="57" t="s">
        <v>45</v>
      </c>
      <c r="BY37" s="209">
        <v>-3.7600000000000001E-2</v>
      </c>
      <c r="BZ37" s="209">
        <v>-6.7860000000000004E-2</v>
      </c>
      <c r="CA37" s="209">
        <v>6</v>
      </c>
      <c r="CC37" s="144" t="s">
        <v>45</v>
      </c>
      <c r="CD37" s="209">
        <v>-3.7600000000000001E-2</v>
      </c>
      <c r="CE37" s="209">
        <v>-6.7860000000000004E-2</v>
      </c>
      <c r="CF37" s="210">
        <v>1</v>
      </c>
      <c r="CH37" s="57" t="s">
        <v>91</v>
      </c>
      <c r="CI37" s="184">
        <v>1.207500458842643</v>
      </c>
      <c r="CJ37" s="184">
        <v>-2.7419796543657977</v>
      </c>
      <c r="CK37" s="260">
        <v>3</v>
      </c>
      <c r="CM37" s="57" t="s">
        <v>91</v>
      </c>
      <c r="CN37" s="259">
        <v>2.6389500000000004</v>
      </c>
      <c r="CO37" s="259">
        <v>-1.01142</v>
      </c>
      <c r="CP37" s="260">
        <v>3</v>
      </c>
      <c r="DF37" s="57" t="s">
        <v>38</v>
      </c>
      <c r="DG37" s="276">
        <v>-0.30683000000000005</v>
      </c>
      <c r="DH37" s="276">
        <v>-0.45441000000000004</v>
      </c>
      <c r="DI37" s="279">
        <v>2</v>
      </c>
      <c r="DK37" s="57" t="s">
        <v>38</v>
      </c>
      <c r="DL37" s="184">
        <v>-0.51279440621154393</v>
      </c>
      <c r="DM37" s="184">
        <v>-0.3777045991724946</v>
      </c>
      <c r="DN37" s="279">
        <v>2</v>
      </c>
    </row>
    <row r="38" spans="1:118" x14ac:dyDescent="0.3">
      <c r="A38" s="144" t="s">
        <v>46</v>
      </c>
      <c r="B38" s="57">
        <v>5</v>
      </c>
      <c r="C38" s="57">
        <v>1</v>
      </c>
      <c r="D38" s="184">
        <v>-4.8555712137070377E-2</v>
      </c>
      <c r="E38" s="184">
        <v>0.21406479878870677</v>
      </c>
      <c r="F38" s="171">
        <v>4</v>
      </c>
      <c r="G38" s="172">
        <v>3</v>
      </c>
      <c r="H38" s="209">
        <v>-0.13754000000000002</v>
      </c>
      <c r="I38" s="209">
        <v>0.10106000000000001</v>
      </c>
      <c r="J38" s="209">
        <v>6</v>
      </c>
      <c r="K38" s="210">
        <v>1</v>
      </c>
      <c r="AB38"/>
      <c r="AC38"/>
      <c r="AD38"/>
      <c r="AE38" s="144" t="s">
        <v>37</v>
      </c>
      <c r="AF38" s="57">
        <v>2</v>
      </c>
      <c r="AG38" s="184">
        <v>-0.12212939757241779</v>
      </c>
      <c r="AH38" s="184">
        <v>0.67138208743299133</v>
      </c>
      <c r="AI38"/>
      <c r="AJ38" s="57" t="s">
        <v>75</v>
      </c>
      <c r="AK38" s="184">
        <v>1.1610158884903476</v>
      </c>
      <c r="AL38" s="184">
        <v>0.21047329433474243</v>
      </c>
      <c r="AM38" s="192">
        <v>4</v>
      </c>
      <c r="AN38"/>
      <c r="AO38" s="144" t="s">
        <v>46</v>
      </c>
      <c r="AP38" s="184">
        <v>-4.8555712137070377E-2</v>
      </c>
      <c r="AQ38" s="184">
        <v>0.21406479878870677</v>
      </c>
      <c r="AR38" s="195">
        <v>3</v>
      </c>
      <c r="AS38" s="204"/>
      <c r="AT38" s="144" t="s">
        <v>69</v>
      </c>
      <c r="AU38" s="57">
        <v>4</v>
      </c>
      <c r="AV38" s="209">
        <v>-0.42329</v>
      </c>
      <c r="AW38" s="209">
        <v>1.1356200000000001</v>
      </c>
      <c r="AX38"/>
      <c r="AY38" s="144" t="s">
        <v>25</v>
      </c>
      <c r="AZ38" s="57">
        <v>2</v>
      </c>
      <c r="BA38" s="209">
        <v>-1.2376800000000001</v>
      </c>
      <c r="BB38" s="209">
        <v>-0.23866000000000001</v>
      </c>
      <c r="BV38"/>
      <c r="BW38"/>
      <c r="BX38" s="57" t="s">
        <v>46</v>
      </c>
      <c r="BY38" s="209">
        <v>-0.13754000000000002</v>
      </c>
      <c r="BZ38" s="209">
        <v>0.10106000000000001</v>
      </c>
      <c r="CA38" s="209">
        <v>6</v>
      </c>
      <c r="CC38" s="144" t="s">
        <v>46</v>
      </c>
      <c r="CD38" s="209">
        <v>-0.13754000000000002</v>
      </c>
      <c r="CE38" s="209">
        <v>0.10106000000000001</v>
      </c>
      <c r="CF38" s="210">
        <v>1</v>
      </c>
      <c r="CH38" s="57" t="s">
        <v>92</v>
      </c>
      <c r="CI38" s="184">
        <v>1.8519577028092515</v>
      </c>
      <c r="CJ38" s="184">
        <v>-1.5444107482984073</v>
      </c>
      <c r="CK38" s="260">
        <v>3</v>
      </c>
      <c r="CM38" s="57" t="s">
        <v>92</v>
      </c>
      <c r="CN38" s="259">
        <v>3.1473</v>
      </c>
      <c r="CO38" s="259">
        <v>-0.16088</v>
      </c>
      <c r="CP38" s="260">
        <v>3</v>
      </c>
      <c r="DF38" s="57" t="s">
        <v>42</v>
      </c>
      <c r="DG38" s="276">
        <v>-0.11483</v>
      </c>
      <c r="DH38" s="276">
        <v>0.50266</v>
      </c>
      <c r="DI38" s="279">
        <v>2</v>
      </c>
      <c r="DK38" s="57" t="s">
        <v>42</v>
      </c>
      <c r="DL38" s="184">
        <v>0.3625082007930116</v>
      </c>
      <c r="DM38" s="184">
        <v>0.32542452430306057</v>
      </c>
      <c r="DN38" s="279">
        <v>2</v>
      </c>
    </row>
    <row r="39" spans="1:118" x14ac:dyDescent="0.3">
      <c r="A39" s="144" t="s">
        <v>47</v>
      </c>
      <c r="B39" s="57">
        <v>2</v>
      </c>
      <c r="C39" s="57">
        <v>2</v>
      </c>
      <c r="D39" s="184">
        <v>-0.63228597945242293</v>
      </c>
      <c r="E39" s="184">
        <v>-3.6711754820950154E-2</v>
      </c>
      <c r="F39" s="171">
        <v>5</v>
      </c>
      <c r="G39" s="172">
        <v>4</v>
      </c>
      <c r="H39" s="209">
        <v>-0.39466000000000001</v>
      </c>
      <c r="I39" s="209">
        <v>-0.45457000000000003</v>
      </c>
      <c r="J39" s="209">
        <v>5</v>
      </c>
      <c r="K39" s="210">
        <v>3</v>
      </c>
      <c r="AB39"/>
      <c r="AC39"/>
      <c r="AD39"/>
      <c r="AE39" s="144" t="s">
        <v>42</v>
      </c>
      <c r="AF39" s="57">
        <v>2</v>
      </c>
      <c r="AG39" s="184">
        <v>0.3625082007930116</v>
      </c>
      <c r="AH39" s="184">
        <v>0.32542452430306057</v>
      </c>
      <c r="AI39"/>
      <c r="AJ39" s="57" t="s">
        <v>78</v>
      </c>
      <c r="AK39" s="184">
        <v>7.0736769437563504E-2</v>
      </c>
      <c r="AL39" s="184">
        <v>1.0526493771490244</v>
      </c>
      <c r="AM39" s="192">
        <v>4</v>
      </c>
      <c r="AN39"/>
      <c r="AO39" s="144" t="s">
        <v>47</v>
      </c>
      <c r="AP39" s="184">
        <v>-0.63228597945242293</v>
      </c>
      <c r="AQ39" s="184">
        <v>-3.6711754820950154E-2</v>
      </c>
      <c r="AR39" s="195">
        <v>4</v>
      </c>
      <c r="AS39" s="204"/>
      <c r="AT39" s="144" t="s">
        <v>71</v>
      </c>
      <c r="AU39" s="57">
        <v>4</v>
      </c>
      <c r="AV39" s="209">
        <v>-0.27778999999999998</v>
      </c>
      <c r="AW39" s="209">
        <v>0.94073000000000007</v>
      </c>
      <c r="AX39"/>
      <c r="AY39" s="144" t="s">
        <v>29</v>
      </c>
      <c r="AZ39" s="57">
        <v>2</v>
      </c>
      <c r="BA39" s="209">
        <v>-0.88119999999999998</v>
      </c>
      <c r="BB39" s="209">
        <v>-0.50312000000000001</v>
      </c>
      <c r="BV39"/>
      <c r="BW39"/>
      <c r="BX39" s="57" t="s">
        <v>47</v>
      </c>
      <c r="BY39" s="209">
        <v>-0.39466000000000001</v>
      </c>
      <c r="BZ39" s="209">
        <v>-0.45457000000000003</v>
      </c>
      <c r="CA39" s="209">
        <v>5</v>
      </c>
      <c r="CC39" s="144" t="s">
        <v>47</v>
      </c>
      <c r="CD39" s="209">
        <v>-0.39466000000000001</v>
      </c>
      <c r="CE39" s="209">
        <v>-0.45457000000000003</v>
      </c>
      <c r="CF39" s="210">
        <v>3</v>
      </c>
      <c r="CH39" s="57" t="s">
        <v>17</v>
      </c>
      <c r="CI39" s="184">
        <v>0.54956734188769396</v>
      </c>
      <c r="CJ39" s="184">
        <v>1.345013006803121</v>
      </c>
      <c r="CK39" s="260">
        <v>4</v>
      </c>
      <c r="CM39" s="57" t="s">
        <v>17</v>
      </c>
      <c r="CN39" s="259">
        <v>-0.49468999999999996</v>
      </c>
      <c r="CO39" s="259">
        <v>1.2204999999999999</v>
      </c>
      <c r="CP39" s="260">
        <v>4</v>
      </c>
      <c r="DF39" s="57" t="s">
        <v>47</v>
      </c>
      <c r="DG39" s="276">
        <v>-0.39466000000000001</v>
      </c>
      <c r="DH39" s="276">
        <v>-0.45457000000000003</v>
      </c>
      <c r="DI39" s="279">
        <v>2</v>
      </c>
      <c r="DK39" s="57" t="s">
        <v>47</v>
      </c>
      <c r="DL39" s="184">
        <v>-0.63228597945242293</v>
      </c>
      <c r="DM39" s="184">
        <v>-3.6711754820950154E-2</v>
      </c>
      <c r="DN39" s="279">
        <v>2</v>
      </c>
    </row>
    <row r="40" spans="1:118" x14ac:dyDescent="0.3">
      <c r="A40" s="144" t="s">
        <v>48</v>
      </c>
      <c r="B40" s="57">
        <v>2</v>
      </c>
      <c r="C40" s="57">
        <v>2</v>
      </c>
      <c r="D40" s="184">
        <v>-0.53558584549118027</v>
      </c>
      <c r="E40" s="184">
        <v>0.26146422268170821</v>
      </c>
      <c r="F40" s="171">
        <v>5</v>
      </c>
      <c r="G40" s="172">
        <v>4</v>
      </c>
      <c r="H40" s="209">
        <v>-0.48174</v>
      </c>
      <c r="I40" s="209">
        <v>-0.21878000000000003</v>
      </c>
      <c r="J40" s="209">
        <v>5</v>
      </c>
      <c r="K40" s="210">
        <v>1</v>
      </c>
      <c r="AB40"/>
      <c r="AC40"/>
      <c r="AD40"/>
      <c r="AE40" s="144" t="s">
        <v>54</v>
      </c>
      <c r="AF40" s="57">
        <v>2</v>
      </c>
      <c r="AG40" s="184">
        <v>0.16969776162509348</v>
      </c>
      <c r="AH40" s="184">
        <v>0.80167679796189062</v>
      </c>
      <c r="AI40"/>
      <c r="AJ40" s="57" t="s">
        <v>82</v>
      </c>
      <c r="AK40" s="184">
        <v>0.15076936481568043</v>
      </c>
      <c r="AL40" s="184">
        <v>0.25267007267107311</v>
      </c>
      <c r="AM40" s="192">
        <v>4</v>
      </c>
      <c r="AN40"/>
      <c r="AO40" s="144" t="s">
        <v>48</v>
      </c>
      <c r="AP40" s="184">
        <v>-0.53558584549118027</v>
      </c>
      <c r="AQ40" s="184">
        <v>0.26146422268170821</v>
      </c>
      <c r="AR40" s="195">
        <v>4</v>
      </c>
      <c r="AS40" s="204"/>
      <c r="AT40" s="144" t="s">
        <v>72</v>
      </c>
      <c r="AU40" s="57">
        <v>4</v>
      </c>
      <c r="AV40" s="209">
        <v>1.2181299999999999</v>
      </c>
      <c r="AW40" s="209">
        <v>1.2356400000000001</v>
      </c>
      <c r="AX40"/>
      <c r="AY40" s="144" t="s">
        <v>30</v>
      </c>
      <c r="AZ40" s="57">
        <v>2</v>
      </c>
      <c r="BA40" s="209">
        <v>-0.10676000000000002</v>
      </c>
      <c r="BB40" s="209">
        <v>0.21414000000000002</v>
      </c>
      <c r="BV40"/>
      <c r="BW40"/>
      <c r="BX40" s="57" t="s">
        <v>48</v>
      </c>
      <c r="BY40" s="209">
        <v>-0.48174</v>
      </c>
      <c r="BZ40" s="209">
        <v>-0.21878000000000003</v>
      </c>
      <c r="CA40" s="209">
        <v>5</v>
      </c>
      <c r="CC40" s="144" t="s">
        <v>48</v>
      </c>
      <c r="CD40" s="209">
        <v>-0.48174</v>
      </c>
      <c r="CE40" s="209">
        <v>-0.21878000000000003</v>
      </c>
      <c r="CF40" s="210">
        <v>1</v>
      </c>
      <c r="CH40" s="57" t="s">
        <v>19</v>
      </c>
      <c r="CI40" s="184">
        <v>9.2910548556283681E-2</v>
      </c>
      <c r="CJ40" s="184">
        <v>0.61711236088415244</v>
      </c>
      <c r="CK40" s="260">
        <v>4</v>
      </c>
      <c r="CM40" s="57" t="s">
        <v>19</v>
      </c>
      <c r="CN40" s="259">
        <v>-0.39745000000000003</v>
      </c>
      <c r="CO40" s="259">
        <v>0.37058000000000008</v>
      </c>
      <c r="CP40" s="260">
        <v>4</v>
      </c>
      <c r="DF40" s="57" t="s">
        <v>48</v>
      </c>
      <c r="DG40" s="276">
        <v>-0.48174</v>
      </c>
      <c r="DH40" s="276">
        <v>-0.21878000000000003</v>
      </c>
      <c r="DI40" s="279">
        <v>2</v>
      </c>
      <c r="DK40" s="57" t="s">
        <v>48</v>
      </c>
      <c r="DL40" s="184">
        <v>-0.53558584549118027</v>
      </c>
      <c r="DM40" s="184">
        <v>0.26146422268170821</v>
      </c>
      <c r="DN40" s="279">
        <v>2</v>
      </c>
    </row>
    <row r="41" spans="1:118" x14ac:dyDescent="0.3">
      <c r="A41" s="144" t="s">
        <v>49</v>
      </c>
      <c r="B41" s="57">
        <v>5</v>
      </c>
      <c r="C41" s="57">
        <v>1</v>
      </c>
      <c r="D41" s="184">
        <v>0.30561908669063659</v>
      </c>
      <c r="E41" s="184">
        <v>0.29554761095456156</v>
      </c>
      <c r="F41" s="171">
        <v>4</v>
      </c>
      <c r="G41" s="172">
        <v>3</v>
      </c>
      <c r="H41" s="209">
        <v>5.679E-2</v>
      </c>
      <c r="I41" s="209">
        <v>0.35210000000000002</v>
      </c>
      <c r="J41" s="209">
        <v>6</v>
      </c>
      <c r="K41" s="210">
        <v>1</v>
      </c>
      <c r="AB41"/>
      <c r="AC41"/>
      <c r="AD41"/>
      <c r="AE41" s="144" t="s">
        <v>69</v>
      </c>
      <c r="AF41" s="57">
        <v>2</v>
      </c>
      <c r="AG41" s="184">
        <v>0.50471224770224676</v>
      </c>
      <c r="AH41" s="184">
        <v>1.1791100835715962</v>
      </c>
      <c r="AI41"/>
      <c r="AJ41" s="57" t="s">
        <v>83</v>
      </c>
      <c r="AK41" s="184">
        <v>0.95017992838704834</v>
      </c>
      <c r="AL41" s="184">
        <v>0.75903846068162117</v>
      </c>
      <c r="AM41" s="192">
        <v>4</v>
      </c>
      <c r="AN41"/>
      <c r="AO41" s="144" t="s">
        <v>49</v>
      </c>
      <c r="AP41" s="184">
        <v>0.30561908669063659</v>
      </c>
      <c r="AQ41" s="184">
        <v>0.29554761095456156</v>
      </c>
      <c r="AR41" s="195">
        <v>3</v>
      </c>
      <c r="AS41" s="204"/>
      <c r="AT41" s="144" t="s">
        <v>73</v>
      </c>
      <c r="AU41" s="57">
        <v>4</v>
      </c>
      <c r="AV41" s="209">
        <v>-0.38332000000000011</v>
      </c>
      <c r="AW41" s="209">
        <v>0.13881000000000002</v>
      </c>
      <c r="AX41"/>
      <c r="AY41" s="144" t="s">
        <v>33</v>
      </c>
      <c r="AZ41" s="57">
        <v>2</v>
      </c>
      <c r="BA41" s="209">
        <v>-0.47765000000000002</v>
      </c>
      <c r="BB41" s="209">
        <v>2.1166700000000001</v>
      </c>
      <c r="BV41"/>
      <c r="BW41"/>
      <c r="BX41" s="57" t="s">
        <v>49</v>
      </c>
      <c r="BY41" s="209">
        <v>5.679E-2</v>
      </c>
      <c r="BZ41" s="209">
        <v>0.35210000000000002</v>
      </c>
      <c r="CA41" s="209">
        <v>6</v>
      </c>
      <c r="CC41" s="144" t="s">
        <v>49</v>
      </c>
      <c r="CD41" s="209">
        <v>5.679E-2</v>
      </c>
      <c r="CE41" s="209">
        <v>0.35210000000000002</v>
      </c>
      <c r="CF41" s="210">
        <v>1</v>
      </c>
      <c r="CH41" s="57" t="s">
        <v>30</v>
      </c>
      <c r="CI41" s="184">
        <v>2.1114207833418847E-2</v>
      </c>
      <c r="CJ41" s="184">
        <v>0.33185936800214466</v>
      </c>
      <c r="CK41" s="260">
        <v>4</v>
      </c>
      <c r="CM41" s="57" t="s">
        <v>30</v>
      </c>
      <c r="CN41" s="259">
        <v>-0.10676000000000002</v>
      </c>
      <c r="CO41" s="259">
        <v>0.21414000000000002</v>
      </c>
      <c r="CP41" s="260">
        <v>4</v>
      </c>
      <c r="DF41" s="57" t="s">
        <v>49</v>
      </c>
      <c r="DG41" s="276">
        <v>5.679E-2</v>
      </c>
      <c r="DH41" s="276">
        <v>0.35210000000000002</v>
      </c>
      <c r="DI41" s="279">
        <v>2</v>
      </c>
      <c r="DK41" s="57" t="s">
        <v>49</v>
      </c>
      <c r="DL41" s="184">
        <v>0.30561908669063659</v>
      </c>
      <c r="DM41" s="184">
        <v>0.29554761095456156</v>
      </c>
      <c r="DN41" s="279">
        <v>2</v>
      </c>
    </row>
    <row r="42" spans="1:118" x14ac:dyDescent="0.3">
      <c r="A42" s="144" t="s">
        <v>50</v>
      </c>
      <c r="B42" s="57">
        <v>4</v>
      </c>
      <c r="C42" s="57">
        <v>1</v>
      </c>
      <c r="D42" s="184">
        <v>0.75087772297068511</v>
      </c>
      <c r="E42" s="184">
        <v>0.284518146266525</v>
      </c>
      <c r="F42" s="171">
        <v>4</v>
      </c>
      <c r="G42" s="172">
        <v>3</v>
      </c>
      <c r="H42" s="209">
        <v>0.33506000000000008</v>
      </c>
      <c r="I42" s="209">
        <v>0.61020000000000008</v>
      </c>
      <c r="J42" s="209">
        <v>6</v>
      </c>
      <c r="K42" s="210">
        <v>5</v>
      </c>
      <c r="AB42"/>
      <c r="AC42"/>
      <c r="AD42"/>
      <c r="AE42" s="144" t="s">
        <v>71</v>
      </c>
      <c r="AF42" s="57">
        <v>2</v>
      </c>
      <c r="AG42" s="184">
        <v>0.38192584864448798</v>
      </c>
      <c r="AH42" s="184">
        <v>0.95067573213328405</v>
      </c>
      <c r="AI42"/>
      <c r="AJ42" s="57" t="s">
        <v>88</v>
      </c>
      <c r="AK42" s="184">
        <v>0.605509288233405</v>
      </c>
      <c r="AL42" s="184">
        <v>0.57568127794030155</v>
      </c>
      <c r="AM42" s="192">
        <v>4</v>
      </c>
      <c r="AN42"/>
      <c r="AO42" s="144" t="s">
        <v>50</v>
      </c>
      <c r="AP42" s="184">
        <v>0.75087772297068511</v>
      </c>
      <c r="AQ42" s="184">
        <v>0.284518146266525</v>
      </c>
      <c r="AR42" s="195">
        <v>3</v>
      </c>
      <c r="AS42" s="204"/>
      <c r="AT42" s="144" t="s">
        <v>78</v>
      </c>
      <c r="AU42" s="57">
        <v>4</v>
      </c>
      <c r="AV42" s="209">
        <v>-0.60492000000000012</v>
      </c>
      <c r="AW42" s="209">
        <v>0.82543</v>
      </c>
      <c r="AX42"/>
      <c r="AY42" s="144" t="s">
        <v>37</v>
      </c>
      <c r="AZ42" s="57">
        <v>2</v>
      </c>
      <c r="BA42" s="209">
        <v>-4.2010000000000006E-2</v>
      </c>
      <c r="BB42" s="209">
        <v>0.17597000000000002</v>
      </c>
      <c r="BV42"/>
      <c r="BW42"/>
      <c r="BX42" s="57" t="s">
        <v>50</v>
      </c>
      <c r="BY42" s="209">
        <v>0.33506000000000008</v>
      </c>
      <c r="BZ42" s="209">
        <v>0.61020000000000008</v>
      </c>
      <c r="CA42" s="209">
        <v>6</v>
      </c>
      <c r="CC42" s="144" t="s">
        <v>50</v>
      </c>
      <c r="CD42" s="209">
        <v>0.33506000000000008</v>
      </c>
      <c r="CE42" s="209">
        <v>0.61020000000000008</v>
      </c>
      <c r="CF42" s="210">
        <v>5</v>
      </c>
      <c r="CH42" s="57" t="s">
        <v>33</v>
      </c>
      <c r="CI42" s="184">
        <v>0.99117733961336074</v>
      </c>
      <c r="CJ42" s="184">
        <v>2.0882362408117352</v>
      </c>
      <c r="CK42" s="260">
        <v>4</v>
      </c>
      <c r="CM42" s="57" t="s">
        <v>33</v>
      </c>
      <c r="CN42" s="259">
        <v>-0.47765000000000002</v>
      </c>
      <c r="CO42" s="259">
        <v>2.1166700000000001</v>
      </c>
      <c r="CP42" s="260">
        <v>4</v>
      </c>
      <c r="DF42" s="57" t="s">
        <v>50</v>
      </c>
      <c r="DG42" s="276">
        <v>0.33506000000000008</v>
      </c>
      <c r="DH42" s="276">
        <v>0.61020000000000008</v>
      </c>
      <c r="DI42" s="279">
        <v>2</v>
      </c>
      <c r="DK42" s="57" t="s">
        <v>50</v>
      </c>
      <c r="DL42" s="184">
        <v>0.75087772297068511</v>
      </c>
      <c r="DM42" s="184">
        <v>0.284518146266525</v>
      </c>
      <c r="DN42" s="279">
        <v>2</v>
      </c>
    </row>
    <row r="43" spans="1:118" x14ac:dyDescent="0.3">
      <c r="A43" s="144" t="s">
        <v>51</v>
      </c>
      <c r="B43" s="57">
        <v>6</v>
      </c>
      <c r="C43" s="57">
        <v>3</v>
      </c>
      <c r="D43" s="184">
        <v>-0.84963960583490516</v>
      </c>
      <c r="E43" s="184">
        <v>-0.4126141810854681</v>
      </c>
      <c r="F43" s="171">
        <v>1</v>
      </c>
      <c r="G43" s="172">
        <v>4</v>
      </c>
      <c r="H43" s="209">
        <v>-0.40191000000000004</v>
      </c>
      <c r="I43" s="209">
        <v>-0.67977000000000021</v>
      </c>
      <c r="J43" s="209">
        <v>5</v>
      </c>
      <c r="K43" s="210">
        <v>3</v>
      </c>
      <c r="AB43"/>
      <c r="AC43"/>
      <c r="AD43"/>
      <c r="AE43" s="144" t="s">
        <v>78</v>
      </c>
      <c r="AF43" s="57">
        <v>2</v>
      </c>
      <c r="AG43" s="184">
        <v>7.0736769437563504E-2</v>
      </c>
      <c r="AH43" s="184">
        <v>1.0526493771490244</v>
      </c>
      <c r="AI43"/>
      <c r="AJ43" s="57" t="s">
        <v>73</v>
      </c>
      <c r="AK43" s="184">
        <v>-0.20559813238350497</v>
      </c>
      <c r="AL43" s="184">
        <v>0.24229698766122199</v>
      </c>
      <c r="AM43" s="192">
        <v>4</v>
      </c>
      <c r="AN43"/>
      <c r="AO43" s="144" t="s">
        <v>51</v>
      </c>
      <c r="AP43" s="184">
        <v>-0.84963960583490516</v>
      </c>
      <c r="AQ43" s="184">
        <v>-0.4126141810854681</v>
      </c>
      <c r="AR43" s="195">
        <v>4</v>
      </c>
      <c r="AS43" s="204"/>
      <c r="AT43" s="144" t="s">
        <v>82</v>
      </c>
      <c r="AU43" s="57">
        <v>4</v>
      </c>
      <c r="AV43" s="209">
        <v>-0.10286000000000001</v>
      </c>
      <c r="AW43" s="209">
        <v>0.18959000000000001</v>
      </c>
      <c r="AX43"/>
      <c r="AY43" s="144" t="s">
        <v>42</v>
      </c>
      <c r="AZ43" s="57">
        <v>2</v>
      </c>
      <c r="BA43" s="209">
        <v>-0.11483</v>
      </c>
      <c r="BB43" s="209">
        <v>0.50266</v>
      </c>
      <c r="BV43"/>
      <c r="BW43"/>
      <c r="BX43" s="57" t="s">
        <v>51</v>
      </c>
      <c r="BY43" s="209">
        <v>-0.40191000000000004</v>
      </c>
      <c r="BZ43" s="209">
        <v>-0.67977000000000021</v>
      </c>
      <c r="CA43" s="209">
        <v>5</v>
      </c>
      <c r="CC43" s="144" t="s">
        <v>51</v>
      </c>
      <c r="CD43" s="209">
        <v>-0.40191000000000004</v>
      </c>
      <c r="CE43" s="209">
        <v>-0.67977000000000021</v>
      </c>
      <c r="CF43" s="210">
        <v>3</v>
      </c>
      <c r="CH43" s="57" t="s">
        <v>40</v>
      </c>
      <c r="CI43" s="184">
        <v>3.2488353767908791</v>
      </c>
      <c r="CJ43" s="184">
        <v>2.4658023062022982</v>
      </c>
      <c r="CK43" s="260">
        <v>4</v>
      </c>
      <c r="CM43" s="57" t="s">
        <v>40</v>
      </c>
      <c r="CN43" s="259">
        <v>0.66459000000000013</v>
      </c>
      <c r="CO43" s="259">
        <v>3.3225899999999999</v>
      </c>
      <c r="CP43" s="260">
        <v>4</v>
      </c>
      <c r="DF43" s="57" t="s">
        <v>51</v>
      </c>
      <c r="DG43" s="276">
        <v>-0.40191000000000004</v>
      </c>
      <c r="DH43" s="276">
        <v>-0.67977000000000021</v>
      </c>
      <c r="DI43" s="266">
        <v>2</v>
      </c>
      <c r="DK43" s="57" t="s">
        <v>51</v>
      </c>
      <c r="DL43" s="184">
        <v>-0.84963960583490516</v>
      </c>
      <c r="DM43" s="184">
        <v>-0.4126141810854681</v>
      </c>
      <c r="DN43" s="266">
        <v>2</v>
      </c>
    </row>
    <row r="44" spans="1:118" x14ac:dyDescent="0.3">
      <c r="A44" s="144" t="s">
        <v>52</v>
      </c>
      <c r="B44" s="57">
        <v>2</v>
      </c>
      <c r="C44" s="57">
        <v>3</v>
      </c>
      <c r="D44" s="184">
        <v>-0.99743975160533349</v>
      </c>
      <c r="E44" s="184">
        <v>0.22426554636965412</v>
      </c>
      <c r="F44" s="171">
        <v>6</v>
      </c>
      <c r="G44" s="172">
        <v>4</v>
      </c>
      <c r="H44" s="209">
        <v>-0.76722000000000001</v>
      </c>
      <c r="I44" s="209">
        <v>-0.45534000000000002</v>
      </c>
      <c r="J44" s="209">
        <v>5</v>
      </c>
      <c r="K44" s="210">
        <v>2</v>
      </c>
      <c r="AB44"/>
      <c r="AC44"/>
      <c r="AD44"/>
      <c r="AE44" s="144" t="s">
        <v>82</v>
      </c>
      <c r="AF44" s="57">
        <v>2</v>
      </c>
      <c r="AG44" s="184">
        <v>0.15076936481568043</v>
      </c>
      <c r="AH44" s="184">
        <v>0.25267007267107311</v>
      </c>
      <c r="AI44"/>
      <c r="AJ44" s="57" t="s">
        <v>85</v>
      </c>
      <c r="AK44" s="184">
        <v>-0.14824621074977959</v>
      </c>
      <c r="AL44" s="184">
        <v>1.6283985682877478E-2</v>
      </c>
      <c r="AM44" s="192">
        <v>4</v>
      </c>
      <c r="AN44"/>
      <c r="AO44" s="144" t="s">
        <v>52</v>
      </c>
      <c r="AP44" s="184">
        <v>-0.99743975160533349</v>
      </c>
      <c r="AQ44" s="184">
        <v>0.22426554636965412</v>
      </c>
      <c r="AR44" s="195">
        <v>4</v>
      </c>
      <c r="AS44" s="204"/>
      <c r="AT44" s="144" t="s">
        <v>83</v>
      </c>
      <c r="AU44" s="57">
        <v>4</v>
      </c>
      <c r="AV44" s="209">
        <v>0.42163</v>
      </c>
      <c r="AW44" s="209">
        <v>0.8761000000000001</v>
      </c>
      <c r="AX44"/>
      <c r="AY44" s="144" t="s">
        <v>47</v>
      </c>
      <c r="AZ44" s="57">
        <v>2</v>
      </c>
      <c r="BA44" s="209">
        <v>-0.39466000000000001</v>
      </c>
      <c r="BB44" s="209">
        <v>-0.45457000000000003</v>
      </c>
      <c r="BV44"/>
      <c r="BW44"/>
      <c r="BX44" s="57" t="s">
        <v>52</v>
      </c>
      <c r="BY44" s="209">
        <v>-0.76722000000000001</v>
      </c>
      <c r="BZ44" s="209">
        <v>-0.45534000000000002</v>
      </c>
      <c r="CA44" s="209">
        <v>5</v>
      </c>
      <c r="CC44" s="144" t="s">
        <v>52</v>
      </c>
      <c r="CD44" s="209">
        <v>-0.76722000000000001</v>
      </c>
      <c r="CE44" s="209">
        <v>-0.45534000000000002</v>
      </c>
      <c r="CF44" s="210">
        <v>2</v>
      </c>
      <c r="CH44" s="57" t="s">
        <v>42</v>
      </c>
      <c r="CI44" s="184">
        <v>0.3625082007930116</v>
      </c>
      <c r="CJ44" s="184">
        <v>0.32542452430306057</v>
      </c>
      <c r="CK44" s="260">
        <v>4</v>
      </c>
      <c r="CM44" s="57" t="s">
        <v>42</v>
      </c>
      <c r="CN44" s="259">
        <v>-0.11483</v>
      </c>
      <c r="CO44" s="259">
        <v>0.50266</v>
      </c>
      <c r="CP44" s="260">
        <v>4</v>
      </c>
      <c r="DF44" s="57" t="s">
        <v>52</v>
      </c>
      <c r="DG44" s="276">
        <v>-0.76722000000000001</v>
      </c>
      <c r="DH44" s="276">
        <v>-0.45534000000000002</v>
      </c>
      <c r="DI44" s="279">
        <v>2</v>
      </c>
      <c r="DK44" s="57" t="s">
        <v>52</v>
      </c>
      <c r="DL44" s="184">
        <v>-0.99743975160533349</v>
      </c>
      <c r="DM44" s="184">
        <v>0.22426554636965412</v>
      </c>
      <c r="DN44" s="279">
        <v>2</v>
      </c>
    </row>
    <row r="45" spans="1:118" x14ac:dyDescent="0.3">
      <c r="A45" s="144" t="s">
        <v>53</v>
      </c>
      <c r="B45" s="57">
        <v>6</v>
      </c>
      <c r="C45" s="57">
        <v>3</v>
      </c>
      <c r="D45" s="184">
        <v>-1.5241183555249409</v>
      </c>
      <c r="E45" s="184">
        <v>-0.83005765926504826</v>
      </c>
      <c r="F45" s="171">
        <v>1</v>
      </c>
      <c r="G45" s="172">
        <v>4</v>
      </c>
      <c r="H45" s="209">
        <v>-0.55001</v>
      </c>
      <c r="I45" s="209">
        <v>-1.0174700000000001</v>
      </c>
      <c r="J45" s="209">
        <v>5</v>
      </c>
      <c r="K45" s="210">
        <v>3</v>
      </c>
      <c r="AB45"/>
      <c r="AC45"/>
      <c r="AD45"/>
      <c r="AE45" s="144" t="s">
        <v>83</v>
      </c>
      <c r="AF45" s="57">
        <v>2</v>
      </c>
      <c r="AG45" s="184">
        <v>0.95017992838704834</v>
      </c>
      <c r="AH45" s="184">
        <v>0.75903846068162117</v>
      </c>
      <c r="AI45"/>
      <c r="AJ45" s="57" t="s">
        <v>44</v>
      </c>
      <c r="AK45" s="184">
        <v>0.59186605717887009</v>
      </c>
      <c r="AL45" s="184">
        <v>-0.27484254626323917</v>
      </c>
      <c r="AM45" s="192">
        <v>4</v>
      </c>
      <c r="AN45"/>
      <c r="AO45" s="144" t="s">
        <v>53</v>
      </c>
      <c r="AP45" s="184">
        <v>-1.5241183555249409</v>
      </c>
      <c r="AQ45" s="184">
        <v>-0.83005765926504826</v>
      </c>
      <c r="AR45" s="195">
        <v>4</v>
      </c>
      <c r="AS45" s="204"/>
      <c r="AT45" s="144" t="s">
        <v>11</v>
      </c>
      <c r="AU45" s="57">
        <v>5</v>
      </c>
      <c r="AV45" s="209">
        <v>0.54157</v>
      </c>
      <c r="AW45" s="209">
        <v>-0.73274000000000017</v>
      </c>
      <c r="AX45"/>
      <c r="AY45" s="144" t="s">
        <v>48</v>
      </c>
      <c r="AZ45" s="57">
        <v>2</v>
      </c>
      <c r="BA45" s="209">
        <v>-0.48174</v>
      </c>
      <c r="BB45" s="209">
        <v>-0.21878000000000003</v>
      </c>
      <c r="BV45"/>
      <c r="BW45"/>
      <c r="BX45" s="57" t="s">
        <v>53</v>
      </c>
      <c r="BY45" s="209">
        <v>-0.55001</v>
      </c>
      <c r="BZ45" s="209">
        <v>-1.0174700000000001</v>
      </c>
      <c r="CA45" s="209">
        <v>5</v>
      </c>
      <c r="CC45" s="144" t="s">
        <v>53</v>
      </c>
      <c r="CD45" s="209">
        <v>-0.55001</v>
      </c>
      <c r="CE45" s="209">
        <v>-1.0174700000000001</v>
      </c>
      <c r="CF45" s="210">
        <v>3</v>
      </c>
      <c r="CH45" s="57" t="s">
        <v>50</v>
      </c>
      <c r="CI45" s="184">
        <v>0.75087772297068511</v>
      </c>
      <c r="CJ45" s="184">
        <v>0.284518146266525</v>
      </c>
      <c r="CK45" s="260">
        <v>4</v>
      </c>
      <c r="CM45" s="57" t="s">
        <v>50</v>
      </c>
      <c r="CN45" s="259">
        <v>0.33506000000000008</v>
      </c>
      <c r="CO45" s="259">
        <v>0.61020000000000008</v>
      </c>
      <c r="CP45" s="260">
        <v>4</v>
      </c>
      <c r="DF45" s="57" t="s">
        <v>54</v>
      </c>
      <c r="DG45" s="276">
        <v>-0.18694000000000002</v>
      </c>
      <c r="DH45" s="276">
        <v>0.65442000000000011</v>
      </c>
      <c r="DI45" s="279">
        <v>2</v>
      </c>
      <c r="DK45" s="57" t="s">
        <v>54</v>
      </c>
      <c r="DL45" s="184">
        <v>0.16969776162509348</v>
      </c>
      <c r="DM45" s="184">
        <v>0.80167679796189062</v>
      </c>
      <c r="DN45" s="279">
        <v>2</v>
      </c>
    </row>
    <row r="46" spans="1:118" x14ac:dyDescent="0.3">
      <c r="A46" s="144" t="s">
        <v>54</v>
      </c>
      <c r="B46" s="57">
        <v>4</v>
      </c>
      <c r="C46" s="57">
        <v>2</v>
      </c>
      <c r="D46" s="184">
        <v>0.16969776162509348</v>
      </c>
      <c r="E46" s="184">
        <v>0.80167679796189062</v>
      </c>
      <c r="F46" s="171">
        <v>4</v>
      </c>
      <c r="G46" s="172">
        <v>3</v>
      </c>
      <c r="H46" s="209">
        <v>-0.18694000000000002</v>
      </c>
      <c r="I46" s="209">
        <v>0.65442000000000011</v>
      </c>
      <c r="J46" s="209">
        <v>6</v>
      </c>
      <c r="K46" s="210">
        <v>5</v>
      </c>
      <c r="AB46"/>
      <c r="AC46"/>
      <c r="AD46"/>
      <c r="AE46" s="144" t="s">
        <v>73</v>
      </c>
      <c r="AF46" s="57">
        <v>2</v>
      </c>
      <c r="AG46" s="184">
        <v>-0.20559813238350497</v>
      </c>
      <c r="AH46" s="184">
        <v>0.24229698766122199</v>
      </c>
      <c r="AI46"/>
      <c r="AJ46" s="57" t="s">
        <v>13</v>
      </c>
      <c r="AK46" s="184">
        <v>-0.45381752488339855</v>
      </c>
      <c r="AL46" s="184">
        <v>0.1406067175712564</v>
      </c>
      <c r="AM46" s="192">
        <v>5</v>
      </c>
      <c r="AN46"/>
      <c r="AO46" s="144" t="s">
        <v>54</v>
      </c>
      <c r="AP46" s="184">
        <v>0.16969776162509348</v>
      </c>
      <c r="AQ46" s="184">
        <v>0.80167679796189062</v>
      </c>
      <c r="AR46" s="195">
        <v>3</v>
      </c>
      <c r="AS46" s="204"/>
      <c r="AT46" s="144" t="s">
        <v>12</v>
      </c>
      <c r="AU46" s="57">
        <v>5</v>
      </c>
      <c r="AV46" s="209">
        <v>0.66937000000000013</v>
      </c>
      <c r="AW46" s="209">
        <v>-0.32400000000000007</v>
      </c>
      <c r="AX46"/>
      <c r="AY46" s="144" t="s">
        <v>54</v>
      </c>
      <c r="AZ46" s="57">
        <v>2</v>
      </c>
      <c r="BA46" s="209">
        <v>-0.18694000000000002</v>
      </c>
      <c r="BB46" s="209">
        <v>0.65442000000000011</v>
      </c>
      <c r="BV46"/>
      <c r="BW46"/>
      <c r="BX46" s="57" t="s">
        <v>54</v>
      </c>
      <c r="BY46" s="209">
        <v>-0.18694000000000002</v>
      </c>
      <c r="BZ46" s="209">
        <v>0.65442000000000011</v>
      </c>
      <c r="CA46" s="209">
        <v>6</v>
      </c>
      <c r="CC46" s="144" t="s">
        <v>54</v>
      </c>
      <c r="CD46" s="209">
        <v>-0.18694000000000002</v>
      </c>
      <c r="CE46" s="209">
        <v>0.65442000000000011</v>
      </c>
      <c r="CF46" s="210">
        <v>5</v>
      </c>
      <c r="CH46" s="57" t="s">
        <v>54</v>
      </c>
      <c r="CI46" s="184">
        <v>0.16969776162509348</v>
      </c>
      <c r="CJ46" s="184">
        <v>0.80167679796189062</v>
      </c>
      <c r="CK46" s="260">
        <v>4</v>
      </c>
      <c r="CM46" s="57" t="s">
        <v>54</v>
      </c>
      <c r="CN46" s="259">
        <v>-0.18694000000000002</v>
      </c>
      <c r="CO46" s="259">
        <v>0.65442000000000011</v>
      </c>
      <c r="CP46" s="260">
        <v>4</v>
      </c>
      <c r="DF46" s="57" t="s">
        <v>55</v>
      </c>
      <c r="DG46" s="276">
        <v>-0.30474000000000001</v>
      </c>
      <c r="DH46" s="276">
        <v>-0.48752000000000006</v>
      </c>
      <c r="DI46" s="279">
        <v>2</v>
      </c>
      <c r="DK46" s="57" t="s">
        <v>55</v>
      </c>
      <c r="DL46" s="184">
        <v>-0.65128035231628534</v>
      </c>
      <c r="DM46" s="184">
        <v>-0.14495052678642351</v>
      </c>
      <c r="DN46" s="279">
        <v>2</v>
      </c>
    </row>
    <row r="47" spans="1:118" x14ac:dyDescent="0.3">
      <c r="A47" s="144" t="s">
        <v>55</v>
      </c>
      <c r="B47" s="57">
        <v>6</v>
      </c>
      <c r="C47" s="57">
        <v>1</v>
      </c>
      <c r="D47" s="184">
        <v>-0.65128035231628534</v>
      </c>
      <c r="E47" s="184">
        <v>-0.14495052678642351</v>
      </c>
      <c r="F47" s="171">
        <v>5</v>
      </c>
      <c r="G47" s="172">
        <v>4</v>
      </c>
      <c r="H47" s="209">
        <v>-0.30474000000000001</v>
      </c>
      <c r="I47" s="209">
        <v>-0.48752000000000006</v>
      </c>
      <c r="J47" s="209">
        <v>5</v>
      </c>
      <c r="K47" s="210">
        <v>3</v>
      </c>
      <c r="AB47"/>
      <c r="AC47"/>
      <c r="AD47"/>
      <c r="AE47" s="144" t="s">
        <v>13</v>
      </c>
      <c r="AF47" s="57">
        <v>2</v>
      </c>
      <c r="AG47" s="184">
        <v>-0.45381752488339855</v>
      </c>
      <c r="AH47" s="184">
        <v>0.1406067175712564</v>
      </c>
      <c r="AI47"/>
      <c r="AJ47" s="57" t="s">
        <v>36</v>
      </c>
      <c r="AK47" s="184">
        <v>-0.43793553770023014</v>
      </c>
      <c r="AL47" s="184">
        <v>-0.12976085990879424</v>
      </c>
      <c r="AM47" s="192">
        <v>5</v>
      </c>
      <c r="AN47"/>
      <c r="AO47" s="144" t="s">
        <v>55</v>
      </c>
      <c r="AP47" s="184">
        <v>-0.65128035231628534</v>
      </c>
      <c r="AQ47" s="184">
        <v>-0.14495052678642351</v>
      </c>
      <c r="AR47" s="195">
        <v>4</v>
      </c>
      <c r="AS47" s="204"/>
      <c r="AT47" s="144" t="s">
        <v>16</v>
      </c>
      <c r="AU47" s="57">
        <v>5</v>
      </c>
      <c r="AV47" s="209">
        <v>-0.20889000000000002</v>
      </c>
      <c r="AW47" s="209">
        <v>-0.36255000000000004</v>
      </c>
      <c r="AX47"/>
      <c r="AY47" s="144" t="s">
        <v>56</v>
      </c>
      <c r="AZ47" s="57">
        <v>2</v>
      </c>
      <c r="BA47" s="209">
        <v>-1.7160299999999999</v>
      </c>
      <c r="BB47" s="209">
        <v>0.33411000000000007</v>
      </c>
      <c r="BV47"/>
      <c r="BW47"/>
      <c r="BX47" s="57" t="s">
        <v>55</v>
      </c>
      <c r="BY47" s="209">
        <v>-0.30474000000000001</v>
      </c>
      <c r="BZ47" s="209">
        <v>-0.48752000000000006</v>
      </c>
      <c r="CA47" s="209">
        <v>5</v>
      </c>
      <c r="CC47" s="144" t="s">
        <v>55</v>
      </c>
      <c r="CD47" s="209">
        <v>-0.30474000000000001</v>
      </c>
      <c r="CE47" s="209">
        <v>-0.48752000000000006</v>
      </c>
      <c r="CF47" s="210">
        <v>3</v>
      </c>
      <c r="CH47" s="57" t="s">
        <v>66</v>
      </c>
      <c r="CI47" s="184">
        <v>1.4341881059576949</v>
      </c>
      <c r="CJ47" s="184">
        <v>2.161038063750881</v>
      </c>
      <c r="CK47" s="260">
        <v>4</v>
      </c>
      <c r="CM47" s="57" t="s">
        <v>66</v>
      </c>
      <c r="CN47" s="259">
        <v>-0.20050000000000001</v>
      </c>
      <c r="CO47" s="259">
        <v>2.1512799999999999</v>
      </c>
      <c r="CP47" s="260">
        <v>4</v>
      </c>
      <c r="DF47" s="57" t="s">
        <v>56</v>
      </c>
      <c r="DG47" s="276">
        <v>-1.7160299999999999</v>
      </c>
      <c r="DH47" s="276">
        <v>0.33411000000000007</v>
      </c>
      <c r="DI47" s="279">
        <v>2</v>
      </c>
      <c r="DK47" s="57" t="s">
        <v>56</v>
      </c>
      <c r="DL47" s="184">
        <v>-1.1292697822017885</v>
      </c>
      <c r="DM47" s="184">
        <v>1.5028990490382081</v>
      </c>
      <c r="DN47" s="279">
        <v>2</v>
      </c>
    </row>
    <row r="48" spans="1:118" x14ac:dyDescent="0.3">
      <c r="A48" s="144" t="s">
        <v>56</v>
      </c>
      <c r="B48" s="57">
        <v>2</v>
      </c>
      <c r="C48" s="57">
        <v>2</v>
      </c>
      <c r="D48" s="184">
        <v>-1.1292697822017885</v>
      </c>
      <c r="E48" s="184">
        <v>1.5028990490382081</v>
      </c>
      <c r="F48" s="171">
        <v>6</v>
      </c>
      <c r="G48" s="172">
        <v>6</v>
      </c>
      <c r="H48" s="209">
        <v>-1.7160299999999999</v>
      </c>
      <c r="I48" s="209">
        <v>0.33411000000000007</v>
      </c>
      <c r="J48" s="209">
        <v>3</v>
      </c>
      <c r="K48" s="210">
        <v>2</v>
      </c>
      <c r="AB48"/>
      <c r="AC48"/>
      <c r="AD48"/>
      <c r="AE48" s="144" t="s">
        <v>47</v>
      </c>
      <c r="AF48" s="57">
        <v>2</v>
      </c>
      <c r="AG48" s="184">
        <v>-0.63228597945242293</v>
      </c>
      <c r="AH48" s="184">
        <v>-3.6711754820950154E-2</v>
      </c>
      <c r="AI48"/>
      <c r="AJ48" s="57" t="s">
        <v>38</v>
      </c>
      <c r="AK48" s="184">
        <v>-0.51279440621154393</v>
      </c>
      <c r="AL48" s="184">
        <v>-0.3777045991724946</v>
      </c>
      <c r="AM48" s="192">
        <v>5</v>
      </c>
      <c r="AN48"/>
      <c r="AO48" s="144" t="s">
        <v>56</v>
      </c>
      <c r="AP48" s="184">
        <v>-1.1292697822017885</v>
      </c>
      <c r="AQ48" s="184">
        <v>1.5028990490382081</v>
      </c>
      <c r="AR48" s="195">
        <v>6</v>
      </c>
      <c r="AS48" s="204"/>
      <c r="AT48" s="144" t="s">
        <v>21</v>
      </c>
      <c r="AU48" s="57">
        <v>5</v>
      </c>
      <c r="AV48" s="209">
        <v>0.34099000000000002</v>
      </c>
      <c r="AW48" s="209">
        <v>-1.0431300000000001</v>
      </c>
      <c r="AX48"/>
      <c r="AY48" s="144" t="s">
        <v>61</v>
      </c>
      <c r="AZ48" s="57">
        <v>2</v>
      </c>
      <c r="BA48" s="209">
        <v>-1.3916299999999999</v>
      </c>
      <c r="BB48" s="209">
        <v>0.14761000000000002</v>
      </c>
      <c r="BV48"/>
      <c r="BW48"/>
      <c r="BX48" s="57" t="s">
        <v>56</v>
      </c>
      <c r="BY48" s="209">
        <v>-1.7160299999999999</v>
      </c>
      <c r="BZ48" s="209">
        <v>0.33411000000000007</v>
      </c>
      <c r="CA48" s="209">
        <v>3</v>
      </c>
      <c r="CC48" s="144" t="s">
        <v>56</v>
      </c>
      <c r="CD48" s="209">
        <v>-1.7160299999999999</v>
      </c>
      <c r="CE48" s="209">
        <v>0.33411000000000007</v>
      </c>
      <c r="CF48" s="210">
        <v>2</v>
      </c>
      <c r="CH48" s="57" t="s">
        <v>69</v>
      </c>
      <c r="CI48" s="184">
        <v>0.50471224770224676</v>
      </c>
      <c r="CJ48" s="184">
        <v>1.1791100835715962</v>
      </c>
      <c r="CK48" s="260">
        <v>4</v>
      </c>
      <c r="CM48" s="57" t="s">
        <v>69</v>
      </c>
      <c r="CN48" s="259">
        <v>-0.42329</v>
      </c>
      <c r="CO48" s="259">
        <v>1.1356200000000001</v>
      </c>
      <c r="CP48" s="260">
        <v>4</v>
      </c>
      <c r="DF48" s="57" t="s">
        <v>57</v>
      </c>
      <c r="DG48" s="276">
        <v>-2.4865599999999999</v>
      </c>
      <c r="DH48" s="276">
        <v>-0.43007000000000006</v>
      </c>
      <c r="DI48" s="266">
        <v>2</v>
      </c>
      <c r="DK48" s="57" t="s">
        <v>57</v>
      </c>
      <c r="DL48" s="184">
        <v>-2.5785742851848039</v>
      </c>
      <c r="DM48" s="184">
        <v>1.9739397164118095</v>
      </c>
      <c r="DN48" s="266">
        <v>2</v>
      </c>
    </row>
    <row r="49" spans="1:118" x14ac:dyDescent="0.3">
      <c r="A49" s="144" t="s">
        <v>57</v>
      </c>
      <c r="B49" s="57">
        <v>6</v>
      </c>
      <c r="C49" s="57">
        <v>5</v>
      </c>
      <c r="D49" s="184">
        <v>-2.5785742851848039</v>
      </c>
      <c r="E49" s="184">
        <v>1.9739397164118095</v>
      </c>
      <c r="F49" s="171">
        <v>6</v>
      </c>
      <c r="G49" s="172">
        <v>6</v>
      </c>
      <c r="H49" s="209">
        <v>-2.4865599999999999</v>
      </c>
      <c r="I49" s="209">
        <v>-0.43007000000000006</v>
      </c>
      <c r="J49" s="209">
        <v>3</v>
      </c>
      <c r="K49" s="210">
        <v>2</v>
      </c>
      <c r="AB49"/>
      <c r="AC49"/>
      <c r="AD49"/>
      <c r="AE49" s="144" t="s">
        <v>48</v>
      </c>
      <c r="AF49" s="57">
        <v>2</v>
      </c>
      <c r="AG49" s="184">
        <v>-0.53558584549118027</v>
      </c>
      <c r="AH49" s="184">
        <v>0.26146422268170821</v>
      </c>
      <c r="AI49"/>
      <c r="AJ49" s="57" t="s">
        <v>43</v>
      </c>
      <c r="AK49" s="184">
        <v>-0.47224168753713147</v>
      </c>
      <c r="AL49" s="184">
        <v>-0.35353861553225002</v>
      </c>
      <c r="AM49" s="192">
        <v>5</v>
      </c>
      <c r="AN49"/>
      <c r="AO49" s="144" t="s">
        <v>57</v>
      </c>
      <c r="AP49" s="184">
        <v>-2.5785742851848039</v>
      </c>
      <c r="AQ49" s="184">
        <v>1.9739397164118095</v>
      </c>
      <c r="AR49" s="195">
        <v>6</v>
      </c>
      <c r="AS49" s="204"/>
      <c r="AT49" s="144" t="s">
        <v>22</v>
      </c>
      <c r="AU49" s="57">
        <v>5</v>
      </c>
      <c r="AV49" s="209">
        <v>0.35738000000000009</v>
      </c>
      <c r="AW49" s="209">
        <v>-0.37621000000000004</v>
      </c>
      <c r="AX49"/>
      <c r="AY49" s="144" t="s">
        <v>63</v>
      </c>
      <c r="AZ49" s="57">
        <v>2</v>
      </c>
      <c r="BA49" s="209">
        <v>-0.68134000000000006</v>
      </c>
      <c r="BB49" s="209">
        <v>-0.15080000000000002</v>
      </c>
      <c r="BV49"/>
      <c r="BW49"/>
      <c r="BX49" s="57" t="s">
        <v>57</v>
      </c>
      <c r="BY49" s="209">
        <v>-2.4865599999999999</v>
      </c>
      <c r="BZ49" s="209">
        <v>-0.43007000000000006</v>
      </c>
      <c r="CA49" s="209">
        <v>3</v>
      </c>
      <c r="CC49" s="144" t="s">
        <v>57</v>
      </c>
      <c r="CD49" s="209">
        <v>-2.4865599999999999</v>
      </c>
      <c r="CE49" s="209">
        <v>-0.43007000000000006</v>
      </c>
      <c r="CF49" s="210">
        <v>2</v>
      </c>
      <c r="CH49" s="57" t="s">
        <v>71</v>
      </c>
      <c r="CI49" s="184">
        <v>0.38192584864448798</v>
      </c>
      <c r="CJ49" s="184">
        <v>0.95067573213328405</v>
      </c>
      <c r="CK49" s="260">
        <v>4</v>
      </c>
      <c r="CM49" s="57" t="s">
        <v>71</v>
      </c>
      <c r="CN49" s="259">
        <v>-0.27778999999999998</v>
      </c>
      <c r="CO49" s="259">
        <v>0.94073000000000007</v>
      </c>
      <c r="CP49" s="260">
        <v>4</v>
      </c>
      <c r="DF49" s="57" t="s">
        <v>63</v>
      </c>
      <c r="DG49" s="276">
        <v>-0.68134000000000006</v>
      </c>
      <c r="DH49" s="276">
        <v>-0.15080000000000002</v>
      </c>
      <c r="DI49" s="279">
        <v>2</v>
      </c>
      <c r="DK49" s="57" t="s">
        <v>63</v>
      </c>
      <c r="DL49" s="184">
        <v>-0.76122623184126581</v>
      </c>
      <c r="DM49" s="184">
        <v>0.47200246922534045</v>
      </c>
      <c r="DN49" s="279">
        <v>2</v>
      </c>
    </row>
    <row r="50" spans="1:118" x14ac:dyDescent="0.3">
      <c r="A50" s="144" t="s">
        <v>58</v>
      </c>
      <c r="B50" s="57">
        <v>6</v>
      </c>
      <c r="C50" s="57">
        <v>3</v>
      </c>
      <c r="D50" s="184">
        <v>-1.2487648064820194</v>
      </c>
      <c r="E50" s="184">
        <v>-0.19687682640737933</v>
      </c>
      <c r="F50" s="171">
        <v>1</v>
      </c>
      <c r="G50" s="172">
        <v>4</v>
      </c>
      <c r="H50" s="209">
        <v>-0.28801000000000004</v>
      </c>
      <c r="I50" s="209">
        <v>-0.7896200000000001</v>
      </c>
      <c r="J50" s="209">
        <v>5</v>
      </c>
      <c r="K50" s="210">
        <v>3</v>
      </c>
      <c r="AB50"/>
      <c r="AC50"/>
      <c r="AD50"/>
      <c r="AE50" s="144" t="s">
        <v>70</v>
      </c>
      <c r="AF50" s="57">
        <v>2</v>
      </c>
      <c r="AG50" s="184">
        <v>-0.33210730506777397</v>
      </c>
      <c r="AH50" s="184">
        <v>0.12552322826749052</v>
      </c>
      <c r="AI50"/>
      <c r="AJ50" s="57" t="s">
        <v>47</v>
      </c>
      <c r="AK50" s="184">
        <v>-0.63228597945242293</v>
      </c>
      <c r="AL50" s="184">
        <v>-3.6711754820950154E-2</v>
      </c>
      <c r="AM50" s="192">
        <v>5</v>
      </c>
      <c r="AN50"/>
      <c r="AO50" s="144" t="s">
        <v>58</v>
      </c>
      <c r="AP50" s="184">
        <v>-1.2487648064820194</v>
      </c>
      <c r="AQ50" s="184">
        <v>-0.19687682640737933</v>
      </c>
      <c r="AR50" s="195">
        <v>4</v>
      </c>
      <c r="AS50" s="204"/>
      <c r="AT50" s="144" t="s">
        <v>24</v>
      </c>
      <c r="AU50" s="57">
        <v>5</v>
      </c>
      <c r="AV50" s="209">
        <v>0.32751000000000008</v>
      </c>
      <c r="AW50" s="209">
        <v>-0.18464</v>
      </c>
      <c r="AX50"/>
      <c r="AY50" s="144" t="s">
        <v>65</v>
      </c>
      <c r="AZ50" s="57">
        <v>2</v>
      </c>
      <c r="BA50" s="209">
        <v>-0.77271000000000001</v>
      </c>
      <c r="BB50" s="209">
        <v>-0.41152000000000005</v>
      </c>
      <c r="BV50"/>
      <c r="BW50"/>
      <c r="BX50" s="57" t="s">
        <v>58</v>
      </c>
      <c r="BY50" s="209">
        <v>-0.28801000000000004</v>
      </c>
      <c r="BZ50" s="209">
        <v>-0.7896200000000001</v>
      </c>
      <c r="CA50" s="209">
        <v>5</v>
      </c>
      <c r="CC50" s="144" t="s">
        <v>58</v>
      </c>
      <c r="CD50" s="209">
        <v>-0.28801000000000004</v>
      </c>
      <c r="CE50" s="209">
        <v>-0.7896200000000001</v>
      </c>
      <c r="CF50" s="210">
        <v>3</v>
      </c>
      <c r="CH50" s="57" t="s">
        <v>72</v>
      </c>
      <c r="CI50" s="184">
        <v>1.9225482032011199</v>
      </c>
      <c r="CJ50" s="184">
        <v>0.19540940161061801</v>
      </c>
      <c r="CK50" s="260">
        <v>4</v>
      </c>
      <c r="CM50" s="57" t="s">
        <v>72</v>
      </c>
      <c r="CN50" s="259">
        <v>1.2181299999999999</v>
      </c>
      <c r="CO50" s="259">
        <v>1.2356400000000001</v>
      </c>
      <c r="CP50" s="260">
        <v>4</v>
      </c>
      <c r="DF50" s="57" t="s">
        <v>65</v>
      </c>
      <c r="DG50" s="276">
        <v>-0.77271000000000001</v>
      </c>
      <c r="DH50" s="276">
        <v>-0.41152000000000005</v>
      </c>
      <c r="DI50" s="266">
        <v>2</v>
      </c>
      <c r="DK50" s="57" t="s">
        <v>65</v>
      </c>
      <c r="DL50" s="184">
        <v>-0.9378004994331991</v>
      </c>
      <c r="DM50" s="184">
        <v>0.17086698406252218</v>
      </c>
      <c r="DN50" s="266">
        <v>2</v>
      </c>
    </row>
    <row r="51" spans="1:118" x14ac:dyDescent="0.3">
      <c r="A51" s="144" t="s">
        <v>59</v>
      </c>
      <c r="B51" s="57">
        <v>6</v>
      </c>
      <c r="C51" s="57">
        <v>3</v>
      </c>
      <c r="D51" s="184">
        <v>-0.29788161391669776</v>
      </c>
      <c r="E51" s="184">
        <v>-0.75593902469895136</v>
      </c>
      <c r="F51" s="171">
        <v>5</v>
      </c>
      <c r="G51" s="172">
        <v>5</v>
      </c>
      <c r="H51" s="209">
        <v>0.41909000000000002</v>
      </c>
      <c r="I51" s="209">
        <v>-0.62668000000000013</v>
      </c>
      <c r="J51" s="209">
        <v>1</v>
      </c>
      <c r="K51" s="210">
        <v>3</v>
      </c>
      <c r="AB51"/>
      <c r="AC51"/>
      <c r="AD51"/>
      <c r="AE51" s="144" t="s">
        <v>29</v>
      </c>
      <c r="AF51" s="57">
        <v>2</v>
      </c>
      <c r="AG51" s="184">
        <v>-0.95306631457546787</v>
      </c>
      <c r="AH51" s="184">
        <v>0.19932319917675709</v>
      </c>
      <c r="AI51"/>
      <c r="AJ51" s="57" t="s">
        <v>48</v>
      </c>
      <c r="AK51" s="184">
        <v>-0.53558584549118027</v>
      </c>
      <c r="AL51" s="184">
        <v>0.26146422268170821</v>
      </c>
      <c r="AM51" s="192">
        <v>5</v>
      </c>
      <c r="AN51"/>
      <c r="AO51" s="144" t="s">
        <v>59</v>
      </c>
      <c r="AP51" s="184">
        <v>-0.29788161391669776</v>
      </c>
      <c r="AQ51" s="184">
        <v>-0.75593902469895136</v>
      </c>
      <c r="AR51" s="195">
        <v>5</v>
      </c>
      <c r="AS51" s="204"/>
      <c r="AT51" s="144" t="s">
        <v>27</v>
      </c>
      <c r="AU51" s="57">
        <v>5</v>
      </c>
      <c r="AV51" s="209">
        <v>-3.0219999999999997E-2</v>
      </c>
      <c r="AW51" s="209">
        <v>-3.8620000000000002E-2</v>
      </c>
      <c r="AX51"/>
      <c r="AY51" s="144" t="s">
        <v>69</v>
      </c>
      <c r="AZ51" s="57">
        <v>2</v>
      </c>
      <c r="BA51" s="209">
        <v>-0.42329</v>
      </c>
      <c r="BB51" s="209">
        <v>1.1356200000000001</v>
      </c>
      <c r="BV51"/>
      <c r="BW51"/>
      <c r="BX51" s="57" t="s">
        <v>59</v>
      </c>
      <c r="BY51" s="209">
        <v>0.41909000000000002</v>
      </c>
      <c r="BZ51" s="209">
        <v>-0.62668000000000013</v>
      </c>
      <c r="CA51" s="209">
        <v>1</v>
      </c>
      <c r="CC51" s="144" t="s">
        <v>59</v>
      </c>
      <c r="CD51" s="209">
        <v>0.41909000000000002</v>
      </c>
      <c r="CE51" s="209">
        <v>-0.62668000000000013</v>
      </c>
      <c r="CF51" s="210">
        <v>3</v>
      </c>
      <c r="CH51" s="57" t="s">
        <v>78</v>
      </c>
      <c r="CI51" s="184">
        <v>7.0736769437563504E-2</v>
      </c>
      <c r="CJ51" s="184">
        <v>1.0526493771490244</v>
      </c>
      <c r="CK51" s="260">
        <v>4</v>
      </c>
      <c r="CM51" s="57" t="s">
        <v>78</v>
      </c>
      <c r="CN51" s="259">
        <v>-0.60492000000000012</v>
      </c>
      <c r="CO51" s="259">
        <v>0.82543</v>
      </c>
      <c r="CP51" s="260">
        <v>4</v>
      </c>
      <c r="DF51" s="57" t="s">
        <v>67</v>
      </c>
      <c r="DG51" s="276">
        <v>-0.27686000000000005</v>
      </c>
      <c r="DH51" s="276">
        <v>-0.86673000000000011</v>
      </c>
      <c r="DI51" s="266">
        <v>2</v>
      </c>
      <c r="DK51" s="57" t="s">
        <v>67</v>
      </c>
      <c r="DL51" s="184">
        <v>-1.4139507965015217</v>
      </c>
      <c r="DM51" s="184">
        <v>-0.29572258336795737</v>
      </c>
      <c r="DN51" s="266">
        <v>2</v>
      </c>
    </row>
    <row r="52" spans="1:118" x14ac:dyDescent="0.3">
      <c r="A52" s="144" t="s">
        <v>60</v>
      </c>
      <c r="B52" s="57">
        <v>5</v>
      </c>
      <c r="C52" s="57">
        <v>1</v>
      </c>
      <c r="D52" s="184">
        <v>0.32014076197858876</v>
      </c>
      <c r="E52" s="184">
        <v>-1.1190718715909549</v>
      </c>
      <c r="F52" s="171">
        <v>5</v>
      </c>
      <c r="G52" s="172">
        <v>5</v>
      </c>
      <c r="H52" s="209">
        <v>1.02027</v>
      </c>
      <c r="I52" s="209">
        <v>-0.52498</v>
      </c>
      <c r="J52" s="209">
        <v>1</v>
      </c>
      <c r="K52" s="210">
        <v>4</v>
      </c>
      <c r="AB52"/>
      <c r="AC52"/>
      <c r="AD52"/>
      <c r="AE52" s="144" t="s">
        <v>63</v>
      </c>
      <c r="AF52" s="57">
        <v>2</v>
      </c>
      <c r="AG52" s="184">
        <v>-0.76122623184126581</v>
      </c>
      <c r="AH52" s="184">
        <v>0.47200246922534045</v>
      </c>
      <c r="AI52"/>
      <c r="AJ52" s="57" t="s">
        <v>55</v>
      </c>
      <c r="AK52" s="184">
        <v>-0.65128035231628534</v>
      </c>
      <c r="AL52" s="184">
        <v>-0.14495052678642351</v>
      </c>
      <c r="AM52" s="192">
        <v>5</v>
      </c>
      <c r="AN52"/>
      <c r="AO52" s="144" t="s">
        <v>60</v>
      </c>
      <c r="AP52" s="184">
        <v>0.32014076197858876</v>
      </c>
      <c r="AQ52" s="184">
        <v>-1.1190718715909549</v>
      </c>
      <c r="AR52" s="195">
        <v>5</v>
      </c>
      <c r="AS52" s="204"/>
      <c r="AT52" s="144" t="s">
        <v>32</v>
      </c>
      <c r="AU52" s="57">
        <v>5</v>
      </c>
      <c r="AV52" s="209">
        <v>-0.23275000000000001</v>
      </c>
      <c r="AW52" s="209">
        <v>-0.75420000000000009</v>
      </c>
      <c r="AX52"/>
      <c r="AY52" s="144" t="s">
        <v>70</v>
      </c>
      <c r="AZ52" s="57">
        <v>2</v>
      </c>
      <c r="BA52" s="209">
        <v>-0.26587000000000005</v>
      </c>
      <c r="BB52" s="209">
        <v>-0.19420000000000001</v>
      </c>
      <c r="BV52"/>
      <c r="BW52"/>
      <c r="BX52" s="57" t="s">
        <v>60</v>
      </c>
      <c r="BY52" s="209">
        <v>1.02027</v>
      </c>
      <c r="BZ52" s="209">
        <v>-0.52498</v>
      </c>
      <c r="CA52" s="209">
        <v>1</v>
      </c>
      <c r="CC52" s="144" t="s">
        <v>60</v>
      </c>
      <c r="CD52" s="209">
        <v>1.02027</v>
      </c>
      <c r="CE52" s="209">
        <v>-0.52498</v>
      </c>
      <c r="CF52" s="210">
        <v>4</v>
      </c>
      <c r="CH52" s="57" t="s">
        <v>82</v>
      </c>
      <c r="CI52" s="184">
        <v>0.15076936481568043</v>
      </c>
      <c r="CJ52" s="184">
        <v>0.25267007267107311</v>
      </c>
      <c r="CK52" s="260">
        <v>4</v>
      </c>
      <c r="CM52" s="57" t="s">
        <v>82</v>
      </c>
      <c r="CN52" s="259">
        <v>-0.10286000000000001</v>
      </c>
      <c r="CO52" s="259">
        <v>0.18959000000000001</v>
      </c>
      <c r="CP52" s="260">
        <v>4</v>
      </c>
      <c r="DF52" s="57" t="s">
        <v>69</v>
      </c>
      <c r="DG52" s="276">
        <v>-0.42329</v>
      </c>
      <c r="DH52" s="276">
        <v>1.1356200000000001</v>
      </c>
      <c r="DI52" s="266">
        <v>2</v>
      </c>
      <c r="DK52" s="57" t="s">
        <v>69</v>
      </c>
      <c r="DL52" s="184">
        <v>0.50471224770224676</v>
      </c>
      <c r="DM52" s="184">
        <v>1.1791100835715962</v>
      </c>
      <c r="DN52" s="266">
        <v>2</v>
      </c>
    </row>
    <row r="53" spans="1:118" x14ac:dyDescent="0.3">
      <c r="A53" s="144" t="s">
        <v>61</v>
      </c>
      <c r="B53" s="57">
        <v>2</v>
      </c>
      <c r="C53" s="57">
        <v>2</v>
      </c>
      <c r="D53" s="184">
        <v>-0.82072510041306823</v>
      </c>
      <c r="E53" s="184">
        <v>1.0096285474269118</v>
      </c>
      <c r="F53" s="171">
        <v>6</v>
      </c>
      <c r="G53" s="172">
        <v>6</v>
      </c>
      <c r="H53" s="209">
        <v>-1.3916299999999999</v>
      </c>
      <c r="I53" s="209">
        <v>0.14761000000000002</v>
      </c>
      <c r="J53" s="209">
        <v>3</v>
      </c>
      <c r="K53" s="210">
        <v>2</v>
      </c>
      <c r="AB53"/>
      <c r="AC53"/>
      <c r="AD53"/>
      <c r="AE53" s="144" t="s">
        <v>65</v>
      </c>
      <c r="AF53" s="57">
        <v>2</v>
      </c>
      <c r="AG53" s="184">
        <v>-0.9378004994331991</v>
      </c>
      <c r="AH53" s="184">
        <v>0.17086698406252218</v>
      </c>
      <c r="AI53"/>
      <c r="AJ53" s="57" t="s">
        <v>70</v>
      </c>
      <c r="AK53" s="184">
        <v>-0.33210730506777397</v>
      </c>
      <c r="AL53" s="184">
        <v>0.12552322826749052</v>
      </c>
      <c r="AM53" s="192">
        <v>5</v>
      </c>
      <c r="AN53"/>
      <c r="AO53" s="144" t="s">
        <v>61</v>
      </c>
      <c r="AP53" s="184">
        <v>-0.82072510041306823</v>
      </c>
      <c r="AQ53" s="184">
        <v>1.0096285474269118</v>
      </c>
      <c r="AR53" s="195">
        <v>6</v>
      </c>
      <c r="AS53" s="204"/>
      <c r="AT53" s="144" t="s">
        <v>34</v>
      </c>
      <c r="AU53" s="57">
        <v>5</v>
      </c>
      <c r="AV53" s="209">
        <v>0.45074999999999998</v>
      </c>
      <c r="AW53" s="209">
        <v>0.34032000000000007</v>
      </c>
      <c r="AX53"/>
      <c r="AY53" s="144" t="s">
        <v>71</v>
      </c>
      <c r="AZ53" s="57">
        <v>2</v>
      </c>
      <c r="BA53" s="209">
        <v>-0.27778999999999998</v>
      </c>
      <c r="BB53" s="209">
        <v>0.94073000000000007</v>
      </c>
      <c r="BV53"/>
      <c r="BW53"/>
      <c r="BX53" s="57" t="s">
        <v>61</v>
      </c>
      <c r="BY53" s="209">
        <v>-1.3916299999999999</v>
      </c>
      <c r="BZ53" s="209">
        <v>0.14761000000000002</v>
      </c>
      <c r="CA53" s="209">
        <v>3</v>
      </c>
      <c r="CC53" s="144" t="s">
        <v>61</v>
      </c>
      <c r="CD53" s="209">
        <v>-1.3916299999999999</v>
      </c>
      <c r="CE53" s="209">
        <v>0.14761000000000002</v>
      </c>
      <c r="CF53" s="210">
        <v>2</v>
      </c>
      <c r="CH53" s="57" t="s">
        <v>83</v>
      </c>
      <c r="CI53" s="184">
        <v>0.95017992838704834</v>
      </c>
      <c r="CJ53" s="184">
        <v>0.75903846068162117</v>
      </c>
      <c r="CK53" s="260">
        <v>4</v>
      </c>
      <c r="CM53" s="57" t="s">
        <v>83</v>
      </c>
      <c r="CN53" s="259">
        <v>0.42163</v>
      </c>
      <c r="CO53" s="259">
        <v>0.8761000000000001</v>
      </c>
      <c r="CP53" s="260">
        <v>4</v>
      </c>
      <c r="DF53" s="57" t="s">
        <v>71</v>
      </c>
      <c r="DG53" s="276">
        <v>-0.27778999999999998</v>
      </c>
      <c r="DH53" s="276">
        <v>0.94073000000000007</v>
      </c>
      <c r="DI53" s="266">
        <v>2</v>
      </c>
      <c r="DK53" s="57" t="s">
        <v>71</v>
      </c>
      <c r="DL53" s="184">
        <v>0.38192584864448798</v>
      </c>
      <c r="DM53" s="184">
        <v>0.95067573213328405</v>
      </c>
      <c r="DN53" s="266">
        <v>2</v>
      </c>
    </row>
    <row r="54" spans="1:118" x14ac:dyDescent="0.3">
      <c r="A54" s="144" t="s">
        <v>62</v>
      </c>
      <c r="B54" s="57">
        <v>6</v>
      </c>
      <c r="C54" s="57">
        <v>3</v>
      </c>
      <c r="D54" s="184">
        <v>-1.0254524028729568</v>
      </c>
      <c r="E54" s="184">
        <v>-0.28548174574471535</v>
      </c>
      <c r="F54" s="171">
        <v>1</v>
      </c>
      <c r="G54" s="172">
        <v>4</v>
      </c>
      <c r="H54" s="209">
        <v>-0.53047999999999995</v>
      </c>
      <c r="I54" s="209">
        <v>-0.73325000000000007</v>
      </c>
      <c r="J54" s="209">
        <v>5</v>
      </c>
      <c r="K54" s="210">
        <v>3</v>
      </c>
      <c r="AB54"/>
      <c r="AC54"/>
      <c r="AD54"/>
      <c r="AE54" s="144" t="s">
        <v>79</v>
      </c>
      <c r="AF54" s="57">
        <v>2</v>
      </c>
      <c r="AG54" s="184">
        <v>-0.7251936889102516</v>
      </c>
      <c r="AH54" s="184">
        <v>0.3238663271064936</v>
      </c>
      <c r="AI54"/>
      <c r="AJ54" s="57" t="s">
        <v>90</v>
      </c>
      <c r="AK54" s="184">
        <v>-0.42598939160003141</v>
      </c>
      <c r="AL54" s="184">
        <v>-6.9064857570127342E-2</v>
      </c>
      <c r="AM54" s="192">
        <v>5</v>
      </c>
      <c r="AN54"/>
      <c r="AO54" s="144" t="s">
        <v>62</v>
      </c>
      <c r="AP54" s="184">
        <v>-1.0254524028729568</v>
      </c>
      <c r="AQ54" s="184">
        <v>-0.28548174574471535</v>
      </c>
      <c r="AR54" s="195">
        <v>4</v>
      </c>
      <c r="AS54" s="204"/>
      <c r="AT54" s="144" t="s">
        <v>35</v>
      </c>
      <c r="AU54" s="57">
        <v>5</v>
      </c>
      <c r="AV54" s="209">
        <v>-2.2209999999999997E-2</v>
      </c>
      <c r="AW54" s="209">
        <v>-0.39037000000000005</v>
      </c>
      <c r="AX54"/>
      <c r="AY54" s="144" t="s">
        <v>73</v>
      </c>
      <c r="AZ54" s="57">
        <v>2</v>
      </c>
      <c r="BA54" s="209">
        <v>-0.38332000000000011</v>
      </c>
      <c r="BB54" s="209">
        <v>0.13881000000000002</v>
      </c>
      <c r="BV54"/>
      <c r="BW54"/>
      <c r="BX54" s="57" t="s">
        <v>62</v>
      </c>
      <c r="BY54" s="209">
        <v>-0.53047999999999995</v>
      </c>
      <c r="BZ54" s="209">
        <v>-0.73325000000000007</v>
      </c>
      <c r="CA54" s="209">
        <v>5</v>
      </c>
      <c r="CC54" s="144" t="s">
        <v>62</v>
      </c>
      <c r="CD54" s="209">
        <v>-0.53047999999999995</v>
      </c>
      <c r="CE54" s="209">
        <v>-0.73325000000000007</v>
      </c>
      <c r="CF54" s="210">
        <v>3</v>
      </c>
      <c r="CH54" s="57" t="s">
        <v>10</v>
      </c>
      <c r="CI54" s="184">
        <v>0.31487910497791727</v>
      </c>
      <c r="CJ54" s="184">
        <v>0.27717479857018701</v>
      </c>
      <c r="CK54" s="260">
        <v>5</v>
      </c>
      <c r="CM54" s="57" t="s">
        <v>10</v>
      </c>
      <c r="CN54" s="259">
        <v>-0.22970000000000002</v>
      </c>
      <c r="CO54" s="259">
        <v>0.34366000000000002</v>
      </c>
      <c r="CP54" s="260">
        <v>5</v>
      </c>
      <c r="DF54" s="57" t="s">
        <v>72</v>
      </c>
      <c r="DG54" s="276">
        <v>1.2181299999999999</v>
      </c>
      <c r="DH54" s="276">
        <v>1.2356400000000001</v>
      </c>
      <c r="DI54" s="266">
        <v>2</v>
      </c>
      <c r="DK54" s="57" t="s">
        <v>72</v>
      </c>
      <c r="DL54" s="184">
        <v>1.9225482032011199</v>
      </c>
      <c r="DM54" s="184">
        <v>0.19540940161061801</v>
      </c>
      <c r="DN54" s="266">
        <v>2</v>
      </c>
    </row>
    <row r="55" spans="1:118" x14ac:dyDescent="0.3">
      <c r="A55" s="144" t="s">
        <v>63</v>
      </c>
      <c r="B55" s="57">
        <v>2</v>
      </c>
      <c r="C55" s="57">
        <v>2</v>
      </c>
      <c r="D55" s="184">
        <v>-0.76122623184126581</v>
      </c>
      <c r="E55" s="184">
        <v>0.47200246922534045</v>
      </c>
      <c r="F55" s="171">
        <v>6</v>
      </c>
      <c r="G55" s="172">
        <v>4</v>
      </c>
      <c r="H55" s="209">
        <v>-0.68134000000000006</v>
      </c>
      <c r="I55" s="209">
        <v>-0.15080000000000002</v>
      </c>
      <c r="J55" s="209">
        <v>5</v>
      </c>
      <c r="K55" s="210">
        <v>1</v>
      </c>
      <c r="AB55"/>
      <c r="AC55"/>
      <c r="AD55"/>
      <c r="AE55" s="144" t="s">
        <v>15</v>
      </c>
      <c r="AF55" s="57">
        <v>2</v>
      </c>
      <c r="AG55" s="184">
        <v>-0.71286734834126664</v>
      </c>
      <c r="AH55" s="184">
        <v>0.74803718606105185</v>
      </c>
      <c r="AI55"/>
      <c r="AJ55" s="57" t="s">
        <v>11</v>
      </c>
      <c r="AK55" s="184">
        <v>-0.13614383828314655</v>
      </c>
      <c r="AL55" s="184">
        <v>-1.0318367031366553</v>
      </c>
      <c r="AM55" s="192">
        <v>5</v>
      </c>
      <c r="AN55"/>
      <c r="AO55" s="144" t="s">
        <v>63</v>
      </c>
      <c r="AP55" s="184">
        <v>-0.76122623184126581</v>
      </c>
      <c r="AQ55" s="184">
        <v>0.47200246922534045</v>
      </c>
      <c r="AR55" s="195">
        <v>4</v>
      </c>
      <c r="AS55" s="204"/>
      <c r="AT55" s="144" t="s">
        <v>36</v>
      </c>
      <c r="AU55" s="57">
        <v>5</v>
      </c>
      <c r="AV55" s="209">
        <v>-0.33123000000000002</v>
      </c>
      <c r="AW55" s="209">
        <v>-0.37042000000000008</v>
      </c>
      <c r="AX55"/>
      <c r="AY55" s="144" t="s">
        <v>76</v>
      </c>
      <c r="AZ55" s="57">
        <v>2</v>
      </c>
      <c r="BA55" s="209">
        <v>-1.3698000000000001</v>
      </c>
      <c r="BB55" s="209">
        <v>-0.22654000000000002</v>
      </c>
      <c r="BV55"/>
      <c r="BW55"/>
      <c r="BX55" s="57" t="s">
        <v>63</v>
      </c>
      <c r="BY55" s="209">
        <v>-0.68134000000000006</v>
      </c>
      <c r="BZ55" s="209">
        <v>-0.15080000000000002</v>
      </c>
      <c r="CA55" s="209">
        <v>5</v>
      </c>
      <c r="CC55" s="144" t="s">
        <v>63</v>
      </c>
      <c r="CD55" s="209">
        <v>-0.68134000000000006</v>
      </c>
      <c r="CE55" s="209">
        <v>-0.15080000000000002</v>
      </c>
      <c r="CF55" s="210">
        <v>1</v>
      </c>
      <c r="CH55" s="57" t="s">
        <v>11</v>
      </c>
      <c r="CI55" s="184">
        <v>-0.13614383828314655</v>
      </c>
      <c r="CJ55" s="184">
        <v>-1.0318367031366553</v>
      </c>
      <c r="CK55" s="260">
        <v>5</v>
      </c>
      <c r="CM55" s="57" t="s">
        <v>11</v>
      </c>
      <c r="CN55" s="259">
        <v>0.54157</v>
      </c>
      <c r="CO55" s="259">
        <v>-0.73274000000000017</v>
      </c>
      <c r="CP55" s="260">
        <v>5</v>
      </c>
      <c r="DF55" s="57" t="s">
        <v>76</v>
      </c>
      <c r="DG55" s="276">
        <v>-1.3698000000000001</v>
      </c>
      <c r="DH55" s="276">
        <v>-0.22654000000000002</v>
      </c>
      <c r="DI55" s="266">
        <v>2</v>
      </c>
      <c r="DK55" s="57" t="s">
        <v>76</v>
      </c>
      <c r="DL55" s="184">
        <v>-0.91516875736297776</v>
      </c>
      <c r="DM55" s="184">
        <v>0.81195283894267822</v>
      </c>
      <c r="DN55" s="266">
        <v>2</v>
      </c>
    </row>
    <row r="56" spans="1:118" x14ac:dyDescent="0.3">
      <c r="A56" s="144" t="s">
        <v>64</v>
      </c>
      <c r="B56" s="57">
        <v>1</v>
      </c>
      <c r="C56" s="57">
        <v>6</v>
      </c>
      <c r="D56" s="184">
        <v>1.0516483442580258</v>
      </c>
      <c r="E56" s="184">
        <v>-1.2563485133534897</v>
      </c>
      <c r="F56" s="171">
        <v>2</v>
      </c>
      <c r="G56" s="172">
        <v>2</v>
      </c>
      <c r="H56" s="209">
        <v>1.57186</v>
      </c>
      <c r="I56" s="209">
        <v>-0.24538000000000001</v>
      </c>
      <c r="J56" s="209">
        <v>4</v>
      </c>
      <c r="K56" s="210">
        <v>4</v>
      </c>
      <c r="AB56"/>
      <c r="AC56"/>
      <c r="AD56"/>
      <c r="AE56" s="144" t="s">
        <v>25</v>
      </c>
      <c r="AF56" s="57">
        <v>2</v>
      </c>
      <c r="AG56" s="184">
        <v>-1.1236311727474124</v>
      </c>
      <c r="AH56" s="184">
        <v>0.7756887293156608</v>
      </c>
      <c r="AI56"/>
      <c r="AJ56" s="57" t="s">
        <v>12</v>
      </c>
      <c r="AK56" s="184">
        <v>0.2353977000536992</v>
      </c>
      <c r="AL56" s="184">
        <v>-0.7437048566733222</v>
      </c>
      <c r="AM56" s="192">
        <v>5</v>
      </c>
      <c r="AN56"/>
      <c r="AO56" s="144" t="s">
        <v>64</v>
      </c>
      <c r="AP56" s="184">
        <v>1.0516483442580258</v>
      </c>
      <c r="AQ56" s="184">
        <v>-1.2563485133534897</v>
      </c>
      <c r="AR56" s="195">
        <v>2</v>
      </c>
      <c r="AS56" s="204"/>
      <c r="AT56" s="144" t="s">
        <v>37</v>
      </c>
      <c r="AU56" s="57">
        <v>5</v>
      </c>
      <c r="AV56" s="209">
        <v>-4.2010000000000006E-2</v>
      </c>
      <c r="AW56" s="209">
        <v>0.17597000000000002</v>
      </c>
      <c r="AX56"/>
      <c r="AY56" s="144" t="s">
        <v>78</v>
      </c>
      <c r="AZ56" s="57">
        <v>2</v>
      </c>
      <c r="BA56" s="209">
        <v>-0.60492000000000012</v>
      </c>
      <c r="BB56" s="209">
        <v>0.82543</v>
      </c>
      <c r="BV56"/>
      <c r="BW56"/>
      <c r="BX56" s="57" t="s">
        <v>64</v>
      </c>
      <c r="BY56" s="209">
        <v>1.57186</v>
      </c>
      <c r="BZ56" s="209">
        <v>-0.24538000000000001</v>
      </c>
      <c r="CA56" s="209">
        <v>4</v>
      </c>
      <c r="CC56" s="144" t="s">
        <v>64</v>
      </c>
      <c r="CD56" s="209">
        <v>1.57186</v>
      </c>
      <c r="CE56" s="209">
        <v>-0.24538000000000001</v>
      </c>
      <c r="CF56" s="210">
        <v>4</v>
      </c>
      <c r="CH56" s="57" t="s">
        <v>12</v>
      </c>
      <c r="CI56" s="184">
        <v>0.2353977000536992</v>
      </c>
      <c r="CJ56" s="184">
        <v>-0.7437048566733222</v>
      </c>
      <c r="CK56" s="260">
        <v>5</v>
      </c>
      <c r="CM56" s="57" t="s">
        <v>12</v>
      </c>
      <c r="CN56" s="259">
        <v>0.66937000000000013</v>
      </c>
      <c r="CO56" s="259">
        <v>-0.32400000000000007</v>
      </c>
      <c r="CP56" s="260">
        <v>5</v>
      </c>
      <c r="DF56" s="57" t="s">
        <v>78</v>
      </c>
      <c r="DG56" s="276">
        <v>-0.60492000000000012</v>
      </c>
      <c r="DH56" s="276">
        <v>0.82543</v>
      </c>
      <c r="DI56" s="224">
        <v>2</v>
      </c>
      <c r="DK56" s="57" t="s">
        <v>78</v>
      </c>
      <c r="DL56" s="184">
        <v>7.0736769437563504E-2</v>
      </c>
      <c r="DM56" s="184">
        <v>1.0526493771490244</v>
      </c>
      <c r="DN56" s="224">
        <v>2</v>
      </c>
    </row>
    <row r="57" spans="1:118" x14ac:dyDescent="0.3">
      <c r="A57" s="144" t="s">
        <v>65</v>
      </c>
      <c r="B57" s="57">
        <v>2</v>
      </c>
      <c r="C57" s="57">
        <v>2</v>
      </c>
      <c r="D57" s="184">
        <v>-0.9378004994331991</v>
      </c>
      <c r="E57" s="184">
        <v>0.17086698406252218</v>
      </c>
      <c r="F57" s="171">
        <v>6</v>
      </c>
      <c r="G57" s="172">
        <v>4</v>
      </c>
      <c r="H57" s="209">
        <v>-0.77271000000000001</v>
      </c>
      <c r="I57" s="209">
        <v>-0.41152000000000005</v>
      </c>
      <c r="J57" s="209">
        <v>5</v>
      </c>
      <c r="K57" s="210">
        <v>2</v>
      </c>
      <c r="AB57"/>
      <c r="AC57"/>
      <c r="AD57"/>
      <c r="AE57" s="144" t="s">
        <v>56</v>
      </c>
      <c r="AF57" s="57">
        <v>2</v>
      </c>
      <c r="AG57" s="184">
        <v>-1.1292697822017885</v>
      </c>
      <c r="AH57" s="184">
        <v>1.5028990490382081</v>
      </c>
      <c r="AI57"/>
      <c r="AJ57" s="57" t="s">
        <v>16</v>
      </c>
      <c r="AK57" s="184">
        <v>-0.12373275751270651</v>
      </c>
      <c r="AL57" s="184">
        <v>-0.37419270560537177</v>
      </c>
      <c r="AM57" s="192">
        <v>5</v>
      </c>
      <c r="AN57"/>
      <c r="AO57" s="144" t="s">
        <v>65</v>
      </c>
      <c r="AP57" s="184">
        <v>-0.9378004994331991</v>
      </c>
      <c r="AQ57" s="184">
        <v>0.17086698406252218</v>
      </c>
      <c r="AR57" s="195">
        <v>4</v>
      </c>
      <c r="AS57" s="204"/>
      <c r="AT57" s="144" t="s">
        <v>44</v>
      </c>
      <c r="AU57" s="57">
        <v>5</v>
      </c>
      <c r="AV57" s="209">
        <v>0.41580000000000006</v>
      </c>
      <c r="AW57" s="209">
        <v>0.25735000000000002</v>
      </c>
      <c r="AX57"/>
      <c r="AY57" s="144" t="s">
        <v>79</v>
      </c>
      <c r="AZ57" s="57">
        <v>2</v>
      </c>
      <c r="BA57" s="209">
        <v>-0.65169000000000021</v>
      </c>
      <c r="BB57" s="209">
        <v>-0.25786000000000003</v>
      </c>
      <c r="BV57"/>
      <c r="BW57"/>
      <c r="BX57" s="57" t="s">
        <v>65</v>
      </c>
      <c r="BY57" s="209">
        <v>-0.77271000000000001</v>
      </c>
      <c r="BZ57" s="209">
        <v>-0.41152000000000005</v>
      </c>
      <c r="CA57" s="209">
        <v>5</v>
      </c>
      <c r="CC57" s="144" t="s">
        <v>65</v>
      </c>
      <c r="CD57" s="209">
        <v>-0.77271000000000001</v>
      </c>
      <c r="CE57" s="209">
        <v>-0.41152000000000005</v>
      </c>
      <c r="CF57" s="210">
        <v>2</v>
      </c>
      <c r="CH57" s="57" t="s">
        <v>18</v>
      </c>
      <c r="CI57" s="184">
        <v>-0.44316822585800819</v>
      </c>
      <c r="CJ57" s="184">
        <v>-0.57811526202185071</v>
      </c>
      <c r="CK57" s="260">
        <v>5</v>
      </c>
      <c r="CM57" s="57" t="s">
        <v>18</v>
      </c>
      <c r="CN57" s="259">
        <v>-1.193E-2</v>
      </c>
      <c r="CO57" s="259">
        <v>-0.53752</v>
      </c>
      <c r="CP57" s="260">
        <v>5</v>
      </c>
      <c r="DF57" s="57" t="s">
        <v>79</v>
      </c>
      <c r="DG57" s="276">
        <v>-0.65169000000000021</v>
      </c>
      <c r="DH57" s="276">
        <v>-0.25786000000000003</v>
      </c>
      <c r="DI57" s="224">
        <v>2</v>
      </c>
      <c r="DK57" s="57" t="s">
        <v>79</v>
      </c>
      <c r="DL57" s="184">
        <v>-0.7251936889102516</v>
      </c>
      <c r="DM57" s="184">
        <v>0.3238663271064936</v>
      </c>
      <c r="DN57" s="224">
        <v>2</v>
      </c>
    </row>
    <row r="58" spans="1:118" x14ac:dyDescent="0.3">
      <c r="A58" s="144" t="s">
        <v>66</v>
      </c>
      <c r="B58" s="57">
        <v>4</v>
      </c>
      <c r="C58" s="57">
        <v>4</v>
      </c>
      <c r="D58" s="184">
        <v>1.4341881059576949</v>
      </c>
      <c r="E58" s="184">
        <v>2.161038063750881</v>
      </c>
      <c r="F58" s="171">
        <v>3</v>
      </c>
      <c r="G58" s="172">
        <v>1</v>
      </c>
      <c r="H58" s="209">
        <v>-0.20050000000000001</v>
      </c>
      <c r="I58" s="209">
        <v>2.1512799999999999</v>
      </c>
      <c r="J58" s="209">
        <v>6</v>
      </c>
      <c r="K58" s="210">
        <v>5</v>
      </c>
      <c r="AB58"/>
      <c r="AC58"/>
      <c r="AD58"/>
      <c r="AE58" s="144" t="s">
        <v>61</v>
      </c>
      <c r="AF58" s="57">
        <v>2</v>
      </c>
      <c r="AG58" s="184">
        <v>-0.82072510041306823</v>
      </c>
      <c r="AH58" s="184">
        <v>1.0096285474269118</v>
      </c>
      <c r="AI58"/>
      <c r="AJ58" s="57" t="s">
        <v>18</v>
      </c>
      <c r="AK58" s="184">
        <v>-0.44316822585800819</v>
      </c>
      <c r="AL58" s="184">
        <v>-0.57811526202185071</v>
      </c>
      <c r="AM58" s="192">
        <v>5</v>
      </c>
      <c r="AN58"/>
      <c r="AO58" s="144" t="s">
        <v>66</v>
      </c>
      <c r="AP58" s="184">
        <v>1.4341881059576949</v>
      </c>
      <c r="AQ58" s="184">
        <v>2.161038063750881</v>
      </c>
      <c r="AR58" s="195">
        <v>1</v>
      </c>
      <c r="AS58" s="204"/>
      <c r="AT58" s="144" t="s">
        <v>45</v>
      </c>
      <c r="AU58" s="57">
        <v>5</v>
      </c>
      <c r="AV58" s="209">
        <v>-3.7600000000000001E-2</v>
      </c>
      <c r="AW58" s="209">
        <v>-6.7860000000000004E-2</v>
      </c>
      <c r="AX58"/>
      <c r="AY58" s="144" t="s">
        <v>82</v>
      </c>
      <c r="AZ58" s="57">
        <v>2</v>
      </c>
      <c r="BA58" s="209">
        <v>-0.10286000000000001</v>
      </c>
      <c r="BB58" s="209">
        <v>0.18959000000000001</v>
      </c>
      <c r="BV58"/>
      <c r="BW58"/>
      <c r="BX58" s="57" t="s">
        <v>66</v>
      </c>
      <c r="BY58" s="209">
        <v>-0.20050000000000001</v>
      </c>
      <c r="BZ58" s="209">
        <v>2.1512799999999999</v>
      </c>
      <c r="CA58" s="209">
        <v>6</v>
      </c>
      <c r="CC58" s="144" t="s">
        <v>66</v>
      </c>
      <c r="CD58" s="209">
        <v>-0.20050000000000001</v>
      </c>
      <c r="CE58" s="209">
        <v>2.1512799999999999</v>
      </c>
      <c r="CF58" s="210">
        <v>5</v>
      </c>
      <c r="CH58" s="57" t="s">
        <v>24</v>
      </c>
      <c r="CI58" s="184">
        <v>0.13029648603905444</v>
      </c>
      <c r="CJ58" s="184">
        <v>-0.45858727837088781</v>
      </c>
      <c r="CK58" s="260">
        <v>5</v>
      </c>
      <c r="CM58" s="57" t="s">
        <v>24</v>
      </c>
      <c r="CN58" s="259">
        <v>0.32751000000000008</v>
      </c>
      <c r="CO58" s="259">
        <v>-0.18464</v>
      </c>
      <c r="CP58" s="260">
        <v>5</v>
      </c>
      <c r="DF58" s="57" t="s">
        <v>80</v>
      </c>
      <c r="DG58" s="276">
        <v>2.5940000000000001E-2</v>
      </c>
      <c r="DH58" s="276">
        <v>-0.40831000000000006</v>
      </c>
      <c r="DI58" s="278">
        <v>2</v>
      </c>
      <c r="DK58" s="57" t="s">
        <v>80</v>
      </c>
      <c r="DL58" s="184">
        <v>-0.12413653824004578</v>
      </c>
      <c r="DM58" s="184">
        <v>-0.52790350300205502</v>
      </c>
      <c r="DN58" s="278">
        <v>2</v>
      </c>
    </row>
    <row r="59" spans="1:118" x14ac:dyDescent="0.3">
      <c r="A59" s="144" t="s">
        <v>67</v>
      </c>
      <c r="B59" s="57">
        <v>6</v>
      </c>
      <c r="C59" s="57">
        <v>3</v>
      </c>
      <c r="D59" s="184">
        <v>-1.4139507965015217</v>
      </c>
      <c r="E59" s="184">
        <v>-0.29572258336795737</v>
      </c>
      <c r="F59" s="171">
        <v>1</v>
      </c>
      <c r="G59" s="172">
        <v>4</v>
      </c>
      <c r="H59" s="209">
        <v>-0.27686000000000005</v>
      </c>
      <c r="I59" s="209">
        <v>-0.86673000000000011</v>
      </c>
      <c r="J59" s="209">
        <v>5</v>
      </c>
      <c r="K59" s="210">
        <v>3</v>
      </c>
      <c r="AB59"/>
      <c r="AC59"/>
      <c r="AD59"/>
      <c r="AE59" s="144" t="s">
        <v>76</v>
      </c>
      <c r="AF59" s="57">
        <v>2</v>
      </c>
      <c r="AG59" s="184">
        <v>-0.91516875736297776</v>
      </c>
      <c r="AH59" s="184">
        <v>0.81195283894267822</v>
      </c>
      <c r="AI59"/>
      <c r="AJ59" s="57" t="s">
        <v>21</v>
      </c>
      <c r="AK59" s="184">
        <v>-0.37087827546333718</v>
      </c>
      <c r="AL59" s="184">
        <v>-1.5215214439673252</v>
      </c>
      <c r="AM59" s="192">
        <v>5</v>
      </c>
      <c r="AN59"/>
      <c r="AO59" s="144" t="s">
        <v>67</v>
      </c>
      <c r="AP59" s="184">
        <v>-1.4139507965015217</v>
      </c>
      <c r="AQ59" s="184">
        <v>-0.29572258336795737</v>
      </c>
      <c r="AR59" s="195">
        <v>4</v>
      </c>
      <c r="AS59" s="204"/>
      <c r="AT59" s="144" t="s">
        <v>46</v>
      </c>
      <c r="AU59" s="57">
        <v>5</v>
      </c>
      <c r="AV59" s="209">
        <v>-0.13754000000000002</v>
      </c>
      <c r="AW59" s="209">
        <v>0.10106000000000001</v>
      </c>
      <c r="AX59"/>
      <c r="AY59" s="144" t="s">
        <v>83</v>
      </c>
      <c r="AZ59" s="57">
        <v>2</v>
      </c>
      <c r="BA59" s="209">
        <v>0.42163</v>
      </c>
      <c r="BB59" s="209">
        <v>0.8761000000000001</v>
      </c>
      <c r="BV59"/>
      <c r="BW59"/>
      <c r="BX59" s="57" t="s">
        <v>67</v>
      </c>
      <c r="BY59" s="209">
        <v>-0.27686000000000005</v>
      </c>
      <c r="BZ59" s="209">
        <v>-0.86673000000000011</v>
      </c>
      <c r="CA59" s="209">
        <v>5</v>
      </c>
      <c r="CC59" s="144" t="s">
        <v>67</v>
      </c>
      <c r="CD59" s="209">
        <v>-0.27686000000000005</v>
      </c>
      <c r="CE59" s="209">
        <v>-0.86673000000000011</v>
      </c>
      <c r="CF59" s="210">
        <v>3</v>
      </c>
      <c r="CH59" s="57" t="s">
        <v>26</v>
      </c>
      <c r="CI59" s="184">
        <v>-0.82992785060055119</v>
      </c>
      <c r="CJ59" s="184">
        <v>-0.72568069932029255</v>
      </c>
      <c r="CK59" s="260">
        <v>5</v>
      </c>
      <c r="CM59" s="57" t="s">
        <v>26</v>
      </c>
      <c r="CN59" s="259">
        <v>-0.12827</v>
      </c>
      <c r="CO59" s="259">
        <v>-0.65498000000000012</v>
      </c>
      <c r="CP59" s="260">
        <v>5</v>
      </c>
      <c r="DF59" s="57" t="s">
        <v>82</v>
      </c>
      <c r="DG59" s="276">
        <v>-0.10286000000000001</v>
      </c>
      <c r="DH59" s="276">
        <v>0.18959000000000001</v>
      </c>
      <c r="DI59" s="224">
        <v>2</v>
      </c>
      <c r="DK59" s="57" t="s">
        <v>82</v>
      </c>
      <c r="DL59" s="184">
        <v>0.15076936481568043</v>
      </c>
      <c r="DM59" s="184">
        <v>0.25267007267107311</v>
      </c>
      <c r="DN59" s="224">
        <v>2</v>
      </c>
    </row>
    <row r="60" spans="1:118" x14ac:dyDescent="0.3">
      <c r="A60" s="144" t="s">
        <v>68</v>
      </c>
      <c r="B60" s="57">
        <v>6</v>
      </c>
      <c r="C60" s="57">
        <v>3</v>
      </c>
      <c r="D60" s="184">
        <v>-0.99674455503673365</v>
      </c>
      <c r="E60" s="184">
        <v>-0.62645314821502851</v>
      </c>
      <c r="F60" s="171">
        <v>1</v>
      </c>
      <c r="G60" s="172">
        <v>4</v>
      </c>
      <c r="H60" s="209">
        <v>-0.26371</v>
      </c>
      <c r="I60" s="209">
        <v>-0.89917999999999998</v>
      </c>
      <c r="J60" s="209">
        <v>5</v>
      </c>
      <c r="K60" s="210">
        <v>3</v>
      </c>
      <c r="AB60"/>
      <c r="AC60"/>
      <c r="AD60"/>
      <c r="AE60" s="144" t="s">
        <v>26</v>
      </c>
      <c r="AF60" s="57">
        <v>3</v>
      </c>
      <c r="AG60" s="184">
        <v>-0.82992785060055119</v>
      </c>
      <c r="AH60" s="184">
        <v>-0.72568069932029255</v>
      </c>
      <c r="AI60"/>
      <c r="AJ60" s="57" t="s">
        <v>22</v>
      </c>
      <c r="AK60" s="184">
        <v>0.25347253807895676</v>
      </c>
      <c r="AL60" s="184">
        <v>-0.74512044153099644</v>
      </c>
      <c r="AM60" s="192">
        <v>5</v>
      </c>
      <c r="AN60"/>
      <c r="AO60" s="144" t="s">
        <v>68</v>
      </c>
      <c r="AP60" s="184">
        <v>-0.99674455503673365</v>
      </c>
      <c r="AQ60" s="184">
        <v>-0.62645314821502851</v>
      </c>
      <c r="AR60" s="195">
        <v>4</v>
      </c>
      <c r="AS60" s="204"/>
      <c r="AT60" s="144" t="s">
        <v>49</v>
      </c>
      <c r="AU60" s="57">
        <v>5</v>
      </c>
      <c r="AV60" s="209">
        <v>5.679E-2</v>
      </c>
      <c r="AW60" s="209">
        <v>0.35210000000000002</v>
      </c>
      <c r="AX60"/>
      <c r="AY60" s="144" t="s">
        <v>18</v>
      </c>
      <c r="AZ60" s="57">
        <v>3</v>
      </c>
      <c r="BA60" s="209">
        <v>-1.193E-2</v>
      </c>
      <c r="BB60" s="209">
        <v>-0.53752</v>
      </c>
      <c r="BV60"/>
      <c r="BW60"/>
      <c r="BX60" s="57" t="s">
        <v>68</v>
      </c>
      <c r="BY60" s="209">
        <v>-0.26371</v>
      </c>
      <c r="BZ60" s="209">
        <v>-0.89917999999999998</v>
      </c>
      <c r="CA60" s="209">
        <v>5</v>
      </c>
      <c r="CC60" s="144" t="s">
        <v>68</v>
      </c>
      <c r="CD60" s="209">
        <v>-0.26371</v>
      </c>
      <c r="CE60" s="209">
        <v>-0.89917999999999998</v>
      </c>
      <c r="CF60" s="210">
        <v>3</v>
      </c>
      <c r="CH60" s="57" t="s">
        <v>27</v>
      </c>
      <c r="CI60" s="184">
        <v>5.6630355757248001E-2</v>
      </c>
      <c r="CJ60" s="184">
        <v>0.11045861529005846</v>
      </c>
      <c r="CK60" s="260">
        <v>5</v>
      </c>
      <c r="CM60" s="57" t="s">
        <v>27</v>
      </c>
      <c r="CN60" s="259">
        <v>-3.0219999999999997E-2</v>
      </c>
      <c r="CO60" s="259">
        <v>-3.8620000000000002E-2</v>
      </c>
      <c r="CP60" s="260">
        <v>5</v>
      </c>
      <c r="DF60" s="57" t="s">
        <v>83</v>
      </c>
      <c r="DG60" s="276">
        <v>0.42163</v>
      </c>
      <c r="DH60" s="276">
        <v>0.8761000000000001</v>
      </c>
      <c r="DI60" s="224">
        <v>2</v>
      </c>
      <c r="DK60" s="57" t="s">
        <v>83</v>
      </c>
      <c r="DL60" s="184">
        <v>0.95017992838704834</v>
      </c>
      <c r="DM60" s="184">
        <v>0.75903846068162117</v>
      </c>
      <c r="DN60" s="224">
        <v>2</v>
      </c>
    </row>
    <row r="61" spans="1:118" x14ac:dyDescent="0.3">
      <c r="A61" s="144" t="s">
        <v>69</v>
      </c>
      <c r="B61" s="57">
        <v>4</v>
      </c>
      <c r="C61" s="57">
        <v>2</v>
      </c>
      <c r="D61" s="184">
        <v>0.50471224770224676</v>
      </c>
      <c r="E61" s="184">
        <v>1.1791100835715962</v>
      </c>
      <c r="F61" s="171">
        <v>4</v>
      </c>
      <c r="G61" s="172">
        <v>3</v>
      </c>
      <c r="H61" s="209">
        <v>-0.42329</v>
      </c>
      <c r="I61" s="209">
        <v>1.1356200000000001</v>
      </c>
      <c r="J61" s="209">
        <v>6</v>
      </c>
      <c r="K61" s="210">
        <v>5</v>
      </c>
      <c r="AB61"/>
      <c r="AC61"/>
      <c r="AD61"/>
      <c r="AE61" s="144" t="s">
        <v>51</v>
      </c>
      <c r="AF61" s="57">
        <v>3</v>
      </c>
      <c r="AG61" s="184">
        <v>-0.84963960583490516</v>
      </c>
      <c r="AH61" s="184">
        <v>-0.4126141810854681</v>
      </c>
      <c r="AI61"/>
      <c r="AJ61" s="57" t="s">
        <v>24</v>
      </c>
      <c r="AK61" s="184">
        <v>0.13029648603905444</v>
      </c>
      <c r="AL61" s="184">
        <v>-0.45858727837088781</v>
      </c>
      <c r="AM61" s="192">
        <v>5</v>
      </c>
      <c r="AN61"/>
      <c r="AO61" s="144" t="s">
        <v>69</v>
      </c>
      <c r="AP61" s="184">
        <v>0.50471224770224676</v>
      </c>
      <c r="AQ61" s="184">
        <v>1.1791100835715962</v>
      </c>
      <c r="AR61" s="195">
        <v>3</v>
      </c>
      <c r="AS61" s="204"/>
      <c r="AT61" s="144" t="s">
        <v>60</v>
      </c>
      <c r="AU61" s="57">
        <v>5</v>
      </c>
      <c r="AV61" s="209">
        <v>1.02027</v>
      </c>
      <c r="AW61" s="209">
        <v>-0.52498</v>
      </c>
      <c r="AX61"/>
      <c r="AY61" s="144" t="s">
        <v>21</v>
      </c>
      <c r="AZ61" s="57">
        <v>3</v>
      </c>
      <c r="BA61" s="209">
        <v>0.34099000000000002</v>
      </c>
      <c r="BB61" s="209">
        <v>-1.0431300000000001</v>
      </c>
      <c r="BV61"/>
      <c r="BW61"/>
      <c r="BX61" s="57" t="s">
        <v>69</v>
      </c>
      <c r="BY61" s="209">
        <v>-0.42329</v>
      </c>
      <c r="BZ61" s="209">
        <v>1.1356200000000001</v>
      </c>
      <c r="CA61" s="209">
        <v>6</v>
      </c>
      <c r="CC61" s="144" t="s">
        <v>69</v>
      </c>
      <c r="CD61" s="209">
        <v>-0.42329</v>
      </c>
      <c r="CE61" s="209">
        <v>1.1356200000000001</v>
      </c>
      <c r="CF61" s="210">
        <v>5</v>
      </c>
      <c r="CH61" s="57" t="s">
        <v>31</v>
      </c>
      <c r="CI61" s="184">
        <v>-0.83243682646702744</v>
      </c>
      <c r="CJ61" s="184">
        <v>-0.37899252472610234</v>
      </c>
      <c r="CK61" s="260">
        <v>5</v>
      </c>
      <c r="CM61" s="57" t="s">
        <v>31</v>
      </c>
      <c r="CN61" s="259">
        <v>-0.26874999999999999</v>
      </c>
      <c r="CO61" s="259">
        <v>-0.66684000000000021</v>
      </c>
      <c r="CP61" s="260">
        <v>5</v>
      </c>
      <c r="DF61" s="57" t="s">
        <v>89</v>
      </c>
      <c r="DG61" s="276">
        <v>-1.9755199999999999</v>
      </c>
      <c r="DH61" s="276">
        <v>4.0479999999999995E-2</v>
      </c>
      <c r="DI61" s="224">
        <v>2</v>
      </c>
      <c r="DK61" s="57" t="s">
        <v>89</v>
      </c>
      <c r="DL61" s="184">
        <v>-1.6596365580984691</v>
      </c>
      <c r="DM61" s="184">
        <v>1.7836887138566841</v>
      </c>
      <c r="DN61" s="224">
        <v>2</v>
      </c>
    </row>
    <row r="62" spans="1:118" x14ac:dyDescent="0.3">
      <c r="A62" s="144" t="s">
        <v>70</v>
      </c>
      <c r="B62" s="57">
        <v>2</v>
      </c>
      <c r="C62" s="57">
        <v>2</v>
      </c>
      <c r="D62" s="184">
        <v>-0.33210730506777397</v>
      </c>
      <c r="E62" s="184">
        <v>0.12552322826749052</v>
      </c>
      <c r="F62" s="171">
        <v>5</v>
      </c>
      <c r="G62" s="172">
        <v>4</v>
      </c>
      <c r="H62" s="209">
        <v>-0.26587000000000005</v>
      </c>
      <c r="I62" s="209">
        <v>-0.19420000000000001</v>
      </c>
      <c r="J62" s="209">
        <v>5</v>
      </c>
      <c r="K62" s="210">
        <v>1</v>
      </c>
      <c r="AB62"/>
      <c r="AC62"/>
      <c r="AD62"/>
      <c r="AE62" s="144" t="s">
        <v>53</v>
      </c>
      <c r="AF62" s="57">
        <v>3</v>
      </c>
      <c r="AG62" s="184">
        <v>-1.5241183555249409</v>
      </c>
      <c r="AH62" s="184">
        <v>-0.83005765926504826</v>
      </c>
      <c r="AI62"/>
      <c r="AJ62" s="57" t="s">
        <v>32</v>
      </c>
      <c r="AK62" s="184">
        <v>-0.53732615886278245</v>
      </c>
      <c r="AL62" s="184">
        <v>-0.70069206906462911</v>
      </c>
      <c r="AM62" s="192">
        <v>5</v>
      </c>
      <c r="AN62"/>
      <c r="AO62" s="144" t="s">
        <v>70</v>
      </c>
      <c r="AP62" s="184">
        <v>-0.33210730506777397</v>
      </c>
      <c r="AQ62" s="184">
        <v>0.12552322826749052</v>
      </c>
      <c r="AR62" s="195">
        <v>4</v>
      </c>
      <c r="AS62" s="204"/>
      <c r="AT62" s="144" t="s">
        <v>75</v>
      </c>
      <c r="AU62" s="57">
        <v>5</v>
      </c>
      <c r="AV62" s="209">
        <v>0.39494000000000001</v>
      </c>
      <c r="AW62" s="209">
        <v>0.85702000000000012</v>
      </c>
      <c r="AX62"/>
      <c r="AY62" s="144" t="s">
        <v>26</v>
      </c>
      <c r="AZ62" s="57">
        <v>3</v>
      </c>
      <c r="BA62" s="209">
        <v>-0.12827</v>
      </c>
      <c r="BB62" s="209">
        <v>-0.65498000000000012</v>
      </c>
      <c r="BV62"/>
      <c r="BW62"/>
      <c r="BX62" s="57" t="s">
        <v>70</v>
      </c>
      <c r="BY62" s="209">
        <v>-0.26587000000000005</v>
      </c>
      <c r="BZ62" s="209">
        <v>-0.19420000000000001</v>
      </c>
      <c r="CA62" s="209">
        <v>5</v>
      </c>
      <c r="CC62" s="144" t="s">
        <v>70</v>
      </c>
      <c r="CD62" s="209">
        <v>-0.26587000000000005</v>
      </c>
      <c r="CE62" s="209">
        <v>-0.19420000000000001</v>
      </c>
      <c r="CF62" s="210">
        <v>1</v>
      </c>
      <c r="CH62" s="57" t="s">
        <v>32</v>
      </c>
      <c r="CI62" s="184">
        <v>-0.53732615886278245</v>
      </c>
      <c r="CJ62" s="184">
        <v>-0.70069206906462911</v>
      </c>
      <c r="CK62" s="260">
        <v>5</v>
      </c>
      <c r="CM62" s="57" t="s">
        <v>32</v>
      </c>
      <c r="CN62" s="259">
        <v>-0.23275000000000001</v>
      </c>
      <c r="CO62" s="259">
        <v>-0.75420000000000009</v>
      </c>
      <c r="CP62" s="260">
        <v>5</v>
      </c>
      <c r="DF62" s="57" t="s">
        <v>90</v>
      </c>
      <c r="DG62" s="276">
        <v>-0.23470000000000002</v>
      </c>
      <c r="DH62" s="276">
        <v>-0.33383000000000007</v>
      </c>
      <c r="DI62" s="278">
        <v>2</v>
      </c>
      <c r="DK62" s="57" t="s">
        <v>90</v>
      </c>
      <c r="DL62" s="184">
        <v>-0.42598939160003141</v>
      </c>
      <c r="DM62" s="184">
        <v>-6.9064857570127342E-2</v>
      </c>
      <c r="DN62" s="278">
        <v>2</v>
      </c>
    </row>
    <row r="63" spans="1:118" x14ac:dyDescent="0.3">
      <c r="A63" s="144" t="s">
        <v>71</v>
      </c>
      <c r="B63" s="57">
        <v>4</v>
      </c>
      <c r="C63" s="57">
        <v>2</v>
      </c>
      <c r="D63" s="184">
        <v>0.38192584864448798</v>
      </c>
      <c r="E63" s="184">
        <v>0.95067573213328405</v>
      </c>
      <c r="F63" s="171">
        <v>4</v>
      </c>
      <c r="G63" s="172">
        <v>3</v>
      </c>
      <c r="H63" s="209">
        <v>-0.27778999999999998</v>
      </c>
      <c r="I63" s="209">
        <v>0.94073000000000007</v>
      </c>
      <c r="J63" s="209">
        <v>6</v>
      </c>
      <c r="K63" s="210">
        <v>5</v>
      </c>
      <c r="AB63"/>
      <c r="AC63"/>
      <c r="AD63"/>
      <c r="AE63" s="144" t="s">
        <v>58</v>
      </c>
      <c r="AF63" s="57">
        <v>3</v>
      </c>
      <c r="AG63" s="184">
        <v>-1.2487648064820194</v>
      </c>
      <c r="AH63" s="184">
        <v>-0.19687682640737933</v>
      </c>
      <c r="AI63"/>
      <c r="AJ63" s="57" t="s">
        <v>35</v>
      </c>
      <c r="AK63" s="184">
        <v>-5.9127238767861384E-2</v>
      </c>
      <c r="AL63" s="184">
        <v>-0.49287047364693615</v>
      </c>
      <c r="AM63" s="192">
        <v>5</v>
      </c>
      <c r="AN63"/>
      <c r="AO63" s="144" t="s">
        <v>71</v>
      </c>
      <c r="AP63" s="184">
        <v>0.38192584864448798</v>
      </c>
      <c r="AQ63" s="184">
        <v>0.95067573213328405</v>
      </c>
      <c r="AR63" s="195">
        <v>3</v>
      </c>
      <c r="AS63" s="204"/>
      <c r="AT63" s="144" t="s">
        <v>77</v>
      </c>
      <c r="AU63" s="57">
        <v>5</v>
      </c>
      <c r="AV63" s="209">
        <v>-0.20149000000000003</v>
      </c>
      <c r="AW63" s="209">
        <v>-0.30217000000000005</v>
      </c>
      <c r="AX63"/>
      <c r="AY63" s="144" t="s">
        <v>38</v>
      </c>
      <c r="AZ63" s="57">
        <v>3</v>
      </c>
      <c r="BA63" s="209">
        <v>-0.30683000000000005</v>
      </c>
      <c r="BB63" s="209">
        <v>-0.45441000000000004</v>
      </c>
      <c r="BV63"/>
      <c r="BW63"/>
      <c r="BX63" s="57" t="s">
        <v>71</v>
      </c>
      <c r="BY63" s="209">
        <v>-0.27778999999999998</v>
      </c>
      <c r="BZ63" s="209">
        <v>0.94073000000000007</v>
      </c>
      <c r="CA63" s="209">
        <v>6</v>
      </c>
      <c r="CC63" s="144" t="s">
        <v>71</v>
      </c>
      <c r="CD63" s="209">
        <v>-0.27778999999999998</v>
      </c>
      <c r="CE63" s="209">
        <v>0.94073000000000007</v>
      </c>
      <c r="CF63" s="210">
        <v>5</v>
      </c>
      <c r="CH63" s="57" t="s">
        <v>34</v>
      </c>
      <c r="CI63" s="184">
        <v>0.744261293994261</v>
      </c>
      <c r="CJ63" s="184">
        <v>-4.292699226516633E-2</v>
      </c>
      <c r="CK63" s="260">
        <v>5</v>
      </c>
      <c r="CM63" s="57" t="s">
        <v>34</v>
      </c>
      <c r="CN63" s="259">
        <v>0.45074999999999998</v>
      </c>
      <c r="CO63" s="259">
        <v>0.34032000000000007</v>
      </c>
      <c r="CP63" s="260">
        <v>5</v>
      </c>
      <c r="DF63" s="57" t="s">
        <v>92</v>
      </c>
      <c r="DG63" s="276">
        <v>3.1473</v>
      </c>
      <c r="DH63" s="276">
        <v>-0.16088</v>
      </c>
      <c r="DI63" s="115">
        <v>2</v>
      </c>
      <c r="DK63" s="57" t="s">
        <v>92</v>
      </c>
      <c r="DL63" s="184">
        <v>1.8519577028092515</v>
      </c>
      <c r="DM63" s="184">
        <v>-1.5444107482984073</v>
      </c>
      <c r="DN63" s="115">
        <v>2</v>
      </c>
    </row>
    <row r="64" spans="1:118" x14ac:dyDescent="0.3">
      <c r="A64" s="144" t="s">
        <v>72</v>
      </c>
      <c r="B64" s="57">
        <v>4</v>
      </c>
      <c r="C64" s="57">
        <v>6</v>
      </c>
      <c r="D64" s="184">
        <v>1.9225482032011199</v>
      </c>
      <c r="E64" s="184">
        <v>0.19540940161061801</v>
      </c>
      <c r="F64" s="171">
        <v>4</v>
      </c>
      <c r="G64" s="172">
        <v>3</v>
      </c>
      <c r="H64" s="209">
        <v>1.2181299999999999</v>
      </c>
      <c r="I64" s="209">
        <v>1.2356400000000001</v>
      </c>
      <c r="J64" s="209">
        <v>6</v>
      </c>
      <c r="K64" s="210">
        <v>5</v>
      </c>
      <c r="AB64"/>
      <c r="AC64"/>
      <c r="AD64"/>
      <c r="AE64" s="144" t="s">
        <v>62</v>
      </c>
      <c r="AF64" s="57">
        <v>3</v>
      </c>
      <c r="AG64" s="184">
        <v>-1.0254524028729568</v>
      </c>
      <c r="AH64" s="184">
        <v>-0.28548174574471535</v>
      </c>
      <c r="AI64"/>
      <c r="AJ64" s="57" t="s">
        <v>45</v>
      </c>
      <c r="AK64" s="184">
        <v>0.11784038726282435</v>
      </c>
      <c r="AL64" s="184">
        <v>-0.19242814979095843</v>
      </c>
      <c r="AM64" s="192">
        <v>5</v>
      </c>
      <c r="AN64"/>
      <c r="AO64" s="144" t="s">
        <v>72</v>
      </c>
      <c r="AP64" s="184">
        <v>1.9225482032011199</v>
      </c>
      <c r="AQ64" s="184">
        <v>0.19540940161061801</v>
      </c>
      <c r="AR64" s="195">
        <v>3</v>
      </c>
      <c r="AS64" s="204"/>
      <c r="AT64" s="144" t="s">
        <v>80</v>
      </c>
      <c r="AU64" s="57">
        <v>5</v>
      </c>
      <c r="AV64" s="209">
        <v>2.5940000000000001E-2</v>
      </c>
      <c r="AW64" s="209">
        <v>-0.40831000000000006</v>
      </c>
      <c r="AX64"/>
      <c r="AY64" s="144" t="s">
        <v>51</v>
      </c>
      <c r="AZ64" s="57">
        <v>3</v>
      </c>
      <c r="BA64" s="209">
        <v>-0.40191000000000004</v>
      </c>
      <c r="BB64" s="209">
        <v>-0.67977000000000021</v>
      </c>
      <c r="BV64"/>
      <c r="BW64"/>
      <c r="BX64" s="57" t="s">
        <v>72</v>
      </c>
      <c r="BY64" s="209">
        <v>1.2181299999999999</v>
      </c>
      <c r="BZ64" s="209">
        <v>1.2356400000000001</v>
      </c>
      <c r="CA64" s="209">
        <v>6</v>
      </c>
      <c r="CC64" s="144" t="s">
        <v>72</v>
      </c>
      <c r="CD64" s="209">
        <v>1.2181299999999999</v>
      </c>
      <c r="CE64" s="209">
        <v>1.2356400000000001</v>
      </c>
      <c r="CF64" s="210">
        <v>5</v>
      </c>
      <c r="CH64" s="57" t="s">
        <v>35</v>
      </c>
      <c r="CI64" s="184">
        <v>-5.9127238767861384E-2</v>
      </c>
      <c r="CJ64" s="184">
        <v>-0.49287047364693615</v>
      </c>
      <c r="CK64" s="260">
        <v>5</v>
      </c>
      <c r="CM64" s="57" t="s">
        <v>35</v>
      </c>
      <c r="CN64" s="259">
        <v>-2.2209999999999997E-2</v>
      </c>
      <c r="CO64" s="259">
        <v>-0.39037000000000005</v>
      </c>
      <c r="CP64" s="260">
        <v>5</v>
      </c>
      <c r="DF64" s="57" t="s">
        <v>11</v>
      </c>
      <c r="DG64" s="276">
        <v>0.54157</v>
      </c>
      <c r="DH64" s="276">
        <v>-0.73274000000000017</v>
      </c>
      <c r="DI64" s="278">
        <v>3</v>
      </c>
      <c r="DK64" s="57" t="s">
        <v>11</v>
      </c>
      <c r="DL64" s="184">
        <v>-0.13614383828314655</v>
      </c>
      <c r="DM64" s="184">
        <v>-1.0318367031366553</v>
      </c>
      <c r="DN64" s="278">
        <v>3</v>
      </c>
    </row>
    <row r="65" spans="1:118" x14ac:dyDescent="0.3">
      <c r="A65" s="144" t="s">
        <v>73</v>
      </c>
      <c r="B65" s="57">
        <v>4</v>
      </c>
      <c r="C65" s="57">
        <v>2</v>
      </c>
      <c r="D65" s="184">
        <v>-0.20559813238350497</v>
      </c>
      <c r="E65" s="184">
        <v>0.24229698766122199</v>
      </c>
      <c r="F65" s="171">
        <v>4</v>
      </c>
      <c r="G65" s="172">
        <v>4</v>
      </c>
      <c r="H65" s="209">
        <v>-0.38332000000000011</v>
      </c>
      <c r="I65" s="209">
        <v>0.13881000000000002</v>
      </c>
      <c r="J65" s="209">
        <v>5</v>
      </c>
      <c r="K65" s="210">
        <v>1</v>
      </c>
      <c r="AB65"/>
      <c r="AC65"/>
      <c r="AD65"/>
      <c r="AE65" s="144" t="s">
        <v>67</v>
      </c>
      <c r="AF65" s="57">
        <v>3</v>
      </c>
      <c r="AG65" s="184">
        <v>-1.4139507965015217</v>
      </c>
      <c r="AH65" s="184">
        <v>-0.29572258336795737</v>
      </c>
      <c r="AI65"/>
      <c r="AJ65" s="57" t="s">
        <v>59</v>
      </c>
      <c r="AK65" s="184">
        <v>-0.29788161391669776</v>
      </c>
      <c r="AL65" s="184">
        <v>-0.75593902469895136</v>
      </c>
      <c r="AM65" s="192">
        <v>5</v>
      </c>
      <c r="AN65"/>
      <c r="AO65" s="144" t="s">
        <v>73</v>
      </c>
      <c r="AP65" s="184">
        <v>-0.20559813238350497</v>
      </c>
      <c r="AQ65" s="184">
        <v>0.24229698766122199</v>
      </c>
      <c r="AR65" s="195">
        <v>4</v>
      </c>
      <c r="AS65" s="204"/>
      <c r="AT65" s="144" t="s">
        <v>81</v>
      </c>
      <c r="AU65" s="57">
        <v>5</v>
      </c>
      <c r="AV65" s="209">
        <v>0.28377000000000002</v>
      </c>
      <c r="AW65" s="209">
        <v>-0.29338000000000009</v>
      </c>
      <c r="AX65"/>
      <c r="AY65" s="144" t="s">
        <v>52</v>
      </c>
      <c r="AZ65" s="57">
        <v>3</v>
      </c>
      <c r="BA65" s="209">
        <v>-0.76722000000000001</v>
      </c>
      <c r="BB65" s="209">
        <v>-0.45534000000000002</v>
      </c>
      <c r="BV65"/>
      <c r="BW65"/>
      <c r="BX65" s="57" t="s">
        <v>73</v>
      </c>
      <c r="BY65" s="209">
        <v>-0.38332000000000011</v>
      </c>
      <c r="BZ65" s="209">
        <v>0.13881000000000002</v>
      </c>
      <c r="CA65" s="209">
        <v>5</v>
      </c>
      <c r="CC65" s="144" t="s">
        <v>73</v>
      </c>
      <c r="CD65" s="209">
        <v>-0.38332000000000011</v>
      </c>
      <c r="CE65" s="209">
        <v>0.13881000000000002</v>
      </c>
      <c r="CF65" s="210">
        <v>1</v>
      </c>
      <c r="CH65" s="57" t="s">
        <v>36</v>
      </c>
      <c r="CI65" s="184">
        <v>-0.43793553770023014</v>
      </c>
      <c r="CJ65" s="184">
        <v>-0.12976085990879424</v>
      </c>
      <c r="CK65" s="260">
        <v>5</v>
      </c>
      <c r="CM65" s="57" t="s">
        <v>36</v>
      </c>
      <c r="CN65" s="259">
        <v>-0.33123000000000002</v>
      </c>
      <c r="CO65" s="259">
        <v>-0.37042000000000008</v>
      </c>
      <c r="CP65" s="260">
        <v>5</v>
      </c>
      <c r="DF65" s="57" t="s">
        <v>18</v>
      </c>
      <c r="DG65" s="276">
        <v>-1.193E-2</v>
      </c>
      <c r="DH65" s="276">
        <v>-0.53752</v>
      </c>
      <c r="DI65" s="224">
        <v>3</v>
      </c>
      <c r="DK65" s="57" t="s">
        <v>18</v>
      </c>
      <c r="DL65" s="184">
        <v>-0.44316822585800819</v>
      </c>
      <c r="DM65" s="184">
        <v>-0.57811526202185071</v>
      </c>
      <c r="DN65" s="224">
        <v>3</v>
      </c>
    </row>
    <row r="66" spans="1:118" x14ac:dyDescent="0.3">
      <c r="A66" s="144" t="s">
        <v>74</v>
      </c>
      <c r="B66" s="57">
        <v>1</v>
      </c>
      <c r="C66" s="57">
        <v>6</v>
      </c>
      <c r="D66" s="184">
        <v>1.2630330246509991</v>
      </c>
      <c r="E66" s="184">
        <v>-1.6117585949491351</v>
      </c>
      <c r="F66" s="171">
        <v>2</v>
      </c>
      <c r="G66" s="172">
        <v>2</v>
      </c>
      <c r="H66" s="209">
        <v>1.8784200000000002</v>
      </c>
      <c r="I66" s="209">
        <v>-0.41471000000000002</v>
      </c>
      <c r="J66" s="209">
        <v>4</v>
      </c>
      <c r="K66" s="210">
        <v>4</v>
      </c>
      <c r="AB66"/>
      <c r="AC66"/>
      <c r="AD66"/>
      <c r="AE66" s="144" t="s">
        <v>68</v>
      </c>
      <c r="AF66" s="57">
        <v>3</v>
      </c>
      <c r="AG66" s="184">
        <v>-0.99674455503673365</v>
      </c>
      <c r="AH66" s="184">
        <v>-0.62645314821502851</v>
      </c>
      <c r="AI66"/>
      <c r="AJ66" s="57" t="s">
        <v>60</v>
      </c>
      <c r="AK66" s="184">
        <v>0.32014076197858876</v>
      </c>
      <c r="AL66" s="184">
        <v>-1.1190718715909549</v>
      </c>
      <c r="AM66" s="192">
        <v>5</v>
      </c>
      <c r="AN66"/>
      <c r="AO66" s="144" t="s">
        <v>74</v>
      </c>
      <c r="AP66" s="184">
        <v>1.2630330246509991</v>
      </c>
      <c r="AQ66" s="184">
        <v>-1.6117585949491351</v>
      </c>
      <c r="AR66" s="195">
        <v>2</v>
      </c>
      <c r="AS66" s="204"/>
      <c r="AT66" s="144" t="s">
        <v>84</v>
      </c>
      <c r="AU66" s="57">
        <v>5</v>
      </c>
      <c r="AV66" s="209">
        <v>3.0859999999999999E-2</v>
      </c>
      <c r="AW66" s="209">
        <v>-0.26472999999999997</v>
      </c>
      <c r="AX66"/>
      <c r="AY66" s="144" t="s">
        <v>53</v>
      </c>
      <c r="AZ66" s="57">
        <v>3</v>
      </c>
      <c r="BA66" s="209">
        <v>-0.55001</v>
      </c>
      <c r="BB66" s="209">
        <v>-1.0174700000000001</v>
      </c>
      <c r="BV66"/>
      <c r="BW66"/>
      <c r="BX66" s="57" t="s">
        <v>74</v>
      </c>
      <c r="BY66" s="209">
        <v>1.8784200000000002</v>
      </c>
      <c r="BZ66" s="209">
        <v>-0.41471000000000002</v>
      </c>
      <c r="CA66" s="209">
        <v>4</v>
      </c>
      <c r="CC66" s="144" t="s">
        <v>74</v>
      </c>
      <c r="CD66" s="209">
        <v>1.8784200000000002</v>
      </c>
      <c r="CE66" s="209">
        <v>-0.41471000000000002</v>
      </c>
      <c r="CF66" s="210">
        <v>4</v>
      </c>
      <c r="CH66" s="57" t="s">
        <v>43</v>
      </c>
      <c r="CI66" s="184">
        <v>-0.47224168753713147</v>
      </c>
      <c r="CJ66" s="184">
        <v>-0.35353861553225002</v>
      </c>
      <c r="CK66" s="260">
        <v>5</v>
      </c>
      <c r="CM66" s="57" t="s">
        <v>43</v>
      </c>
      <c r="CN66" s="259">
        <v>-0.21897000000000003</v>
      </c>
      <c r="CO66" s="259">
        <v>-0.49012999999999995</v>
      </c>
      <c r="CP66" s="260">
        <v>5</v>
      </c>
      <c r="DF66" s="57" t="s">
        <v>43</v>
      </c>
      <c r="DG66" s="276">
        <v>-0.21897000000000003</v>
      </c>
      <c r="DH66" s="276">
        <v>-0.49012999999999995</v>
      </c>
      <c r="DI66" s="278">
        <v>3</v>
      </c>
      <c r="DK66" s="57" t="s">
        <v>43</v>
      </c>
      <c r="DL66" s="184">
        <v>-0.47224168753713147</v>
      </c>
      <c r="DM66" s="184">
        <v>-0.35353861553225002</v>
      </c>
      <c r="DN66" s="278">
        <v>3</v>
      </c>
    </row>
    <row r="67" spans="1:118" x14ac:dyDescent="0.3">
      <c r="A67" s="144" t="s">
        <v>75</v>
      </c>
      <c r="B67" s="57">
        <v>5</v>
      </c>
      <c r="C67" s="57">
        <v>1</v>
      </c>
      <c r="D67" s="184">
        <v>1.1610158884903476</v>
      </c>
      <c r="E67" s="184">
        <v>0.21047329433474243</v>
      </c>
      <c r="F67" s="171">
        <v>4</v>
      </c>
      <c r="G67" s="172">
        <v>3</v>
      </c>
      <c r="H67" s="209">
        <v>0.39494000000000001</v>
      </c>
      <c r="I67" s="209">
        <v>0.85702000000000012</v>
      </c>
      <c r="J67" s="209">
        <v>6</v>
      </c>
      <c r="K67" s="210">
        <v>5</v>
      </c>
      <c r="AB67"/>
      <c r="AC67"/>
      <c r="AD67"/>
      <c r="AE67" s="144" t="s">
        <v>38</v>
      </c>
      <c r="AF67" s="57">
        <v>3</v>
      </c>
      <c r="AG67" s="184">
        <v>-0.51279440621154393</v>
      </c>
      <c r="AH67" s="184">
        <v>-0.3777045991724946</v>
      </c>
      <c r="AI67"/>
      <c r="AJ67" s="57" t="s">
        <v>77</v>
      </c>
      <c r="AK67" s="184">
        <v>-0.2674957311388067</v>
      </c>
      <c r="AL67" s="184">
        <v>-0.27727710951001838</v>
      </c>
      <c r="AM67" s="192">
        <v>5</v>
      </c>
      <c r="AN67"/>
      <c r="AO67" s="144" t="s">
        <v>75</v>
      </c>
      <c r="AP67" s="184">
        <v>1.1610158884903476</v>
      </c>
      <c r="AQ67" s="184">
        <v>0.21047329433474243</v>
      </c>
      <c r="AR67" s="195">
        <v>3</v>
      </c>
      <c r="AS67" s="204"/>
      <c r="AT67" s="144" t="s">
        <v>85</v>
      </c>
      <c r="AU67" s="57">
        <v>5</v>
      </c>
      <c r="AV67" s="209">
        <v>-0.26457000000000003</v>
      </c>
      <c r="AW67" s="209">
        <v>-0.13340000000000002</v>
      </c>
      <c r="AX67"/>
      <c r="AY67" s="144" t="s">
        <v>58</v>
      </c>
      <c r="AZ67" s="57">
        <v>3</v>
      </c>
      <c r="BA67" s="209">
        <v>-0.28801000000000004</v>
      </c>
      <c r="BB67" s="209">
        <v>-0.7896200000000001</v>
      </c>
      <c r="BV67"/>
      <c r="BW67"/>
      <c r="BX67" s="57" t="s">
        <v>75</v>
      </c>
      <c r="BY67" s="209">
        <v>0.39494000000000001</v>
      </c>
      <c r="BZ67" s="209">
        <v>0.85702000000000012</v>
      </c>
      <c r="CA67" s="209">
        <v>6</v>
      </c>
      <c r="CC67" s="144" t="s">
        <v>75</v>
      </c>
      <c r="CD67" s="209">
        <v>0.39494000000000001</v>
      </c>
      <c r="CE67" s="209">
        <v>0.85702000000000012</v>
      </c>
      <c r="CF67" s="210">
        <v>5</v>
      </c>
      <c r="CH67" s="57" t="s">
        <v>44</v>
      </c>
      <c r="CI67" s="184">
        <v>0.59186605717887009</v>
      </c>
      <c r="CJ67" s="184">
        <v>-0.27484254626323917</v>
      </c>
      <c r="CK67" s="260">
        <v>5</v>
      </c>
      <c r="CM67" s="57" t="s">
        <v>44</v>
      </c>
      <c r="CN67" s="259">
        <v>0.41580000000000006</v>
      </c>
      <c r="CO67" s="259">
        <v>0.25735000000000002</v>
      </c>
      <c r="CP67" s="260">
        <v>5</v>
      </c>
      <c r="DF67" s="57" t="s">
        <v>62</v>
      </c>
      <c r="DG67" s="276">
        <v>-0.53047999999999995</v>
      </c>
      <c r="DH67" s="276">
        <v>-0.73325000000000007</v>
      </c>
      <c r="DI67" s="224">
        <v>3</v>
      </c>
      <c r="DK67" s="57" t="s">
        <v>62</v>
      </c>
      <c r="DL67" s="184">
        <v>-1.0254524028729568</v>
      </c>
      <c r="DM67" s="184">
        <v>-0.28548174574471535</v>
      </c>
      <c r="DN67" s="224">
        <v>3</v>
      </c>
    </row>
    <row r="68" spans="1:118" x14ac:dyDescent="0.3">
      <c r="A68" s="144" t="s">
        <v>76</v>
      </c>
      <c r="B68" s="57">
        <v>2</v>
      </c>
      <c r="C68" s="57">
        <v>2</v>
      </c>
      <c r="D68" s="184">
        <v>-0.91516875736297776</v>
      </c>
      <c r="E68" s="184">
        <v>0.81195283894267822</v>
      </c>
      <c r="F68" s="171">
        <v>6</v>
      </c>
      <c r="G68" s="172">
        <v>6</v>
      </c>
      <c r="H68" s="209">
        <v>-1.3698000000000001</v>
      </c>
      <c r="I68" s="209">
        <v>-0.22654000000000002</v>
      </c>
      <c r="J68" s="209">
        <v>3</v>
      </c>
      <c r="K68" s="210">
        <v>2</v>
      </c>
      <c r="AB68"/>
      <c r="AC68"/>
      <c r="AD68"/>
      <c r="AE68" s="144" t="s">
        <v>52</v>
      </c>
      <c r="AF68" s="57">
        <v>3</v>
      </c>
      <c r="AG68" s="184">
        <v>-0.99743975160533349</v>
      </c>
      <c r="AH68" s="184">
        <v>0.22426554636965412</v>
      </c>
      <c r="AI68"/>
      <c r="AJ68" s="57" t="s">
        <v>80</v>
      </c>
      <c r="AK68" s="184">
        <v>-0.12413653824004578</v>
      </c>
      <c r="AL68" s="184">
        <v>-0.52790350300205502</v>
      </c>
      <c r="AM68" s="192">
        <v>5</v>
      </c>
      <c r="AN68"/>
      <c r="AO68" s="144" t="s">
        <v>76</v>
      </c>
      <c r="AP68" s="184">
        <v>-0.91516875736297776</v>
      </c>
      <c r="AQ68" s="184">
        <v>0.81195283894267822</v>
      </c>
      <c r="AR68" s="195">
        <v>6</v>
      </c>
      <c r="AS68" s="204"/>
      <c r="AT68" s="144" t="s">
        <v>86</v>
      </c>
      <c r="AU68" s="57">
        <v>5</v>
      </c>
      <c r="AV68" s="209">
        <v>0.65083000000000013</v>
      </c>
      <c r="AW68" s="209">
        <v>-0.24948000000000004</v>
      </c>
      <c r="AX68"/>
      <c r="AY68" s="144" t="s">
        <v>59</v>
      </c>
      <c r="AZ68" s="57">
        <v>3</v>
      </c>
      <c r="BA68" s="209">
        <v>0.41909000000000002</v>
      </c>
      <c r="BB68" s="209">
        <v>-0.62668000000000013</v>
      </c>
      <c r="BV68"/>
      <c r="BW68"/>
      <c r="BX68" s="57" t="s">
        <v>76</v>
      </c>
      <c r="BY68" s="209">
        <v>-1.3698000000000001</v>
      </c>
      <c r="BZ68" s="209">
        <v>-0.22654000000000002</v>
      </c>
      <c r="CA68" s="209">
        <v>3</v>
      </c>
      <c r="CC68" s="144" t="s">
        <v>76</v>
      </c>
      <c r="CD68" s="209">
        <v>-1.3698000000000001</v>
      </c>
      <c r="CE68" s="209">
        <v>-0.22654000000000002</v>
      </c>
      <c r="CF68" s="210">
        <v>2</v>
      </c>
      <c r="CH68" s="57" t="s">
        <v>45</v>
      </c>
      <c r="CI68" s="184">
        <v>0.11784038726282435</v>
      </c>
      <c r="CJ68" s="184">
        <v>-0.19242814979095843</v>
      </c>
      <c r="CK68" s="260">
        <v>5</v>
      </c>
      <c r="CM68" s="57" t="s">
        <v>45</v>
      </c>
      <c r="CN68" s="259">
        <v>-3.7600000000000001E-2</v>
      </c>
      <c r="CO68" s="259">
        <v>-6.7860000000000004E-2</v>
      </c>
      <c r="CP68" s="260">
        <v>5</v>
      </c>
      <c r="DF68" s="57" t="s">
        <v>68</v>
      </c>
      <c r="DG68" s="276">
        <v>-0.26371</v>
      </c>
      <c r="DH68" s="276">
        <v>-0.89917999999999998</v>
      </c>
      <c r="DI68" s="224">
        <v>3</v>
      </c>
      <c r="DK68" s="57" t="s">
        <v>68</v>
      </c>
      <c r="DL68" s="184">
        <v>-0.99674455503673365</v>
      </c>
      <c r="DM68" s="184">
        <v>-0.62645314821502851</v>
      </c>
      <c r="DN68" s="224">
        <v>3</v>
      </c>
    </row>
    <row r="69" spans="1:118" x14ac:dyDescent="0.3">
      <c r="A69" s="144" t="s">
        <v>77</v>
      </c>
      <c r="B69" s="57">
        <v>5</v>
      </c>
      <c r="C69" s="57">
        <v>1</v>
      </c>
      <c r="D69" s="184">
        <v>-0.2674957311388067</v>
      </c>
      <c r="E69" s="184">
        <v>-0.27727710951001838</v>
      </c>
      <c r="F69" s="171">
        <v>5</v>
      </c>
      <c r="G69" s="172">
        <v>5</v>
      </c>
      <c r="H69" s="209">
        <v>-0.20149000000000003</v>
      </c>
      <c r="I69" s="209">
        <v>-0.30217000000000005</v>
      </c>
      <c r="J69" s="209">
        <v>5</v>
      </c>
      <c r="K69" s="210">
        <v>3</v>
      </c>
      <c r="AB69"/>
      <c r="AC69"/>
      <c r="AD69"/>
      <c r="AE69" s="144" t="s">
        <v>18</v>
      </c>
      <c r="AF69" s="57">
        <v>3</v>
      </c>
      <c r="AG69" s="184">
        <v>-0.44316822585800819</v>
      </c>
      <c r="AH69" s="184">
        <v>-0.57811526202185071</v>
      </c>
      <c r="AI69"/>
      <c r="AJ69" s="57" t="s">
        <v>81</v>
      </c>
      <c r="AK69" s="184">
        <v>0.22775094727323869</v>
      </c>
      <c r="AL69" s="184">
        <v>-0.69642572319985852</v>
      </c>
      <c r="AM69" s="192">
        <v>5</v>
      </c>
      <c r="AN69"/>
      <c r="AO69" s="144" t="s">
        <v>77</v>
      </c>
      <c r="AP69" s="184">
        <v>-0.2674957311388067</v>
      </c>
      <c r="AQ69" s="184">
        <v>-0.27727710951001838</v>
      </c>
      <c r="AR69" s="195">
        <v>5</v>
      </c>
      <c r="AS69" s="204"/>
      <c r="AT69" s="144" t="s">
        <v>88</v>
      </c>
      <c r="AU69" s="57">
        <v>5</v>
      </c>
      <c r="AV69" s="209">
        <v>-9.597E-2</v>
      </c>
      <c r="AW69" s="209">
        <v>0.78450999999999993</v>
      </c>
      <c r="AX69"/>
      <c r="AY69" s="144" t="s">
        <v>62</v>
      </c>
      <c r="AZ69" s="57">
        <v>3</v>
      </c>
      <c r="BA69" s="209">
        <v>-0.53047999999999995</v>
      </c>
      <c r="BB69" s="209">
        <v>-0.73325000000000007</v>
      </c>
      <c r="BV69"/>
      <c r="BW69"/>
      <c r="BX69" s="57" t="s">
        <v>77</v>
      </c>
      <c r="BY69" s="209">
        <v>-0.20149000000000003</v>
      </c>
      <c r="BZ69" s="209">
        <v>-0.30217000000000005</v>
      </c>
      <c r="CA69" s="209">
        <v>5</v>
      </c>
      <c r="CC69" s="144" t="s">
        <v>77</v>
      </c>
      <c r="CD69" s="209">
        <v>-0.20149000000000003</v>
      </c>
      <c r="CE69" s="209">
        <v>-0.30217000000000005</v>
      </c>
      <c r="CF69" s="210">
        <v>3</v>
      </c>
      <c r="CH69" s="57" t="s">
        <v>46</v>
      </c>
      <c r="CI69" s="184">
        <v>-4.8555712137070377E-2</v>
      </c>
      <c r="CJ69" s="184">
        <v>0.21406479878870677</v>
      </c>
      <c r="CK69" s="260">
        <v>5</v>
      </c>
      <c r="CM69" s="57" t="s">
        <v>46</v>
      </c>
      <c r="CN69" s="259">
        <v>-0.13754000000000002</v>
      </c>
      <c r="CO69" s="259">
        <v>0.10106000000000001</v>
      </c>
      <c r="CP69" s="260">
        <v>5</v>
      </c>
      <c r="DF69" s="57" t="s">
        <v>70</v>
      </c>
      <c r="DG69" s="276">
        <v>-0.26587000000000005</v>
      </c>
      <c r="DH69" s="276">
        <v>-0.19420000000000001</v>
      </c>
      <c r="DI69" s="278">
        <v>3</v>
      </c>
      <c r="DK69" s="57" t="s">
        <v>70</v>
      </c>
      <c r="DL69" s="184">
        <v>-0.33210730506777397</v>
      </c>
      <c r="DM69" s="184">
        <v>0.12552322826749052</v>
      </c>
      <c r="DN69" s="278">
        <v>3</v>
      </c>
    </row>
    <row r="70" spans="1:118" x14ac:dyDescent="0.3">
      <c r="A70" s="144" t="s">
        <v>78</v>
      </c>
      <c r="B70" s="57">
        <v>4</v>
      </c>
      <c r="C70" s="57">
        <v>2</v>
      </c>
      <c r="D70" s="184">
        <v>7.0736769437563504E-2</v>
      </c>
      <c r="E70" s="184">
        <v>1.0526493771490244</v>
      </c>
      <c r="F70" s="171">
        <v>4</v>
      </c>
      <c r="G70" s="172">
        <v>3</v>
      </c>
      <c r="H70" s="209">
        <v>-0.60492000000000012</v>
      </c>
      <c r="I70" s="209">
        <v>0.82543</v>
      </c>
      <c r="J70" s="209">
        <v>6</v>
      </c>
      <c r="K70" s="210">
        <v>5</v>
      </c>
      <c r="AB70"/>
      <c r="AC70"/>
      <c r="AD70"/>
      <c r="AE70" s="144" t="s">
        <v>21</v>
      </c>
      <c r="AF70" s="57">
        <v>3</v>
      </c>
      <c r="AG70" s="184">
        <v>-0.37087827546333718</v>
      </c>
      <c r="AH70" s="184">
        <v>-1.5215214439673252</v>
      </c>
      <c r="AI70"/>
      <c r="AJ70" s="57" t="s">
        <v>84</v>
      </c>
      <c r="AK70" s="184">
        <v>-0.16351862231155986</v>
      </c>
      <c r="AL70" s="184">
        <v>-0.23159466896528591</v>
      </c>
      <c r="AM70" s="192">
        <v>5</v>
      </c>
      <c r="AN70"/>
      <c r="AO70" s="144" t="s">
        <v>78</v>
      </c>
      <c r="AP70" s="184">
        <v>7.0736769437563504E-2</v>
      </c>
      <c r="AQ70" s="184">
        <v>1.0526493771490244</v>
      </c>
      <c r="AR70" s="195">
        <v>3</v>
      </c>
      <c r="AS70" s="204"/>
      <c r="AT70" s="144" t="s">
        <v>90</v>
      </c>
      <c r="AU70" s="57">
        <v>5</v>
      </c>
      <c r="AV70" s="209">
        <v>-0.23470000000000002</v>
      </c>
      <c r="AW70" s="209">
        <v>-0.33383000000000007</v>
      </c>
      <c r="AX70"/>
      <c r="AY70" s="144" t="s">
        <v>67</v>
      </c>
      <c r="AZ70" s="57">
        <v>3</v>
      </c>
      <c r="BA70" s="209">
        <v>-0.27686000000000005</v>
      </c>
      <c r="BB70" s="209">
        <v>-0.86673000000000011</v>
      </c>
      <c r="BV70"/>
      <c r="BW70"/>
      <c r="BX70" s="57" t="s">
        <v>78</v>
      </c>
      <c r="BY70" s="209">
        <v>-0.60492000000000012</v>
      </c>
      <c r="BZ70" s="209">
        <v>0.82543</v>
      </c>
      <c r="CA70" s="209">
        <v>6</v>
      </c>
      <c r="CC70" s="144" t="s">
        <v>78</v>
      </c>
      <c r="CD70" s="209">
        <v>-0.60492000000000012</v>
      </c>
      <c r="CE70" s="209">
        <v>0.82543</v>
      </c>
      <c r="CF70" s="210">
        <v>5</v>
      </c>
      <c r="CH70" s="57" t="s">
        <v>49</v>
      </c>
      <c r="CI70" s="184">
        <v>0.30561908669063659</v>
      </c>
      <c r="CJ70" s="184">
        <v>0.29554761095456156</v>
      </c>
      <c r="CK70" s="260">
        <v>5</v>
      </c>
      <c r="CM70" s="57" t="s">
        <v>49</v>
      </c>
      <c r="CN70" s="259">
        <v>5.679E-2</v>
      </c>
      <c r="CO70" s="259">
        <v>0.35210000000000002</v>
      </c>
      <c r="CP70" s="260">
        <v>5</v>
      </c>
      <c r="DF70" s="57" t="s">
        <v>85</v>
      </c>
      <c r="DG70" s="276">
        <v>-0.26457000000000003</v>
      </c>
      <c r="DH70" s="276">
        <v>-0.13340000000000002</v>
      </c>
      <c r="DI70" s="278">
        <v>3</v>
      </c>
      <c r="DK70" s="57" t="s">
        <v>85</v>
      </c>
      <c r="DL70" s="184">
        <v>-0.14824621074977959</v>
      </c>
      <c r="DM70" s="184">
        <v>1.6283985682877478E-2</v>
      </c>
      <c r="DN70" s="278">
        <v>3</v>
      </c>
    </row>
    <row r="71" spans="1:118" x14ac:dyDescent="0.3">
      <c r="A71" s="144" t="s">
        <v>79</v>
      </c>
      <c r="B71" s="57">
        <v>2</v>
      </c>
      <c r="C71" s="57">
        <v>2</v>
      </c>
      <c r="D71" s="184">
        <v>-0.7251936889102516</v>
      </c>
      <c r="E71" s="184">
        <v>0.3238663271064936</v>
      </c>
      <c r="F71" s="171">
        <v>6</v>
      </c>
      <c r="G71" s="172">
        <v>4</v>
      </c>
      <c r="H71" s="209">
        <v>-0.65169000000000021</v>
      </c>
      <c r="I71" s="209">
        <v>-0.25786000000000003</v>
      </c>
      <c r="J71" s="209">
        <v>5</v>
      </c>
      <c r="K71" s="210">
        <v>1</v>
      </c>
      <c r="AB71"/>
      <c r="AC71"/>
      <c r="AD71"/>
      <c r="AE71" s="144" t="s">
        <v>59</v>
      </c>
      <c r="AF71" s="57">
        <v>3</v>
      </c>
      <c r="AG71" s="184">
        <v>-0.29788161391669776</v>
      </c>
      <c r="AH71" s="184">
        <v>-0.75593902469895136</v>
      </c>
      <c r="AI71"/>
      <c r="AJ71" s="57" t="s">
        <v>86</v>
      </c>
      <c r="AK71" s="184">
        <v>0.54814525741938513</v>
      </c>
      <c r="AL71" s="184">
        <v>-0.732693321291644</v>
      </c>
      <c r="AM71" s="192">
        <v>5</v>
      </c>
      <c r="AN71"/>
      <c r="AO71" s="144" t="s">
        <v>79</v>
      </c>
      <c r="AP71" s="184">
        <v>-0.7251936889102516</v>
      </c>
      <c r="AQ71" s="184">
        <v>0.3238663271064936</v>
      </c>
      <c r="AR71" s="195">
        <v>4</v>
      </c>
      <c r="AS71" s="204"/>
      <c r="AT71" s="144" t="s">
        <v>93</v>
      </c>
      <c r="AU71" s="57">
        <v>5</v>
      </c>
      <c r="AV71" s="209">
        <v>-8.9029999999999998E-2</v>
      </c>
      <c r="AW71" s="209">
        <v>-0.38491000000000009</v>
      </c>
      <c r="AX71"/>
      <c r="AY71" s="144" t="s">
        <v>68</v>
      </c>
      <c r="AZ71" s="57">
        <v>3</v>
      </c>
      <c r="BA71" s="209">
        <v>-0.26371</v>
      </c>
      <c r="BB71" s="209">
        <v>-0.89917999999999998</v>
      </c>
      <c r="BV71"/>
      <c r="BW71"/>
      <c r="BX71" s="57" t="s">
        <v>79</v>
      </c>
      <c r="BY71" s="209">
        <v>-0.65169000000000021</v>
      </c>
      <c r="BZ71" s="209">
        <v>-0.25786000000000003</v>
      </c>
      <c r="CA71" s="209">
        <v>5</v>
      </c>
      <c r="CC71" s="144" t="s">
        <v>79</v>
      </c>
      <c r="CD71" s="209">
        <v>-0.65169000000000021</v>
      </c>
      <c r="CE71" s="209">
        <v>-0.25786000000000003</v>
      </c>
      <c r="CF71" s="210">
        <v>1</v>
      </c>
      <c r="CH71" s="57" t="s">
        <v>53</v>
      </c>
      <c r="CI71" s="184">
        <v>-1.5241183555249409</v>
      </c>
      <c r="CJ71" s="184">
        <v>-0.83005765926504826</v>
      </c>
      <c r="CK71" s="260">
        <v>5</v>
      </c>
      <c r="CM71" s="57" t="s">
        <v>53</v>
      </c>
      <c r="CN71" s="259">
        <v>-0.55001</v>
      </c>
      <c r="CO71" s="259">
        <v>-1.0174700000000001</v>
      </c>
      <c r="CP71" s="260">
        <v>5</v>
      </c>
      <c r="DF71" s="57" t="s">
        <v>93</v>
      </c>
      <c r="DG71" s="276">
        <v>-8.9029999999999998E-2</v>
      </c>
      <c r="DH71" s="276">
        <v>-0.38491000000000009</v>
      </c>
      <c r="DI71" s="115">
        <v>3</v>
      </c>
      <c r="DK71" s="57" t="s">
        <v>93</v>
      </c>
      <c r="DL71" s="184">
        <v>-3.9211966847335744E-2</v>
      </c>
      <c r="DM71" s="184">
        <v>-0.45473315175147266</v>
      </c>
      <c r="DN71" s="115">
        <v>3</v>
      </c>
    </row>
    <row r="72" spans="1:118" x14ac:dyDescent="0.3">
      <c r="A72" s="144" t="s">
        <v>80</v>
      </c>
      <c r="B72" s="57">
        <v>5</v>
      </c>
      <c r="C72" s="57">
        <v>1</v>
      </c>
      <c r="D72" s="184">
        <v>-0.12413653824004578</v>
      </c>
      <c r="E72" s="184">
        <v>-0.52790350300205502</v>
      </c>
      <c r="F72" s="171">
        <v>5</v>
      </c>
      <c r="G72" s="172">
        <v>5</v>
      </c>
      <c r="H72" s="209">
        <v>2.5940000000000001E-2</v>
      </c>
      <c r="I72" s="209">
        <v>-0.40831000000000006</v>
      </c>
      <c r="J72" s="209">
        <v>5</v>
      </c>
      <c r="K72" s="210">
        <v>3</v>
      </c>
      <c r="AB72"/>
      <c r="AC72"/>
      <c r="AD72"/>
      <c r="AE72" s="144" t="s">
        <v>20</v>
      </c>
      <c r="AF72" s="57">
        <v>4</v>
      </c>
      <c r="AG72" s="184">
        <v>3.8561089628134808</v>
      </c>
      <c r="AH72" s="184">
        <v>2.4828261942325693</v>
      </c>
      <c r="AI72"/>
      <c r="AJ72" s="57" t="s">
        <v>93</v>
      </c>
      <c r="AK72" s="184">
        <v>-3.9211966847335744E-2</v>
      </c>
      <c r="AL72" s="184">
        <v>-0.45473315175147266</v>
      </c>
      <c r="AM72" s="192">
        <v>5</v>
      </c>
      <c r="AN72"/>
      <c r="AO72" s="144" t="s">
        <v>80</v>
      </c>
      <c r="AP72" s="184">
        <v>-0.12413653824004578</v>
      </c>
      <c r="AQ72" s="184">
        <v>-0.52790350300205502</v>
      </c>
      <c r="AR72" s="195">
        <v>5</v>
      </c>
      <c r="AS72" s="204"/>
      <c r="AT72" s="144" t="s">
        <v>18</v>
      </c>
      <c r="AU72" s="57">
        <v>6</v>
      </c>
      <c r="AV72" s="209">
        <v>-1.193E-2</v>
      </c>
      <c r="AW72" s="209">
        <v>-0.53752</v>
      </c>
      <c r="AX72"/>
      <c r="AY72" s="144" t="s">
        <v>20</v>
      </c>
      <c r="AZ72" s="57">
        <v>4</v>
      </c>
      <c r="BA72" s="209">
        <v>1.2853300000000001</v>
      </c>
      <c r="BB72" s="209">
        <v>4.5312900000000003</v>
      </c>
      <c r="BV72"/>
      <c r="BW72"/>
      <c r="BX72" s="57" t="s">
        <v>80</v>
      </c>
      <c r="BY72" s="209">
        <v>2.5940000000000001E-2</v>
      </c>
      <c r="BZ72" s="209">
        <v>-0.40831000000000006</v>
      </c>
      <c r="CA72" s="209">
        <v>5</v>
      </c>
      <c r="CC72" s="144" t="s">
        <v>80</v>
      </c>
      <c r="CD72" s="209">
        <v>2.5940000000000001E-2</v>
      </c>
      <c r="CE72" s="209">
        <v>-0.40831000000000006</v>
      </c>
      <c r="CF72" s="210">
        <v>3</v>
      </c>
      <c r="CH72" s="57" t="s">
        <v>55</v>
      </c>
      <c r="CI72" s="184">
        <v>-0.65128035231628534</v>
      </c>
      <c r="CJ72" s="184">
        <v>-0.14495052678642351</v>
      </c>
      <c r="CK72" s="260">
        <v>5</v>
      </c>
      <c r="CM72" s="57" t="s">
        <v>55</v>
      </c>
      <c r="CN72" s="259">
        <v>-0.30474000000000001</v>
      </c>
      <c r="CO72" s="259">
        <v>-0.48752000000000006</v>
      </c>
      <c r="CP72" s="260">
        <v>5</v>
      </c>
      <c r="DF72" s="57" t="s">
        <v>36</v>
      </c>
      <c r="DG72" s="276">
        <v>-0.33123000000000002</v>
      </c>
      <c r="DH72" s="276">
        <v>-0.37042000000000008</v>
      </c>
      <c r="DI72" s="278">
        <v>4</v>
      </c>
      <c r="DK72" s="57" t="s">
        <v>36</v>
      </c>
      <c r="DL72" s="184">
        <v>-0.43793553770023014</v>
      </c>
      <c r="DM72" s="184">
        <v>-0.12976085990879424</v>
      </c>
      <c r="DN72" s="278">
        <v>4</v>
      </c>
    </row>
    <row r="73" spans="1:118" x14ac:dyDescent="0.3">
      <c r="A73" s="144" t="s">
        <v>81</v>
      </c>
      <c r="B73" s="57">
        <v>5</v>
      </c>
      <c r="C73" s="57">
        <v>1</v>
      </c>
      <c r="D73" s="184">
        <v>0.22775094727323869</v>
      </c>
      <c r="E73" s="184">
        <v>-0.69642572319985852</v>
      </c>
      <c r="F73" s="171">
        <v>5</v>
      </c>
      <c r="G73" s="172">
        <v>5</v>
      </c>
      <c r="H73" s="209">
        <v>0.28377000000000002</v>
      </c>
      <c r="I73" s="209">
        <v>-0.29338000000000009</v>
      </c>
      <c r="J73" s="209">
        <v>1</v>
      </c>
      <c r="K73" s="210">
        <v>3</v>
      </c>
      <c r="AB73"/>
      <c r="AC73"/>
      <c r="AD73"/>
      <c r="AE73" s="144" t="s">
        <v>40</v>
      </c>
      <c r="AF73" s="57">
        <v>4</v>
      </c>
      <c r="AG73" s="184">
        <v>3.2488353767908791</v>
      </c>
      <c r="AH73" s="184">
        <v>2.4658023062022982</v>
      </c>
      <c r="AI73"/>
      <c r="AJ73" s="57" t="s">
        <v>23</v>
      </c>
      <c r="AK73" s="184">
        <v>-1.0337243333738841</v>
      </c>
      <c r="AL73" s="184">
        <v>0.19895696132898522</v>
      </c>
      <c r="AM73" s="192">
        <v>6</v>
      </c>
      <c r="AN73"/>
      <c r="AO73" s="144" t="s">
        <v>81</v>
      </c>
      <c r="AP73" s="184">
        <v>0.22775094727323869</v>
      </c>
      <c r="AQ73" s="184">
        <v>-0.69642572319985852</v>
      </c>
      <c r="AR73" s="195">
        <v>5</v>
      </c>
      <c r="AS73" s="204"/>
      <c r="AT73" s="144" t="s">
        <v>23</v>
      </c>
      <c r="AU73" s="57">
        <v>6</v>
      </c>
      <c r="AV73" s="209">
        <v>-0.77775000000000005</v>
      </c>
      <c r="AW73" s="209">
        <v>-0.46984000000000004</v>
      </c>
      <c r="AX73"/>
      <c r="AY73" s="144" t="s">
        <v>40</v>
      </c>
      <c r="AZ73" s="57">
        <v>4</v>
      </c>
      <c r="BA73" s="209">
        <v>0.66459000000000013</v>
      </c>
      <c r="BB73" s="209">
        <v>3.3225899999999999</v>
      </c>
      <c r="BV73"/>
      <c r="BW73"/>
      <c r="BX73" s="57" t="s">
        <v>81</v>
      </c>
      <c r="BY73" s="209">
        <v>0.28377000000000002</v>
      </c>
      <c r="BZ73" s="209">
        <v>-0.29338000000000009</v>
      </c>
      <c r="CA73" s="209">
        <v>1</v>
      </c>
      <c r="CC73" s="144" t="s">
        <v>81</v>
      </c>
      <c r="CD73" s="209">
        <v>0.28377000000000002</v>
      </c>
      <c r="CE73" s="209">
        <v>-0.29338000000000009</v>
      </c>
      <c r="CF73" s="210">
        <v>3</v>
      </c>
      <c r="CH73" s="57" t="s">
        <v>59</v>
      </c>
      <c r="CI73" s="184">
        <v>-0.29788161391669776</v>
      </c>
      <c r="CJ73" s="184">
        <v>-0.75593902469895136</v>
      </c>
      <c r="CK73" s="260">
        <v>5</v>
      </c>
      <c r="CM73" s="57" t="s">
        <v>59</v>
      </c>
      <c r="CN73" s="259">
        <v>0.41909000000000002</v>
      </c>
      <c r="CO73" s="259">
        <v>-0.62668000000000013</v>
      </c>
      <c r="CP73" s="260">
        <v>5</v>
      </c>
      <c r="DF73" s="57" t="s">
        <v>39</v>
      </c>
      <c r="DG73" s="276">
        <v>2.4770400000000001</v>
      </c>
      <c r="DH73" s="276">
        <v>-0.89207999999999998</v>
      </c>
      <c r="DI73" s="224">
        <v>4</v>
      </c>
      <c r="DK73" s="57" t="s">
        <v>39</v>
      </c>
      <c r="DL73" s="184">
        <v>1.3427118487526655</v>
      </c>
      <c r="DM73" s="184">
        <v>-2.5000966528853699</v>
      </c>
      <c r="DN73" s="224">
        <v>4</v>
      </c>
    </row>
    <row r="74" spans="1:118" x14ac:dyDescent="0.3">
      <c r="A74" s="144" t="s">
        <v>82</v>
      </c>
      <c r="B74" s="57">
        <v>4</v>
      </c>
      <c r="C74" s="57">
        <v>2</v>
      </c>
      <c r="D74" s="184">
        <v>0.15076936481568043</v>
      </c>
      <c r="E74" s="184">
        <v>0.25267007267107311</v>
      </c>
      <c r="F74" s="171">
        <v>4</v>
      </c>
      <c r="G74" s="172">
        <v>3</v>
      </c>
      <c r="H74" s="209">
        <v>-0.10286000000000001</v>
      </c>
      <c r="I74" s="209">
        <v>0.18959000000000001</v>
      </c>
      <c r="J74" s="209">
        <v>6</v>
      </c>
      <c r="K74" s="210">
        <v>1</v>
      </c>
      <c r="AB74"/>
      <c r="AC74"/>
      <c r="AD74"/>
      <c r="AE74" s="144" t="s">
        <v>66</v>
      </c>
      <c r="AF74" s="57">
        <v>4</v>
      </c>
      <c r="AG74" s="184">
        <v>1.4341881059576949</v>
      </c>
      <c r="AH74" s="184">
        <v>2.161038063750881</v>
      </c>
      <c r="AI74"/>
      <c r="AJ74" s="57" t="s">
        <v>29</v>
      </c>
      <c r="AK74" s="184">
        <v>-0.95306631457546787</v>
      </c>
      <c r="AL74" s="184">
        <v>0.19932319917675709</v>
      </c>
      <c r="AM74" s="192">
        <v>6</v>
      </c>
      <c r="AN74"/>
      <c r="AO74" s="144" t="s">
        <v>82</v>
      </c>
      <c r="AP74" s="184">
        <v>0.15076936481568043</v>
      </c>
      <c r="AQ74" s="184">
        <v>0.25267007267107311</v>
      </c>
      <c r="AR74" s="195">
        <v>3</v>
      </c>
      <c r="AS74" s="204"/>
      <c r="AT74" s="144" t="s">
        <v>26</v>
      </c>
      <c r="AU74" s="57">
        <v>6</v>
      </c>
      <c r="AV74" s="209">
        <v>-0.12827</v>
      </c>
      <c r="AW74" s="209">
        <v>-0.65498000000000012</v>
      </c>
      <c r="AX74"/>
      <c r="AY74" s="144" t="s">
        <v>66</v>
      </c>
      <c r="AZ74" s="57">
        <v>4</v>
      </c>
      <c r="BA74" s="209">
        <v>-0.20050000000000001</v>
      </c>
      <c r="BB74" s="209">
        <v>2.1512799999999999</v>
      </c>
      <c r="BV74"/>
      <c r="BW74"/>
      <c r="BX74" s="57" t="s">
        <v>82</v>
      </c>
      <c r="BY74" s="209">
        <v>-0.10286000000000001</v>
      </c>
      <c r="BZ74" s="209">
        <v>0.18959000000000001</v>
      </c>
      <c r="CA74" s="209">
        <v>6</v>
      </c>
      <c r="CC74" s="144" t="s">
        <v>82</v>
      </c>
      <c r="CD74" s="209">
        <v>-0.10286000000000001</v>
      </c>
      <c r="CE74" s="209">
        <v>0.18959000000000001</v>
      </c>
      <c r="CF74" s="210">
        <v>1</v>
      </c>
      <c r="CH74" s="57" t="s">
        <v>60</v>
      </c>
      <c r="CI74" s="184">
        <v>0.32014076197858876</v>
      </c>
      <c r="CJ74" s="184">
        <v>-1.1190718715909549</v>
      </c>
      <c r="CK74" s="260">
        <v>5</v>
      </c>
      <c r="CM74" s="57" t="s">
        <v>60</v>
      </c>
      <c r="CN74" s="259">
        <v>1.02027</v>
      </c>
      <c r="CO74" s="259">
        <v>-0.52498</v>
      </c>
      <c r="CP74" s="260">
        <v>5</v>
      </c>
      <c r="DF74" s="57" t="s">
        <v>41</v>
      </c>
      <c r="DG74" s="276">
        <v>1.4858899999999999</v>
      </c>
      <c r="DH74" s="276">
        <v>-0.73268000000000011</v>
      </c>
      <c r="DI74" s="224">
        <v>4</v>
      </c>
      <c r="DK74" s="57" t="s">
        <v>41</v>
      </c>
      <c r="DL74" s="184">
        <v>0.77969586727480056</v>
      </c>
      <c r="DM74" s="184">
        <v>-1.7895749805900687</v>
      </c>
      <c r="DN74" s="224">
        <v>4</v>
      </c>
    </row>
    <row r="75" spans="1:118" x14ac:dyDescent="0.3">
      <c r="A75" s="144" t="s">
        <v>83</v>
      </c>
      <c r="B75" s="57">
        <v>4</v>
      </c>
      <c r="C75" s="57">
        <v>2</v>
      </c>
      <c r="D75" s="184">
        <v>0.95017992838704834</v>
      </c>
      <c r="E75" s="184">
        <v>0.75903846068162117</v>
      </c>
      <c r="F75" s="171">
        <v>4</v>
      </c>
      <c r="G75" s="172">
        <v>3</v>
      </c>
      <c r="H75" s="209">
        <v>0.42163</v>
      </c>
      <c r="I75" s="209">
        <v>0.8761000000000001</v>
      </c>
      <c r="J75" s="209">
        <v>6</v>
      </c>
      <c r="K75" s="210">
        <v>5</v>
      </c>
      <c r="AB75"/>
      <c r="AC75"/>
      <c r="AD75"/>
      <c r="AE75" s="144" t="s">
        <v>57</v>
      </c>
      <c r="AF75" s="57">
        <v>5</v>
      </c>
      <c r="AG75" s="184">
        <v>-2.5785742851848039</v>
      </c>
      <c r="AH75" s="184">
        <v>1.9739397164118095</v>
      </c>
      <c r="AI75"/>
      <c r="AJ75" s="57" t="s">
        <v>52</v>
      </c>
      <c r="AK75" s="184">
        <v>-0.99743975160533349</v>
      </c>
      <c r="AL75" s="184">
        <v>0.22426554636965412</v>
      </c>
      <c r="AM75" s="192">
        <v>6</v>
      </c>
      <c r="AN75"/>
      <c r="AO75" s="144" t="s">
        <v>83</v>
      </c>
      <c r="AP75" s="184">
        <v>0.95017992838704834</v>
      </c>
      <c r="AQ75" s="184">
        <v>0.75903846068162117</v>
      </c>
      <c r="AR75" s="195">
        <v>3</v>
      </c>
      <c r="AS75" s="204"/>
      <c r="AT75" s="144" t="s">
        <v>31</v>
      </c>
      <c r="AU75" s="57">
        <v>6</v>
      </c>
      <c r="AV75" s="209">
        <v>-0.26874999999999999</v>
      </c>
      <c r="AW75" s="209">
        <v>-0.66684000000000021</v>
      </c>
      <c r="AX75"/>
      <c r="AY75" s="144" t="s">
        <v>57</v>
      </c>
      <c r="AZ75" s="57">
        <v>5</v>
      </c>
      <c r="BA75" s="209">
        <v>-2.4865599999999999</v>
      </c>
      <c r="BB75" s="209">
        <v>-0.43007000000000006</v>
      </c>
      <c r="BJ75" t="s">
        <v>190</v>
      </c>
      <c r="BV75"/>
      <c r="BW75"/>
      <c r="BX75" s="57" t="s">
        <v>83</v>
      </c>
      <c r="BY75" s="209">
        <v>0.42163</v>
      </c>
      <c r="BZ75" s="209">
        <v>0.8761000000000001</v>
      </c>
      <c r="CA75" s="209">
        <v>6</v>
      </c>
      <c r="CC75" s="144" t="s">
        <v>83</v>
      </c>
      <c r="CD75" s="209">
        <v>0.42163</v>
      </c>
      <c r="CE75" s="209">
        <v>0.8761000000000001</v>
      </c>
      <c r="CF75" s="210">
        <v>5</v>
      </c>
      <c r="CH75" s="57" t="s">
        <v>68</v>
      </c>
      <c r="CI75" s="184">
        <v>-0.99674455503673365</v>
      </c>
      <c r="CJ75" s="184">
        <v>-0.62645314821502851</v>
      </c>
      <c r="CK75" s="260">
        <v>5</v>
      </c>
      <c r="CM75" s="57" t="s">
        <v>68</v>
      </c>
      <c r="CN75" s="259">
        <v>-0.26371</v>
      </c>
      <c r="CO75" s="259">
        <v>-0.89917999999999998</v>
      </c>
      <c r="CP75" s="260">
        <v>5</v>
      </c>
      <c r="DF75" s="57" t="s">
        <v>45</v>
      </c>
      <c r="DG75" s="276">
        <v>-3.7600000000000001E-2</v>
      </c>
      <c r="DH75" s="276">
        <v>-6.7860000000000004E-2</v>
      </c>
      <c r="DI75" s="278">
        <v>4</v>
      </c>
      <c r="DK75" s="57" t="s">
        <v>45</v>
      </c>
      <c r="DL75" s="184">
        <v>0.11784038726282435</v>
      </c>
      <c r="DM75" s="184">
        <v>-0.19242814979095843</v>
      </c>
      <c r="DN75" s="278">
        <v>4</v>
      </c>
    </row>
    <row r="76" spans="1:118" x14ac:dyDescent="0.3">
      <c r="A76" s="144" t="s">
        <v>84</v>
      </c>
      <c r="B76" s="57">
        <v>5</v>
      </c>
      <c r="C76" s="57">
        <v>1</v>
      </c>
      <c r="D76" s="184">
        <v>-0.16351862231155986</v>
      </c>
      <c r="E76" s="184">
        <v>-0.23159466896528591</v>
      </c>
      <c r="F76" s="171">
        <v>5</v>
      </c>
      <c r="G76" s="172">
        <v>5</v>
      </c>
      <c r="H76" s="209">
        <v>3.0859999999999999E-2</v>
      </c>
      <c r="I76" s="209">
        <v>-0.26472999999999997</v>
      </c>
      <c r="J76" s="209">
        <v>5</v>
      </c>
      <c r="K76" s="210">
        <v>3</v>
      </c>
      <c r="AB76"/>
      <c r="AC76"/>
      <c r="AD76"/>
      <c r="AE76" s="144" t="s">
        <v>89</v>
      </c>
      <c r="AF76" s="57">
        <v>5</v>
      </c>
      <c r="AG76" s="184">
        <v>-1.6596365580984691</v>
      </c>
      <c r="AH76" s="184">
        <v>1.7836887138566841</v>
      </c>
      <c r="AI76"/>
      <c r="AJ76" s="57" t="s">
        <v>63</v>
      </c>
      <c r="AK76" s="184">
        <v>-0.76122623184126581</v>
      </c>
      <c r="AL76" s="184">
        <v>0.47200246922534045</v>
      </c>
      <c r="AM76" s="192">
        <v>6</v>
      </c>
      <c r="AN76"/>
      <c r="AO76" s="144" t="s">
        <v>84</v>
      </c>
      <c r="AP76" s="184">
        <v>-0.16351862231155986</v>
      </c>
      <c r="AQ76" s="184">
        <v>-0.23159466896528591</v>
      </c>
      <c r="AR76" s="195">
        <v>5</v>
      </c>
      <c r="AS76" s="204"/>
      <c r="AT76" s="144" t="s">
        <v>43</v>
      </c>
      <c r="AU76" s="57">
        <v>6</v>
      </c>
      <c r="AV76" s="209">
        <v>-0.21897000000000003</v>
      </c>
      <c r="AW76" s="209">
        <v>-0.49012999999999995</v>
      </c>
      <c r="AX76"/>
      <c r="AY76" s="144" t="s">
        <v>89</v>
      </c>
      <c r="AZ76" s="57">
        <v>5</v>
      </c>
      <c r="BA76" s="209">
        <v>-1.9755199999999999</v>
      </c>
      <c r="BB76" s="209">
        <v>4.0479999999999995E-2</v>
      </c>
      <c r="BV76"/>
      <c r="BW76"/>
      <c r="BX76" s="57" t="s">
        <v>84</v>
      </c>
      <c r="BY76" s="209">
        <v>3.0859999999999999E-2</v>
      </c>
      <c r="BZ76" s="209">
        <v>-0.26472999999999997</v>
      </c>
      <c r="CA76" s="209">
        <v>5</v>
      </c>
      <c r="CC76" s="144" t="s">
        <v>84</v>
      </c>
      <c r="CD76" s="209">
        <v>3.0859999999999999E-2</v>
      </c>
      <c r="CE76" s="209">
        <v>-0.26472999999999997</v>
      </c>
      <c r="CF76" s="210">
        <v>3</v>
      </c>
      <c r="CH76" s="57" t="s">
        <v>75</v>
      </c>
      <c r="CI76" s="184">
        <v>1.1610158884903476</v>
      </c>
      <c r="CJ76" s="184">
        <v>0.21047329433474243</v>
      </c>
      <c r="CK76" s="260">
        <v>5</v>
      </c>
      <c r="CM76" s="57" t="s">
        <v>75</v>
      </c>
      <c r="CN76" s="259">
        <v>0.39494000000000001</v>
      </c>
      <c r="CO76" s="259">
        <v>0.85702000000000012</v>
      </c>
      <c r="CP76" s="260">
        <v>5</v>
      </c>
      <c r="DF76" s="57" t="s">
        <v>74</v>
      </c>
      <c r="DG76" s="276">
        <v>1.8784200000000002</v>
      </c>
      <c r="DH76" s="276">
        <v>-0.41471000000000002</v>
      </c>
      <c r="DI76" s="224">
        <v>4</v>
      </c>
      <c r="DK76" s="57" t="s">
        <v>74</v>
      </c>
      <c r="DL76" s="184">
        <v>1.2630330246509991</v>
      </c>
      <c r="DM76" s="184">
        <v>-1.6117585949491351</v>
      </c>
      <c r="DN76" s="224">
        <v>4</v>
      </c>
    </row>
    <row r="77" spans="1:118" x14ac:dyDescent="0.3">
      <c r="A77" s="144" t="s">
        <v>85</v>
      </c>
      <c r="B77" s="57">
        <v>5</v>
      </c>
      <c r="C77" s="57">
        <v>1</v>
      </c>
      <c r="D77" s="184">
        <v>-0.14824621074977959</v>
      </c>
      <c r="E77" s="184">
        <v>1.6283985682877478E-2</v>
      </c>
      <c r="F77" s="171">
        <v>4</v>
      </c>
      <c r="G77" s="172">
        <v>4</v>
      </c>
      <c r="H77" s="209">
        <v>-0.26457000000000003</v>
      </c>
      <c r="I77" s="209">
        <v>-0.13340000000000002</v>
      </c>
      <c r="J77" s="209">
        <v>5</v>
      </c>
      <c r="K77" s="210">
        <v>1</v>
      </c>
      <c r="AB77"/>
      <c r="AC77"/>
      <c r="AD77"/>
      <c r="AE77" s="144" t="s">
        <v>28</v>
      </c>
      <c r="AF77" s="57">
        <v>6</v>
      </c>
      <c r="AG77" s="184">
        <v>0.83515241087902459</v>
      </c>
      <c r="AH77" s="184">
        <v>-2.0048492791874573</v>
      </c>
      <c r="AI77"/>
      <c r="AJ77" s="57" t="s">
        <v>65</v>
      </c>
      <c r="AK77" s="184">
        <v>-0.9378004994331991</v>
      </c>
      <c r="AL77" s="184">
        <v>0.17086698406252218</v>
      </c>
      <c r="AM77" s="192">
        <v>6</v>
      </c>
      <c r="AN77"/>
      <c r="AO77" s="144" t="s">
        <v>85</v>
      </c>
      <c r="AP77" s="184">
        <v>-0.14824621074977959</v>
      </c>
      <c r="AQ77" s="184">
        <v>1.6283985682877478E-2</v>
      </c>
      <c r="AR77" s="195">
        <v>4</v>
      </c>
      <c r="AS77" s="204"/>
      <c r="AT77" s="144" t="s">
        <v>51</v>
      </c>
      <c r="AU77" s="57">
        <v>6</v>
      </c>
      <c r="AV77" s="209">
        <v>-0.40191000000000004</v>
      </c>
      <c r="AW77" s="209">
        <v>-0.67977000000000021</v>
      </c>
      <c r="AX77"/>
      <c r="AY77" s="144" t="s">
        <v>28</v>
      </c>
      <c r="AZ77" s="57">
        <v>6</v>
      </c>
      <c r="BA77" s="209">
        <v>1.7328400000000002</v>
      </c>
      <c r="BB77" s="209">
        <v>-0.8220400000000001</v>
      </c>
      <c r="BV77"/>
      <c r="BW77"/>
      <c r="BX77" s="57" t="s">
        <v>85</v>
      </c>
      <c r="BY77" s="209">
        <v>-0.26457000000000003</v>
      </c>
      <c r="BZ77" s="209">
        <v>-0.13340000000000002</v>
      </c>
      <c r="CA77" s="209">
        <v>5</v>
      </c>
      <c r="CC77" s="144" t="s">
        <v>85</v>
      </c>
      <c r="CD77" s="209">
        <v>-0.26457000000000003</v>
      </c>
      <c r="CE77" s="209">
        <v>-0.13340000000000002</v>
      </c>
      <c r="CF77" s="210">
        <v>1</v>
      </c>
      <c r="CH77" s="57" t="s">
        <v>77</v>
      </c>
      <c r="CI77" s="184">
        <v>-0.2674957311388067</v>
      </c>
      <c r="CJ77" s="184">
        <v>-0.27727710951001838</v>
      </c>
      <c r="CK77" s="260">
        <v>5</v>
      </c>
      <c r="CM77" s="57" t="s">
        <v>77</v>
      </c>
      <c r="CN77" s="259">
        <v>-0.20149000000000003</v>
      </c>
      <c r="CO77" s="259">
        <v>-0.30217000000000005</v>
      </c>
      <c r="CP77" s="260">
        <v>5</v>
      </c>
      <c r="DF77" s="57" t="s">
        <v>66</v>
      </c>
      <c r="DG77" s="276">
        <v>-0.20050000000000001</v>
      </c>
      <c r="DH77" s="276">
        <v>2.1512799999999999</v>
      </c>
      <c r="DI77" s="224">
        <v>5</v>
      </c>
      <c r="DK77" s="57" t="s">
        <v>66</v>
      </c>
      <c r="DL77" s="184">
        <v>1.4341881059576949</v>
      </c>
      <c r="DM77" s="184">
        <v>2.161038063750881</v>
      </c>
      <c r="DN77" s="224">
        <v>5</v>
      </c>
    </row>
    <row r="78" spans="1:118" x14ac:dyDescent="0.3">
      <c r="A78" s="144" t="s">
        <v>86</v>
      </c>
      <c r="B78" s="57">
        <v>5</v>
      </c>
      <c r="C78" s="57">
        <v>1</v>
      </c>
      <c r="D78" s="184">
        <v>0.54814525741938513</v>
      </c>
      <c r="E78" s="184">
        <v>-0.732693321291644</v>
      </c>
      <c r="F78" s="171">
        <v>5</v>
      </c>
      <c r="G78" s="172">
        <v>5</v>
      </c>
      <c r="H78" s="209">
        <v>0.65083000000000013</v>
      </c>
      <c r="I78" s="209">
        <v>-0.24948000000000004</v>
      </c>
      <c r="J78" s="209">
        <v>1</v>
      </c>
      <c r="K78" s="210">
        <v>3</v>
      </c>
      <c r="AB78"/>
      <c r="AC78"/>
      <c r="AD78"/>
      <c r="AE78" s="144" t="s">
        <v>39</v>
      </c>
      <c r="AF78" s="57">
        <v>6</v>
      </c>
      <c r="AG78" s="184">
        <v>1.3427118487526655</v>
      </c>
      <c r="AH78" s="184">
        <v>-2.5000966528853699</v>
      </c>
      <c r="AI78"/>
      <c r="AJ78" s="57" t="s">
        <v>79</v>
      </c>
      <c r="AK78" s="184">
        <v>-0.7251936889102516</v>
      </c>
      <c r="AL78" s="184">
        <v>0.3238663271064936</v>
      </c>
      <c r="AM78" s="192">
        <v>6</v>
      </c>
      <c r="AN78"/>
      <c r="AO78" s="144" t="s">
        <v>86</v>
      </c>
      <c r="AP78" s="184">
        <v>0.54814525741938513</v>
      </c>
      <c r="AQ78" s="184">
        <v>-0.732693321291644</v>
      </c>
      <c r="AR78" s="195">
        <v>5</v>
      </c>
      <c r="AS78" s="204"/>
      <c r="AT78" s="144" t="s">
        <v>53</v>
      </c>
      <c r="AU78" s="57">
        <v>6</v>
      </c>
      <c r="AV78" s="209">
        <v>-0.55001</v>
      </c>
      <c r="AW78" s="209">
        <v>-1.0174700000000001</v>
      </c>
      <c r="AX78"/>
      <c r="AY78" s="144" t="s">
        <v>39</v>
      </c>
      <c r="AZ78" s="57">
        <v>6</v>
      </c>
      <c r="BA78" s="209">
        <v>2.4770400000000001</v>
      </c>
      <c r="BB78" s="209">
        <v>-0.89207999999999998</v>
      </c>
      <c r="BV78"/>
      <c r="BW78"/>
      <c r="BX78" s="57" t="s">
        <v>86</v>
      </c>
      <c r="BY78" s="209">
        <v>0.65083000000000013</v>
      </c>
      <c r="BZ78" s="209">
        <v>-0.24948000000000004</v>
      </c>
      <c r="CA78" s="209">
        <v>1</v>
      </c>
      <c r="CC78" s="144" t="s">
        <v>86</v>
      </c>
      <c r="CD78" s="209">
        <v>0.65083000000000013</v>
      </c>
      <c r="CE78" s="209">
        <v>-0.24948000000000004</v>
      </c>
      <c r="CF78" s="210">
        <v>3</v>
      </c>
      <c r="CH78" s="57" t="s">
        <v>80</v>
      </c>
      <c r="CI78" s="184">
        <v>-0.12413653824004578</v>
      </c>
      <c r="CJ78" s="184">
        <v>-0.52790350300205502</v>
      </c>
      <c r="CK78" s="260">
        <v>5</v>
      </c>
      <c r="CM78" s="57" t="s">
        <v>80</v>
      </c>
      <c r="CN78" s="259">
        <v>2.5940000000000001E-2</v>
      </c>
      <c r="CO78" s="259">
        <v>-0.40831000000000006</v>
      </c>
      <c r="CP78" s="260">
        <v>5</v>
      </c>
      <c r="DF78" s="57" t="s">
        <v>14</v>
      </c>
      <c r="DG78" s="276">
        <v>-0.49475999999999998</v>
      </c>
      <c r="DH78" s="276">
        <v>4.2800000000000005E-2</v>
      </c>
      <c r="DI78" s="278">
        <v>6</v>
      </c>
      <c r="DK78" s="57" t="s">
        <v>14</v>
      </c>
      <c r="DL78" s="184">
        <v>-0.24660909801096273</v>
      </c>
      <c r="DM78" s="184">
        <v>0.55887832602816589</v>
      </c>
      <c r="DN78" s="278">
        <v>6</v>
      </c>
    </row>
    <row r="79" spans="1:118" x14ac:dyDescent="0.3">
      <c r="A79" s="144" t="s">
        <v>87</v>
      </c>
      <c r="B79" s="57">
        <v>1</v>
      </c>
      <c r="C79" s="57">
        <v>6</v>
      </c>
      <c r="D79" s="184">
        <v>1.4547738298003259</v>
      </c>
      <c r="E79" s="184">
        <v>-0.9229060546623441</v>
      </c>
      <c r="F79" s="171">
        <v>2</v>
      </c>
      <c r="G79" s="172">
        <v>2</v>
      </c>
      <c r="H79" s="209">
        <v>2.0257999999999998</v>
      </c>
      <c r="I79" s="209">
        <v>0.10603000000000001</v>
      </c>
      <c r="J79" s="209">
        <v>4</v>
      </c>
      <c r="K79" s="210">
        <v>4</v>
      </c>
      <c r="AB79"/>
      <c r="AC79"/>
      <c r="AD79"/>
      <c r="AE79" s="144" t="s">
        <v>41</v>
      </c>
      <c r="AF79" s="57">
        <v>6</v>
      </c>
      <c r="AG79" s="184">
        <v>0.77969586727480056</v>
      </c>
      <c r="AH79" s="184">
        <v>-1.7895749805900687</v>
      </c>
      <c r="AI79"/>
      <c r="AJ79" s="57" t="s">
        <v>15</v>
      </c>
      <c r="AK79" s="184">
        <v>-0.71286734834126664</v>
      </c>
      <c r="AL79" s="184">
        <v>0.74803718606105185</v>
      </c>
      <c r="AM79" s="192">
        <v>6</v>
      </c>
      <c r="AN79"/>
      <c r="AO79" s="144" t="s">
        <v>87</v>
      </c>
      <c r="AP79" s="184">
        <v>1.4547738298003259</v>
      </c>
      <c r="AQ79" s="184">
        <v>-0.9229060546623441</v>
      </c>
      <c r="AR79" s="195">
        <v>2</v>
      </c>
      <c r="AS79" s="204"/>
      <c r="AT79" s="144" t="s">
        <v>55</v>
      </c>
      <c r="AU79" s="57">
        <v>6</v>
      </c>
      <c r="AV79" s="209">
        <v>-0.30474000000000001</v>
      </c>
      <c r="AW79" s="209">
        <v>-0.48752000000000006</v>
      </c>
      <c r="AX79"/>
      <c r="AY79" s="144" t="s">
        <v>41</v>
      </c>
      <c r="AZ79" s="57">
        <v>6</v>
      </c>
      <c r="BA79" s="209">
        <v>1.4858899999999999</v>
      </c>
      <c r="BB79" s="209">
        <v>-0.73268000000000011</v>
      </c>
      <c r="BV79"/>
      <c r="BW79"/>
      <c r="BX79" s="57" t="s">
        <v>87</v>
      </c>
      <c r="BY79" s="209">
        <v>2.0257999999999998</v>
      </c>
      <c r="BZ79" s="209">
        <v>0.10603000000000001</v>
      </c>
      <c r="CA79" s="209">
        <v>4</v>
      </c>
      <c r="CC79" s="144" t="s">
        <v>87</v>
      </c>
      <c r="CD79" s="209">
        <v>2.0257999999999998</v>
      </c>
      <c r="CE79" s="209">
        <v>0.10603000000000001</v>
      </c>
      <c r="CF79" s="210">
        <v>4</v>
      </c>
      <c r="CH79" s="57" t="s">
        <v>81</v>
      </c>
      <c r="CI79" s="184">
        <v>0.22775094727323869</v>
      </c>
      <c r="CJ79" s="184">
        <v>-0.69642572319985852</v>
      </c>
      <c r="CK79" s="260">
        <v>5</v>
      </c>
      <c r="CM79" s="57" t="s">
        <v>81</v>
      </c>
      <c r="CN79" s="259">
        <v>0.28377000000000002</v>
      </c>
      <c r="CO79" s="259">
        <v>-0.29338000000000009</v>
      </c>
      <c r="CP79" s="260">
        <v>5</v>
      </c>
      <c r="DF79" s="57" t="s">
        <v>23</v>
      </c>
      <c r="DG79" s="276">
        <v>-0.77775000000000005</v>
      </c>
      <c r="DH79" s="276">
        <v>-0.46984000000000004</v>
      </c>
      <c r="DI79" s="278">
        <v>6</v>
      </c>
      <c r="DK79" s="57" t="s">
        <v>23</v>
      </c>
      <c r="DL79" s="184">
        <v>-1.0337243333738841</v>
      </c>
      <c r="DM79" s="184">
        <v>0.19895696132898522</v>
      </c>
      <c r="DN79" s="278">
        <v>6</v>
      </c>
    </row>
    <row r="80" spans="1:118" x14ac:dyDescent="0.3">
      <c r="A80" s="144" t="s">
        <v>88</v>
      </c>
      <c r="B80" s="57">
        <v>5</v>
      </c>
      <c r="C80" s="57">
        <v>1</v>
      </c>
      <c r="D80" s="184">
        <v>0.605509288233405</v>
      </c>
      <c r="E80" s="184">
        <v>0.57568127794030155</v>
      </c>
      <c r="F80" s="171">
        <v>4</v>
      </c>
      <c r="G80" s="172">
        <v>3</v>
      </c>
      <c r="H80" s="209">
        <v>-9.597E-2</v>
      </c>
      <c r="I80" s="209">
        <v>0.78450999999999993</v>
      </c>
      <c r="J80" s="209">
        <v>6</v>
      </c>
      <c r="K80" s="210">
        <v>5</v>
      </c>
      <c r="AB80"/>
      <c r="AC80"/>
      <c r="AD80"/>
      <c r="AE80" s="144" t="s">
        <v>64</v>
      </c>
      <c r="AF80" s="57">
        <v>6</v>
      </c>
      <c r="AG80" s="184">
        <v>1.0516483442580258</v>
      </c>
      <c r="AH80" s="184">
        <v>-1.2563485133534897</v>
      </c>
      <c r="AI80"/>
      <c r="AJ80" s="57" t="s">
        <v>25</v>
      </c>
      <c r="AK80" s="184">
        <v>-1.1236311727474124</v>
      </c>
      <c r="AL80" s="184">
        <v>0.7756887293156608</v>
      </c>
      <c r="AM80" s="192">
        <v>6</v>
      </c>
      <c r="AN80"/>
      <c r="AO80" s="144" t="s">
        <v>88</v>
      </c>
      <c r="AP80" s="184">
        <v>0.605509288233405</v>
      </c>
      <c r="AQ80" s="184">
        <v>0.57568127794030155</v>
      </c>
      <c r="AR80" s="195">
        <v>3</v>
      </c>
      <c r="AS80" s="204"/>
      <c r="AT80" s="144" t="s">
        <v>57</v>
      </c>
      <c r="AU80" s="57">
        <v>6</v>
      </c>
      <c r="AV80" s="209">
        <v>-2.4865599999999999</v>
      </c>
      <c r="AW80" s="209">
        <v>-0.43007000000000006</v>
      </c>
      <c r="AX80"/>
      <c r="AY80" s="144" t="s">
        <v>64</v>
      </c>
      <c r="AZ80" s="57">
        <v>6</v>
      </c>
      <c r="BA80" s="209">
        <v>1.57186</v>
      </c>
      <c r="BB80" s="209">
        <v>-0.24538000000000001</v>
      </c>
      <c r="BV80"/>
      <c r="BW80"/>
      <c r="BX80" s="57" t="s">
        <v>88</v>
      </c>
      <c r="BY80" s="209">
        <v>-9.597E-2</v>
      </c>
      <c r="BZ80" s="209">
        <v>0.78450999999999993</v>
      </c>
      <c r="CA80" s="209">
        <v>6</v>
      </c>
      <c r="CC80" s="144" t="s">
        <v>88</v>
      </c>
      <c r="CD80" s="209">
        <v>-9.597E-2</v>
      </c>
      <c r="CE80" s="209">
        <v>0.78450999999999993</v>
      </c>
      <c r="CF80" s="210">
        <v>5</v>
      </c>
      <c r="CH80" s="57" t="s">
        <v>84</v>
      </c>
      <c r="CI80" s="184">
        <v>-0.16351862231155986</v>
      </c>
      <c r="CJ80" s="184">
        <v>-0.23159466896528591</v>
      </c>
      <c r="CK80" s="260">
        <v>5</v>
      </c>
      <c r="CM80" s="57" t="s">
        <v>84</v>
      </c>
      <c r="CN80" s="259">
        <v>3.0859999999999999E-2</v>
      </c>
      <c r="CO80" s="259">
        <v>-0.26472999999999997</v>
      </c>
      <c r="CP80" s="260">
        <v>5</v>
      </c>
      <c r="DF80" s="57" t="s">
        <v>40</v>
      </c>
      <c r="DG80" s="276">
        <v>0.66459000000000013</v>
      </c>
      <c r="DH80" s="276">
        <v>3.3225899999999999</v>
      </c>
      <c r="DI80" s="224">
        <v>6</v>
      </c>
      <c r="DK80" s="57" t="s">
        <v>40</v>
      </c>
      <c r="DL80" s="184">
        <v>3.2488353767908791</v>
      </c>
      <c r="DM80" s="184">
        <v>2.4658023062022982</v>
      </c>
      <c r="DN80" s="224">
        <v>6</v>
      </c>
    </row>
    <row r="81" spans="1:118" x14ac:dyDescent="0.3">
      <c r="A81" s="144" t="s">
        <v>89</v>
      </c>
      <c r="B81" s="57">
        <v>2</v>
      </c>
      <c r="C81" s="57">
        <v>5</v>
      </c>
      <c r="D81" s="184">
        <v>-1.6596365580984691</v>
      </c>
      <c r="E81" s="184">
        <v>1.7836887138566841</v>
      </c>
      <c r="F81" s="171">
        <v>6</v>
      </c>
      <c r="G81" s="172">
        <v>6</v>
      </c>
      <c r="H81" s="209">
        <v>-1.9755199999999999</v>
      </c>
      <c r="I81" s="209">
        <v>4.0479999999999995E-2</v>
      </c>
      <c r="J81" s="209">
        <v>3</v>
      </c>
      <c r="K81" s="210">
        <v>2</v>
      </c>
      <c r="AB81"/>
      <c r="AC81"/>
      <c r="AD81"/>
      <c r="AE81" s="144" t="s">
        <v>74</v>
      </c>
      <c r="AF81" s="57">
        <v>6</v>
      </c>
      <c r="AG81" s="184">
        <v>1.2630330246509991</v>
      </c>
      <c r="AH81" s="184">
        <v>-1.6117585949491351</v>
      </c>
      <c r="AI81"/>
      <c r="AJ81" s="57" t="s">
        <v>56</v>
      </c>
      <c r="AK81" s="184">
        <v>-1.1292697822017885</v>
      </c>
      <c r="AL81" s="184">
        <v>1.5028990490382081</v>
      </c>
      <c r="AM81" s="192">
        <v>6</v>
      </c>
      <c r="AN81"/>
      <c r="AO81" s="144" t="s">
        <v>89</v>
      </c>
      <c r="AP81" s="184">
        <v>-1.6596365580984691</v>
      </c>
      <c r="AQ81" s="184">
        <v>1.7836887138566841</v>
      </c>
      <c r="AR81" s="195">
        <v>6</v>
      </c>
      <c r="AS81" s="204"/>
      <c r="AT81" s="144" t="s">
        <v>58</v>
      </c>
      <c r="AU81" s="57">
        <v>6</v>
      </c>
      <c r="AV81" s="209">
        <v>-0.28801000000000004</v>
      </c>
      <c r="AW81" s="209">
        <v>-0.7896200000000001</v>
      </c>
      <c r="AX81"/>
      <c r="AY81" s="144" t="s">
        <v>72</v>
      </c>
      <c r="AZ81" s="57">
        <v>6</v>
      </c>
      <c r="BA81" s="209">
        <v>1.2181299999999999</v>
      </c>
      <c r="BB81" s="209">
        <v>1.2356400000000001</v>
      </c>
      <c r="BV81"/>
      <c r="BW81"/>
      <c r="BX81" s="57" t="s">
        <v>89</v>
      </c>
      <c r="BY81" s="209">
        <v>-1.9755199999999999</v>
      </c>
      <c r="BZ81" s="209">
        <v>4.0479999999999995E-2</v>
      </c>
      <c r="CA81" s="209">
        <v>3</v>
      </c>
      <c r="CC81" s="144" t="s">
        <v>89</v>
      </c>
      <c r="CD81" s="209">
        <v>-1.9755199999999999</v>
      </c>
      <c r="CE81" s="209">
        <v>4.0479999999999995E-2</v>
      </c>
      <c r="CF81" s="210">
        <v>2</v>
      </c>
      <c r="CH81" s="57" t="s">
        <v>85</v>
      </c>
      <c r="CI81" s="184">
        <v>-0.14824621074977959</v>
      </c>
      <c r="CJ81" s="184">
        <v>1.6283985682877478E-2</v>
      </c>
      <c r="CK81" s="260">
        <v>5</v>
      </c>
      <c r="CM81" s="57" t="s">
        <v>85</v>
      </c>
      <c r="CN81" s="259">
        <v>-0.26457000000000003</v>
      </c>
      <c r="CO81" s="259">
        <v>-0.13340000000000002</v>
      </c>
      <c r="CP81" s="260">
        <v>5</v>
      </c>
      <c r="DF81" s="57" t="s">
        <v>59</v>
      </c>
      <c r="DG81" s="276">
        <v>0.41909000000000002</v>
      </c>
      <c r="DH81" s="276">
        <v>-0.62668000000000013</v>
      </c>
      <c r="DI81" s="278">
        <v>6</v>
      </c>
      <c r="DK81" s="57" t="s">
        <v>59</v>
      </c>
      <c r="DL81" s="184">
        <v>-0.29788161391669776</v>
      </c>
      <c r="DM81" s="184">
        <v>-0.75593902469895136</v>
      </c>
      <c r="DN81" s="278">
        <v>6</v>
      </c>
    </row>
    <row r="82" spans="1:118" x14ac:dyDescent="0.3">
      <c r="A82" s="144" t="s">
        <v>90</v>
      </c>
      <c r="B82" s="57">
        <v>5</v>
      </c>
      <c r="C82" s="57">
        <v>1</v>
      </c>
      <c r="D82" s="184">
        <v>-0.42598939160003141</v>
      </c>
      <c r="E82" s="184">
        <v>-6.9064857570127342E-2</v>
      </c>
      <c r="F82" s="171">
        <v>5</v>
      </c>
      <c r="G82" s="172">
        <v>4</v>
      </c>
      <c r="H82" s="209">
        <v>-0.23470000000000002</v>
      </c>
      <c r="I82" s="209">
        <v>-0.33383000000000007</v>
      </c>
      <c r="J82" s="209">
        <v>5</v>
      </c>
      <c r="K82" s="210">
        <v>3</v>
      </c>
      <c r="AB82"/>
      <c r="AC82"/>
      <c r="AD82"/>
      <c r="AE82" s="144" t="s">
        <v>87</v>
      </c>
      <c r="AF82" s="57">
        <v>6</v>
      </c>
      <c r="AG82" s="184">
        <v>1.4547738298003259</v>
      </c>
      <c r="AH82" s="184">
        <v>-0.9229060546623441</v>
      </c>
      <c r="AI82"/>
      <c r="AJ82" s="57" t="s">
        <v>57</v>
      </c>
      <c r="AK82" s="184">
        <v>-2.5785742851848039</v>
      </c>
      <c r="AL82" s="184">
        <v>1.9739397164118095</v>
      </c>
      <c r="AM82" s="192">
        <v>6</v>
      </c>
      <c r="AN82"/>
      <c r="AO82" s="144" t="s">
        <v>90</v>
      </c>
      <c r="AP82" s="184">
        <v>-0.42598939160003141</v>
      </c>
      <c r="AQ82" s="184">
        <v>-6.9064857570127342E-2</v>
      </c>
      <c r="AR82" s="195">
        <v>4</v>
      </c>
      <c r="AS82" s="204"/>
      <c r="AT82" s="144" t="s">
        <v>59</v>
      </c>
      <c r="AU82" s="57">
        <v>6</v>
      </c>
      <c r="AV82" s="209">
        <v>0.41909000000000002</v>
      </c>
      <c r="AW82" s="209">
        <v>-0.62668000000000013</v>
      </c>
      <c r="AX82"/>
      <c r="AY82" s="144" t="s">
        <v>74</v>
      </c>
      <c r="AZ82" s="57">
        <v>6</v>
      </c>
      <c r="BA82" s="209">
        <v>1.8784200000000002</v>
      </c>
      <c r="BB82" s="209">
        <v>-0.41471000000000002</v>
      </c>
      <c r="BV82"/>
      <c r="BW82"/>
      <c r="BX82" s="57" t="s">
        <v>90</v>
      </c>
      <c r="BY82" s="209">
        <v>-0.23470000000000002</v>
      </c>
      <c r="BZ82" s="209">
        <v>-0.33383000000000007</v>
      </c>
      <c r="CA82" s="209">
        <v>5</v>
      </c>
      <c r="CC82" s="144" t="s">
        <v>90</v>
      </c>
      <c r="CD82" s="209">
        <v>-0.23470000000000002</v>
      </c>
      <c r="CE82" s="209">
        <v>-0.33383000000000007</v>
      </c>
      <c r="CF82" s="210">
        <v>3</v>
      </c>
      <c r="CH82" s="57" t="s">
        <v>86</v>
      </c>
      <c r="CI82" s="184">
        <v>0.54814525741938513</v>
      </c>
      <c r="CJ82" s="184">
        <v>-0.732693321291644</v>
      </c>
      <c r="CK82" s="260">
        <v>5</v>
      </c>
      <c r="CM82" s="57" t="s">
        <v>86</v>
      </c>
      <c r="CN82" s="259">
        <v>0.65083000000000013</v>
      </c>
      <c r="CO82" s="259">
        <v>-0.24948000000000004</v>
      </c>
      <c r="CP82" s="260">
        <v>5</v>
      </c>
      <c r="DF82" s="57" t="s">
        <v>61</v>
      </c>
      <c r="DG82" s="276">
        <v>-1.3916299999999999</v>
      </c>
      <c r="DH82" s="276">
        <v>0.14761000000000002</v>
      </c>
      <c r="DI82" s="278">
        <v>6</v>
      </c>
      <c r="DK82" s="57" t="s">
        <v>61</v>
      </c>
      <c r="DL82" s="184">
        <v>-0.82072510041306823</v>
      </c>
      <c r="DM82" s="184">
        <v>1.0096285474269118</v>
      </c>
      <c r="DN82" s="278">
        <v>6</v>
      </c>
    </row>
    <row r="83" spans="1:118" x14ac:dyDescent="0.3">
      <c r="A83" s="144" t="s">
        <v>91</v>
      </c>
      <c r="B83" s="57">
        <v>1</v>
      </c>
      <c r="C83" s="57">
        <v>6</v>
      </c>
      <c r="D83" s="184">
        <v>1.207500458842643</v>
      </c>
      <c r="E83" s="184">
        <v>-2.7419796543657977</v>
      </c>
      <c r="F83" s="171">
        <v>2</v>
      </c>
      <c r="G83" s="172">
        <v>2</v>
      </c>
      <c r="H83" s="209">
        <v>2.6389500000000004</v>
      </c>
      <c r="I83" s="209">
        <v>-1.01142</v>
      </c>
      <c r="J83" s="209">
        <v>4</v>
      </c>
      <c r="K83" s="210">
        <v>4</v>
      </c>
      <c r="AB83"/>
      <c r="AC83"/>
      <c r="AD83"/>
      <c r="AE83" s="144" t="s">
        <v>91</v>
      </c>
      <c r="AF83" s="57">
        <v>6</v>
      </c>
      <c r="AG83" s="184">
        <v>1.207500458842643</v>
      </c>
      <c r="AH83" s="184">
        <v>-2.7419796543657977</v>
      </c>
      <c r="AI83"/>
      <c r="AJ83" s="57" t="s">
        <v>61</v>
      </c>
      <c r="AK83" s="184">
        <v>-0.82072510041306823</v>
      </c>
      <c r="AL83" s="184">
        <v>1.0096285474269118</v>
      </c>
      <c r="AM83" s="192">
        <v>6</v>
      </c>
      <c r="AN83"/>
      <c r="AO83" s="144" t="s">
        <v>91</v>
      </c>
      <c r="AP83" s="184">
        <v>1.207500458842643</v>
      </c>
      <c r="AQ83" s="184">
        <v>-2.7419796543657977</v>
      </c>
      <c r="AR83" s="195">
        <v>2</v>
      </c>
      <c r="AS83" s="204"/>
      <c r="AT83" s="144" t="s">
        <v>62</v>
      </c>
      <c r="AU83" s="57">
        <v>6</v>
      </c>
      <c r="AV83" s="209">
        <v>-0.53047999999999995</v>
      </c>
      <c r="AW83" s="209">
        <v>-0.73325000000000007</v>
      </c>
      <c r="AX83"/>
      <c r="AY83" s="144" t="s">
        <v>87</v>
      </c>
      <c r="AZ83" s="57">
        <v>6</v>
      </c>
      <c r="BA83" s="209">
        <v>2.0257999999999998</v>
      </c>
      <c r="BB83" s="209">
        <v>0.10603000000000001</v>
      </c>
      <c r="BV83"/>
      <c r="BW83"/>
      <c r="BX83" s="57" t="s">
        <v>91</v>
      </c>
      <c r="BY83" s="209">
        <v>2.6389500000000004</v>
      </c>
      <c r="BZ83" s="209">
        <v>-1.01142</v>
      </c>
      <c r="CA83" s="209">
        <v>4</v>
      </c>
      <c r="CC83" s="144" t="s">
        <v>91</v>
      </c>
      <c r="CD83" s="209">
        <v>2.6389500000000004</v>
      </c>
      <c r="CE83" s="209">
        <v>-1.01142</v>
      </c>
      <c r="CF83" s="210">
        <v>4</v>
      </c>
      <c r="CH83" s="57" t="s">
        <v>88</v>
      </c>
      <c r="CI83" s="184">
        <v>0.605509288233405</v>
      </c>
      <c r="CJ83" s="184">
        <v>0.57568127794030155</v>
      </c>
      <c r="CK83" s="260">
        <v>5</v>
      </c>
      <c r="CM83" s="57" t="s">
        <v>88</v>
      </c>
      <c r="CN83" s="259">
        <v>-9.597E-2</v>
      </c>
      <c r="CO83" s="259">
        <v>0.78450999999999993</v>
      </c>
      <c r="CP83" s="260">
        <v>5</v>
      </c>
      <c r="DF83" s="57" t="s">
        <v>64</v>
      </c>
      <c r="DG83" s="276">
        <v>1.57186</v>
      </c>
      <c r="DH83" s="276">
        <v>-0.24538000000000001</v>
      </c>
      <c r="DI83" s="224">
        <v>6</v>
      </c>
      <c r="DK83" s="57" t="s">
        <v>64</v>
      </c>
      <c r="DL83" s="184">
        <v>1.0516483442580258</v>
      </c>
      <c r="DM83" s="184">
        <v>-1.2563485133534897</v>
      </c>
      <c r="DN83" s="224">
        <v>6</v>
      </c>
    </row>
    <row r="84" spans="1:118" x14ac:dyDescent="0.3">
      <c r="A84" s="144" t="s">
        <v>92</v>
      </c>
      <c r="B84" s="57">
        <v>1</v>
      </c>
      <c r="C84" s="57">
        <v>6</v>
      </c>
      <c r="D84" s="184">
        <v>1.8519577028092515</v>
      </c>
      <c r="E84" s="184">
        <v>-1.5444107482984073</v>
      </c>
      <c r="F84" s="171">
        <v>2</v>
      </c>
      <c r="G84" s="172">
        <v>2</v>
      </c>
      <c r="H84" s="209">
        <v>3.1473</v>
      </c>
      <c r="I84" s="209">
        <v>-0.16088</v>
      </c>
      <c r="J84" s="209">
        <v>4</v>
      </c>
      <c r="K84" s="210">
        <v>4</v>
      </c>
      <c r="AB84"/>
      <c r="AC84"/>
      <c r="AD84"/>
      <c r="AE84" s="144" t="s">
        <v>92</v>
      </c>
      <c r="AF84" s="57">
        <v>6</v>
      </c>
      <c r="AG84" s="184">
        <v>1.8519577028092515</v>
      </c>
      <c r="AH84" s="184">
        <v>-1.5444107482984073</v>
      </c>
      <c r="AI84"/>
      <c r="AJ84" s="57" t="s">
        <v>76</v>
      </c>
      <c r="AK84" s="184">
        <v>-0.91516875736297776</v>
      </c>
      <c r="AL84" s="184">
        <v>0.81195283894267822</v>
      </c>
      <c r="AM84" s="192">
        <v>6</v>
      </c>
      <c r="AN84"/>
      <c r="AO84" s="144" t="s">
        <v>92</v>
      </c>
      <c r="AP84" s="184">
        <v>1.8519577028092515</v>
      </c>
      <c r="AQ84" s="184">
        <v>-1.5444107482984073</v>
      </c>
      <c r="AR84" s="195">
        <v>2</v>
      </c>
      <c r="AS84" s="204"/>
      <c r="AT84" s="144" t="s">
        <v>67</v>
      </c>
      <c r="AU84" s="57">
        <v>6</v>
      </c>
      <c r="AV84" s="209">
        <v>-0.27686000000000005</v>
      </c>
      <c r="AW84" s="209">
        <v>-0.86673000000000011</v>
      </c>
      <c r="AX84"/>
      <c r="AY84" s="144" t="s">
        <v>91</v>
      </c>
      <c r="AZ84" s="57">
        <v>6</v>
      </c>
      <c r="BA84" s="209">
        <v>2.6389500000000004</v>
      </c>
      <c r="BB84" s="209">
        <v>-1.01142</v>
      </c>
      <c r="BV84"/>
      <c r="BW84"/>
      <c r="BX84" s="57" t="s">
        <v>92</v>
      </c>
      <c r="BY84" s="209">
        <v>3.1473</v>
      </c>
      <c r="BZ84" s="209">
        <v>-0.16088</v>
      </c>
      <c r="CA84" s="209">
        <v>4</v>
      </c>
      <c r="CC84" s="144" t="s">
        <v>92</v>
      </c>
      <c r="CD84" s="209">
        <v>3.1473</v>
      </c>
      <c r="CE84" s="209">
        <v>-0.16088</v>
      </c>
      <c r="CF84" s="210">
        <v>4</v>
      </c>
      <c r="CH84" s="57" t="s">
        <v>90</v>
      </c>
      <c r="CI84" s="184">
        <v>-0.42598939160003141</v>
      </c>
      <c r="CJ84" s="184">
        <v>-6.9064857570127342E-2</v>
      </c>
      <c r="CK84" s="260">
        <v>5</v>
      </c>
      <c r="CM84" s="57" t="s">
        <v>90</v>
      </c>
      <c r="CN84" s="259">
        <v>-0.23470000000000002</v>
      </c>
      <c r="CO84" s="259">
        <v>-0.33383000000000007</v>
      </c>
      <c r="CP84" s="260">
        <v>5</v>
      </c>
      <c r="DF84" s="57" t="s">
        <v>87</v>
      </c>
      <c r="DG84" s="276">
        <v>2.0257999999999998</v>
      </c>
      <c r="DH84" s="276">
        <v>0.10603000000000001</v>
      </c>
      <c r="DI84" s="224">
        <v>6</v>
      </c>
      <c r="DK84" s="57" t="s">
        <v>87</v>
      </c>
      <c r="DL84" s="184">
        <v>1.4547738298003259</v>
      </c>
      <c r="DM84" s="184">
        <v>-0.9229060546623441</v>
      </c>
      <c r="DN84" s="224">
        <v>6</v>
      </c>
    </row>
    <row r="85" spans="1:118" x14ac:dyDescent="0.3">
      <c r="A85" s="144" t="s">
        <v>93</v>
      </c>
      <c r="B85" s="57">
        <v>5</v>
      </c>
      <c r="C85" s="57">
        <v>1</v>
      </c>
      <c r="D85" s="184">
        <v>-3.9211966847335744E-2</v>
      </c>
      <c r="E85" s="184">
        <v>-0.45473315175147266</v>
      </c>
      <c r="F85" s="171">
        <v>5</v>
      </c>
      <c r="G85" s="172">
        <v>5</v>
      </c>
      <c r="H85" s="209">
        <v>-8.9029999999999998E-2</v>
      </c>
      <c r="I85" s="209">
        <v>-0.38491000000000009</v>
      </c>
      <c r="J85" s="209">
        <v>5</v>
      </c>
      <c r="K85" s="210">
        <v>3</v>
      </c>
      <c r="AB85"/>
      <c r="AC85"/>
      <c r="AD85"/>
      <c r="AE85" s="144" t="s">
        <v>72</v>
      </c>
      <c r="AF85" s="57">
        <v>6</v>
      </c>
      <c r="AG85" s="184">
        <v>1.9225482032011199</v>
      </c>
      <c r="AH85" s="184">
        <v>0.19540940161061801</v>
      </c>
      <c r="AI85"/>
      <c r="AJ85" s="57" t="s">
        <v>89</v>
      </c>
      <c r="AK85" s="184">
        <v>-1.6596365580984691</v>
      </c>
      <c r="AL85" s="184">
        <v>1.7836887138566841</v>
      </c>
      <c r="AM85" s="192">
        <v>6</v>
      </c>
      <c r="AN85"/>
      <c r="AO85" s="144" t="s">
        <v>93</v>
      </c>
      <c r="AP85" s="184">
        <v>-3.9211966847335744E-2</v>
      </c>
      <c r="AQ85" s="184">
        <v>-0.45473315175147266</v>
      </c>
      <c r="AR85" s="195">
        <v>5</v>
      </c>
      <c r="AS85" s="204"/>
      <c r="AT85" s="144" t="s">
        <v>68</v>
      </c>
      <c r="AU85" s="57">
        <v>6</v>
      </c>
      <c r="AV85" s="209">
        <v>-0.26371</v>
      </c>
      <c r="AW85" s="209">
        <v>-0.89917999999999998</v>
      </c>
      <c r="AX85"/>
      <c r="AY85" s="144" t="s">
        <v>92</v>
      </c>
      <c r="AZ85" s="57">
        <v>6</v>
      </c>
      <c r="BA85" s="209">
        <v>3.1473</v>
      </c>
      <c r="BB85" s="209">
        <v>-0.16088</v>
      </c>
      <c r="BV85"/>
      <c r="BW85"/>
      <c r="BX85" s="57" t="s">
        <v>93</v>
      </c>
      <c r="BY85" s="209">
        <v>-8.9029999999999998E-2</v>
      </c>
      <c r="BZ85" s="209">
        <v>-0.38491000000000009</v>
      </c>
      <c r="CA85" s="209">
        <v>5</v>
      </c>
      <c r="CC85" s="197" t="s">
        <v>93</v>
      </c>
      <c r="CD85" s="209">
        <v>-8.9029999999999998E-2</v>
      </c>
      <c r="CE85" s="209">
        <v>-0.38491000000000009</v>
      </c>
      <c r="CF85" s="210">
        <v>3</v>
      </c>
      <c r="CH85" s="57" t="s">
        <v>20</v>
      </c>
      <c r="CI85" s="184">
        <v>3.8561089628134808</v>
      </c>
      <c r="CJ85" s="184">
        <v>2.4828261942325693</v>
      </c>
      <c r="CK85" s="260">
        <v>6</v>
      </c>
      <c r="CM85" s="57" t="s">
        <v>20</v>
      </c>
      <c r="CN85" s="259">
        <v>1.2853300000000001</v>
      </c>
      <c r="CO85" s="259">
        <v>4.5312900000000003</v>
      </c>
      <c r="CP85" s="260">
        <v>6</v>
      </c>
      <c r="DF85" s="57" t="s">
        <v>91</v>
      </c>
      <c r="DG85" s="276">
        <v>2.6389500000000004</v>
      </c>
      <c r="DH85" s="276">
        <v>-1.01142</v>
      </c>
      <c r="DI85" s="128">
        <v>6</v>
      </c>
      <c r="DK85" s="57" t="s">
        <v>91</v>
      </c>
      <c r="DL85" s="184">
        <v>1.207500458842643</v>
      </c>
      <c r="DM85" s="184">
        <v>-2.7419796543657977</v>
      </c>
      <c r="DN85" s="128">
        <v>6</v>
      </c>
    </row>
    <row r="86" spans="1:118" x14ac:dyDescent="0.3">
      <c r="A86" s="173" t="s">
        <v>299</v>
      </c>
      <c r="B86" s="174">
        <f>SUBTOTAL(103,Таблица5[Уорд])</f>
        <v>84</v>
      </c>
      <c r="C86" s="174">
        <f>SUBTOTAL(103,Таблица5[к-средних])</f>
        <v>84</v>
      </c>
      <c r="D86" s="179">
        <f>SUBTOTAL(101,Таблица5[Главная компонента 1 (Экономическая устойчивость и преступность)])</f>
        <v>6.0665758131303198E-16</v>
      </c>
      <c r="E86" s="179">
        <f>SUBTOTAL(101,Таблица5[Главная компонента 2 (Здравоохранение и борьба с коррупцией)])</f>
        <v>-7.0710633116006989E-16</v>
      </c>
      <c r="F86" s="181">
        <f>SUBTOTAL(103,Таблица5[Уорд 2])</f>
        <v>84</v>
      </c>
      <c r="G86" s="175">
        <f>SUBTOTAL(103,Таблица5[к-средних 2])</f>
        <v>84</v>
      </c>
      <c r="H86" s="175"/>
      <c r="I86" s="175"/>
      <c r="J86" s="175"/>
      <c r="K86" s="4"/>
      <c r="AB86"/>
      <c r="AC86"/>
      <c r="AD86"/>
      <c r="AE86" s="173" t="s">
        <v>299</v>
      </c>
      <c r="AF86" s="174">
        <f>SUBTOTAL(103,Таблица58[к-средних])</f>
        <v>84</v>
      </c>
      <c r="AG86" s="179">
        <f>SUBTOTAL(101,Таблица58[Главная компонента 1 (Экономическая устойчивость и преступность)])</f>
        <v>5.5775490046644768E-16</v>
      </c>
      <c r="AH86" s="179">
        <f>SUBTOTAL(101,Таблица58[Главная компонента 2 (Здравоохранение и борьба с коррупцией)])</f>
        <v>-7.1140183691010771E-16</v>
      </c>
      <c r="AI86"/>
      <c r="AJ86" s="193" t="s">
        <v>299</v>
      </c>
      <c r="AK86" s="179">
        <f>SUBTOTAL(101,Таблица59[Главная компонента 1 (Экономическая устойчивость и преступность)])</f>
        <v>6.2383960431318315E-16</v>
      </c>
      <c r="AL86" s="179">
        <f>SUBTOTAL(101,Таблица59[Главная компонента 2 (Здравоохранение и борьба с коррупцией)])</f>
        <v>-6.7670736739057157E-16</v>
      </c>
      <c r="AM86" s="194">
        <f>SUBTOTAL(103,Таблица59[Уорд 2])</f>
        <v>84</v>
      </c>
      <c r="AN86"/>
      <c r="AO86" s="173" t="s">
        <v>299</v>
      </c>
      <c r="AP86" s="179">
        <f>SUBTOTAL(101,Таблица510[Главная компонента 1 (Экономическая устойчивость и преступность)])</f>
        <v>6.0665758131303198E-16</v>
      </c>
      <c r="AQ86" s="179">
        <f>SUBTOTAL(101,Таблица510[Главная компонента 2 (Здравоохранение и борьба с коррупцией)])</f>
        <v>-7.0710633116006989E-16</v>
      </c>
      <c r="AR86" s="194">
        <f>SUBTOTAL(103,Таблица510[к-средних 2])</f>
        <v>84</v>
      </c>
      <c r="AS86" s="205"/>
      <c r="AT86" s="206"/>
      <c r="AU86" s="207"/>
      <c r="AV86" s="208"/>
      <c r="AW86" s="208"/>
      <c r="AX86"/>
      <c r="AY86" s="206"/>
      <c r="AZ86" s="207"/>
      <c r="BA86" s="208"/>
      <c r="BB86" s="208"/>
      <c r="BV86"/>
      <c r="BW86"/>
      <c r="BX86" s="193" t="s">
        <v>299</v>
      </c>
      <c r="BY86" s="194"/>
      <c r="BZ86" s="194"/>
      <c r="CA86" s="194"/>
      <c r="CH86" s="261" t="s">
        <v>299</v>
      </c>
      <c r="CI86" s="262">
        <f>SUBTOTAL(101,Таблица510[Главная компонента 1 (Экономическая устойчивость и преступность)])</f>
        <v>6.0665758131303198E-16</v>
      </c>
      <c r="CJ86" s="262">
        <f>SUBTOTAL(101,Таблица510[Главная компонента 2 (Здравоохранение и борьба с коррупцией)])</f>
        <v>-7.0710633116006989E-16</v>
      </c>
      <c r="CK86" s="137"/>
      <c r="CP86" s="257"/>
      <c r="DF86" s="261" t="s">
        <v>299</v>
      </c>
      <c r="DG86" s="277"/>
      <c r="DH86" s="277"/>
      <c r="DK86" s="261" t="s">
        <v>299</v>
      </c>
      <c r="DL86" s="262">
        <f>SUBTOTAL(101,Таблица510[Главная компонента 1 (Экономическая устойчивость и преступность)])</f>
        <v>6.0665758131303198E-16</v>
      </c>
      <c r="DM86" s="262">
        <f>SUBTOTAL(101,Таблица510[Главная компонента 2 (Здравоохранение и борьба с коррупцией)])</f>
        <v>-7.0710633116006989E-16</v>
      </c>
    </row>
    <row r="87" spans="1:118" x14ac:dyDescent="0.3">
      <c r="A87" s="140"/>
      <c r="B87" s="140"/>
      <c r="C87" s="140"/>
      <c r="F87" s="177"/>
      <c r="G87" s="140"/>
      <c r="AB87" s="140"/>
      <c r="AC87" s="140"/>
      <c r="AM87" s="140"/>
      <c r="AP87" s="140"/>
      <c r="AQ87" s="140"/>
      <c r="AU87" s="140"/>
      <c r="AV87" s="140"/>
      <c r="CK87" s="141"/>
      <c r="CP87" s="141"/>
    </row>
    <row r="88" spans="1:118" x14ac:dyDescent="0.3">
      <c r="A88" s="140"/>
      <c r="B88" s="140"/>
      <c r="C88" s="140"/>
      <c r="AB88" s="140"/>
      <c r="AC88" s="140"/>
      <c r="AP88" s="140"/>
      <c r="AQ88" s="140"/>
      <c r="AU88" s="140"/>
      <c r="AV88" s="140"/>
    </row>
  </sheetData>
  <sortState xmlns:xlrd2="http://schemas.microsoft.com/office/spreadsheetml/2017/richdata2" ref="DK2:DN85">
    <sortCondition ref="DN2:DN85"/>
  </sortState>
  <phoneticPr fontId="7" type="noConversion"/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EABA-5ABA-44B6-AFA5-92F9F643DDEB}">
  <dimension ref="A2:P46"/>
  <sheetViews>
    <sheetView workbookViewId="0">
      <selection activeCell="L12" sqref="L12"/>
    </sheetView>
  </sheetViews>
  <sheetFormatPr defaultRowHeight="14.4" x14ac:dyDescent="0.3"/>
  <cols>
    <col min="1" max="1" width="25.33203125" customWidth="1"/>
    <col min="2" max="2" width="9.6640625" customWidth="1"/>
    <col min="3" max="4" width="12" bestFit="1" customWidth="1"/>
    <col min="5" max="7" width="12.6640625" bestFit="1" customWidth="1"/>
    <col min="8" max="9" width="12" bestFit="1" customWidth="1"/>
    <col min="10" max="10" width="12.6640625" bestFit="1" customWidth="1"/>
    <col min="11" max="11" width="12" bestFit="1" customWidth="1"/>
    <col min="12" max="12" width="12.6640625" bestFit="1" customWidth="1"/>
    <col min="13" max="13" width="12" bestFit="1" customWidth="1"/>
    <col min="14" max="14" width="14.33203125" bestFit="1" customWidth="1"/>
    <col min="15" max="15" width="14.88671875" bestFit="1" customWidth="1"/>
    <col min="16" max="18" width="12.6640625" bestFit="1" customWidth="1"/>
    <col min="19" max="22" width="12" bestFit="1" customWidth="1"/>
    <col min="23" max="25" width="12.6640625" bestFit="1" customWidth="1"/>
    <col min="26" max="26" width="12" bestFit="1" customWidth="1"/>
    <col min="27" max="28" width="12.6640625" bestFit="1" customWidth="1"/>
    <col min="29" max="29" width="12" bestFit="1" customWidth="1"/>
    <col min="30" max="30" width="12.6640625" bestFit="1" customWidth="1"/>
    <col min="31" max="31" width="11.6640625" bestFit="1" customWidth="1"/>
    <col min="32" max="33" width="12.6640625" bestFit="1" customWidth="1"/>
    <col min="34" max="34" width="12" bestFit="1" customWidth="1"/>
    <col min="35" max="35" width="12.6640625" bestFit="1" customWidth="1"/>
    <col min="36" max="36" width="11.6640625" bestFit="1" customWidth="1"/>
    <col min="37" max="38" width="12" bestFit="1" customWidth="1"/>
    <col min="39" max="39" width="12.6640625" bestFit="1" customWidth="1"/>
    <col min="40" max="40" width="12" bestFit="1" customWidth="1"/>
    <col min="41" max="43" width="12.6640625" bestFit="1" customWidth="1"/>
    <col min="44" max="44" width="12" bestFit="1" customWidth="1"/>
    <col min="45" max="45" width="12.6640625" bestFit="1" customWidth="1"/>
    <col min="46" max="46" width="12" bestFit="1" customWidth="1"/>
    <col min="47" max="47" width="12.6640625" bestFit="1" customWidth="1"/>
    <col min="48" max="51" width="12" bestFit="1" customWidth="1"/>
    <col min="52" max="52" width="11.6640625" bestFit="1" customWidth="1"/>
    <col min="53" max="53" width="12.6640625" bestFit="1" customWidth="1"/>
    <col min="54" max="55" width="12" bestFit="1" customWidth="1"/>
    <col min="56" max="58" width="12.6640625" bestFit="1" customWidth="1"/>
    <col min="59" max="60" width="12" bestFit="1" customWidth="1"/>
    <col min="61" max="61" width="12.6640625" bestFit="1" customWidth="1"/>
    <col min="62" max="64" width="12" bestFit="1" customWidth="1"/>
    <col min="65" max="65" width="12.6640625" bestFit="1" customWidth="1"/>
    <col min="66" max="66" width="12" bestFit="1" customWidth="1"/>
    <col min="67" max="67" width="12.6640625" bestFit="1" customWidth="1"/>
    <col min="68" max="68" width="12" bestFit="1" customWidth="1"/>
    <col min="69" max="69" width="12.6640625" bestFit="1" customWidth="1"/>
    <col min="70" max="70" width="12" bestFit="1" customWidth="1"/>
    <col min="71" max="72" width="12.6640625" bestFit="1" customWidth="1"/>
    <col min="73" max="74" width="12" bestFit="1" customWidth="1"/>
    <col min="75" max="75" width="12.6640625" bestFit="1" customWidth="1"/>
    <col min="76" max="76" width="12" bestFit="1" customWidth="1"/>
    <col min="77" max="79" width="12.6640625" bestFit="1" customWidth="1"/>
    <col min="80" max="80" width="12" bestFit="1" customWidth="1"/>
    <col min="81" max="82" width="12.6640625" bestFit="1" customWidth="1"/>
    <col min="83" max="85" width="12" bestFit="1" customWidth="1"/>
    <col min="86" max="86" width="12.6640625" bestFit="1" customWidth="1"/>
    <col min="87" max="87" width="10.21875" bestFit="1" customWidth="1"/>
    <col min="88" max="88" width="12.5546875" bestFit="1" customWidth="1"/>
    <col min="89" max="89" width="10.21875" bestFit="1" customWidth="1"/>
    <col min="90" max="90" width="12.5546875" bestFit="1" customWidth="1"/>
    <col min="91" max="91" width="10.21875" bestFit="1" customWidth="1"/>
    <col min="92" max="92" width="12.5546875" bestFit="1" customWidth="1"/>
    <col min="93" max="93" width="9.5546875" bestFit="1" customWidth="1"/>
    <col min="94" max="94" width="11.88671875" bestFit="1" customWidth="1"/>
    <col min="95" max="95" width="9.5546875" bestFit="1" customWidth="1"/>
    <col min="96" max="96" width="11.88671875" bestFit="1" customWidth="1"/>
    <col min="97" max="97" width="9.5546875" bestFit="1" customWidth="1"/>
    <col min="98" max="98" width="11.88671875" bestFit="1" customWidth="1"/>
    <col min="99" max="99" width="9.5546875" bestFit="1" customWidth="1"/>
    <col min="100" max="100" width="11.88671875" bestFit="1" customWidth="1"/>
    <col min="101" max="101" width="9.5546875" bestFit="1" customWidth="1"/>
    <col min="102" max="102" width="11.88671875" bestFit="1" customWidth="1"/>
    <col min="103" max="103" width="9.5546875" bestFit="1" customWidth="1"/>
    <col min="104" max="104" width="11.88671875" bestFit="1" customWidth="1"/>
    <col min="105" max="105" width="9.5546875" bestFit="1" customWidth="1"/>
    <col min="106" max="106" width="11.88671875" bestFit="1" customWidth="1"/>
    <col min="107" max="107" width="9.5546875" bestFit="1" customWidth="1"/>
    <col min="108" max="108" width="11.88671875" bestFit="1" customWidth="1"/>
    <col min="109" max="109" width="9.5546875" bestFit="1" customWidth="1"/>
    <col min="110" max="110" width="11.88671875" bestFit="1" customWidth="1"/>
    <col min="111" max="111" width="9.5546875" bestFit="1" customWidth="1"/>
    <col min="112" max="112" width="11.88671875" bestFit="1" customWidth="1"/>
    <col min="113" max="113" width="9.5546875" bestFit="1" customWidth="1"/>
    <col min="114" max="114" width="11.88671875" bestFit="1" customWidth="1"/>
    <col min="115" max="115" width="9.5546875" bestFit="1" customWidth="1"/>
    <col min="116" max="116" width="11.88671875" bestFit="1" customWidth="1"/>
    <col min="117" max="117" width="9.5546875" bestFit="1" customWidth="1"/>
    <col min="118" max="118" width="11.88671875" bestFit="1" customWidth="1"/>
    <col min="119" max="119" width="9.5546875" bestFit="1" customWidth="1"/>
    <col min="120" max="120" width="11.88671875" bestFit="1" customWidth="1"/>
    <col min="121" max="121" width="9.5546875" bestFit="1" customWidth="1"/>
    <col min="122" max="122" width="11.88671875" bestFit="1" customWidth="1"/>
    <col min="123" max="123" width="9.5546875" bestFit="1" customWidth="1"/>
    <col min="124" max="124" width="11.88671875" bestFit="1" customWidth="1"/>
    <col min="125" max="125" width="9.5546875" bestFit="1" customWidth="1"/>
    <col min="126" max="126" width="11.88671875" bestFit="1" customWidth="1"/>
    <col min="127" max="127" width="9.5546875" bestFit="1" customWidth="1"/>
    <col min="128" max="128" width="11.88671875" bestFit="1" customWidth="1"/>
    <col min="129" max="129" width="9.5546875" bestFit="1" customWidth="1"/>
    <col min="130" max="130" width="11.88671875" bestFit="1" customWidth="1"/>
    <col min="131" max="131" width="9.5546875" bestFit="1" customWidth="1"/>
    <col min="132" max="132" width="11.88671875" bestFit="1" customWidth="1"/>
    <col min="133" max="133" width="9.5546875" bestFit="1" customWidth="1"/>
    <col min="134" max="134" width="11.88671875" bestFit="1" customWidth="1"/>
    <col min="135" max="135" width="9.5546875" bestFit="1" customWidth="1"/>
    <col min="136" max="136" width="11.88671875" bestFit="1" customWidth="1"/>
    <col min="137" max="137" width="9.5546875" bestFit="1" customWidth="1"/>
    <col min="138" max="138" width="11.88671875" bestFit="1" customWidth="1"/>
    <col min="139" max="139" width="9.5546875" bestFit="1" customWidth="1"/>
    <col min="140" max="140" width="11.88671875" bestFit="1" customWidth="1"/>
    <col min="141" max="141" width="9.5546875" bestFit="1" customWidth="1"/>
    <col min="142" max="142" width="11.88671875" bestFit="1" customWidth="1"/>
    <col min="143" max="143" width="9.5546875" bestFit="1" customWidth="1"/>
    <col min="144" max="144" width="11.88671875" bestFit="1" customWidth="1"/>
    <col min="145" max="145" width="9.5546875" bestFit="1" customWidth="1"/>
    <col min="146" max="146" width="11.88671875" bestFit="1" customWidth="1"/>
    <col min="147" max="147" width="9.5546875" bestFit="1" customWidth="1"/>
    <col min="148" max="148" width="11.88671875" bestFit="1" customWidth="1"/>
    <col min="149" max="149" width="9.5546875" bestFit="1" customWidth="1"/>
    <col min="150" max="150" width="11.88671875" bestFit="1" customWidth="1"/>
    <col min="151" max="151" width="9.5546875" bestFit="1" customWidth="1"/>
    <col min="152" max="152" width="11.88671875" bestFit="1" customWidth="1"/>
    <col min="153" max="153" width="9.5546875" bestFit="1" customWidth="1"/>
    <col min="154" max="154" width="11.88671875" bestFit="1" customWidth="1"/>
    <col min="155" max="155" width="9.5546875" bestFit="1" customWidth="1"/>
    <col min="156" max="156" width="11.88671875" bestFit="1" customWidth="1"/>
    <col min="157" max="157" width="9.5546875" bestFit="1" customWidth="1"/>
    <col min="158" max="158" width="11.88671875" bestFit="1" customWidth="1"/>
    <col min="159" max="159" width="9.5546875" bestFit="1" customWidth="1"/>
    <col min="160" max="160" width="11.88671875" bestFit="1" customWidth="1"/>
    <col min="161" max="161" width="9.5546875" bestFit="1" customWidth="1"/>
    <col min="162" max="162" width="11.88671875" bestFit="1" customWidth="1"/>
    <col min="163" max="163" width="9.5546875" bestFit="1" customWidth="1"/>
    <col min="164" max="164" width="11.88671875" bestFit="1" customWidth="1"/>
    <col min="165" max="165" width="9.5546875" bestFit="1" customWidth="1"/>
    <col min="166" max="166" width="11.88671875" bestFit="1" customWidth="1"/>
    <col min="167" max="167" width="9.5546875" bestFit="1" customWidth="1"/>
    <col min="168" max="168" width="11.88671875" bestFit="1" customWidth="1"/>
    <col min="169" max="170" width="11.5546875" bestFit="1" customWidth="1"/>
  </cols>
  <sheetData>
    <row r="2" spans="1:9" ht="28.8" x14ac:dyDescent="0.3">
      <c r="I2" s="188" t="s">
        <v>307</v>
      </c>
    </row>
    <row r="3" spans="1:9" ht="28.8" x14ac:dyDescent="0.3">
      <c r="B3" s="186" t="s">
        <v>183</v>
      </c>
      <c r="I3" s="190">
        <v>0.27634199999999998</v>
      </c>
    </row>
    <row r="4" spans="1:9" x14ac:dyDescent="0.3">
      <c r="A4" s="19" t="s">
        <v>184</v>
      </c>
      <c r="B4" s="176">
        <v>1</v>
      </c>
      <c r="C4" s="176">
        <v>2</v>
      </c>
      <c r="D4" s="176">
        <v>3</v>
      </c>
      <c r="E4" s="176">
        <v>4</v>
      </c>
      <c r="F4" s="176">
        <v>5</v>
      </c>
      <c r="G4" s="176">
        <v>6</v>
      </c>
      <c r="I4" s="190">
        <v>0.31215199999999999</v>
      </c>
    </row>
    <row r="5" spans="1:9" ht="57.6" x14ac:dyDescent="0.3">
      <c r="A5" s="185" t="s">
        <v>301</v>
      </c>
      <c r="B5" s="21">
        <v>2.2994757012493707</v>
      </c>
      <c r="C5" s="21">
        <v>-1.7964905597865086</v>
      </c>
      <c r="D5" s="21">
        <v>0.52218529281488857</v>
      </c>
      <c r="E5" s="21">
        <v>-9.9526158111548954E-2</v>
      </c>
      <c r="F5" s="21">
        <v>-0.62681843705696905</v>
      </c>
      <c r="G5" s="21">
        <v>1.2294049687218578</v>
      </c>
      <c r="I5" s="190">
        <v>0.19576499999999999</v>
      </c>
    </row>
    <row r="6" spans="1:9" ht="72" x14ac:dyDescent="0.3">
      <c r="A6" s="185" t="s">
        <v>300</v>
      </c>
      <c r="B6" s="21">
        <v>2.3825774462938538</v>
      </c>
      <c r="C6" s="21">
        <v>1.223309185908467</v>
      </c>
      <c r="D6" s="21">
        <v>0.41419852172750943</v>
      </c>
      <c r="E6" s="21">
        <v>-0.75749473569813341</v>
      </c>
      <c r="F6" s="21">
        <v>-7.2479385219826591E-3</v>
      </c>
      <c r="G6" s="21">
        <v>-1.2771247149071123</v>
      </c>
      <c r="I6" s="190">
        <v>0.76475899999999997</v>
      </c>
    </row>
    <row r="7" spans="1:9" x14ac:dyDescent="0.3">
      <c r="I7" s="190">
        <v>0.59642200000000001</v>
      </c>
    </row>
    <row r="8" spans="1:9" x14ac:dyDescent="0.3">
      <c r="I8" s="190">
        <v>0.49437599999999998</v>
      </c>
    </row>
    <row r="9" spans="1:9" x14ac:dyDescent="0.3">
      <c r="I9" s="190">
        <v>0.729217</v>
      </c>
    </row>
    <row r="10" spans="1:9" x14ac:dyDescent="0.3">
      <c r="I10" s="190">
        <v>0.26342399999999999</v>
      </c>
    </row>
    <row r="11" spans="1:9" x14ac:dyDescent="0.3">
      <c r="I11" s="190">
        <v>0.403698</v>
      </c>
    </row>
    <row r="12" spans="1:9" x14ac:dyDescent="0.3">
      <c r="H12" s="165" t="s">
        <v>308</v>
      </c>
      <c r="I12" s="189">
        <f>SUM(I3:I11)</f>
        <v>4.0361549999999999</v>
      </c>
    </row>
    <row r="33" spans="1:16" ht="57.6" x14ac:dyDescent="0.3">
      <c r="A33" s="157" t="s">
        <v>274</v>
      </c>
      <c r="B33" s="157" t="s">
        <v>288</v>
      </c>
      <c r="C33" s="158" t="s">
        <v>275</v>
      </c>
      <c r="D33" s="158" t="s">
        <v>276</v>
      </c>
      <c r="E33" s="159" t="s">
        <v>277</v>
      </c>
      <c r="F33" s="158" t="s">
        <v>278</v>
      </c>
      <c r="G33" s="161"/>
      <c r="H33" s="161"/>
      <c r="I33" s="158"/>
      <c r="J33" s="157" t="s">
        <v>289</v>
      </c>
      <c r="K33" s="157" t="s">
        <v>290</v>
      </c>
      <c r="L33" s="157" t="s">
        <v>291</v>
      </c>
      <c r="M33" s="157" t="s">
        <v>304</v>
      </c>
      <c r="N33" s="157" t="s">
        <v>302</v>
      </c>
      <c r="O33" s="157" t="s">
        <v>303</v>
      </c>
    </row>
    <row r="34" spans="1:16" x14ac:dyDescent="0.3">
      <c r="A34" s="160">
        <v>2.7336397950556508</v>
      </c>
      <c r="B34" s="6">
        <f>-(84-(23/6))*LN(PRODUCT(A34:A42))</f>
        <v>267.00147492165479</v>
      </c>
      <c r="C34" s="6">
        <f>_xlfn.CHISQ.INV(0.975, 36)</f>
        <v>54.437293631813226</v>
      </c>
      <c r="D34" s="6">
        <f>_xlfn.CHISQ.INV(0.025,36)</f>
        <v>21.335881560799052</v>
      </c>
      <c r="E34" s="6">
        <v>0.05</v>
      </c>
      <c r="F34" s="6">
        <v>9</v>
      </c>
      <c r="I34" s="142">
        <v>1</v>
      </c>
      <c r="J34" s="2">
        <f>K34/(1+$J$44*SQRT(2/(84-1)))</f>
        <v>2.0959550731726515</v>
      </c>
      <c r="K34" s="160">
        <v>2.7336397950556508</v>
      </c>
      <c r="L34" s="2">
        <f>K34/(1-$J$44*SQRT(2/(84-1)))</f>
        <v>3.9290287919564841</v>
      </c>
      <c r="M34" s="2">
        <v>2</v>
      </c>
      <c r="N34" s="2">
        <f>K34/(1+$J$44*SQRT(2/((84-1)*2)))</f>
        <v>2.2496611922825647</v>
      </c>
      <c r="O34" s="2">
        <f>K34/(1-$J$44*SQRT(2/((84-1)*2)))</f>
        <v>3.4829382116320331</v>
      </c>
      <c r="P34">
        <v>2</v>
      </c>
    </row>
    <row r="35" spans="1:16" x14ac:dyDescent="0.3">
      <c r="A35" s="160">
        <v>2.3066676523433585</v>
      </c>
      <c r="B35" s="6"/>
      <c r="C35" s="6"/>
      <c r="D35" s="6"/>
      <c r="E35" s="6"/>
      <c r="F35" s="6"/>
      <c r="I35" s="142">
        <v>2</v>
      </c>
      <c r="J35" s="2">
        <f t="shared" ref="J35:J42" si="0">K35/(1+$J$44*SQRT(2/(84-1)))</f>
        <v>1.7685840602689531</v>
      </c>
      <c r="K35" s="160">
        <v>2.3066676523433585</v>
      </c>
      <c r="L35" s="2">
        <f t="shared" ref="L35:L42" si="1">K35/(1-$J$44*SQRT(2/(84-1)))</f>
        <v>3.3153466802480547</v>
      </c>
      <c r="M35" s="2">
        <v>1</v>
      </c>
      <c r="N35" s="2">
        <f>K35/(1+$J$44*SQRT(2/((84-1)*2)))</f>
        <v>1.8982825426949652</v>
      </c>
      <c r="O35" s="2">
        <f>K35/(1-$J$44*SQRT(2/((84-1)*2)))</f>
        <v>2.9389317943107729</v>
      </c>
      <c r="P35">
        <v>1</v>
      </c>
    </row>
    <row r="36" spans="1:16" x14ac:dyDescent="0.3">
      <c r="A36" s="160">
        <v>1.0508409865322557</v>
      </c>
      <c r="B36" s="6"/>
      <c r="C36" s="6"/>
      <c r="D36" s="6"/>
      <c r="E36" s="6"/>
      <c r="F36" s="6"/>
      <c r="I36" s="142">
        <v>3</v>
      </c>
      <c r="J36" s="2">
        <f t="shared" si="0"/>
        <v>0.80570801639767486</v>
      </c>
      <c r="K36" s="160">
        <v>1.0508409865322557</v>
      </c>
      <c r="L36" s="2">
        <f t="shared" si="1"/>
        <v>1.5103615696994692</v>
      </c>
      <c r="M36" s="2"/>
      <c r="N36" s="2"/>
      <c r="O36" s="2"/>
    </row>
    <row r="37" spans="1:16" x14ac:dyDescent="0.3">
      <c r="A37" s="160">
        <v>0.7566783675304587</v>
      </c>
      <c r="B37" s="6"/>
      <c r="C37" s="6"/>
      <c r="D37" s="6"/>
      <c r="E37" s="6"/>
      <c r="F37" s="6"/>
      <c r="I37" s="142">
        <v>4</v>
      </c>
      <c r="J37" s="2">
        <f t="shared" si="0"/>
        <v>0.58016563339983795</v>
      </c>
      <c r="K37" s="160">
        <v>0.7566783675304587</v>
      </c>
      <c r="L37" s="2">
        <f t="shared" si="1"/>
        <v>1.0875650470318379</v>
      </c>
      <c r="M37" s="2">
        <v>3.5</v>
      </c>
      <c r="N37" s="2">
        <f>K37/(1+$J$44*SQRT(2/((84-1)*2)))</f>
        <v>0.62271187358038227</v>
      </c>
      <c r="O37" s="2">
        <f>K37/(1-$J$44*SQRT(2/((84-1)*2)))</f>
        <v>0.96408605294448824</v>
      </c>
      <c r="P37">
        <v>3.5</v>
      </c>
    </row>
    <row r="38" spans="1:16" x14ac:dyDescent="0.3">
      <c r="A38" s="160">
        <v>0.69835300771608022</v>
      </c>
      <c r="B38" s="6"/>
      <c r="C38" s="6"/>
      <c r="D38" s="6"/>
      <c r="E38" s="6"/>
      <c r="F38" s="6"/>
      <c r="I38" s="142">
        <v>5</v>
      </c>
      <c r="J38" s="2">
        <f t="shared" si="0"/>
        <v>0.53544601305385231</v>
      </c>
      <c r="K38" s="160">
        <v>0.69835300771608022</v>
      </c>
      <c r="L38" s="2">
        <f t="shared" si="1"/>
        <v>1.0037346834168506</v>
      </c>
      <c r="M38" s="2">
        <v>4</v>
      </c>
      <c r="N38" s="2"/>
      <c r="O38" s="2"/>
    </row>
    <row r="39" spans="1:16" x14ac:dyDescent="0.3">
      <c r="A39" s="160">
        <v>0.52557100956804992</v>
      </c>
      <c r="B39" s="6"/>
      <c r="C39" s="6"/>
      <c r="D39" s="6"/>
      <c r="E39" s="6"/>
      <c r="F39" s="6"/>
      <c r="I39" s="142">
        <v>6</v>
      </c>
      <c r="J39" s="2">
        <f t="shared" si="0"/>
        <v>0.40296941309131062</v>
      </c>
      <c r="K39" s="160">
        <v>0.52557100956804992</v>
      </c>
      <c r="L39" s="2">
        <f t="shared" si="1"/>
        <v>0.75539712018586058</v>
      </c>
      <c r="M39" s="187" t="s">
        <v>293</v>
      </c>
      <c r="N39" s="2">
        <f>K39/(1+$J$44*SQRT(2/((84-1)*2)))</f>
        <v>0.43252103153917554</v>
      </c>
      <c r="O39" s="2">
        <f>K39/(1-$J$44*SQRT(2/((84-1)*2)))</f>
        <v>0.66963151306967283</v>
      </c>
      <c r="P39">
        <v>7</v>
      </c>
    </row>
    <row r="40" spans="1:16" x14ac:dyDescent="0.3">
      <c r="A40" s="160">
        <v>0.48729767564763243</v>
      </c>
      <c r="B40" s="6"/>
      <c r="C40" s="6"/>
      <c r="D40" s="6"/>
      <c r="E40" s="6"/>
      <c r="F40" s="6"/>
      <c r="I40" s="142">
        <v>7</v>
      </c>
      <c r="J40" s="2">
        <f t="shared" si="0"/>
        <v>0.37362421971842263</v>
      </c>
      <c r="K40" s="160">
        <v>0.48729767564763243</v>
      </c>
      <c r="L40" s="2">
        <f t="shared" si="1"/>
        <v>0.70038730096627189</v>
      </c>
      <c r="M40" s="187" t="s">
        <v>296</v>
      </c>
      <c r="N40" s="2">
        <f>K40/(1+$J$44*SQRT(2/((84-1)*2)))</f>
        <v>0.4010238188574724</v>
      </c>
      <c r="O40" s="2">
        <f>K40/(1-$J$44*SQRT(2/((84-1)*2)))</f>
        <v>0.62086734983240899</v>
      </c>
      <c r="P40">
        <v>6</v>
      </c>
    </row>
    <row r="41" spans="1:16" x14ac:dyDescent="0.3">
      <c r="A41" s="160">
        <v>0.31385030017732085</v>
      </c>
      <c r="B41" s="6"/>
      <c r="C41" s="6"/>
      <c r="D41" s="6"/>
      <c r="E41" s="6"/>
      <c r="F41" s="6"/>
      <c r="I41" s="142">
        <v>8</v>
      </c>
      <c r="J41" s="2">
        <f t="shared" si="0"/>
        <v>0.24063745708677886</v>
      </c>
      <c r="K41" s="160">
        <v>0.31385030017732085</v>
      </c>
      <c r="L41" s="2">
        <f t="shared" si="1"/>
        <v>0.45109339862232112</v>
      </c>
      <c r="M41" s="2"/>
      <c r="N41" s="2"/>
      <c r="O41" s="2"/>
    </row>
    <row r="42" spans="1:16" x14ac:dyDescent="0.3">
      <c r="A42" s="160">
        <v>0.12710120542919146</v>
      </c>
      <c r="B42" s="6"/>
      <c r="C42" s="6"/>
      <c r="D42" s="6"/>
      <c r="E42" s="6"/>
      <c r="F42" s="6"/>
      <c r="I42" s="142">
        <v>9</v>
      </c>
      <c r="J42" s="2">
        <f t="shared" si="0"/>
        <v>9.7451908919203412E-2</v>
      </c>
      <c r="K42" s="160">
        <v>0.12710120542919146</v>
      </c>
      <c r="L42" s="2">
        <f t="shared" si="1"/>
        <v>0.18268108933990063</v>
      </c>
      <c r="M42" s="2"/>
      <c r="N42" s="2"/>
      <c r="O42" s="2"/>
    </row>
    <row r="44" spans="1:16" x14ac:dyDescent="0.3">
      <c r="I44" s="162" t="s">
        <v>292</v>
      </c>
      <c r="J44" s="167">
        <f>NORMSINV(0.975)</f>
        <v>1.9599639845400536</v>
      </c>
    </row>
    <row r="45" spans="1:16" x14ac:dyDescent="0.3">
      <c r="I45" s="165" t="s">
        <v>294</v>
      </c>
      <c r="J45" s="166">
        <f>(A34+A35+A36)/9</f>
        <v>0.67679427043680718</v>
      </c>
    </row>
    <row r="46" spans="1:16" x14ac:dyDescent="0.3">
      <c r="I46" s="163" t="s">
        <v>295</v>
      </c>
      <c r="J46" s="164">
        <f>(A34+A35)/9</f>
        <v>0.5600341608221121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737D-5DE5-4417-81C7-C8CC0270C11B}">
  <dimension ref="A1:X86"/>
  <sheetViews>
    <sheetView zoomScale="80" zoomScaleNormal="80" workbookViewId="0">
      <selection activeCell="B2" sqref="B2:B85"/>
    </sheetView>
  </sheetViews>
  <sheetFormatPr defaultRowHeight="14.4" x14ac:dyDescent="0.3"/>
  <cols>
    <col min="1" max="1" width="42.77734375" style="2" bestFit="1" customWidth="1"/>
    <col min="2" max="2" width="21.109375" style="2" customWidth="1"/>
    <col min="3" max="3" width="13.88671875" style="2" bestFit="1" customWidth="1"/>
    <col min="4" max="4" width="12.21875" style="2" bestFit="1" customWidth="1"/>
    <col min="5" max="10" width="13.33203125" style="2" bestFit="1" customWidth="1"/>
    <col min="11" max="11" width="13.88671875" style="2" bestFit="1" customWidth="1"/>
    <col min="12" max="12" width="9" style="61" bestFit="1" customWidth="1"/>
    <col min="13" max="13" width="2" bestFit="1" customWidth="1"/>
    <col min="15" max="23" width="10.77734375" bestFit="1" customWidth="1"/>
  </cols>
  <sheetData>
    <row r="1" spans="1:24" ht="26.4" x14ac:dyDescent="0.3">
      <c r="A1" s="66" t="s">
        <v>103</v>
      </c>
      <c r="B1" s="67" t="s">
        <v>0</v>
      </c>
      <c r="C1" s="67" t="s">
        <v>94</v>
      </c>
      <c r="D1" s="67" t="s">
        <v>2</v>
      </c>
      <c r="E1" s="67" t="s">
        <v>3</v>
      </c>
      <c r="F1" s="67" t="s">
        <v>4</v>
      </c>
      <c r="G1" s="67" t="s">
        <v>5</v>
      </c>
      <c r="H1" s="67" t="s">
        <v>6</v>
      </c>
      <c r="I1" s="67" t="s">
        <v>7</v>
      </c>
      <c r="J1" s="67" t="s">
        <v>8</v>
      </c>
      <c r="K1" s="67" t="s">
        <v>9</v>
      </c>
      <c r="L1" s="62" t="s">
        <v>108</v>
      </c>
    </row>
    <row r="2" spans="1:24" x14ac:dyDescent="0.3">
      <c r="A2" s="68" t="s">
        <v>10</v>
      </c>
      <c r="B2" s="69">
        <v>4</v>
      </c>
      <c r="C2" s="69">
        <v>-0.50962256899999991</v>
      </c>
      <c r="D2" s="69">
        <v>-0.58390292199999994</v>
      </c>
      <c r="E2" s="69">
        <v>-0.30895468900000012</v>
      </c>
      <c r="F2" s="69">
        <v>-0.33385007600000011</v>
      </c>
      <c r="G2" s="69">
        <v>-2.0226129599999997E-2</v>
      </c>
      <c r="H2" s="69">
        <v>1.3286337500000001</v>
      </c>
      <c r="I2" s="69">
        <v>-0.77242252899999986</v>
      </c>
      <c r="J2" s="69">
        <v>-0.85014953700000018</v>
      </c>
      <c r="K2" s="69">
        <v>9.6253445799999986E-3</v>
      </c>
      <c r="L2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3.8927268423197936</v>
      </c>
      <c r="O2" s="8"/>
      <c r="P2" s="12" t="s">
        <v>94</v>
      </c>
      <c r="Q2" s="12" t="s">
        <v>95</v>
      </c>
      <c r="R2" s="12" t="s">
        <v>96</v>
      </c>
      <c r="S2" s="12" t="s">
        <v>97</v>
      </c>
      <c r="T2" s="12" t="s">
        <v>98</v>
      </c>
      <c r="U2" s="12" t="s">
        <v>99</v>
      </c>
      <c r="V2" s="12" t="s">
        <v>100</v>
      </c>
      <c r="W2" s="12" t="s">
        <v>101</v>
      </c>
      <c r="X2" s="12" t="s">
        <v>102</v>
      </c>
    </row>
    <row r="3" spans="1:24" x14ac:dyDescent="0.3">
      <c r="A3" s="68" t="s">
        <v>11</v>
      </c>
      <c r="B3" s="69">
        <v>5</v>
      </c>
      <c r="C3" s="69">
        <v>-0.67728642500000003</v>
      </c>
      <c r="D3" s="69">
        <v>-1.01730089</v>
      </c>
      <c r="E3" s="69">
        <v>-5.9127443500000001E-2</v>
      </c>
      <c r="F3" s="69">
        <v>0.43913758000000003</v>
      </c>
      <c r="G3" s="69">
        <v>-0.54325268599999998</v>
      </c>
      <c r="H3" s="69">
        <v>-0.61001999200000012</v>
      </c>
      <c r="I3" s="69">
        <v>0.51976563300000012</v>
      </c>
      <c r="J3" s="69">
        <v>0.70370492100000004</v>
      </c>
      <c r="K3" s="69">
        <v>-0.67235300100000006</v>
      </c>
      <c r="L3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3.5746192301564519</v>
      </c>
      <c r="O3" s="13">
        <v>1</v>
      </c>
      <c r="P3" s="24">
        <v>-0.75310087162500006</v>
      </c>
      <c r="Q3" s="24">
        <v>-0.88247965000000006</v>
      </c>
      <c r="R3" s="24">
        <v>0.17515717187500002</v>
      </c>
      <c r="S3" s="24">
        <v>2.12604318125</v>
      </c>
      <c r="T3" s="24">
        <v>-0.54678664943749999</v>
      </c>
      <c r="U3" s="24">
        <v>-0.53349418662500014</v>
      </c>
      <c r="V3" s="24">
        <v>2.4241274725000004</v>
      </c>
      <c r="W3" s="24">
        <v>-0.78540560083750011</v>
      </c>
      <c r="X3" s="24">
        <v>-0.14656659775000003</v>
      </c>
    </row>
    <row r="4" spans="1:24" x14ac:dyDescent="0.3">
      <c r="A4" s="68" t="s">
        <v>12</v>
      </c>
      <c r="B4" s="69">
        <v>5</v>
      </c>
      <c r="C4" s="69">
        <v>-1.1994074299999999</v>
      </c>
      <c r="D4" s="69">
        <v>-9.6330204000000003E-2</v>
      </c>
      <c r="E4" s="69">
        <v>0.35917219400000006</v>
      </c>
      <c r="F4" s="69">
        <v>0.80851463999999995</v>
      </c>
      <c r="G4" s="69">
        <v>-0.27467148100000005</v>
      </c>
      <c r="H4" s="69">
        <v>0.34910343599999999</v>
      </c>
      <c r="I4" s="69">
        <v>0.4166647750000001</v>
      </c>
      <c r="J4" s="69">
        <v>0.20733474700000001</v>
      </c>
      <c r="K4" s="69">
        <v>-0.67225192200000017</v>
      </c>
      <c r="L4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3.0963957899194785</v>
      </c>
      <c r="O4" s="13">
        <v>2</v>
      </c>
      <c r="P4" s="18">
        <v>1.0692589622500002</v>
      </c>
      <c r="Q4" s="18">
        <v>0.57131198410000006</v>
      </c>
      <c r="R4" s="18">
        <v>4.9769384500000027E-3</v>
      </c>
      <c r="S4" s="18">
        <v>-0.97143232856250017</v>
      </c>
      <c r="T4" s="18">
        <v>-0.32204341712500001</v>
      </c>
      <c r="U4" s="18">
        <v>-0.36641284483875003</v>
      </c>
      <c r="V4" s="18">
        <v>-0.63465251362499997</v>
      </c>
      <c r="W4" s="18">
        <v>-4.7594500624999994E-2</v>
      </c>
      <c r="X4" s="18">
        <v>-0.41354085421875009</v>
      </c>
    </row>
    <row r="5" spans="1:24" x14ac:dyDescent="0.3">
      <c r="A5" s="68" t="s">
        <v>13</v>
      </c>
      <c r="B5" s="69">
        <v>2</v>
      </c>
      <c r="C5" s="69">
        <v>1.15463812</v>
      </c>
      <c r="D5" s="69">
        <v>-7.1705319200000006E-2</v>
      </c>
      <c r="E5" s="69">
        <v>-0.35571837400000006</v>
      </c>
      <c r="F5" s="69">
        <v>-0.21255969200000002</v>
      </c>
      <c r="G5" s="69">
        <v>-0.15148762100000002</v>
      </c>
      <c r="H5" s="69">
        <v>-0.40595117800000002</v>
      </c>
      <c r="I5" s="69">
        <v>-0.33845121700000008</v>
      </c>
      <c r="J5" s="69">
        <v>-0.20271018000000005</v>
      </c>
      <c r="K5" s="69">
        <v>-0.65446206200000001</v>
      </c>
      <c r="L5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2.2817541172953706</v>
      </c>
      <c r="O5" s="13">
        <v>3</v>
      </c>
      <c r="P5" s="17">
        <v>-0.48542945999999992</v>
      </c>
      <c r="Q5" s="17">
        <v>1.2654259240000001</v>
      </c>
      <c r="R5" s="17">
        <v>-0.73552086950000006</v>
      </c>
      <c r="S5" s="17">
        <v>1.0456777235000001</v>
      </c>
      <c r="T5" s="17">
        <v>4.3777069549999998</v>
      </c>
      <c r="U5" s="17">
        <v>3.5019666250000001</v>
      </c>
      <c r="V5" s="17">
        <v>1.8978305455</v>
      </c>
      <c r="W5" s="17">
        <v>-0.64512707400000002</v>
      </c>
      <c r="X5" s="17">
        <v>3.8341421150000001</v>
      </c>
    </row>
    <row r="6" spans="1:24" x14ac:dyDescent="0.3">
      <c r="A6" s="68" t="s">
        <v>14</v>
      </c>
      <c r="B6" s="69">
        <v>4</v>
      </c>
      <c r="C6" s="69">
        <v>0.59875929800000005</v>
      </c>
      <c r="D6" s="69">
        <v>0.91329007100000004</v>
      </c>
      <c r="E6" s="69">
        <v>-0.51013152299999998</v>
      </c>
      <c r="F6" s="69">
        <v>-0.422793486</v>
      </c>
      <c r="G6" s="69">
        <v>-0.40795238000000006</v>
      </c>
      <c r="H6" s="69">
        <v>-0.34473053300000001</v>
      </c>
      <c r="I6" s="69">
        <v>-0.35145568000000005</v>
      </c>
      <c r="J6" s="69">
        <v>-0.33219805100000005</v>
      </c>
      <c r="K6" s="69">
        <v>0.55130638099999985</v>
      </c>
      <c r="L6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2.4546796033220981</v>
      </c>
      <c r="O6" s="13">
        <v>4</v>
      </c>
      <c r="P6" s="17">
        <v>0.66859165835294121</v>
      </c>
      <c r="Q6" s="17">
        <v>2.4590399176470492E-3</v>
      </c>
      <c r="R6" s="17">
        <v>-0.56650615770588231</v>
      </c>
      <c r="S6" s="17">
        <v>-0.10266792899411771</v>
      </c>
      <c r="T6" s="17">
        <v>0.65663176692941172</v>
      </c>
      <c r="U6" s="17">
        <v>0.8472714252329413</v>
      </c>
      <c r="V6" s="17">
        <v>-0.19748338063764706</v>
      </c>
      <c r="W6" s="17">
        <v>-0.47565030090588228</v>
      </c>
      <c r="X6" s="17">
        <v>0.61864266844829408</v>
      </c>
    </row>
    <row r="7" spans="1:24" x14ac:dyDescent="0.3">
      <c r="A7" s="68" t="s">
        <v>15</v>
      </c>
      <c r="B7" s="69">
        <v>2</v>
      </c>
      <c r="C7" s="69">
        <v>1.2502852899999999</v>
      </c>
      <c r="D7" s="69">
        <v>0.65719127000000022</v>
      </c>
      <c r="E7" s="69">
        <v>-0.51506596599999999</v>
      </c>
      <c r="F7" s="69">
        <v>-0.64861460300000018</v>
      </c>
      <c r="G7" s="69">
        <v>-0.20533848900000004</v>
      </c>
      <c r="H7" s="69">
        <v>6.3407095999999982E-2</v>
      </c>
      <c r="I7" s="69">
        <v>-0.63330248600000005</v>
      </c>
      <c r="J7" s="69">
        <v>0.48789180100000007</v>
      </c>
      <c r="K7" s="69">
        <v>-0.46119948599999999</v>
      </c>
      <c r="L7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3.5791072926077994</v>
      </c>
      <c r="O7" s="13">
        <v>5</v>
      </c>
      <c r="P7" s="17">
        <v>-0.75943046194074082</v>
      </c>
      <c r="Q7" s="17">
        <v>-0.36009008060037045</v>
      </c>
      <c r="R7" s="17">
        <v>-0.25846499044074078</v>
      </c>
      <c r="S7" s="17">
        <v>9.5002021831851843E-2</v>
      </c>
      <c r="T7" s="17">
        <v>-0.1179056210462963</v>
      </c>
      <c r="U7" s="17">
        <v>-0.16106860006370372</v>
      </c>
      <c r="V7" s="17">
        <v>-0.13075787863592594</v>
      </c>
      <c r="W7" s="17">
        <v>-8.7609849445925925E-2</v>
      </c>
      <c r="X7" s="17">
        <v>-7.4258789265185213E-2</v>
      </c>
    </row>
    <row r="8" spans="1:24" x14ac:dyDescent="0.3">
      <c r="A8" s="68" t="s">
        <v>16</v>
      </c>
      <c r="B8" s="69">
        <v>5</v>
      </c>
      <c r="C8" s="69">
        <v>-0.59176660599999997</v>
      </c>
      <c r="D8" s="69">
        <v>-0.38690384400000005</v>
      </c>
      <c r="E8" s="69">
        <v>-0.30959152500000003</v>
      </c>
      <c r="F8" s="69">
        <v>-0.510454662</v>
      </c>
      <c r="G8" s="69">
        <v>-0.23024451500000001</v>
      </c>
      <c r="H8" s="69">
        <v>-0.85490257000000003</v>
      </c>
      <c r="I8" s="69">
        <v>-0.52926799999999996</v>
      </c>
      <c r="J8" s="69">
        <v>-1.3465197099999999</v>
      </c>
      <c r="K8" s="69">
        <v>-0.24054456900000001</v>
      </c>
      <c r="L8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3.791265751583802</v>
      </c>
      <c r="O8" s="13">
        <v>6</v>
      </c>
      <c r="P8" s="17">
        <v>-6.956522900000002E-2</v>
      </c>
      <c r="Q8" s="17">
        <v>0.36204443702857153</v>
      </c>
      <c r="R8" s="17">
        <v>1.1856651981428572</v>
      </c>
      <c r="S8" s="17">
        <v>-0.3126059595857143</v>
      </c>
      <c r="T8" s="17">
        <v>-0.51483673711428579</v>
      </c>
      <c r="U8" s="17">
        <v>-0.49486687535714291</v>
      </c>
      <c r="V8" s="17">
        <v>-0.43904003274285719</v>
      </c>
      <c r="W8" s="17">
        <v>1.3418951446928573</v>
      </c>
      <c r="X8" s="17">
        <v>-0.5993597017857144</v>
      </c>
    </row>
    <row r="9" spans="1:24" x14ac:dyDescent="0.3">
      <c r="A9" s="68" t="s">
        <v>17</v>
      </c>
      <c r="B9" s="69">
        <v>4</v>
      </c>
      <c r="C9" s="69">
        <v>0.78217680499999998</v>
      </c>
      <c r="D9" s="69">
        <v>-0.41152872900000009</v>
      </c>
      <c r="E9" s="69">
        <v>-0.53398179300000004</v>
      </c>
      <c r="F9" s="69">
        <v>-0.56338741700000006</v>
      </c>
      <c r="G9" s="69">
        <v>0.58424986499999998</v>
      </c>
      <c r="H9" s="69">
        <v>3.1244393100000001</v>
      </c>
      <c r="I9" s="69">
        <v>-0.511451726</v>
      </c>
      <c r="J9" s="69">
        <v>-5.16409964E-2</v>
      </c>
      <c r="K9" s="69">
        <v>0.13425544700000003</v>
      </c>
      <c r="L9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11.769441477312135</v>
      </c>
    </row>
    <row r="10" spans="1:24" x14ac:dyDescent="0.3">
      <c r="A10" s="68" t="s">
        <v>18</v>
      </c>
      <c r="B10" s="69">
        <v>6</v>
      </c>
      <c r="C10" s="69">
        <v>-0.59401712799999984</v>
      </c>
      <c r="D10" s="69">
        <v>0.36169265300000003</v>
      </c>
      <c r="E10" s="69">
        <v>1.1258601800000001</v>
      </c>
      <c r="F10" s="69">
        <v>-4.2682522800000004E-2</v>
      </c>
      <c r="G10" s="69">
        <v>-9.2924801599999995E-2</v>
      </c>
      <c r="H10" s="69">
        <v>-0.83449568800000007</v>
      </c>
      <c r="I10" s="69">
        <v>-0.15101731200000004</v>
      </c>
      <c r="J10" s="69">
        <v>-0.31061673900000009</v>
      </c>
      <c r="K10" s="69">
        <v>-0.71460392000000006</v>
      </c>
      <c r="L10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3.0880266883448164</v>
      </c>
    </row>
    <row r="11" spans="1:24" x14ac:dyDescent="0.3">
      <c r="A11" s="68" t="s">
        <v>19</v>
      </c>
      <c r="B11" s="69">
        <v>4</v>
      </c>
      <c r="C11" s="69">
        <v>0.408590226</v>
      </c>
      <c r="D11" s="69">
        <v>0.24841818300000007</v>
      </c>
      <c r="E11" s="69">
        <v>-0.63389257500000007</v>
      </c>
      <c r="F11" s="69">
        <v>-0.43240516000000007</v>
      </c>
      <c r="G11" s="69">
        <v>0.12247867100000001</v>
      </c>
      <c r="H11" s="69">
        <v>0.10422085900000001</v>
      </c>
      <c r="I11" s="69">
        <v>-0.38164518000000003</v>
      </c>
      <c r="J11" s="69">
        <v>-0.41852329900000007</v>
      </c>
      <c r="K11" s="69">
        <v>0.6668393960000002</v>
      </c>
      <c r="L11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1.6088041728230946</v>
      </c>
    </row>
    <row r="12" spans="1:24" x14ac:dyDescent="0.3">
      <c r="A12" s="68" t="s">
        <v>20</v>
      </c>
      <c r="B12" s="69">
        <v>3</v>
      </c>
      <c r="C12" s="69">
        <v>-1.2545451999999999</v>
      </c>
      <c r="D12" s="69">
        <v>1.7259112700000001</v>
      </c>
      <c r="E12" s="69">
        <v>-0.71721293799999997</v>
      </c>
      <c r="F12" s="69">
        <v>0.92777866700000011</v>
      </c>
      <c r="G12" s="69">
        <v>6.8915327899999994</v>
      </c>
      <c r="H12" s="69">
        <v>3.8590870500000003</v>
      </c>
      <c r="I12" s="69">
        <v>3.06948211</v>
      </c>
      <c r="J12" s="69">
        <v>-0.18112886799999997</v>
      </c>
      <c r="K12" s="69">
        <v>1.3464929300000001</v>
      </c>
      <c r="L12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79.581169380314577</v>
      </c>
    </row>
    <row r="13" spans="1:24" x14ac:dyDescent="0.3">
      <c r="A13" s="68" t="s">
        <v>21</v>
      </c>
      <c r="B13" s="69">
        <v>5</v>
      </c>
      <c r="C13" s="69">
        <v>9.6892990599999992E-2</v>
      </c>
      <c r="D13" s="69">
        <v>-2.1992953599999998</v>
      </c>
      <c r="E13" s="69">
        <v>1.7329891800000001</v>
      </c>
      <c r="F13" s="69">
        <v>-0.17048649300000004</v>
      </c>
      <c r="G13" s="69">
        <v>-0.79567863100000014</v>
      </c>
      <c r="H13" s="69">
        <v>-0.79368192500000001</v>
      </c>
      <c r="I13" s="69">
        <v>7.2950210500000001E-2</v>
      </c>
      <c r="J13" s="69">
        <v>-1.1522879000000001</v>
      </c>
      <c r="K13" s="69">
        <v>-0.8272056510000001</v>
      </c>
      <c r="L13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11.158999284221458</v>
      </c>
    </row>
    <row r="14" spans="1:24" x14ac:dyDescent="0.3">
      <c r="A14" s="68" t="s">
        <v>22</v>
      </c>
      <c r="B14" s="69">
        <v>5</v>
      </c>
      <c r="C14" s="69">
        <v>-0.39597123000000001</v>
      </c>
      <c r="D14" s="69">
        <v>-0.97790107900000001</v>
      </c>
      <c r="E14" s="69">
        <v>-0.22288951599999998</v>
      </c>
      <c r="F14" s="69">
        <v>3.2830160300000008E-2</v>
      </c>
      <c r="G14" s="69">
        <v>-0.41333746700000007</v>
      </c>
      <c r="H14" s="69">
        <v>-7.9441074200000017E-2</v>
      </c>
      <c r="I14" s="69">
        <v>8.0467671800000001E-2</v>
      </c>
      <c r="J14" s="69">
        <v>-1.6702393900000001</v>
      </c>
      <c r="K14" s="69">
        <v>-0.78455041700000006</v>
      </c>
      <c r="L14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4.7526940609049886</v>
      </c>
    </row>
    <row r="15" spans="1:24" x14ac:dyDescent="0.3">
      <c r="A15" s="68" t="s">
        <v>23</v>
      </c>
      <c r="B15" s="69">
        <v>6</v>
      </c>
      <c r="C15" s="69">
        <v>-2.35099127E-2</v>
      </c>
      <c r="D15" s="69">
        <v>-0.10125518100000001</v>
      </c>
      <c r="E15" s="69">
        <v>-0.23314975900000001</v>
      </c>
      <c r="F15" s="69">
        <v>-0.72464517800000017</v>
      </c>
      <c r="G15" s="69">
        <v>-0.47728537300000007</v>
      </c>
      <c r="H15" s="69">
        <v>-0.24269612600000001</v>
      </c>
      <c r="I15" s="69">
        <v>-0.81386441200000015</v>
      </c>
      <c r="J15" s="69">
        <v>1.97700232</v>
      </c>
      <c r="K15" s="69">
        <v>-0.39004004399999997</v>
      </c>
      <c r="L15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5.6000221986339032</v>
      </c>
    </row>
    <row r="16" spans="1:24" x14ac:dyDescent="0.3">
      <c r="A16" s="68" t="s">
        <v>24</v>
      </c>
      <c r="B16" s="69">
        <v>5</v>
      </c>
      <c r="C16" s="69">
        <v>-1.36819654</v>
      </c>
      <c r="D16" s="69">
        <v>-0.57405296799999994</v>
      </c>
      <c r="E16" s="69">
        <v>-0.45614134199999995</v>
      </c>
      <c r="F16" s="69">
        <v>0.29532124700000006</v>
      </c>
      <c r="G16" s="69">
        <v>8.0744248100000013E-2</v>
      </c>
      <c r="H16" s="69">
        <v>-9.9847955699999991E-2</v>
      </c>
      <c r="I16" s="69">
        <v>0.28194914900000001</v>
      </c>
      <c r="J16" s="69">
        <v>1.3079816500000001</v>
      </c>
      <c r="K16" s="69">
        <v>-1.3622768599999998E-2</v>
      </c>
      <c r="L16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4.303764292452728</v>
      </c>
    </row>
    <row r="17" spans="1:12" x14ac:dyDescent="0.3">
      <c r="A17" s="68" t="s">
        <v>25</v>
      </c>
      <c r="B17" s="69">
        <v>2</v>
      </c>
      <c r="C17" s="69">
        <v>1.5799867000000001</v>
      </c>
      <c r="D17" s="69">
        <v>0.76061578600000002</v>
      </c>
      <c r="E17" s="69">
        <v>-0.21339163900000002</v>
      </c>
      <c r="F17" s="69">
        <v>-1.4099379999999999</v>
      </c>
      <c r="G17" s="69">
        <v>-0.43689722200000003</v>
      </c>
      <c r="H17" s="69">
        <v>-0.44676494</v>
      </c>
      <c r="I17" s="69">
        <v>-0.84844856000000002</v>
      </c>
      <c r="J17" s="69">
        <v>-7.3222308300000011E-2</v>
      </c>
      <c r="K17" s="69">
        <v>-0.60361944900000009</v>
      </c>
      <c r="L17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6.5884164997341763</v>
      </c>
    </row>
    <row r="18" spans="1:12" x14ac:dyDescent="0.3">
      <c r="A18" s="68" t="s">
        <v>26</v>
      </c>
      <c r="B18" s="69">
        <v>6</v>
      </c>
      <c r="C18" s="69">
        <v>-0.443232183</v>
      </c>
      <c r="D18" s="69">
        <v>0.30751790600000006</v>
      </c>
      <c r="E18" s="69">
        <v>4.1533658899999999</v>
      </c>
      <c r="F18" s="69">
        <v>2.9875726600000003E-2</v>
      </c>
      <c r="G18" s="69">
        <v>-0.41804941800000001</v>
      </c>
      <c r="H18" s="69">
        <v>-0.120254837</v>
      </c>
      <c r="I18" s="69">
        <v>-0.35390574300000005</v>
      </c>
      <c r="J18" s="69">
        <v>0.68212360900000002</v>
      </c>
      <c r="K18" s="69">
        <v>0.11717313800000001</v>
      </c>
      <c r="L18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18.335860784265257</v>
      </c>
    </row>
    <row r="19" spans="1:12" x14ac:dyDescent="0.3">
      <c r="A19" s="68" t="s">
        <v>27</v>
      </c>
      <c r="B19" s="69">
        <v>5</v>
      </c>
      <c r="C19" s="69">
        <v>-0.70541794499999988</v>
      </c>
      <c r="D19" s="69">
        <v>0.39124251399999999</v>
      </c>
      <c r="E19" s="69">
        <v>-0.48169671700000005</v>
      </c>
      <c r="F19" s="69">
        <v>0.16635461699999998</v>
      </c>
      <c r="G19" s="69">
        <v>-0.37294931600000003</v>
      </c>
      <c r="H19" s="69">
        <v>-0.69164751800000013</v>
      </c>
      <c r="I19" s="69">
        <v>-3.3762251799999997E-2</v>
      </c>
      <c r="J19" s="69">
        <v>1.04900591</v>
      </c>
      <c r="K19" s="69">
        <v>1.5815010300000001</v>
      </c>
      <c r="L19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5.1305570455388221</v>
      </c>
    </row>
    <row r="20" spans="1:12" x14ac:dyDescent="0.3">
      <c r="A20" s="68" t="s">
        <v>28</v>
      </c>
      <c r="B20" s="69">
        <v>1</v>
      </c>
      <c r="C20" s="69">
        <v>-1.6517622599999999</v>
      </c>
      <c r="D20" s="69">
        <v>-1.47532375</v>
      </c>
      <c r="E20" s="69">
        <v>0.31847076200000013</v>
      </c>
      <c r="F20" s="69">
        <v>1.3915135599999999</v>
      </c>
      <c r="G20" s="69">
        <v>-0.6529738300000002</v>
      </c>
      <c r="H20" s="69">
        <v>-0.54879934800000008</v>
      </c>
      <c r="I20" s="69">
        <v>2.15484462</v>
      </c>
      <c r="J20" s="69">
        <v>3.4684251299999996E-2</v>
      </c>
      <c r="K20" s="69">
        <v>-0.40115870700000006</v>
      </c>
      <c r="L20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12.475674534765552</v>
      </c>
    </row>
    <row r="21" spans="1:12" x14ac:dyDescent="0.3">
      <c r="A21" s="68" t="s">
        <v>29</v>
      </c>
      <c r="B21" s="69">
        <v>2</v>
      </c>
      <c r="C21" s="69">
        <v>0.94083857500000001</v>
      </c>
      <c r="D21" s="69">
        <v>0.60794150000000013</v>
      </c>
      <c r="E21" s="69">
        <v>0.20178942600000002</v>
      </c>
      <c r="F21" s="69">
        <v>-1.06562632</v>
      </c>
      <c r="G21" s="69">
        <v>-0.5903721959999999</v>
      </c>
      <c r="H21" s="69">
        <v>-0.85490257000000003</v>
      </c>
      <c r="I21" s="69">
        <v>-0.80178299499999994</v>
      </c>
      <c r="J21" s="69">
        <v>-0.93647478499999992</v>
      </c>
      <c r="K21" s="69">
        <v>-0.74836422300000005</v>
      </c>
      <c r="L21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5.590336256214683</v>
      </c>
    </row>
    <row r="22" spans="1:12" x14ac:dyDescent="0.3">
      <c r="A22" s="68" t="s">
        <v>30</v>
      </c>
      <c r="B22" s="69">
        <v>4</v>
      </c>
      <c r="C22" s="69">
        <v>1.22102851</v>
      </c>
      <c r="D22" s="69">
        <v>-0.77597702300000004</v>
      </c>
      <c r="E22" s="69">
        <v>-0.76107067100000003</v>
      </c>
      <c r="F22" s="69">
        <v>-0.16066322599999999</v>
      </c>
      <c r="G22" s="69">
        <v>5.8530765000000005E-2</v>
      </c>
      <c r="H22" s="69">
        <v>0.32869655500000006</v>
      </c>
      <c r="I22" s="69">
        <v>-6.5466078400000004E-3</v>
      </c>
      <c r="J22" s="69">
        <v>0.14259081100000001</v>
      </c>
      <c r="K22" s="69">
        <v>7.3041432099999999E-4</v>
      </c>
      <c r="L22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2.8299350073020251</v>
      </c>
    </row>
    <row r="23" spans="1:12" x14ac:dyDescent="0.3">
      <c r="A23" s="68" t="s">
        <v>31</v>
      </c>
      <c r="B23" s="69">
        <v>6</v>
      </c>
      <c r="C23" s="69">
        <v>-0.62439916900000003</v>
      </c>
      <c r="D23" s="69">
        <v>-0.56420301400000006</v>
      </c>
      <c r="E23" s="69">
        <v>-0.38504044900000006</v>
      </c>
      <c r="F23" s="69">
        <v>-0.12648505000000002</v>
      </c>
      <c r="G23" s="69">
        <v>-0.28072970400000002</v>
      </c>
      <c r="H23" s="69">
        <v>-0.79368192500000001</v>
      </c>
      <c r="I23" s="69">
        <v>-0.64246702499999997</v>
      </c>
      <c r="J23" s="69">
        <v>1.9122583899999999</v>
      </c>
      <c r="K23" s="69">
        <v>-0.70479928100000011</v>
      </c>
      <c r="L23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6.1474321984161113</v>
      </c>
    </row>
    <row r="24" spans="1:12" x14ac:dyDescent="0.3">
      <c r="A24" s="68" t="s">
        <v>32</v>
      </c>
      <c r="B24" s="69">
        <v>5</v>
      </c>
      <c r="C24" s="69">
        <v>-0.95860162000000015</v>
      </c>
      <c r="D24" s="69">
        <v>-0.77105204699999996</v>
      </c>
      <c r="E24" s="69">
        <v>6.2179609000000011E-2</v>
      </c>
      <c r="F24" s="69">
        <v>-0.46777220400000002</v>
      </c>
      <c r="G24" s="69">
        <v>-0.53786759899999992</v>
      </c>
      <c r="H24" s="69">
        <v>-0.83449568800000007</v>
      </c>
      <c r="I24" s="69">
        <v>-0.66205450700000013</v>
      </c>
      <c r="J24" s="69">
        <v>-0.15954755600000003</v>
      </c>
      <c r="K24" s="69">
        <v>-0.65719118800000009</v>
      </c>
      <c r="L24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3.6174719224220953</v>
      </c>
    </row>
    <row r="25" spans="1:12" x14ac:dyDescent="0.3">
      <c r="A25" s="68" t="s">
        <v>33</v>
      </c>
      <c r="B25" s="69">
        <v>4</v>
      </c>
      <c r="C25" s="69">
        <v>1.40444602</v>
      </c>
      <c r="D25" s="69">
        <v>0.55869173100000014</v>
      </c>
      <c r="E25" s="69">
        <v>-0.70671943500000012</v>
      </c>
      <c r="F25" s="69">
        <v>-0.26184054500000004</v>
      </c>
      <c r="G25" s="69">
        <v>2.4798004200000001</v>
      </c>
      <c r="H25" s="69">
        <v>1.2470062200000001</v>
      </c>
      <c r="I25" s="69">
        <v>-0.37069152500000002</v>
      </c>
      <c r="J25" s="69">
        <v>1.3102939400000001E-2</v>
      </c>
      <c r="K25" s="69">
        <v>2.0049199299999998</v>
      </c>
      <c r="L25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14.714340358478019</v>
      </c>
    </row>
    <row r="26" spans="1:12" x14ac:dyDescent="0.3">
      <c r="A26" s="68" t="s">
        <v>34</v>
      </c>
      <c r="B26" s="69">
        <v>5</v>
      </c>
      <c r="C26" s="69">
        <v>-0.71329477000000008</v>
      </c>
      <c r="D26" s="69">
        <v>0.10066887400000001</v>
      </c>
      <c r="E26" s="69">
        <v>-0.53842848600000004</v>
      </c>
      <c r="F26" s="69">
        <v>0.42883352900000005</v>
      </c>
      <c r="G26" s="69">
        <v>0.33990155100000008</v>
      </c>
      <c r="H26" s="69">
        <v>-0.34473053300000001</v>
      </c>
      <c r="I26" s="69">
        <v>0.56073948000000007</v>
      </c>
      <c r="J26" s="69">
        <v>-0.31061673900000009</v>
      </c>
      <c r="K26" s="69">
        <v>1.1717277699999999</v>
      </c>
      <c r="L26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3.0109567762014819</v>
      </c>
    </row>
    <row r="27" spans="1:12" x14ac:dyDescent="0.3">
      <c r="A27" s="68" t="s">
        <v>35</v>
      </c>
      <c r="B27" s="69">
        <v>5</v>
      </c>
      <c r="C27" s="69">
        <v>-0.77180833100000001</v>
      </c>
      <c r="D27" s="69">
        <v>-1.00745094</v>
      </c>
      <c r="E27" s="69">
        <v>-0.56855580100000003</v>
      </c>
      <c r="F27" s="69">
        <v>-0.193450816</v>
      </c>
      <c r="G27" s="69">
        <v>-0.43420467800000007</v>
      </c>
      <c r="H27" s="69">
        <v>-3.8627311300000002E-2</v>
      </c>
      <c r="I27" s="69">
        <v>-0.644114509</v>
      </c>
      <c r="J27" s="69">
        <v>-0.76382428899999999</v>
      </c>
      <c r="K27" s="69">
        <v>-0.63202257900000003</v>
      </c>
      <c r="L27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3.5591137714218437</v>
      </c>
    </row>
    <row r="28" spans="1:12" x14ac:dyDescent="0.3">
      <c r="A28" s="68" t="s">
        <v>36</v>
      </c>
      <c r="B28" s="69">
        <v>5</v>
      </c>
      <c r="C28" s="69">
        <v>-0.28344515300000001</v>
      </c>
      <c r="D28" s="69">
        <v>-0.44107859100000008</v>
      </c>
      <c r="E28" s="69">
        <v>-0.50203169800000003</v>
      </c>
      <c r="F28" s="69">
        <v>-0.459995178</v>
      </c>
      <c r="G28" s="69">
        <v>-0.32986862100000014</v>
      </c>
      <c r="H28" s="69">
        <v>-0.48757870300000011</v>
      </c>
      <c r="I28" s="69">
        <v>-0.40724223599999998</v>
      </c>
      <c r="J28" s="69">
        <v>0.57421704899999992</v>
      </c>
      <c r="K28" s="69">
        <v>-0.20021414600000004</v>
      </c>
      <c r="L28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1.620726329203181</v>
      </c>
    </row>
    <row r="29" spans="1:12" x14ac:dyDescent="0.3">
      <c r="A29" s="68" t="s">
        <v>37</v>
      </c>
      <c r="B29" s="69">
        <v>5</v>
      </c>
      <c r="C29" s="69">
        <v>0.301690452</v>
      </c>
      <c r="D29" s="69">
        <v>1.996785</v>
      </c>
      <c r="E29" s="69">
        <v>-0.64474922700000026</v>
      </c>
      <c r="F29" s="69">
        <v>0.56278830899999999</v>
      </c>
      <c r="G29" s="69">
        <v>-0.25649681400000002</v>
      </c>
      <c r="H29" s="69">
        <v>-3.8627311300000002E-2</v>
      </c>
      <c r="I29" s="69">
        <v>0.193809549</v>
      </c>
      <c r="J29" s="69">
        <v>1.13533116</v>
      </c>
      <c r="K29" s="69">
        <v>0.45224920299999999</v>
      </c>
      <c r="L29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6.4089507208204113</v>
      </c>
    </row>
    <row r="30" spans="1:12" x14ac:dyDescent="0.3">
      <c r="A30" s="68" t="s">
        <v>38</v>
      </c>
      <c r="B30" s="69">
        <v>2</v>
      </c>
      <c r="C30" s="69">
        <v>0.189164374</v>
      </c>
      <c r="D30" s="69">
        <v>-0.12588006599999998</v>
      </c>
      <c r="E30" s="69">
        <v>1.7265125599999998</v>
      </c>
      <c r="F30" s="69">
        <v>-0.51090440400000003</v>
      </c>
      <c r="G30" s="69">
        <v>-0.43824349300000004</v>
      </c>
      <c r="H30" s="69">
        <v>-0.18147548200000002</v>
      </c>
      <c r="I30" s="69">
        <v>-0.40830447200000008</v>
      </c>
      <c r="J30" s="69">
        <v>-0.89331216099999977</v>
      </c>
      <c r="K30" s="69">
        <v>-0.41247952700000007</v>
      </c>
      <c r="L30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4.6533471102074229</v>
      </c>
    </row>
    <row r="31" spans="1:12" x14ac:dyDescent="0.3">
      <c r="A31" s="68" t="s">
        <v>39</v>
      </c>
      <c r="B31" s="69">
        <v>1</v>
      </c>
      <c r="C31" s="69">
        <v>-1.62138022</v>
      </c>
      <c r="D31" s="69">
        <v>-1.25862476</v>
      </c>
      <c r="E31" s="69">
        <v>0.48395994600000003</v>
      </c>
      <c r="F31" s="69">
        <v>2.2071345500000001</v>
      </c>
      <c r="G31" s="69">
        <v>-0.76404124600000012</v>
      </c>
      <c r="H31" s="69">
        <v>-0.65083375500000007</v>
      </c>
      <c r="I31" s="69">
        <v>2.9261652100000002</v>
      </c>
      <c r="J31" s="69">
        <v>-1.1522879000000001</v>
      </c>
      <c r="K31" s="69">
        <v>-0.72147727500000003</v>
      </c>
      <c r="L31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20.736753558040665</v>
      </c>
    </row>
    <row r="32" spans="1:12" x14ac:dyDescent="0.3">
      <c r="A32" s="68" t="s">
        <v>40</v>
      </c>
      <c r="B32" s="69">
        <v>3</v>
      </c>
      <c r="C32" s="69">
        <v>0.28368628000000007</v>
      </c>
      <c r="D32" s="69">
        <v>0.80494057800000007</v>
      </c>
      <c r="E32" s="69">
        <v>-0.75382880100000016</v>
      </c>
      <c r="F32" s="69">
        <v>1.1635767800000001</v>
      </c>
      <c r="G32" s="69">
        <v>1.8638811200000001</v>
      </c>
      <c r="H32" s="69">
        <v>3.1448461999999999</v>
      </c>
      <c r="I32" s="69">
        <v>0.726178981</v>
      </c>
      <c r="J32" s="69">
        <v>-1.10912528</v>
      </c>
      <c r="K32" s="69">
        <v>6.3217913000000001</v>
      </c>
      <c r="L32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57.73722651287396</v>
      </c>
    </row>
    <row r="33" spans="1:12" x14ac:dyDescent="0.3">
      <c r="A33" s="68" t="s">
        <v>41</v>
      </c>
      <c r="B33" s="69">
        <v>1</v>
      </c>
      <c r="C33" s="69">
        <v>-1.5639919200000001</v>
      </c>
      <c r="D33" s="69">
        <v>-1.1256503900000001</v>
      </c>
      <c r="E33" s="69">
        <v>0.21073606300000003</v>
      </c>
      <c r="F33" s="69">
        <v>1.29612097</v>
      </c>
      <c r="G33" s="69">
        <v>-0.56479303300000017</v>
      </c>
      <c r="H33" s="69">
        <v>-0.67124063700000025</v>
      </c>
      <c r="I33" s="69">
        <v>1.3162123999999999</v>
      </c>
      <c r="J33" s="69">
        <v>-1.1522879000000001</v>
      </c>
      <c r="K33" s="69">
        <v>-0.571072091</v>
      </c>
      <c r="L33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9.5933597672327089</v>
      </c>
    </row>
    <row r="34" spans="1:12" x14ac:dyDescent="0.3">
      <c r="A34" s="68" t="s">
        <v>42</v>
      </c>
      <c r="B34" s="69">
        <v>4</v>
      </c>
      <c r="C34" s="69">
        <v>0.32307040700000011</v>
      </c>
      <c r="D34" s="69">
        <v>-0.59375287600000004</v>
      </c>
      <c r="E34" s="69">
        <v>-0.69147659899999991</v>
      </c>
      <c r="F34" s="69">
        <v>-0.28282996700000013</v>
      </c>
      <c r="G34" s="69">
        <v>0.88110277599999998</v>
      </c>
      <c r="H34" s="69">
        <v>2.1864515800000001E-3</v>
      </c>
      <c r="I34" s="69">
        <v>-0.36056934600000001</v>
      </c>
      <c r="J34" s="69">
        <v>-1.0443813399999999</v>
      </c>
      <c r="K34" s="69">
        <v>2.9133543899999999E-2</v>
      </c>
      <c r="L34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3.0129879258665668</v>
      </c>
    </row>
    <row r="35" spans="1:12" x14ac:dyDescent="0.3">
      <c r="A35" s="68" t="s">
        <v>43</v>
      </c>
      <c r="B35" s="69">
        <v>6</v>
      </c>
      <c r="C35" s="69">
        <v>-0.5625098260000001</v>
      </c>
      <c r="D35" s="69">
        <v>0.115443805</v>
      </c>
      <c r="E35" s="69">
        <v>0.74399524900000014</v>
      </c>
      <c r="F35" s="69">
        <v>-0.25529812299999999</v>
      </c>
      <c r="G35" s="69">
        <v>-0.49478690500000005</v>
      </c>
      <c r="H35" s="69">
        <v>-0.18147548200000002</v>
      </c>
      <c r="I35" s="69">
        <v>-0.44306932300000001</v>
      </c>
      <c r="J35" s="69">
        <v>-7.3222308300000011E-2</v>
      </c>
      <c r="K35" s="69">
        <v>-0.51871329700000002</v>
      </c>
      <c r="L35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1.6969334866592516</v>
      </c>
    </row>
    <row r="36" spans="1:12" x14ac:dyDescent="0.3">
      <c r="A36" s="68" t="s">
        <v>44</v>
      </c>
      <c r="B36" s="69">
        <v>5</v>
      </c>
      <c r="C36" s="69">
        <v>-0.99573522600000008</v>
      </c>
      <c r="D36" s="69">
        <v>-0.74642716200000003</v>
      </c>
      <c r="E36" s="69">
        <v>-0.127952963</v>
      </c>
      <c r="F36" s="69">
        <v>0.48232877100000016</v>
      </c>
      <c r="G36" s="69">
        <v>0.63204251000000011</v>
      </c>
      <c r="H36" s="69">
        <v>-0.48757870300000011</v>
      </c>
      <c r="I36" s="69">
        <v>-0.10258623700000001</v>
      </c>
      <c r="J36" s="69">
        <v>-7.3222308300000011E-2</v>
      </c>
      <c r="K36" s="69">
        <v>1.04982679</v>
      </c>
      <c r="L36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3.5528876107720562</v>
      </c>
    </row>
    <row r="37" spans="1:12" x14ac:dyDescent="0.3">
      <c r="A37" s="68" t="s">
        <v>45</v>
      </c>
      <c r="B37" s="69">
        <v>5</v>
      </c>
      <c r="C37" s="69">
        <v>-1.6146286500000002</v>
      </c>
      <c r="D37" s="69">
        <v>2.1693350899999997E-3</v>
      </c>
      <c r="E37" s="69">
        <v>-0.70777802400000012</v>
      </c>
      <c r="F37" s="69">
        <v>-0.136713524</v>
      </c>
      <c r="G37" s="69">
        <v>0.20729378800000003</v>
      </c>
      <c r="H37" s="69">
        <v>-0.16106860000000001</v>
      </c>
      <c r="I37" s="69">
        <v>-0.38535324100000007</v>
      </c>
      <c r="J37" s="69">
        <v>-9.4803620200000008E-2</v>
      </c>
      <c r="K37" s="69">
        <v>-0.27935881000000007</v>
      </c>
      <c r="L37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3.4311107031087715</v>
      </c>
    </row>
    <row r="38" spans="1:12" x14ac:dyDescent="0.3">
      <c r="A38" s="68" t="s">
        <v>46</v>
      </c>
      <c r="B38" s="69">
        <v>5</v>
      </c>
      <c r="C38" s="69">
        <v>-0.31945349800000006</v>
      </c>
      <c r="D38" s="69">
        <v>0.43064233000000002</v>
      </c>
      <c r="E38" s="69">
        <v>0.17363694300000002</v>
      </c>
      <c r="F38" s="69">
        <v>0.10189661100000001</v>
      </c>
      <c r="G38" s="69">
        <v>-5.5229193900000001E-2</v>
      </c>
      <c r="H38" s="69">
        <v>0.3899171990000001</v>
      </c>
      <c r="I38" s="69">
        <v>-0.507884483</v>
      </c>
      <c r="J38" s="69">
        <v>9.9428187000000001E-2</v>
      </c>
      <c r="K38" s="69">
        <v>0.12495620200000002</v>
      </c>
      <c r="L38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0.76656841167199696</v>
      </c>
    </row>
    <row r="39" spans="1:12" x14ac:dyDescent="0.3">
      <c r="A39" s="68" t="s">
        <v>47</v>
      </c>
      <c r="B39" s="69">
        <v>2</v>
      </c>
      <c r="C39" s="69">
        <v>0.3714566210000001</v>
      </c>
      <c r="D39" s="69">
        <v>0.25334316000000001</v>
      </c>
      <c r="E39" s="69">
        <v>-0.24591907000000005</v>
      </c>
      <c r="F39" s="69">
        <v>-0.31639823200000006</v>
      </c>
      <c r="G39" s="69">
        <v>-0.47324655799999998</v>
      </c>
      <c r="H39" s="69">
        <v>-0.73246128099999996</v>
      </c>
      <c r="I39" s="69">
        <v>-0.6530271230000001</v>
      </c>
      <c r="J39" s="69">
        <v>-0.245872804</v>
      </c>
      <c r="K39" s="69">
        <v>-0.61766939600000015</v>
      </c>
      <c r="L39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1.9916219830033439</v>
      </c>
    </row>
    <row r="40" spans="1:12" x14ac:dyDescent="0.3">
      <c r="A40" s="68" t="s">
        <v>48</v>
      </c>
      <c r="B40" s="69">
        <v>2</v>
      </c>
      <c r="C40" s="69">
        <v>0.99147531</v>
      </c>
      <c r="D40" s="69">
        <v>3.1719196800000002E-2</v>
      </c>
      <c r="E40" s="69">
        <v>-0.52524393899999999</v>
      </c>
      <c r="F40" s="69">
        <v>-0.44642184000000001</v>
      </c>
      <c r="G40" s="69">
        <v>-0.39852847800000007</v>
      </c>
      <c r="H40" s="69">
        <v>-0.32432365200000007</v>
      </c>
      <c r="I40" s="69">
        <v>-0.60986449800000009</v>
      </c>
      <c r="J40" s="69">
        <v>-0.26745411500000005</v>
      </c>
      <c r="K40" s="69">
        <v>-0.47019549500000002</v>
      </c>
      <c r="L40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2.3877640443914889</v>
      </c>
    </row>
    <row r="41" spans="1:12" x14ac:dyDescent="0.3">
      <c r="A41" s="68" t="s">
        <v>49</v>
      </c>
      <c r="B41" s="69">
        <v>5</v>
      </c>
      <c r="C41" s="69">
        <v>-0.6401528190000001</v>
      </c>
      <c r="D41" s="69">
        <v>0.499592007</v>
      </c>
      <c r="E41" s="69">
        <v>-0.65771264000000007</v>
      </c>
      <c r="F41" s="69">
        <v>0.20246502200000002</v>
      </c>
      <c r="G41" s="69">
        <v>0.3796165660000001</v>
      </c>
      <c r="H41" s="69">
        <v>0.736834184</v>
      </c>
      <c r="I41" s="69">
        <v>-0.16444015800000003</v>
      </c>
      <c r="J41" s="69">
        <v>-9.4803620200000008E-2</v>
      </c>
      <c r="K41" s="69">
        <v>-0.37194694800000005</v>
      </c>
      <c r="L41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1.9943719831572881</v>
      </c>
    </row>
    <row r="42" spans="1:12" x14ac:dyDescent="0.3">
      <c r="A42" s="68" t="s">
        <v>50</v>
      </c>
      <c r="B42" s="69">
        <v>4</v>
      </c>
      <c r="C42" s="69">
        <v>0.27243367200000002</v>
      </c>
      <c r="D42" s="69">
        <v>-0.92372633200000009</v>
      </c>
      <c r="E42" s="69">
        <v>-0.60840497999999998</v>
      </c>
      <c r="F42" s="69">
        <v>0.26535322100000003</v>
      </c>
      <c r="G42" s="69">
        <v>0.15613546300000003</v>
      </c>
      <c r="H42" s="69">
        <v>1.9204333099999999</v>
      </c>
      <c r="I42" s="69">
        <v>0.31897725500000007</v>
      </c>
      <c r="J42" s="69">
        <v>-0.20271018000000005</v>
      </c>
      <c r="K42" s="69">
        <v>1.24555497E-2</v>
      </c>
      <c r="L42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5.2234948213846142</v>
      </c>
    </row>
    <row r="43" spans="1:12" x14ac:dyDescent="0.3">
      <c r="A43" s="68" t="s">
        <v>51</v>
      </c>
      <c r="B43" s="69">
        <v>6</v>
      </c>
      <c r="C43" s="69">
        <v>0.25893054300000001</v>
      </c>
      <c r="D43" s="69">
        <v>-0.50017831400000001</v>
      </c>
      <c r="E43" s="69">
        <v>1.2297753300000001</v>
      </c>
      <c r="F43" s="69">
        <v>-0.44170611900000001</v>
      </c>
      <c r="G43" s="69">
        <v>-0.63951111300000008</v>
      </c>
      <c r="H43" s="69">
        <v>-0.52839246600000001</v>
      </c>
      <c r="I43" s="69">
        <v>-0.67484489500000022</v>
      </c>
      <c r="J43" s="69">
        <v>0.29365999400000004</v>
      </c>
      <c r="K43" s="69">
        <v>-0.40166410100000005</v>
      </c>
      <c r="L43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3.4158339659757897</v>
      </c>
    </row>
    <row r="44" spans="1:12" x14ac:dyDescent="0.3">
      <c r="A44" s="68" t="s">
        <v>52</v>
      </c>
      <c r="B44" s="69">
        <v>2</v>
      </c>
      <c r="C44" s="69">
        <v>0.91270705500000004</v>
      </c>
      <c r="D44" s="69">
        <v>1.2629634300000001</v>
      </c>
      <c r="E44" s="69">
        <v>1.4361019800000001</v>
      </c>
      <c r="F44" s="69">
        <v>-0.69654602600000004</v>
      </c>
      <c r="G44" s="69">
        <v>-0.61931703700000007</v>
      </c>
      <c r="H44" s="69">
        <v>-0.65083375500000007</v>
      </c>
      <c r="I44" s="69">
        <v>-0.63058665999999997</v>
      </c>
      <c r="J44" s="69">
        <v>-0.37536067500000014</v>
      </c>
      <c r="K44" s="69">
        <v>-0.27784262900000006</v>
      </c>
      <c r="L44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6.3985459239942539</v>
      </c>
    </row>
    <row r="45" spans="1:12" x14ac:dyDescent="0.3">
      <c r="A45" s="68" t="s">
        <v>53</v>
      </c>
      <c r="B45" s="69">
        <v>6</v>
      </c>
      <c r="C45" s="69">
        <v>-1.1566475199999999</v>
      </c>
      <c r="D45" s="69">
        <v>0.73599090100000009</v>
      </c>
      <c r="E45" s="69">
        <v>5.3581182199999997</v>
      </c>
      <c r="F45" s="69">
        <v>-0.5110294070000001</v>
      </c>
      <c r="G45" s="69">
        <v>-0.63479916200000019</v>
      </c>
      <c r="H45" s="69">
        <v>0.45113784399999995</v>
      </c>
      <c r="I45" s="69">
        <v>-0.48073680600000002</v>
      </c>
      <c r="J45" s="69">
        <v>1.97700232</v>
      </c>
      <c r="K45" s="69">
        <v>-0.78525796799999992</v>
      </c>
      <c r="L45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36.212869462138691</v>
      </c>
    </row>
    <row r="46" spans="1:12" x14ac:dyDescent="0.3">
      <c r="A46" s="68" t="s">
        <v>54</v>
      </c>
      <c r="B46" s="69">
        <v>4</v>
      </c>
      <c r="C46" s="69">
        <v>1.3774397600000001</v>
      </c>
      <c r="D46" s="69">
        <v>0.28289302100000002</v>
      </c>
      <c r="E46" s="69">
        <v>-0.690151124</v>
      </c>
      <c r="F46" s="69">
        <v>6.3189663099999988E-2</v>
      </c>
      <c r="G46" s="69">
        <v>0.85081166200000014</v>
      </c>
      <c r="H46" s="69">
        <v>-0.18147548200000002</v>
      </c>
      <c r="I46" s="69">
        <v>-0.33686437400000013</v>
      </c>
      <c r="J46" s="69">
        <v>-0.39694198700000005</v>
      </c>
      <c r="K46" s="69">
        <v>0.42596872800000007</v>
      </c>
      <c r="L46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3.6669740004017966</v>
      </c>
    </row>
    <row r="47" spans="1:12" x14ac:dyDescent="0.3">
      <c r="A47" s="68" t="s">
        <v>55</v>
      </c>
      <c r="B47" s="69">
        <v>6</v>
      </c>
      <c r="C47" s="69">
        <v>-0.50512152600000004</v>
      </c>
      <c r="D47" s="69">
        <v>0.19424343600000005</v>
      </c>
      <c r="E47" s="69">
        <v>-0.41641013600000004</v>
      </c>
      <c r="F47" s="69">
        <v>-0.30599285500000006</v>
      </c>
      <c r="G47" s="69">
        <v>-0.26524757999999998</v>
      </c>
      <c r="H47" s="69">
        <v>-0.63042687400000008</v>
      </c>
      <c r="I47" s="69">
        <v>-0.18733441100000001</v>
      </c>
      <c r="J47" s="69">
        <v>1.35114428</v>
      </c>
      <c r="K47" s="69">
        <v>-0.60877446600000018</v>
      </c>
      <c r="L47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3.2589930167475312</v>
      </c>
    </row>
    <row r="48" spans="1:12" x14ac:dyDescent="0.3">
      <c r="A48" s="68" t="s">
        <v>56</v>
      </c>
      <c r="B48" s="69">
        <v>2</v>
      </c>
      <c r="C48" s="69">
        <v>1.5642330499999999</v>
      </c>
      <c r="D48" s="69">
        <v>1.54368712</v>
      </c>
      <c r="E48" s="69">
        <v>-0.31104988000000006</v>
      </c>
      <c r="F48" s="69">
        <v>-2.0733667900000001</v>
      </c>
      <c r="G48" s="69">
        <v>0.64752463500000013</v>
      </c>
      <c r="H48" s="69">
        <v>-0.36513741500000002</v>
      </c>
      <c r="I48" s="69">
        <v>-0.79923932499999994</v>
      </c>
      <c r="J48" s="69">
        <v>0.315241306</v>
      </c>
      <c r="K48" s="69">
        <v>-0.50334932600000004</v>
      </c>
      <c r="L48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10.769531440549327</v>
      </c>
    </row>
    <row r="49" spans="1:12" x14ac:dyDescent="0.3">
      <c r="A49" s="68" t="s">
        <v>57</v>
      </c>
      <c r="B49" s="69">
        <v>6</v>
      </c>
      <c r="C49" s="69">
        <v>1.0634920000000001</v>
      </c>
      <c r="D49" s="69">
        <v>4.7301472100000002</v>
      </c>
      <c r="E49" s="69">
        <v>0.27651410200000004</v>
      </c>
      <c r="F49" s="69">
        <v>-2.2608627800000001</v>
      </c>
      <c r="G49" s="69">
        <v>-0.7142291930000001</v>
      </c>
      <c r="H49" s="69">
        <v>-0.69164751800000013</v>
      </c>
      <c r="I49" s="69">
        <v>-0.8456277310000001</v>
      </c>
      <c r="J49" s="69">
        <v>3.46611285</v>
      </c>
      <c r="K49" s="69">
        <v>-0.77969863700000019</v>
      </c>
      <c r="L49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43.01872256053889</v>
      </c>
    </row>
    <row r="50" spans="1:12" x14ac:dyDescent="0.3">
      <c r="A50" s="68" t="s">
        <v>58</v>
      </c>
      <c r="B50" s="69">
        <v>6</v>
      </c>
      <c r="C50" s="69">
        <v>0.85081771200000011</v>
      </c>
      <c r="D50" s="69">
        <v>0.16961855100000001</v>
      </c>
      <c r="E50" s="69">
        <v>0.72864012300000014</v>
      </c>
      <c r="F50" s="69">
        <v>0.31741530800000006</v>
      </c>
      <c r="G50" s="69">
        <v>-0.74452030600000008</v>
      </c>
      <c r="H50" s="69">
        <v>-0.65083375500000007</v>
      </c>
      <c r="I50" s="69">
        <v>-0.75104593100000017</v>
      </c>
      <c r="J50" s="69">
        <v>2.0201649499999998</v>
      </c>
      <c r="K50" s="69">
        <v>-0.82579054800000007</v>
      </c>
      <c r="L50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7.6892916452750359</v>
      </c>
    </row>
    <row r="51" spans="1:12" x14ac:dyDescent="0.3">
      <c r="A51" s="68" t="s">
        <v>59</v>
      </c>
      <c r="B51" s="69">
        <v>6</v>
      </c>
      <c r="C51" s="69">
        <v>-0.67278538200000015</v>
      </c>
      <c r="D51" s="69">
        <v>0.43064233000000002</v>
      </c>
      <c r="E51" s="69">
        <v>1.1322965899999999</v>
      </c>
      <c r="F51" s="69">
        <v>0.75492571000000019</v>
      </c>
      <c r="G51" s="69">
        <v>-0.54729150100000001</v>
      </c>
      <c r="H51" s="69">
        <v>-0.36513741500000002</v>
      </c>
      <c r="I51" s="69">
        <v>3.7045388799999995E-2</v>
      </c>
      <c r="J51" s="69">
        <v>0.25049737</v>
      </c>
      <c r="K51" s="69">
        <v>-0.6613354170000002</v>
      </c>
      <c r="L51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3.4244405279217389</v>
      </c>
    </row>
    <row r="52" spans="1:12" x14ac:dyDescent="0.3">
      <c r="A52" s="68" t="s">
        <v>60</v>
      </c>
      <c r="B52" s="69">
        <v>5</v>
      </c>
      <c r="C52" s="69">
        <v>-1.2781756799999999</v>
      </c>
      <c r="D52" s="69">
        <v>-0.60360283000000015</v>
      </c>
      <c r="E52" s="69">
        <v>6.0971623600000004E-2</v>
      </c>
      <c r="F52" s="69">
        <v>1.2796273199999999</v>
      </c>
      <c r="G52" s="69">
        <v>-0.4045867010000001</v>
      </c>
      <c r="H52" s="69">
        <v>-0.16106860000000001</v>
      </c>
      <c r="I52" s="69">
        <v>0.54580711800000004</v>
      </c>
      <c r="J52" s="69">
        <v>0.444729178</v>
      </c>
      <c r="K52" s="69">
        <v>-0.55621351399999996</v>
      </c>
      <c r="L52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4.6339294804038156</v>
      </c>
    </row>
    <row r="53" spans="1:12" x14ac:dyDescent="0.3">
      <c r="A53" s="68" t="s">
        <v>61</v>
      </c>
      <c r="B53" s="69">
        <v>2</v>
      </c>
      <c r="C53" s="69">
        <v>1.5338510100000002</v>
      </c>
      <c r="D53" s="69">
        <v>-0.22930458200000001</v>
      </c>
      <c r="E53" s="69">
        <v>-2.4512955800000003E-2</v>
      </c>
      <c r="F53" s="69">
        <v>-1.9659731499999999</v>
      </c>
      <c r="G53" s="69">
        <v>-0.17370110400000002</v>
      </c>
      <c r="H53" s="69">
        <v>0.16544150300000002</v>
      </c>
      <c r="I53" s="69">
        <v>-0.51532624499999991</v>
      </c>
      <c r="J53" s="69">
        <v>0.63896098499999998</v>
      </c>
      <c r="K53" s="69">
        <v>0.57273507700000015</v>
      </c>
      <c r="L53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7.3303315349595479</v>
      </c>
    </row>
    <row r="54" spans="1:12" x14ac:dyDescent="0.3">
      <c r="A54" s="68" t="s">
        <v>62</v>
      </c>
      <c r="B54" s="69">
        <v>6</v>
      </c>
      <c r="C54" s="69">
        <v>-7.6397169299999998E-2</v>
      </c>
      <c r="D54" s="69">
        <v>-3.23055036E-2</v>
      </c>
      <c r="E54" s="69">
        <v>0.63645803000000012</v>
      </c>
      <c r="F54" s="69">
        <v>-0.52428023000000001</v>
      </c>
      <c r="G54" s="69">
        <v>-0.54998404499999998</v>
      </c>
      <c r="H54" s="69">
        <v>-0.81408880700000008</v>
      </c>
      <c r="I54" s="69">
        <v>-0.65165313400000013</v>
      </c>
      <c r="J54" s="69">
        <v>1.0058432900000001</v>
      </c>
      <c r="K54" s="69">
        <v>-0.60776367800000008</v>
      </c>
      <c r="L54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3.4578010114094644</v>
      </c>
    </row>
    <row r="55" spans="1:12" x14ac:dyDescent="0.3">
      <c r="A55" s="68" t="s">
        <v>63</v>
      </c>
      <c r="B55" s="69">
        <v>2</v>
      </c>
      <c r="C55" s="69">
        <v>1.03085944</v>
      </c>
      <c r="D55" s="69">
        <v>0.16961855100000001</v>
      </c>
      <c r="E55" s="69">
        <v>-0.14018981799999999</v>
      </c>
      <c r="F55" s="69">
        <v>-0.57951306599999997</v>
      </c>
      <c r="G55" s="69">
        <v>-0.28813419900000004</v>
      </c>
      <c r="H55" s="69">
        <v>2.1864515800000001E-3</v>
      </c>
      <c r="I55" s="69">
        <v>-0.68879397600000014</v>
      </c>
      <c r="J55" s="69">
        <v>0.70370492100000004</v>
      </c>
      <c r="K55" s="69">
        <v>-0.42026259100000007</v>
      </c>
      <c r="L55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2.6762147158584377</v>
      </c>
    </row>
    <row r="56" spans="1:12" x14ac:dyDescent="0.3">
      <c r="A56" s="68" t="s">
        <v>64</v>
      </c>
      <c r="B56" s="69">
        <v>1</v>
      </c>
      <c r="C56" s="69">
        <v>-2.03660145</v>
      </c>
      <c r="D56" s="69">
        <v>-0.24900449000000005</v>
      </c>
      <c r="E56" s="69">
        <v>0.31354269200000007</v>
      </c>
      <c r="F56" s="69">
        <v>1.7440124100000001</v>
      </c>
      <c r="G56" s="69">
        <v>-0.28140284000000004</v>
      </c>
      <c r="H56" s="69">
        <v>-0.22228924400000002</v>
      </c>
      <c r="I56" s="69">
        <v>1.6609961200000001</v>
      </c>
      <c r="J56" s="69">
        <v>0.66054229700000011</v>
      </c>
      <c r="K56" s="69">
        <v>0.85383508900000005</v>
      </c>
      <c r="L56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11.402495670871842</v>
      </c>
    </row>
    <row r="57" spans="1:12" x14ac:dyDescent="0.3">
      <c r="A57" s="68" t="s">
        <v>65</v>
      </c>
      <c r="B57" s="69">
        <v>2</v>
      </c>
      <c r="C57" s="69">
        <v>0.71916220099999995</v>
      </c>
      <c r="D57" s="69">
        <v>0.23364325200000002</v>
      </c>
      <c r="E57" s="69">
        <v>0.25552188200000003</v>
      </c>
      <c r="F57" s="69">
        <v>-0.86229009300000015</v>
      </c>
      <c r="G57" s="69">
        <v>-0.24976545500000005</v>
      </c>
      <c r="H57" s="69">
        <v>-0.67124063700000025</v>
      </c>
      <c r="I57" s="69">
        <v>-0.77860263000000007</v>
      </c>
      <c r="J57" s="69">
        <v>3.4684251299999996E-2</v>
      </c>
      <c r="K57" s="69">
        <v>-0.7448264670000001</v>
      </c>
      <c r="L57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3.0557573711288684</v>
      </c>
    </row>
    <row r="58" spans="1:12" x14ac:dyDescent="0.3">
      <c r="A58" s="68" t="s">
        <v>66</v>
      </c>
      <c r="B58" s="69">
        <v>4</v>
      </c>
      <c r="C58" s="69">
        <v>0.71691168000000005</v>
      </c>
      <c r="D58" s="69">
        <v>1.6668115500000003</v>
      </c>
      <c r="E58" s="69">
        <v>-0.62574745100000018</v>
      </c>
      <c r="F58" s="69">
        <v>0.10582420100000002</v>
      </c>
      <c r="G58" s="69">
        <v>1.0938137000000001</v>
      </c>
      <c r="H58" s="69">
        <v>4.5733278999999998</v>
      </c>
      <c r="I58" s="69">
        <v>-0.18025893800000001</v>
      </c>
      <c r="J58" s="69">
        <v>-1.51917021</v>
      </c>
      <c r="K58" s="69">
        <v>0.29759871200000004</v>
      </c>
      <c r="L58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28.235674628831138</v>
      </c>
    </row>
    <row r="59" spans="1:12" x14ac:dyDescent="0.3">
      <c r="A59" s="68" t="s">
        <v>67</v>
      </c>
      <c r="B59" s="69">
        <v>6</v>
      </c>
      <c r="C59" s="69">
        <v>2.2900262499999999</v>
      </c>
      <c r="D59" s="69">
        <v>-1.64769794</v>
      </c>
      <c r="E59" s="69">
        <v>0.33908836400000014</v>
      </c>
      <c r="F59" s="69">
        <v>-3.8153166000000009E-2</v>
      </c>
      <c r="G59" s="69">
        <v>-0.72365309400000011</v>
      </c>
      <c r="H59" s="69">
        <v>-0.712054399</v>
      </c>
      <c r="I59" s="69">
        <v>-0.11980098299999999</v>
      </c>
      <c r="J59" s="69">
        <v>3.2287184099999999</v>
      </c>
      <c r="K59" s="69">
        <v>-0.78586444099999997</v>
      </c>
      <c r="L59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20.162818342701694</v>
      </c>
    </row>
    <row r="60" spans="1:12" x14ac:dyDescent="0.3">
      <c r="A60" s="68" t="s">
        <v>68</v>
      </c>
      <c r="B60" s="69">
        <v>6</v>
      </c>
      <c r="C60" s="69">
        <v>-0.778559895</v>
      </c>
      <c r="D60" s="69">
        <v>0.86896527900000009</v>
      </c>
      <c r="E60" s="69">
        <v>1.9098010400000001</v>
      </c>
      <c r="F60" s="69">
        <v>-0.24756474800000003</v>
      </c>
      <c r="G60" s="69">
        <v>-0.62470212400000003</v>
      </c>
      <c r="H60" s="69">
        <v>-0.81408880700000008</v>
      </c>
      <c r="I60" s="69">
        <v>-6.8238141200000019E-2</v>
      </c>
      <c r="J60" s="69">
        <v>1.0058432900000001</v>
      </c>
      <c r="K60" s="69">
        <v>-0.72390316499999996</v>
      </c>
      <c r="L60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7.6632907726185033</v>
      </c>
    </row>
    <row r="61" spans="1:12" x14ac:dyDescent="0.3">
      <c r="A61" s="68" t="s">
        <v>69</v>
      </c>
      <c r="B61" s="69">
        <v>4</v>
      </c>
      <c r="C61" s="69">
        <v>0.79905571700000011</v>
      </c>
      <c r="D61" s="69">
        <v>0.23364325200000002</v>
      </c>
      <c r="E61" s="69">
        <v>-0.560360411</v>
      </c>
      <c r="F61" s="69">
        <v>-0.34491609900000009</v>
      </c>
      <c r="G61" s="69">
        <v>1.42432341</v>
      </c>
      <c r="H61" s="69">
        <v>-0.24269612600000001</v>
      </c>
      <c r="I61" s="69">
        <v>-0.46394369800000002</v>
      </c>
      <c r="J61" s="69">
        <v>-0.26745411500000005</v>
      </c>
      <c r="K61" s="69">
        <v>1.86533017</v>
      </c>
      <c r="L61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6.9798808008691484</v>
      </c>
    </row>
    <row r="62" spans="1:12" x14ac:dyDescent="0.3">
      <c r="A62" s="68" t="s">
        <v>70</v>
      </c>
      <c r="B62" s="69">
        <v>2</v>
      </c>
      <c r="C62" s="69">
        <v>0.29943993100000005</v>
      </c>
      <c r="D62" s="69">
        <v>0.32721781400000005</v>
      </c>
      <c r="E62" s="69">
        <v>-0.49765760799999997</v>
      </c>
      <c r="F62" s="69">
        <v>-0.17999626800000004</v>
      </c>
      <c r="G62" s="69">
        <v>-0.30496259500000011</v>
      </c>
      <c r="H62" s="69">
        <v>-0.34473053300000001</v>
      </c>
      <c r="I62" s="69">
        <v>-0.40352603500000006</v>
      </c>
      <c r="J62" s="69">
        <v>-0.18112886799999997</v>
      </c>
      <c r="K62" s="69">
        <v>-0.35446032300000008</v>
      </c>
      <c r="L62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1.0099218943904942</v>
      </c>
    </row>
    <row r="63" spans="1:12" x14ac:dyDescent="0.3">
      <c r="A63" s="68" t="s">
        <v>71</v>
      </c>
      <c r="B63" s="69">
        <v>4</v>
      </c>
      <c r="C63" s="69">
        <v>0.46260274400000001</v>
      </c>
      <c r="D63" s="69">
        <v>0.59316656899999975</v>
      </c>
      <c r="E63" s="69">
        <v>-0.74158797899999995</v>
      </c>
      <c r="F63" s="69">
        <v>-0.19203514800000002</v>
      </c>
      <c r="G63" s="69">
        <v>1.5024071699999999</v>
      </c>
      <c r="H63" s="69">
        <v>-7.9441074200000017E-2</v>
      </c>
      <c r="I63" s="69">
        <v>-0.28405370900000004</v>
      </c>
      <c r="J63" s="69">
        <v>-0.33219805100000005</v>
      </c>
      <c r="K63" s="69">
        <v>0.508651148</v>
      </c>
      <c r="L63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3.8659843397925782</v>
      </c>
    </row>
    <row r="64" spans="1:12" x14ac:dyDescent="0.3">
      <c r="A64" s="68" t="s">
        <v>72</v>
      </c>
      <c r="B64" s="69">
        <v>4</v>
      </c>
      <c r="C64" s="69">
        <v>0.13740237900000002</v>
      </c>
      <c r="D64" s="69">
        <v>-0.21452965100000002</v>
      </c>
      <c r="E64" s="69">
        <v>-0.67967054300000018</v>
      </c>
      <c r="F64" s="69">
        <v>1.26829843</v>
      </c>
      <c r="G64" s="69">
        <v>1.2257483300000001</v>
      </c>
      <c r="H64" s="69">
        <v>0.59398601399999995</v>
      </c>
      <c r="I64" s="69">
        <v>1.3369683400000001</v>
      </c>
      <c r="J64" s="69">
        <v>-1.7781459500000001</v>
      </c>
      <c r="K64" s="69">
        <v>1.6256724500000002</v>
      </c>
      <c r="L64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11.582811969331724</v>
      </c>
    </row>
    <row r="65" spans="1:12" x14ac:dyDescent="0.3">
      <c r="A65" s="68" t="s">
        <v>73</v>
      </c>
      <c r="B65" s="69">
        <v>4</v>
      </c>
      <c r="C65" s="69">
        <v>0.65277181500000026</v>
      </c>
      <c r="D65" s="69">
        <v>-1.00745094</v>
      </c>
      <c r="E65" s="69">
        <v>-0.29599274500000006</v>
      </c>
      <c r="F65" s="69">
        <v>-0.53335129200000009</v>
      </c>
      <c r="G65" s="69">
        <v>0.37086580000000008</v>
      </c>
      <c r="H65" s="69">
        <v>2.1864515800000001E-3</v>
      </c>
      <c r="I65" s="69">
        <v>-0.55948761700000005</v>
      </c>
      <c r="J65" s="69">
        <v>0.16417212299999998</v>
      </c>
      <c r="K65" s="69">
        <v>-4.6574441999999994E-2</v>
      </c>
      <c r="L65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2.2928380253039928</v>
      </c>
    </row>
    <row r="66" spans="1:12" x14ac:dyDescent="0.3">
      <c r="A66" s="68" t="s">
        <v>74</v>
      </c>
      <c r="B66" s="69">
        <v>1</v>
      </c>
      <c r="C66" s="69">
        <v>-0.17992116100000002</v>
      </c>
      <c r="D66" s="69">
        <v>-1.72649758</v>
      </c>
      <c r="E66" s="69">
        <v>-0.53123515899999996</v>
      </c>
      <c r="F66" s="69">
        <v>1.5963929399999999</v>
      </c>
      <c r="G66" s="69">
        <v>-0.60720059200000009</v>
      </c>
      <c r="H66" s="69">
        <v>-0.22228924400000002</v>
      </c>
      <c r="I66" s="69">
        <v>2.2486120400000003</v>
      </c>
      <c r="J66" s="69">
        <v>-1.2601944600000001</v>
      </c>
      <c r="K66" s="69">
        <v>-0.22972914200000003</v>
      </c>
      <c r="L66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12.959073460876795</v>
      </c>
    </row>
    <row r="67" spans="1:12" x14ac:dyDescent="0.3">
      <c r="A67" s="68" t="s">
        <v>75</v>
      </c>
      <c r="B67" s="69">
        <v>5</v>
      </c>
      <c r="C67" s="69">
        <v>-1.17802747</v>
      </c>
      <c r="D67" s="69">
        <v>-0.53465315300000005</v>
      </c>
      <c r="E67" s="69">
        <v>-0.73976757400000004</v>
      </c>
      <c r="F67" s="69">
        <v>0.29442023200000006</v>
      </c>
      <c r="G67" s="69">
        <v>0.98543883200000004</v>
      </c>
      <c r="H67" s="69">
        <v>0.96130987999999995</v>
      </c>
      <c r="I67" s="69">
        <v>-9.6755257700000038E-3</v>
      </c>
      <c r="J67" s="69">
        <v>-1.00121872</v>
      </c>
      <c r="K67" s="69">
        <v>0.7441646420000001</v>
      </c>
      <c r="L67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5.7590619838390928</v>
      </c>
    </row>
    <row r="68" spans="1:12" x14ac:dyDescent="0.3">
      <c r="A68" s="68" t="s">
        <v>76</v>
      </c>
      <c r="B68" s="69">
        <v>2</v>
      </c>
      <c r="C68" s="69">
        <v>0.9183333589999999</v>
      </c>
      <c r="D68" s="69">
        <v>1.19401376</v>
      </c>
      <c r="E68" s="69">
        <v>-0.50136484999999997</v>
      </c>
      <c r="F68" s="69">
        <v>-1.9062335399999999</v>
      </c>
      <c r="G68" s="69">
        <v>-0.63951111300000008</v>
      </c>
      <c r="H68" s="69">
        <v>-0.73246128099999996</v>
      </c>
      <c r="I68" s="69">
        <v>-0.45995725799999998</v>
      </c>
      <c r="J68" s="69">
        <v>-0.59117379399999992</v>
      </c>
      <c r="K68" s="69">
        <v>4.9753609500000011E-2</v>
      </c>
      <c r="L68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7.6630945860979072</v>
      </c>
    </row>
    <row r="69" spans="1:12" x14ac:dyDescent="0.3">
      <c r="A69" s="68" t="s">
        <v>77</v>
      </c>
      <c r="B69" s="69">
        <v>5</v>
      </c>
      <c r="C69" s="69">
        <v>-0.50287100400000007</v>
      </c>
      <c r="D69" s="69">
        <v>-0.81045186200000008</v>
      </c>
      <c r="E69" s="69">
        <v>0.23839430300000003</v>
      </c>
      <c r="F69" s="69">
        <v>-0.28588767100000012</v>
      </c>
      <c r="G69" s="69">
        <v>-0.34669701799999997</v>
      </c>
      <c r="H69" s="69">
        <v>2.1864515800000001E-3</v>
      </c>
      <c r="I69" s="69">
        <v>-0.60792642500000005</v>
      </c>
      <c r="J69" s="69">
        <v>0.22891605800000003</v>
      </c>
      <c r="K69" s="69">
        <v>-3.8181295600000003E-3</v>
      </c>
      <c r="L69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1.5904703525651664</v>
      </c>
    </row>
    <row r="70" spans="1:12" x14ac:dyDescent="0.3">
      <c r="A70" s="68" t="s">
        <v>78</v>
      </c>
      <c r="B70" s="69">
        <v>4</v>
      </c>
      <c r="C70" s="69">
        <v>0.94646487899999998</v>
      </c>
      <c r="D70" s="69">
        <v>-5.20054114E-2</v>
      </c>
      <c r="E70" s="69">
        <v>-0.43541354400000004</v>
      </c>
      <c r="F70" s="69">
        <v>-0.67678780200000022</v>
      </c>
      <c r="G70" s="69">
        <v>0.95851339799999991</v>
      </c>
      <c r="H70" s="69">
        <v>1.04293741</v>
      </c>
      <c r="I70" s="69">
        <v>-0.55942575500000002</v>
      </c>
      <c r="J70" s="69">
        <v>-5.16409964E-2</v>
      </c>
      <c r="K70" s="69">
        <v>2.4487531200000009E-3</v>
      </c>
      <c r="L70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3.8682233524617287</v>
      </c>
    </row>
    <row r="71" spans="1:12" x14ac:dyDescent="0.3">
      <c r="A71" s="68" t="s">
        <v>79</v>
      </c>
      <c r="B71" s="69">
        <v>2</v>
      </c>
      <c r="C71" s="69">
        <v>1.2345316399999999</v>
      </c>
      <c r="D71" s="69">
        <v>0.53899182300000015</v>
      </c>
      <c r="E71" s="69">
        <v>0.33708705700000008</v>
      </c>
      <c r="F71" s="69">
        <v>-0.58823574299999992</v>
      </c>
      <c r="G71" s="69">
        <v>-0.40929865199999999</v>
      </c>
      <c r="H71" s="69">
        <v>-0.61001999200000012</v>
      </c>
      <c r="I71" s="69">
        <v>-0.72553474899999992</v>
      </c>
      <c r="J71" s="69">
        <v>-0.59117379399999992</v>
      </c>
      <c r="K71" s="69">
        <v>-0.25378588500000004</v>
      </c>
      <c r="L71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3.754173707707992</v>
      </c>
    </row>
    <row r="72" spans="1:12" x14ac:dyDescent="0.3">
      <c r="A72" s="68" t="s">
        <v>80</v>
      </c>
      <c r="B72" s="69">
        <v>5</v>
      </c>
      <c r="C72" s="69">
        <v>-0.51412361200000012</v>
      </c>
      <c r="D72" s="69">
        <v>-0.77597702300000004</v>
      </c>
      <c r="E72" s="69">
        <v>0.14817077899999997</v>
      </c>
      <c r="F72" s="69">
        <v>-8.2986284800000004E-2</v>
      </c>
      <c r="G72" s="69">
        <v>-0.38035381000000007</v>
      </c>
      <c r="H72" s="69">
        <v>-0.42635805900000007</v>
      </c>
      <c r="I72" s="69">
        <v>-0.43233991800000005</v>
      </c>
      <c r="J72" s="69">
        <v>-0.52642985800000008</v>
      </c>
      <c r="K72" s="69">
        <v>-0.14340788700000004</v>
      </c>
      <c r="L72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1.7063669699221071</v>
      </c>
    </row>
    <row r="73" spans="1:12" x14ac:dyDescent="0.3">
      <c r="A73" s="68" t="s">
        <v>81</v>
      </c>
      <c r="B73" s="69">
        <v>5</v>
      </c>
      <c r="C73" s="69">
        <v>-1.30293142</v>
      </c>
      <c r="D73" s="69">
        <v>-1.1207254099999999</v>
      </c>
      <c r="E73" s="69">
        <v>0.13331336800000002</v>
      </c>
      <c r="F73" s="69">
        <v>8.147568459999999E-3</v>
      </c>
      <c r="G73" s="69">
        <v>-0.24707291200000001</v>
      </c>
      <c r="H73" s="69">
        <v>-5.9034192800000003E-2</v>
      </c>
      <c r="I73" s="69">
        <v>9.4559605099999985E-2</v>
      </c>
      <c r="J73" s="69">
        <v>5.62655632E-2</v>
      </c>
      <c r="K73" s="69">
        <v>0.23826548400000006</v>
      </c>
      <c r="L73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3.1049024007358565</v>
      </c>
    </row>
    <row r="74" spans="1:12" x14ac:dyDescent="0.3">
      <c r="A74" s="68" t="s">
        <v>82</v>
      </c>
      <c r="B74" s="69">
        <v>4</v>
      </c>
      <c r="C74" s="69">
        <v>0.74504319900000004</v>
      </c>
      <c r="D74" s="69">
        <v>-0.38690384400000005</v>
      </c>
      <c r="E74" s="69">
        <v>-0.3290132850000001</v>
      </c>
      <c r="F74" s="69">
        <v>-0.14185514000000002</v>
      </c>
      <c r="G74" s="69">
        <v>-0.17437424000000001</v>
      </c>
      <c r="H74" s="69">
        <v>0.41032408100000012</v>
      </c>
      <c r="I74" s="69">
        <v>-0.22722974300000001</v>
      </c>
      <c r="J74" s="69">
        <v>-0.76382428899999999</v>
      </c>
      <c r="K74" s="69">
        <v>0.23058349800000003</v>
      </c>
      <c r="L74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1.7201584523282263</v>
      </c>
    </row>
    <row r="75" spans="1:12" x14ac:dyDescent="0.3">
      <c r="A75" s="68" t="s">
        <v>83</v>
      </c>
      <c r="B75" s="69">
        <v>4</v>
      </c>
      <c r="C75" s="69">
        <v>1.02748365</v>
      </c>
      <c r="D75" s="69">
        <v>0.49466702999999995</v>
      </c>
      <c r="E75" s="69">
        <v>-0.51803533400000001</v>
      </c>
      <c r="F75" s="69">
        <v>0.89869505000000016</v>
      </c>
      <c r="G75" s="69">
        <v>5.651135740000001E-2</v>
      </c>
      <c r="H75" s="69">
        <v>0.5735791320000001</v>
      </c>
      <c r="I75" s="69">
        <v>0.35288336200000009</v>
      </c>
      <c r="J75" s="69">
        <v>-0.39694198700000005</v>
      </c>
      <c r="K75" s="69">
        <v>2.19798034</v>
      </c>
      <c r="L75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7.8218252580604553</v>
      </c>
    </row>
    <row r="76" spans="1:12" x14ac:dyDescent="0.3">
      <c r="A76" s="68" t="s">
        <v>84</v>
      </c>
      <c r="B76" s="69">
        <v>5</v>
      </c>
      <c r="C76" s="69">
        <v>-0.84607554200000012</v>
      </c>
      <c r="D76" s="69">
        <v>0.28289302100000002</v>
      </c>
      <c r="E76" s="69">
        <v>-0.56361560700000013</v>
      </c>
      <c r="F76" s="69">
        <v>0.22833990500000001</v>
      </c>
      <c r="G76" s="69">
        <v>-7.4365484499999994E-3</v>
      </c>
      <c r="H76" s="69">
        <v>-0.54879934800000008</v>
      </c>
      <c r="I76" s="69">
        <v>-0.48746064200000006</v>
      </c>
      <c r="J76" s="69">
        <v>-8.4783725399999992E-3</v>
      </c>
      <c r="K76" s="69">
        <v>-0.58603174599999996</v>
      </c>
      <c r="L76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2.0480329435506315</v>
      </c>
    </row>
    <row r="77" spans="1:12" x14ac:dyDescent="0.3">
      <c r="A77" s="68" t="s">
        <v>85</v>
      </c>
      <c r="B77" s="69">
        <v>5</v>
      </c>
      <c r="C77" s="69">
        <v>-0.59401712799999984</v>
      </c>
      <c r="D77" s="69">
        <v>3.6644173799999992E-2</v>
      </c>
      <c r="E77" s="69">
        <v>-0.42749969700000007</v>
      </c>
      <c r="F77" s="69">
        <v>-0.30865372600000002</v>
      </c>
      <c r="G77" s="69">
        <v>-0.26726698700000007</v>
      </c>
      <c r="H77" s="69">
        <v>0.3082896730000001</v>
      </c>
      <c r="I77" s="69">
        <v>-0.61313057000000004</v>
      </c>
      <c r="J77" s="69">
        <v>-0.41852329900000007</v>
      </c>
      <c r="K77" s="69">
        <v>-0.54519593000000011</v>
      </c>
      <c r="L77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1.647025872266674</v>
      </c>
    </row>
    <row r="78" spans="1:12" x14ac:dyDescent="0.3">
      <c r="A78" s="68" t="s">
        <v>86</v>
      </c>
      <c r="B78" s="69">
        <v>5</v>
      </c>
      <c r="C78" s="69">
        <v>-1.5932487</v>
      </c>
      <c r="D78" s="69">
        <v>-0.66762753000000019</v>
      </c>
      <c r="E78" s="69">
        <v>-0.71118363700000009</v>
      </c>
      <c r="F78" s="69">
        <v>0.54222945000000011</v>
      </c>
      <c r="G78" s="69">
        <v>-0.34737015300000007</v>
      </c>
      <c r="H78" s="69">
        <v>-0.20188236300000001</v>
      </c>
      <c r="I78" s="69">
        <v>0.52267640500000001</v>
      </c>
      <c r="J78" s="69">
        <v>0.12100949899999999</v>
      </c>
      <c r="K78" s="69">
        <v>0.36471500300000004</v>
      </c>
      <c r="L78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4.3662363498695731</v>
      </c>
    </row>
    <row r="79" spans="1:12" x14ac:dyDescent="0.3">
      <c r="A79" s="68" t="s">
        <v>87</v>
      </c>
      <c r="B79" s="69">
        <v>1</v>
      </c>
      <c r="C79" s="69">
        <v>-0.83707345600000016</v>
      </c>
      <c r="D79" s="69">
        <v>0.60794150000000013</v>
      </c>
      <c r="E79" s="69">
        <v>-0.44033746300000004</v>
      </c>
      <c r="F79" s="69">
        <v>2.7656109</v>
      </c>
      <c r="G79" s="69">
        <v>-7.0711318499999995E-2</v>
      </c>
      <c r="H79" s="69">
        <v>-0.54879934800000008</v>
      </c>
      <c r="I79" s="69">
        <v>1.7907155700000001</v>
      </c>
      <c r="J79" s="69">
        <v>-0.26745411500000005</v>
      </c>
      <c r="K79" s="69">
        <v>1.0137416800000001</v>
      </c>
      <c r="L79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13.524832534606873</v>
      </c>
    </row>
    <row r="80" spans="1:12" x14ac:dyDescent="0.3">
      <c r="A80" s="68" t="s">
        <v>88</v>
      </c>
      <c r="B80" s="69">
        <v>5</v>
      </c>
      <c r="C80" s="69">
        <v>-0.776309374</v>
      </c>
      <c r="D80" s="69">
        <v>0.16961855100000001</v>
      </c>
      <c r="E80" s="69">
        <v>-0.66571604100000004</v>
      </c>
      <c r="F80" s="69">
        <v>-0.14499569300000004</v>
      </c>
      <c r="G80" s="69">
        <v>1.06352259</v>
      </c>
      <c r="H80" s="69">
        <v>0.59398601399999995</v>
      </c>
      <c r="I80" s="69">
        <v>-0.24752416200000002</v>
      </c>
      <c r="J80" s="69">
        <v>-0.26745411500000005</v>
      </c>
      <c r="K80" s="69">
        <v>0.52866474099999994</v>
      </c>
      <c r="L80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2.9918143026115289</v>
      </c>
    </row>
    <row r="81" spans="1:12" x14ac:dyDescent="0.3">
      <c r="A81" s="68" t="s">
        <v>89</v>
      </c>
      <c r="B81" s="69">
        <v>2</v>
      </c>
      <c r="C81" s="69">
        <v>2.4171807200000002</v>
      </c>
      <c r="D81" s="69">
        <v>1.98693505</v>
      </c>
      <c r="E81" s="69">
        <v>-0.54726778999999992</v>
      </c>
      <c r="F81" s="69">
        <v>-2.0802994899999998</v>
      </c>
      <c r="G81" s="69">
        <v>-0.42141509700000007</v>
      </c>
      <c r="H81" s="69">
        <v>0.22666214800000001</v>
      </c>
      <c r="I81" s="69">
        <v>-0.8596919890000001</v>
      </c>
      <c r="J81" s="69">
        <v>1.4158882100000001</v>
      </c>
      <c r="K81" s="69">
        <v>-0.71662549500000017</v>
      </c>
      <c r="L81" s="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17.904149778851341</v>
      </c>
    </row>
    <row r="82" spans="1:12" x14ac:dyDescent="0.3">
      <c r="A82" s="68" t="s">
        <v>90</v>
      </c>
      <c r="B82" s="69">
        <v>5</v>
      </c>
      <c r="C82" s="69">
        <v>-0.43535535800000003</v>
      </c>
      <c r="D82" s="69">
        <v>1.6944265900000002E-2</v>
      </c>
      <c r="E82" s="69">
        <v>-0.74363944300000018</v>
      </c>
      <c r="F82" s="69">
        <v>-8.9072869499999985E-2</v>
      </c>
      <c r="G82" s="69">
        <v>-0.236975874</v>
      </c>
      <c r="H82" s="69">
        <v>-0.44676494</v>
      </c>
      <c r="I82" s="69">
        <v>-0.63559056800000002</v>
      </c>
      <c r="J82" s="69">
        <v>0.531054425</v>
      </c>
      <c r="K82" s="69">
        <v>-0.53832257499999991</v>
      </c>
      <c r="L82" s="5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1.9822968370951561</v>
      </c>
    </row>
    <row r="83" spans="1:12" x14ac:dyDescent="0.3">
      <c r="A83" s="68" t="s">
        <v>91</v>
      </c>
      <c r="B83" s="69">
        <v>1</v>
      </c>
      <c r="C83" s="69">
        <v>0.43447122400000004</v>
      </c>
      <c r="D83" s="69">
        <v>-2.21407029</v>
      </c>
      <c r="E83" s="69">
        <v>1.68656903</v>
      </c>
      <c r="F83" s="69">
        <v>1.9762518</v>
      </c>
      <c r="G83" s="69">
        <v>-0.82327720000000004</v>
      </c>
      <c r="H83" s="69">
        <v>-0.83449568800000007</v>
      </c>
      <c r="I83" s="69">
        <v>4.0017250500000001</v>
      </c>
      <c r="J83" s="69">
        <v>-1.28177578</v>
      </c>
      <c r="K83" s="69">
        <v>-0.75260953100000016</v>
      </c>
      <c r="L83" s="5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31.438300797835456</v>
      </c>
    </row>
    <row r="84" spans="1:12" x14ac:dyDescent="0.3">
      <c r="A84" s="68" t="s">
        <v>92</v>
      </c>
      <c r="B84" s="69">
        <v>1</v>
      </c>
      <c r="C84" s="69">
        <v>1.4314522700000001</v>
      </c>
      <c r="D84" s="69">
        <v>0.3813925600000001</v>
      </c>
      <c r="E84" s="69">
        <v>-0.6404484960000002</v>
      </c>
      <c r="F84" s="69">
        <v>4.0313083199999999</v>
      </c>
      <c r="G84" s="69">
        <v>-0.60989313600000017</v>
      </c>
      <c r="H84" s="69">
        <v>-0.56920622899999995</v>
      </c>
      <c r="I84" s="69">
        <v>3.2937487700000001</v>
      </c>
      <c r="J84" s="69">
        <v>-1.8644712000000001</v>
      </c>
      <c r="K84" s="69">
        <v>-0.3640628050000001</v>
      </c>
      <c r="L84" s="59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34.009677842637942</v>
      </c>
    </row>
    <row r="85" spans="1:12" x14ac:dyDescent="0.3">
      <c r="A85" s="68" t="s">
        <v>93</v>
      </c>
      <c r="B85" s="69">
        <v>5</v>
      </c>
      <c r="C85" s="69">
        <v>-0.64690438400000005</v>
      </c>
      <c r="D85" s="69">
        <v>-0.91880135500000004</v>
      </c>
      <c r="E85" s="69">
        <v>-0.75930536000000004</v>
      </c>
      <c r="F85" s="69">
        <v>-0.45771125099999999</v>
      </c>
      <c r="G85" s="69">
        <v>-0.39045084800000002</v>
      </c>
      <c r="H85" s="69">
        <v>-0.32432365200000007</v>
      </c>
      <c r="I85" s="69">
        <v>-0.34949888600000006</v>
      </c>
      <c r="J85" s="69">
        <v>-0.93647478499999992</v>
      </c>
      <c r="K85" s="69">
        <v>-0.53680639399999996</v>
      </c>
      <c r="L85" s="63">
        <f>(Таблица2[[#This Row],[х1]]-Таблица2[[#Totals],[х1]])^2+(Таблица2[[#This Row],[x2]]-Таблица2[[#Totals],[x2]])^2+(Таблица2[[#This Row],[x3]]-Таблица2[[#Totals],[x3]])^2+(Таблица2[[#This Row],[x4]]-Таблица2[[#Totals],[x4]])^2+(Таблица2[[#This Row],[x5]]-Таблица2[[#Totals],[x5]])^2+(Таблица2[[#This Row],[x6]]-Таблица2[[#Totals],[x6]])^2+(Таблица2[[#This Row],[x7]]-Таблица2[[#Totals],[x7]])^2+(Таблица2[[#This Row],[x8]]-Таблица2[[#Totals],[x8]])^2+(Таблица2[[#This Row],[x9]]-Таблица2[[#Totals],[x9]])^2</f>
        <v>3.5936587268459972</v>
      </c>
    </row>
    <row r="86" spans="1:12" x14ac:dyDescent="0.3">
      <c r="A86" s="27"/>
      <c r="B86" s="28">
        <f>SUBTOTAL(102,Таблица2[Cluster Membership])</f>
        <v>84</v>
      </c>
      <c r="C86" s="28">
        <f>SUBTOTAL(101,Таблица2[х1])</f>
        <v>1.9761905603995648E-10</v>
      </c>
      <c r="D86" s="28">
        <f>SUBTOTAL(101,Таблица2[x2])</f>
        <v>1.713095353403492E-10</v>
      </c>
      <c r="E86" s="28">
        <f>SUBTOTAL(101,Таблица2[x3])</f>
        <v>2.7380933499357309E-11</v>
      </c>
      <c r="F86" s="28">
        <f>SUBTOTAL(101,Таблица2[x4])</f>
        <v>2.809523116798998E-11</v>
      </c>
      <c r="G86" s="28">
        <f>SUBTOTAL(101,Таблица2[x5])</f>
        <v>-1.1369050740522063E-10</v>
      </c>
      <c r="H86" s="28">
        <f>SUBTOTAL(101,Таблица2[x6])</f>
        <v>1.4071426629722711E-10</v>
      </c>
      <c r="I86" s="28">
        <f>SUBTOTAL(101,Таблица2[x7])</f>
        <v>7.0237737583750141E-12</v>
      </c>
      <c r="J86" s="28">
        <f>SUBTOTAL(101,Таблица2[x8])</f>
        <v>1.2571423531800482E-10</v>
      </c>
      <c r="K86" s="28">
        <f>SUBTOTAL(101,Таблица2[x9])</f>
        <v>1.0667854430511711E-10</v>
      </c>
      <c r="L86" s="28">
        <f>SUBTOTAL(109,Таблица2[Расстояние])</f>
        <v>746.9999999181473</v>
      </c>
    </row>
  </sheetData>
  <sortState xmlns:xlrd2="http://schemas.microsoft.com/office/spreadsheetml/2017/richdata2" ref="A2:K83">
    <sortCondition ref="B2:B83"/>
  </sortState>
  <phoneticPr fontId="7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CEF3-1690-43B9-95FC-245CBF460B3B}">
  <dimension ref="A1:X86"/>
  <sheetViews>
    <sheetView zoomScale="88" workbookViewId="0">
      <selection activeCell="B2" sqref="B2:B85"/>
    </sheetView>
  </sheetViews>
  <sheetFormatPr defaultRowHeight="14.4" x14ac:dyDescent="0.3"/>
  <cols>
    <col min="1" max="1" width="42.77734375" style="2" bestFit="1" customWidth="1"/>
    <col min="2" max="2" width="12.21875" style="2" bestFit="1" customWidth="1"/>
    <col min="3" max="11" width="8.88671875" style="2"/>
    <col min="12" max="12" width="8.88671875" style="60"/>
    <col min="13" max="13" width="2" bestFit="1" customWidth="1"/>
  </cols>
  <sheetData>
    <row r="1" spans="1:24" ht="26.4" x14ac:dyDescent="0.3">
      <c r="A1" s="76" t="s">
        <v>103</v>
      </c>
      <c r="B1" s="77" t="s">
        <v>0</v>
      </c>
      <c r="C1" s="77" t="s">
        <v>94</v>
      </c>
      <c r="D1" s="77" t="s">
        <v>2</v>
      </c>
      <c r="E1" s="77" t="s">
        <v>3</v>
      </c>
      <c r="F1" s="77" t="s">
        <v>4</v>
      </c>
      <c r="G1" s="77" t="s">
        <v>5</v>
      </c>
      <c r="H1" s="77" t="s">
        <v>6</v>
      </c>
      <c r="I1" s="77" t="s">
        <v>7</v>
      </c>
      <c r="J1" s="77" t="s">
        <v>8</v>
      </c>
      <c r="K1" s="77" t="s">
        <v>9</v>
      </c>
      <c r="L1" s="78" t="s">
        <v>108</v>
      </c>
    </row>
    <row r="2" spans="1:24" x14ac:dyDescent="0.3">
      <c r="A2" s="74" t="s">
        <v>10</v>
      </c>
      <c r="B2" s="75">
        <v>6</v>
      </c>
      <c r="C2" s="75">
        <v>-0.50962256899999991</v>
      </c>
      <c r="D2" s="75">
        <v>-0.58390292199999994</v>
      </c>
      <c r="E2" s="75">
        <v>-0.30895468900000012</v>
      </c>
      <c r="F2" s="75">
        <v>-0.33385007600000011</v>
      </c>
      <c r="G2" s="75">
        <v>-2.0226129599999997E-2</v>
      </c>
      <c r="H2" s="75">
        <v>1.3286337500000001</v>
      </c>
      <c r="I2" s="75">
        <v>-0.77242252899999986</v>
      </c>
      <c r="J2" s="75">
        <v>-0.85014953700000018</v>
      </c>
      <c r="K2" s="75">
        <v>9.6253445799999986E-3</v>
      </c>
      <c r="L2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3.8927268423197936</v>
      </c>
      <c r="O2" s="6"/>
      <c r="P2" s="7" t="s">
        <v>94</v>
      </c>
      <c r="Q2" s="7" t="s">
        <v>95</v>
      </c>
      <c r="R2" s="7" t="s">
        <v>96</v>
      </c>
      <c r="S2" s="7" t="s">
        <v>97</v>
      </c>
      <c r="T2" s="7" t="s">
        <v>98</v>
      </c>
      <c r="U2" s="7" t="s">
        <v>99</v>
      </c>
      <c r="V2" s="7" t="s">
        <v>100</v>
      </c>
      <c r="W2" s="7" t="s">
        <v>101</v>
      </c>
      <c r="X2" s="7" t="s">
        <v>102</v>
      </c>
    </row>
    <row r="3" spans="1:24" x14ac:dyDescent="0.3">
      <c r="A3" s="74" t="s">
        <v>11</v>
      </c>
      <c r="B3" s="75">
        <v>6</v>
      </c>
      <c r="C3" s="75">
        <v>-0.67728642500000003</v>
      </c>
      <c r="D3" s="75">
        <v>-1.01730089</v>
      </c>
      <c r="E3" s="75">
        <v>-5.9127443500000001E-2</v>
      </c>
      <c r="F3" s="75">
        <v>0.43913758000000003</v>
      </c>
      <c r="G3" s="75">
        <v>-0.54325268599999998</v>
      </c>
      <c r="H3" s="75">
        <v>-0.61001999200000012</v>
      </c>
      <c r="I3" s="75">
        <v>0.51976563300000012</v>
      </c>
      <c r="J3" s="75">
        <v>0.70370492100000004</v>
      </c>
      <c r="K3" s="75">
        <v>-0.67235300100000006</v>
      </c>
      <c r="L3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3.5746192301564519</v>
      </c>
      <c r="O3" s="13">
        <v>1</v>
      </c>
      <c r="P3" s="14">
        <v>-1.2545451999999999</v>
      </c>
      <c r="Q3" s="14">
        <v>1.7259112700000001</v>
      </c>
      <c r="R3" s="14">
        <v>-0.71721293799999997</v>
      </c>
      <c r="S3" s="14">
        <v>0.92777866700000011</v>
      </c>
      <c r="T3" s="14">
        <v>6.8915327899999994</v>
      </c>
      <c r="U3" s="14">
        <v>3.8590870500000003</v>
      </c>
      <c r="V3" s="14">
        <v>3.06948211</v>
      </c>
      <c r="W3" s="14">
        <v>-0.18112886799999997</v>
      </c>
      <c r="X3" s="14">
        <v>1.3464929300000001</v>
      </c>
    </row>
    <row r="4" spans="1:24" x14ac:dyDescent="0.3">
      <c r="A4" s="74" t="s">
        <v>12</v>
      </c>
      <c r="B4" s="75">
        <v>6</v>
      </c>
      <c r="C4" s="75">
        <v>-1.1994074299999999</v>
      </c>
      <c r="D4" s="75">
        <v>-9.6330204000000003E-2</v>
      </c>
      <c r="E4" s="75">
        <v>0.35917219400000006</v>
      </c>
      <c r="F4" s="75">
        <v>0.80851463999999995</v>
      </c>
      <c r="G4" s="75">
        <v>-0.27467148100000005</v>
      </c>
      <c r="H4" s="75">
        <v>0.34910343599999999</v>
      </c>
      <c r="I4" s="75">
        <v>0.4166647750000001</v>
      </c>
      <c r="J4" s="75">
        <v>0.20733474700000001</v>
      </c>
      <c r="K4" s="75">
        <v>-0.67225192200000017</v>
      </c>
      <c r="L4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3.0963957899194785</v>
      </c>
      <c r="O4" s="13">
        <v>2</v>
      </c>
      <c r="P4" s="6">
        <v>0.28368628000000007</v>
      </c>
      <c r="Q4" s="6">
        <v>0.80494057800000007</v>
      </c>
      <c r="R4" s="6">
        <v>-0.75382880100000016</v>
      </c>
      <c r="S4" s="6">
        <v>1.1635767800000001</v>
      </c>
      <c r="T4" s="6">
        <v>1.8638811200000001</v>
      </c>
      <c r="U4" s="6">
        <v>3.1448461999999999</v>
      </c>
      <c r="V4" s="6">
        <v>0.726178981</v>
      </c>
      <c r="W4" s="6">
        <v>-1.10912528</v>
      </c>
      <c r="X4" s="6">
        <v>6.3217913000000001</v>
      </c>
    </row>
    <row r="5" spans="1:24" x14ac:dyDescent="0.3">
      <c r="A5" s="74" t="s">
        <v>13</v>
      </c>
      <c r="B5" s="75">
        <v>6</v>
      </c>
      <c r="C5" s="75">
        <v>1.15463812</v>
      </c>
      <c r="D5" s="75">
        <v>-7.1705319200000006E-2</v>
      </c>
      <c r="E5" s="75">
        <v>-0.35571837400000006</v>
      </c>
      <c r="F5" s="75">
        <v>-0.21255969200000002</v>
      </c>
      <c r="G5" s="75">
        <v>-0.15148762100000002</v>
      </c>
      <c r="H5" s="75">
        <v>-0.40595117800000002</v>
      </c>
      <c r="I5" s="75">
        <v>-0.33845121700000008</v>
      </c>
      <c r="J5" s="75">
        <v>-0.20271018000000005</v>
      </c>
      <c r="K5" s="75">
        <v>-0.65446206200000001</v>
      </c>
      <c r="L5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2.2817541172953706</v>
      </c>
      <c r="O5" s="13">
        <v>3</v>
      </c>
      <c r="P5" s="6">
        <v>0.71691168000000005</v>
      </c>
      <c r="Q5" s="6">
        <v>1.6668115500000003</v>
      </c>
      <c r="R5" s="6">
        <v>-0.62574745100000018</v>
      </c>
      <c r="S5" s="6">
        <v>0.10582420100000002</v>
      </c>
      <c r="T5" s="6">
        <v>1.0938137000000001</v>
      </c>
      <c r="U5" s="6">
        <v>4.5733278999999998</v>
      </c>
      <c r="V5" s="6">
        <v>-0.18025893800000001</v>
      </c>
      <c r="W5" s="6">
        <v>-1.51917021</v>
      </c>
      <c r="X5" s="6">
        <v>0.29759871200000004</v>
      </c>
    </row>
    <row r="6" spans="1:24" x14ac:dyDescent="0.3">
      <c r="A6" s="74" t="s">
        <v>14</v>
      </c>
      <c r="B6" s="75">
        <v>6</v>
      </c>
      <c r="C6" s="75">
        <v>0.59875929800000005</v>
      </c>
      <c r="D6" s="75">
        <v>0.91329007100000004</v>
      </c>
      <c r="E6" s="75">
        <v>-0.51013152299999998</v>
      </c>
      <c r="F6" s="75">
        <v>-0.422793486</v>
      </c>
      <c r="G6" s="75">
        <v>-0.40795238000000006</v>
      </c>
      <c r="H6" s="75">
        <v>-0.34473053300000001</v>
      </c>
      <c r="I6" s="75">
        <v>-0.35145568000000005</v>
      </c>
      <c r="J6" s="75">
        <v>-0.33219805100000005</v>
      </c>
      <c r="K6" s="75">
        <v>0.55130638099999985</v>
      </c>
      <c r="L6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2.4546796033220981</v>
      </c>
      <c r="O6" s="13">
        <v>4</v>
      </c>
      <c r="P6" s="6">
        <v>-0.79993985150000002</v>
      </c>
      <c r="Q6" s="6">
        <v>0.52175440350000013</v>
      </c>
      <c r="R6" s="6">
        <v>4.7557420549999998</v>
      </c>
      <c r="S6" s="6">
        <v>-0.24057684020000006</v>
      </c>
      <c r="T6" s="6">
        <v>-0.52642429000000013</v>
      </c>
      <c r="U6" s="6">
        <v>0.16544150349999998</v>
      </c>
      <c r="V6" s="6">
        <v>-0.41732127450000001</v>
      </c>
      <c r="W6" s="6">
        <v>1.3295629645</v>
      </c>
      <c r="X6" s="6">
        <v>-0.33404241499999998</v>
      </c>
    </row>
    <row r="7" spans="1:24" x14ac:dyDescent="0.3">
      <c r="A7" s="74" t="s">
        <v>15</v>
      </c>
      <c r="B7" s="75">
        <v>6</v>
      </c>
      <c r="C7" s="75">
        <v>1.2502852899999999</v>
      </c>
      <c r="D7" s="75">
        <v>0.65719127000000022</v>
      </c>
      <c r="E7" s="75">
        <v>-0.51506596599999999</v>
      </c>
      <c r="F7" s="75">
        <v>-0.64861460300000018</v>
      </c>
      <c r="G7" s="75">
        <v>-0.20533848900000004</v>
      </c>
      <c r="H7" s="75">
        <v>6.3407095999999982E-2</v>
      </c>
      <c r="I7" s="75">
        <v>-0.63330248600000005</v>
      </c>
      <c r="J7" s="75">
        <v>0.48789180100000007</v>
      </c>
      <c r="K7" s="75">
        <v>-0.46119948599999999</v>
      </c>
      <c r="L7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3.5791072926077994</v>
      </c>
      <c r="O7" s="13">
        <v>5</v>
      </c>
      <c r="P7" s="6">
        <v>1.7403363600000001</v>
      </c>
      <c r="Q7" s="6">
        <v>3.3585411299999999</v>
      </c>
      <c r="R7" s="6">
        <v>-0.13537684399999994</v>
      </c>
      <c r="S7" s="6">
        <v>-2.1705811349999999</v>
      </c>
      <c r="T7" s="6">
        <v>-0.56782214500000006</v>
      </c>
      <c r="U7" s="6">
        <v>-0.23249268500000006</v>
      </c>
      <c r="V7" s="6">
        <v>-0.85265986000000016</v>
      </c>
      <c r="W7" s="6">
        <v>2.4410005300000002</v>
      </c>
      <c r="X7" s="6">
        <v>-0.74816206600000013</v>
      </c>
    </row>
    <row r="8" spans="1:24" x14ac:dyDescent="0.3">
      <c r="A8" s="74" t="s">
        <v>16</v>
      </c>
      <c r="B8" s="75">
        <v>6</v>
      </c>
      <c r="C8" s="75">
        <v>-0.59176660599999997</v>
      </c>
      <c r="D8" s="75">
        <v>-0.38690384400000005</v>
      </c>
      <c r="E8" s="75">
        <v>-0.30959152500000003</v>
      </c>
      <c r="F8" s="75">
        <v>-0.510454662</v>
      </c>
      <c r="G8" s="75">
        <v>-0.23024451500000001</v>
      </c>
      <c r="H8" s="75">
        <v>-0.85490257000000003</v>
      </c>
      <c r="I8" s="75">
        <v>-0.52926799999999996</v>
      </c>
      <c r="J8" s="75">
        <v>-1.3465197099999999</v>
      </c>
      <c r="K8" s="75">
        <v>-0.24054456900000001</v>
      </c>
      <c r="L8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3.791265751583802</v>
      </c>
      <c r="O8" s="13">
        <v>6</v>
      </c>
      <c r="P8" s="6">
        <v>-2.1127867018181805E-2</v>
      </c>
      <c r="Q8" s="6">
        <v>-0.15530200585207793</v>
      </c>
      <c r="R8" s="6">
        <v>-9.2778457528571417E-2</v>
      </c>
      <c r="S8" s="6">
        <v>3.4092679282597411E-2</v>
      </c>
      <c r="T8" s="6">
        <v>-9.9490061682467587E-2</v>
      </c>
      <c r="U8" s="6">
        <v>-0.14861245162571424</v>
      </c>
      <c r="V8" s="6">
        <v>-1.3966751732597461E-2</v>
      </c>
      <c r="W8" s="6">
        <v>-6.1450683382337688E-2</v>
      </c>
      <c r="X8" s="6">
        <v>-7.5343817805701263E-2</v>
      </c>
    </row>
    <row r="9" spans="1:24" x14ac:dyDescent="0.3">
      <c r="A9" s="74" t="s">
        <v>17</v>
      </c>
      <c r="B9" s="75">
        <v>6</v>
      </c>
      <c r="C9" s="75">
        <v>0.78217680499999998</v>
      </c>
      <c r="D9" s="75">
        <v>-0.41152872900000009</v>
      </c>
      <c r="E9" s="75">
        <v>-0.53398179300000004</v>
      </c>
      <c r="F9" s="75">
        <v>-0.56338741700000006</v>
      </c>
      <c r="G9" s="75">
        <v>0.58424986499999998</v>
      </c>
      <c r="H9" s="75">
        <v>3.1244393100000001</v>
      </c>
      <c r="I9" s="75">
        <v>-0.511451726</v>
      </c>
      <c r="J9" s="75">
        <v>-5.16409964E-2</v>
      </c>
      <c r="K9" s="75">
        <v>0.13425544700000003</v>
      </c>
      <c r="L9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11.769441477312135</v>
      </c>
    </row>
    <row r="10" spans="1:24" x14ac:dyDescent="0.3">
      <c r="A10" s="74" t="s">
        <v>18</v>
      </c>
      <c r="B10" s="75">
        <v>6</v>
      </c>
      <c r="C10" s="75">
        <v>-0.59401712799999984</v>
      </c>
      <c r="D10" s="75">
        <v>0.36169265300000003</v>
      </c>
      <c r="E10" s="75">
        <v>1.1258601800000001</v>
      </c>
      <c r="F10" s="75">
        <v>-4.2682522800000004E-2</v>
      </c>
      <c r="G10" s="75">
        <v>-9.2924801599999995E-2</v>
      </c>
      <c r="H10" s="75">
        <v>-0.83449568800000007</v>
      </c>
      <c r="I10" s="75">
        <v>-0.15101731200000004</v>
      </c>
      <c r="J10" s="75">
        <v>-0.31061673900000009</v>
      </c>
      <c r="K10" s="75">
        <v>-0.71460392000000006</v>
      </c>
      <c r="L10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3.0880266883448164</v>
      </c>
    </row>
    <row r="11" spans="1:24" x14ac:dyDescent="0.3">
      <c r="A11" s="74" t="s">
        <v>19</v>
      </c>
      <c r="B11" s="75">
        <v>6</v>
      </c>
      <c r="C11" s="75">
        <v>0.408590226</v>
      </c>
      <c r="D11" s="75">
        <v>0.24841818300000007</v>
      </c>
      <c r="E11" s="75">
        <v>-0.63389257500000007</v>
      </c>
      <c r="F11" s="75">
        <v>-0.43240516000000007</v>
      </c>
      <c r="G11" s="75">
        <v>0.12247867100000001</v>
      </c>
      <c r="H11" s="75">
        <v>0.10422085900000001</v>
      </c>
      <c r="I11" s="75">
        <v>-0.38164518000000003</v>
      </c>
      <c r="J11" s="75">
        <v>-0.41852329900000007</v>
      </c>
      <c r="K11" s="75">
        <v>0.6668393960000002</v>
      </c>
      <c r="L11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1.6088041728230946</v>
      </c>
    </row>
    <row r="12" spans="1:24" ht="14.4" customHeight="1" x14ac:dyDescent="0.3">
      <c r="A12" s="74" t="s">
        <v>20</v>
      </c>
      <c r="B12" s="75">
        <v>1</v>
      </c>
      <c r="C12" s="75">
        <v>-1.2545451999999999</v>
      </c>
      <c r="D12" s="75">
        <v>1.7259112700000001</v>
      </c>
      <c r="E12" s="75">
        <v>-0.71721293799999997</v>
      </c>
      <c r="F12" s="75">
        <v>0.92777866700000011</v>
      </c>
      <c r="G12" s="75">
        <v>6.8915327899999994</v>
      </c>
      <c r="H12" s="75">
        <v>3.8590870500000003</v>
      </c>
      <c r="I12" s="75">
        <v>3.06948211</v>
      </c>
      <c r="J12" s="75">
        <v>-0.18112886799999997</v>
      </c>
      <c r="K12" s="75">
        <v>1.3464929300000001</v>
      </c>
      <c r="L12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79.581169380314577</v>
      </c>
    </row>
    <row r="13" spans="1:24" x14ac:dyDescent="0.3">
      <c r="A13" s="74" t="s">
        <v>21</v>
      </c>
      <c r="B13" s="75">
        <v>6</v>
      </c>
      <c r="C13" s="75">
        <v>9.6892990599999992E-2</v>
      </c>
      <c r="D13" s="75">
        <v>-2.1992953599999998</v>
      </c>
      <c r="E13" s="75">
        <v>1.7329891800000001</v>
      </c>
      <c r="F13" s="75">
        <v>-0.17048649300000004</v>
      </c>
      <c r="G13" s="75">
        <v>-0.79567863100000014</v>
      </c>
      <c r="H13" s="75">
        <v>-0.79368192500000001</v>
      </c>
      <c r="I13" s="75">
        <v>7.2950210500000001E-2</v>
      </c>
      <c r="J13" s="75">
        <v>-1.1522879000000001</v>
      </c>
      <c r="K13" s="75">
        <v>-0.8272056510000001</v>
      </c>
      <c r="L13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11.158999284221458</v>
      </c>
    </row>
    <row r="14" spans="1:24" x14ac:dyDescent="0.3">
      <c r="A14" s="74" t="s">
        <v>22</v>
      </c>
      <c r="B14" s="75">
        <v>6</v>
      </c>
      <c r="C14" s="75">
        <v>-0.39597123000000001</v>
      </c>
      <c r="D14" s="75">
        <v>-0.97790107900000001</v>
      </c>
      <c r="E14" s="75">
        <v>-0.22288951599999998</v>
      </c>
      <c r="F14" s="75">
        <v>3.2830160300000008E-2</v>
      </c>
      <c r="G14" s="75">
        <v>-0.41333746700000007</v>
      </c>
      <c r="H14" s="75">
        <v>-7.9441074200000017E-2</v>
      </c>
      <c r="I14" s="75">
        <v>8.0467671800000001E-2</v>
      </c>
      <c r="J14" s="75">
        <v>-1.6702393900000001</v>
      </c>
      <c r="K14" s="75">
        <v>-0.78455041700000006</v>
      </c>
      <c r="L14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4.7526940609049886</v>
      </c>
    </row>
    <row r="15" spans="1:24" x14ac:dyDescent="0.3">
      <c r="A15" s="74" t="s">
        <v>23</v>
      </c>
      <c r="B15" s="75">
        <v>6</v>
      </c>
      <c r="C15" s="75">
        <v>-2.35099127E-2</v>
      </c>
      <c r="D15" s="75">
        <v>-0.10125518100000001</v>
      </c>
      <c r="E15" s="75">
        <v>-0.23314975900000001</v>
      </c>
      <c r="F15" s="75">
        <v>-0.72464517800000017</v>
      </c>
      <c r="G15" s="75">
        <v>-0.47728537300000007</v>
      </c>
      <c r="H15" s="75">
        <v>-0.24269612600000001</v>
      </c>
      <c r="I15" s="75">
        <v>-0.81386441200000015</v>
      </c>
      <c r="J15" s="75">
        <v>1.97700232</v>
      </c>
      <c r="K15" s="75">
        <v>-0.39004004399999997</v>
      </c>
      <c r="L15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5.6000221986339032</v>
      </c>
    </row>
    <row r="16" spans="1:24" x14ac:dyDescent="0.3">
      <c r="A16" s="74" t="s">
        <v>24</v>
      </c>
      <c r="B16" s="75">
        <v>6</v>
      </c>
      <c r="C16" s="75">
        <v>-1.36819654</v>
      </c>
      <c r="D16" s="75">
        <v>-0.57405296799999994</v>
      </c>
      <c r="E16" s="75">
        <v>-0.45614134199999995</v>
      </c>
      <c r="F16" s="75">
        <v>0.29532124700000006</v>
      </c>
      <c r="G16" s="75">
        <v>8.0744248100000013E-2</v>
      </c>
      <c r="H16" s="75">
        <v>-9.9847955699999991E-2</v>
      </c>
      <c r="I16" s="75">
        <v>0.28194914900000001</v>
      </c>
      <c r="J16" s="75">
        <v>1.3079816500000001</v>
      </c>
      <c r="K16" s="75">
        <v>-1.3622768599999998E-2</v>
      </c>
      <c r="L16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4.303764292452728</v>
      </c>
    </row>
    <row r="17" spans="1:12" x14ac:dyDescent="0.3">
      <c r="A17" s="74" t="s">
        <v>25</v>
      </c>
      <c r="B17" s="75">
        <v>6</v>
      </c>
      <c r="C17" s="75">
        <v>1.5799867000000001</v>
      </c>
      <c r="D17" s="75">
        <v>0.76061578600000002</v>
      </c>
      <c r="E17" s="75">
        <v>-0.21339163900000002</v>
      </c>
      <c r="F17" s="75">
        <v>-1.4099379999999999</v>
      </c>
      <c r="G17" s="75">
        <v>-0.43689722200000003</v>
      </c>
      <c r="H17" s="75">
        <v>-0.44676494</v>
      </c>
      <c r="I17" s="75">
        <v>-0.84844856000000002</v>
      </c>
      <c r="J17" s="75">
        <v>-7.3222308300000011E-2</v>
      </c>
      <c r="K17" s="75">
        <v>-0.60361944900000009</v>
      </c>
      <c r="L17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6.5884164997341763</v>
      </c>
    </row>
    <row r="18" spans="1:12" x14ac:dyDescent="0.3">
      <c r="A18" s="74" t="s">
        <v>26</v>
      </c>
      <c r="B18" s="75">
        <v>4</v>
      </c>
      <c r="C18" s="75">
        <v>-0.443232183</v>
      </c>
      <c r="D18" s="75">
        <v>0.30751790600000006</v>
      </c>
      <c r="E18" s="75">
        <v>4.1533658899999999</v>
      </c>
      <c r="F18" s="75">
        <v>2.9875726600000003E-2</v>
      </c>
      <c r="G18" s="75">
        <v>-0.41804941800000001</v>
      </c>
      <c r="H18" s="75">
        <v>-0.120254837</v>
      </c>
      <c r="I18" s="75">
        <v>-0.35390574300000005</v>
      </c>
      <c r="J18" s="75">
        <v>0.68212360900000002</v>
      </c>
      <c r="K18" s="75">
        <v>0.11717313800000001</v>
      </c>
      <c r="L18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18.335860784265257</v>
      </c>
    </row>
    <row r="19" spans="1:12" x14ac:dyDescent="0.3">
      <c r="A19" s="74" t="s">
        <v>27</v>
      </c>
      <c r="B19" s="75">
        <v>6</v>
      </c>
      <c r="C19" s="75">
        <v>-0.70541794499999988</v>
      </c>
      <c r="D19" s="75">
        <v>0.39124251399999999</v>
      </c>
      <c r="E19" s="75">
        <v>-0.48169671700000005</v>
      </c>
      <c r="F19" s="75">
        <v>0.16635461699999998</v>
      </c>
      <c r="G19" s="75">
        <v>-0.37294931600000003</v>
      </c>
      <c r="H19" s="75">
        <v>-0.69164751800000013</v>
      </c>
      <c r="I19" s="75">
        <v>-3.3762251799999997E-2</v>
      </c>
      <c r="J19" s="75">
        <v>1.04900591</v>
      </c>
      <c r="K19" s="75">
        <v>1.5815010300000001</v>
      </c>
      <c r="L19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5.1305570455388221</v>
      </c>
    </row>
    <row r="20" spans="1:12" x14ac:dyDescent="0.3">
      <c r="A20" s="74" t="s">
        <v>28</v>
      </c>
      <c r="B20" s="75">
        <v>6</v>
      </c>
      <c r="C20" s="75">
        <v>-1.6517622599999999</v>
      </c>
      <c r="D20" s="75">
        <v>-1.47532375</v>
      </c>
      <c r="E20" s="75">
        <v>0.31847076200000013</v>
      </c>
      <c r="F20" s="75">
        <v>1.3915135599999999</v>
      </c>
      <c r="G20" s="75">
        <v>-0.6529738300000002</v>
      </c>
      <c r="H20" s="75">
        <v>-0.54879934800000008</v>
      </c>
      <c r="I20" s="75">
        <v>2.15484462</v>
      </c>
      <c r="J20" s="75">
        <v>3.4684251299999996E-2</v>
      </c>
      <c r="K20" s="75">
        <v>-0.40115870700000006</v>
      </c>
      <c r="L20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12.475674534765552</v>
      </c>
    </row>
    <row r="21" spans="1:12" x14ac:dyDescent="0.3">
      <c r="A21" s="74" t="s">
        <v>29</v>
      </c>
      <c r="B21" s="75">
        <v>6</v>
      </c>
      <c r="C21" s="75">
        <v>0.94083857500000001</v>
      </c>
      <c r="D21" s="75">
        <v>0.60794150000000013</v>
      </c>
      <c r="E21" s="75">
        <v>0.20178942600000002</v>
      </c>
      <c r="F21" s="75">
        <v>-1.06562632</v>
      </c>
      <c r="G21" s="75">
        <v>-0.5903721959999999</v>
      </c>
      <c r="H21" s="75">
        <v>-0.85490257000000003</v>
      </c>
      <c r="I21" s="75">
        <v>-0.80178299499999994</v>
      </c>
      <c r="J21" s="75">
        <v>-0.93647478499999992</v>
      </c>
      <c r="K21" s="75">
        <v>-0.74836422300000005</v>
      </c>
      <c r="L21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5.590336256214683</v>
      </c>
    </row>
    <row r="22" spans="1:12" x14ac:dyDescent="0.3">
      <c r="A22" s="74" t="s">
        <v>30</v>
      </c>
      <c r="B22" s="75">
        <v>6</v>
      </c>
      <c r="C22" s="75">
        <v>1.22102851</v>
      </c>
      <c r="D22" s="75">
        <v>-0.77597702300000004</v>
      </c>
      <c r="E22" s="75">
        <v>-0.76107067100000003</v>
      </c>
      <c r="F22" s="75">
        <v>-0.16066322599999999</v>
      </c>
      <c r="G22" s="75">
        <v>5.8530765000000005E-2</v>
      </c>
      <c r="H22" s="75">
        <v>0.32869655500000006</v>
      </c>
      <c r="I22" s="75">
        <v>-6.5466078400000004E-3</v>
      </c>
      <c r="J22" s="75">
        <v>0.14259081100000001</v>
      </c>
      <c r="K22" s="75">
        <v>7.3041432099999999E-4</v>
      </c>
      <c r="L22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2.8299350073020251</v>
      </c>
    </row>
    <row r="23" spans="1:12" x14ac:dyDescent="0.3">
      <c r="A23" s="74" t="s">
        <v>31</v>
      </c>
      <c r="B23" s="75">
        <v>6</v>
      </c>
      <c r="C23" s="75">
        <v>-0.62439916900000003</v>
      </c>
      <c r="D23" s="75">
        <v>-0.56420301400000006</v>
      </c>
      <c r="E23" s="75">
        <v>-0.38504044900000006</v>
      </c>
      <c r="F23" s="75">
        <v>-0.12648505000000002</v>
      </c>
      <c r="G23" s="75">
        <v>-0.28072970400000002</v>
      </c>
      <c r="H23" s="75">
        <v>-0.79368192500000001</v>
      </c>
      <c r="I23" s="75">
        <v>-0.64246702499999997</v>
      </c>
      <c r="J23" s="75">
        <v>1.9122583899999999</v>
      </c>
      <c r="K23" s="75">
        <v>-0.70479928100000011</v>
      </c>
      <c r="L23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6.1474321984161113</v>
      </c>
    </row>
    <row r="24" spans="1:12" x14ac:dyDescent="0.3">
      <c r="A24" s="74" t="s">
        <v>32</v>
      </c>
      <c r="B24" s="75">
        <v>6</v>
      </c>
      <c r="C24" s="75">
        <v>-0.95860162000000015</v>
      </c>
      <c r="D24" s="75">
        <v>-0.77105204699999996</v>
      </c>
      <c r="E24" s="75">
        <v>6.2179609000000011E-2</v>
      </c>
      <c r="F24" s="75">
        <v>-0.46777220400000002</v>
      </c>
      <c r="G24" s="75">
        <v>-0.53786759899999992</v>
      </c>
      <c r="H24" s="75">
        <v>-0.83449568800000007</v>
      </c>
      <c r="I24" s="75">
        <v>-0.66205450700000013</v>
      </c>
      <c r="J24" s="75">
        <v>-0.15954755600000003</v>
      </c>
      <c r="K24" s="75">
        <v>-0.65719118800000009</v>
      </c>
      <c r="L24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3.6174719224220953</v>
      </c>
    </row>
    <row r="25" spans="1:12" x14ac:dyDescent="0.3">
      <c r="A25" s="74" t="s">
        <v>33</v>
      </c>
      <c r="B25" s="75">
        <v>6</v>
      </c>
      <c r="C25" s="75">
        <v>1.40444602</v>
      </c>
      <c r="D25" s="75">
        <v>0.55869173100000014</v>
      </c>
      <c r="E25" s="75">
        <v>-0.70671943500000012</v>
      </c>
      <c r="F25" s="75">
        <v>-0.26184054500000004</v>
      </c>
      <c r="G25" s="75">
        <v>2.4798004200000001</v>
      </c>
      <c r="H25" s="75">
        <v>1.2470062200000001</v>
      </c>
      <c r="I25" s="75">
        <v>-0.37069152500000002</v>
      </c>
      <c r="J25" s="75">
        <v>1.3102939400000001E-2</v>
      </c>
      <c r="K25" s="75">
        <v>2.0049199299999998</v>
      </c>
      <c r="L25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14.714340358478019</v>
      </c>
    </row>
    <row r="26" spans="1:12" x14ac:dyDescent="0.3">
      <c r="A26" s="74" t="s">
        <v>34</v>
      </c>
      <c r="B26" s="75">
        <v>6</v>
      </c>
      <c r="C26" s="75">
        <v>-0.71329477000000008</v>
      </c>
      <c r="D26" s="75">
        <v>0.10066887400000001</v>
      </c>
      <c r="E26" s="75">
        <v>-0.53842848600000004</v>
      </c>
      <c r="F26" s="75">
        <v>0.42883352900000005</v>
      </c>
      <c r="G26" s="75">
        <v>0.33990155100000008</v>
      </c>
      <c r="H26" s="75">
        <v>-0.34473053300000001</v>
      </c>
      <c r="I26" s="75">
        <v>0.56073948000000007</v>
      </c>
      <c r="J26" s="75">
        <v>-0.31061673900000009</v>
      </c>
      <c r="K26" s="75">
        <v>1.1717277699999999</v>
      </c>
      <c r="L26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3.0109567762014819</v>
      </c>
    </row>
    <row r="27" spans="1:12" x14ac:dyDescent="0.3">
      <c r="A27" s="74" t="s">
        <v>35</v>
      </c>
      <c r="B27" s="75">
        <v>6</v>
      </c>
      <c r="C27" s="75">
        <v>-0.77180833100000001</v>
      </c>
      <c r="D27" s="75">
        <v>-1.00745094</v>
      </c>
      <c r="E27" s="75">
        <v>-0.56855580100000003</v>
      </c>
      <c r="F27" s="75">
        <v>-0.193450816</v>
      </c>
      <c r="G27" s="75">
        <v>-0.43420467800000007</v>
      </c>
      <c r="H27" s="75">
        <v>-3.8627311300000002E-2</v>
      </c>
      <c r="I27" s="75">
        <v>-0.644114509</v>
      </c>
      <c r="J27" s="75">
        <v>-0.76382428899999999</v>
      </c>
      <c r="K27" s="75">
        <v>-0.63202257900000003</v>
      </c>
      <c r="L27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3.5591137714218437</v>
      </c>
    </row>
    <row r="28" spans="1:12" x14ac:dyDescent="0.3">
      <c r="A28" s="74" t="s">
        <v>36</v>
      </c>
      <c r="B28" s="75">
        <v>6</v>
      </c>
      <c r="C28" s="75">
        <v>-0.28344515300000001</v>
      </c>
      <c r="D28" s="75">
        <v>-0.44107859100000008</v>
      </c>
      <c r="E28" s="75">
        <v>-0.50203169800000003</v>
      </c>
      <c r="F28" s="75">
        <v>-0.459995178</v>
      </c>
      <c r="G28" s="75">
        <v>-0.32986862100000014</v>
      </c>
      <c r="H28" s="75">
        <v>-0.48757870300000011</v>
      </c>
      <c r="I28" s="75">
        <v>-0.40724223599999998</v>
      </c>
      <c r="J28" s="75">
        <v>0.57421704899999992</v>
      </c>
      <c r="K28" s="75">
        <v>-0.20021414600000004</v>
      </c>
      <c r="L28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1.620726329203181</v>
      </c>
    </row>
    <row r="29" spans="1:12" x14ac:dyDescent="0.3">
      <c r="A29" s="74" t="s">
        <v>37</v>
      </c>
      <c r="B29" s="75">
        <v>6</v>
      </c>
      <c r="C29" s="75">
        <v>0.301690452</v>
      </c>
      <c r="D29" s="75">
        <v>1.996785</v>
      </c>
      <c r="E29" s="75">
        <v>-0.64474922700000026</v>
      </c>
      <c r="F29" s="75">
        <v>0.56278830899999999</v>
      </c>
      <c r="G29" s="75">
        <v>-0.25649681400000002</v>
      </c>
      <c r="H29" s="75">
        <v>-3.8627311300000002E-2</v>
      </c>
      <c r="I29" s="75">
        <v>0.193809549</v>
      </c>
      <c r="J29" s="75">
        <v>1.13533116</v>
      </c>
      <c r="K29" s="75">
        <v>0.45224920299999999</v>
      </c>
      <c r="L29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6.4089507208204113</v>
      </c>
    </row>
    <row r="30" spans="1:12" x14ac:dyDescent="0.3">
      <c r="A30" s="74" t="s">
        <v>38</v>
      </c>
      <c r="B30" s="75">
        <v>6</v>
      </c>
      <c r="C30" s="75">
        <v>0.189164374</v>
      </c>
      <c r="D30" s="75">
        <v>-0.12588006599999998</v>
      </c>
      <c r="E30" s="75">
        <v>1.7265125599999998</v>
      </c>
      <c r="F30" s="75">
        <v>-0.51090440400000003</v>
      </c>
      <c r="G30" s="75">
        <v>-0.43824349300000004</v>
      </c>
      <c r="H30" s="75">
        <v>-0.18147548200000002</v>
      </c>
      <c r="I30" s="75">
        <v>-0.40830447200000008</v>
      </c>
      <c r="J30" s="75">
        <v>-0.89331216099999977</v>
      </c>
      <c r="K30" s="75">
        <v>-0.41247952700000007</v>
      </c>
      <c r="L30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4.6533471102074229</v>
      </c>
    </row>
    <row r="31" spans="1:12" x14ac:dyDescent="0.3">
      <c r="A31" s="74" t="s">
        <v>39</v>
      </c>
      <c r="B31" s="75">
        <v>6</v>
      </c>
      <c r="C31" s="75">
        <v>-1.62138022</v>
      </c>
      <c r="D31" s="75">
        <v>-1.25862476</v>
      </c>
      <c r="E31" s="75">
        <v>0.48395994600000003</v>
      </c>
      <c r="F31" s="75">
        <v>2.2071345500000001</v>
      </c>
      <c r="G31" s="75">
        <v>-0.76404124600000012</v>
      </c>
      <c r="H31" s="75">
        <v>-0.65083375500000007</v>
      </c>
      <c r="I31" s="75">
        <v>2.9261652100000002</v>
      </c>
      <c r="J31" s="75">
        <v>-1.1522879000000001</v>
      </c>
      <c r="K31" s="75">
        <v>-0.72147727500000003</v>
      </c>
      <c r="L31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20.736753558040665</v>
      </c>
    </row>
    <row r="32" spans="1:12" ht="14.4" customHeight="1" x14ac:dyDescent="0.3">
      <c r="A32" s="74" t="s">
        <v>40</v>
      </c>
      <c r="B32" s="75">
        <v>2</v>
      </c>
      <c r="C32" s="75">
        <v>0.28368628000000007</v>
      </c>
      <c r="D32" s="75">
        <v>0.80494057800000007</v>
      </c>
      <c r="E32" s="75">
        <v>-0.75382880100000016</v>
      </c>
      <c r="F32" s="75">
        <v>1.1635767800000001</v>
      </c>
      <c r="G32" s="75">
        <v>1.8638811200000001</v>
      </c>
      <c r="H32" s="75">
        <v>3.1448461999999999</v>
      </c>
      <c r="I32" s="75">
        <v>0.726178981</v>
      </c>
      <c r="J32" s="75">
        <v>-1.10912528</v>
      </c>
      <c r="K32" s="75">
        <v>6.3217913000000001</v>
      </c>
      <c r="L32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57.73722651287396</v>
      </c>
    </row>
    <row r="33" spans="1:12" x14ac:dyDescent="0.3">
      <c r="A33" s="74" t="s">
        <v>41</v>
      </c>
      <c r="B33" s="75">
        <v>6</v>
      </c>
      <c r="C33" s="75">
        <v>-1.5639919200000001</v>
      </c>
      <c r="D33" s="75">
        <v>-1.1256503900000001</v>
      </c>
      <c r="E33" s="75">
        <v>0.21073606300000003</v>
      </c>
      <c r="F33" s="75">
        <v>1.29612097</v>
      </c>
      <c r="G33" s="75">
        <v>-0.56479303300000017</v>
      </c>
      <c r="H33" s="75">
        <v>-0.67124063700000025</v>
      </c>
      <c r="I33" s="75">
        <v>1.3162123999999999</v>
      </c>
      <c r="J33" s="75">
        <v>-1.1522879000000001</v>
      </c>
      <c r="K33" s="75">
        <v>-0.571072091</v>
      </c>
      <c r="L33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9.5933597672327089</v>
      </c>
    </row>
    <row r="34" spans="1:12" ht="14.4" customHeight="1" x14ac:dyDescent="0.3">
      <c r="A34" s="74" t="s">
        <v>42</v>
      </c>
      <c r="B34" s="75">
        <v>6</v>
      </c>
      <c r="C34" s="75">
        <v>0.32307040700000011</v>
      </c>
      <c r="D34" s="75">
        <v>-0.59375287600000004</v>
      </c>
      <c r="E34" s="75">
        <v>-0.69147659899999991</v>
      </c>
      <c r="F34" s="75">
        <v>-0.28282996700000013</v>
      </c>
      <c r="G34" s="75">
        <v>0.88110277599999998</v>
      </c>
      <c r="H34" s="75">
        <v>2.1864515800000001E-3</v>
      </c>
      <c r="I34" s="75">
        <v>-0.36056934600000001</v>
      </c>
      <c r="J34" s="75">
        <v>-1.0443813399999999</v>
      </c>
      <c r="K34" s="75">
        <v>2.9133543899999999E-2</v>
      </c>
      <c r="L34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3.0129879258665668</v>
      </c>
    </row>
    <row r="35" spans="1:12" x14ac:dyDescent="0.3">
      <c r="A35" s="74" t="s">
        <v>43</v>
      </c>
      <c r="B35" s="75">
        <v>6</v>
      </c>
      <c r="C35" s="75">
        <v>-0.5625098260000001</v>
      </c>
      <c r="D35" s="75">
        <v>0.115443805</v>
      </c>
      <c r="E35" s="75">
        <v>0.74399524900000014</v>
      </c>
      <c r="F35" s="75">
        <v>-0.25529812299999999</v>
      </c>
      <c r="G35" s="75">
        <v>-0.49478690500000005</v>
      </c>
      <c r="H35" s="75">
        <v>-0.18147548200000002</v>
      </c>
      <c r="I35" s="75">
        <v>-0.44306932300000001</v>
      </c>
      <c r="J35" s="75">
        <v>-7.3222308300000011E-2</v>
      </c>
      <c r="K35" s="75">
        <v>-0.51871329700000002</v>
      </c>
      <c r="L35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1.6969334866592516</v>
      </c>
    </row>
    <row r="36" spans="1:12" x14ac:dyDescent="0.3">
      <c r="A36" s="74" t="s">
        <v>44</v>
      </c>
      <c r="B36" s="75">
        <v>6</v>
      </c>
      <c r="C36" s="75">
        <v>-0.99573522600000008</v>
      </c>
      <c r="D36" s="75">
        <v>-0.74642716200000003</v>
      </c>
      <c r="E36" s="75">
        <v>-0.127952963</v>
      </c>
      <c r="F36" s="75">
        <v>0.48232877100000016</v>
      </c>
      <c r="G36" s="75">
        <v>0.63204251000000011</v>
      </c>
      <c r="H36" s="75">
        <v>-0.48757870300000011</v>
      </c>
      <c r="I36" s="75">
        <v>-0.10258623700000001</v>
      </c>
      <c r="J36" s="75">
        <v>-7.3222308300000011E-2</v>
      </c>
      <c r="K36" s="75">
        <v>1.04982679</v>
      </c>
      <c r="L36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3.5528876107720562</v>
      </c>
    </row>
    <row r="37" spans="1:12" x14ac:dyDescent="0.3">
      <c r="A37" s="74" t="s">
        <v>45</v>
      </c>
      <c r="B37" s="75">
        <v>6</v>
      </c>
      <c r="C37" s="75">
        <v>-1.6146286500000002</v>
      </c>
      <c r="D37" s="75">
        <v>2.1693350899999997E-3</v>
      </c>
      <c r="E37" s="75">
        <v>-0.70777802400000012</v>
      </c>
      <c r="F37" s="75">
        <v>-0.136713524</v>
      </c>
      <c r="G37" s="75">
        <v>0.20729378800000003</v>
      </c>
      <c r="H37" s="75">
        <v>-0.16106860000000001</v>
      </c>
      <c r="I37" s="75">
        <v>-0.38535324100000007</v>
      </c>
      <c r="J37" s="75">
        <v>-9.4803620200000008E-2</v>
      </c>
      <c r="K37" s="75">
        <v>-0.27935881000000007</v>
      </c>
      <c r="L37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3.4311107031087715</v>
      </c>
    </row>
    <row r="38" spans="1:12" x14ac:dyDescent="0.3">
      <c r="A38" s="74" t="s">
        <v>46</v>
      </c>
      <c r="B38" s="75">
        <v>6</v>
      </c>
      <c r="C38" s="75">
        <v>-0.31945349800000006</v>
      </c>
      <c r="D38" s="75">
        <v>0.43064233000000002</v>
      </c>
      <c r="E38" s="75">
        <v>0.17363694300000002</v>
      </c>
      <c r="F38" s="75">
        <v>0.10189661100000001</v>
      </c>
      <c r="G38" s="75">
        <v>-5.5229193900000001E-2</v>
      </c>
      <c r="H38" s="75">
        <v>0.3899171990000001</v>
      </c>
      <c r="I38" s="75">
        <v>-0.507884483</v>
      </c>
      <c r="J38" s="75">
        <v>9.9428187000000001E-2</v>
      </c>
      <c r="K38" s="75">
        <v>0.12495620200000002</v>
      </c>
      <c r="L38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0.76656841167199696</v>
      </c>
    </row>
    <row r="39" spans="1:12" x14ac:dyDescent="0.3">
      <c r="A39" s="74" t="s">
        <v>47</v>
      </c>
      <c r="B39" s="75">
        <v>6</v>
      </c>
      <c r="C39" s="75">
        <v>0.3714566210000001</v>
      </c>
      <c r="D39" s="75">
        <v>0.25334316000000001</v>
      </c>
      <c r="E39" s="75">
        <v>-0.24591907000000005</v>
      </c>
      <c r="F39" s="75">
        <v>-0.31639823200000006</v>
      </c>
      <c r="G39" s="75">
        <v>-0.47324655799999998</v>
      </c>
      <c r="H39" s="75">
        <v>-0.73246128099999996</v>
      </c>
      <c r="I39" s="75">
        <v>-0.6530271230000001</v>
      </c>
      <c r="J39" s="75">
        <v>-0.245872804</v>
      </c>
      <c r="K39" s="75">
        <v>-0.61766939600000015</v>
      </c>
      <c r="L39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1.9916219830033439</v>
      </c>
    </row>
    <row r="40" spans="1:12" x14ac:dyDescent="0.3">
      <c r="A40" s="74" t="s">
        <v>48</v>
      </c>
      <c r="B40" s="75">
        <v>6</v>
      </c>
      <c r="C40" s="75">
        <v>0.99147531</v>
      </c>
      <c r="D40" s="75">
        <v>3.1719196800000002E-2</v>
      </c>
      <c r="E40" s="75">
        <v>-0.52524393899999999</v>
      </c>
      <c r="F40" s="75">
        <v>-0.44642184000000001</v>
      </c>
      <c r="G40" s="75">
        <v>-0.39852847800000007</v>
      </c>
      <c r="H40" s="75">
        <v>-0.32432365200000007</v>
      </c>
      <c r="I40" s="75">
        <v>-0.60986449800000009</v>
      </c>
      <c r="J40" s="75">
        <v>-0.26745411500000005</v>
      </c>
      <c r="K40" s="75">
        <v>-0.47019549500000002</v>
      </c>
      <c r="L40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2.3877640443914889</v>
      </c>
    </row>
    <row r="41" spans="1:12" x14ac:dyDescent="0.3">
      <c r="A41" s="74" t="s">
        <v>49</v>
      </c>
      <c r="B41" s="75">
        <v>6</v>
      </c>
      <c r="C41" s="75">
        <v>-0.6401528190000001</v>
      </c>
      <c r="D41" s="75">
        <v>0.499592007</v>
      </c>
      <c r="E41" s="75">
        <v>-0.65771264000000007</v>
      </c>
      <c r="F41" s="75">
        <v>0.20246502200000002</v>
      </c>
      <c r="G41" s="75">
        <v>0.3796165660000001</v>
      </c>
      <c r="H41" s="75">
        <v>0.736834184</v>
      </c>
      <c r="I41" s="75">
        <v>-0.16444015800000003</v>
      </c>
      <c r="J41" s="75">
        <v>-9.4803620200000008E-2</v>
      </c>
      <c r="K41" s="75">
        <v>-0.37194694800000005</v>
      </c>
      <c r="L41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1.9943719831572881</v>
      </c>
    </row>
    <row r="42" spans="1:12" x14ac:dyDescent="0.3">
      <c r="A42" s="74" t="s">
        <v>50</v>
      </c>
      <c r="B42" s="75">
        <v>6</v>
      </c>
      <c r="C42" s="75">
        <v>0.27243367200000002</v>
      </c>
      <c r="D42" s="75">
        <v>-0.92372633200000009</v>
      </c>
      <c r="E42" s="75">
        <v>-0.60840497999999998</v>
      </c>
      <c r="F42" s="75">
        <v>0.26535322100000003</v>
      </c>
      <c r="G42" s="75">
        <v>0.15613546300000003</v>
      </c>
      <c r="H42" s="75">
        <v>1.9204333099999999</v>
      </c>
      <c r="I42" s="75">
        <v>0.31897725500000007</v>
      </c>
      <c r="J42" s="75">
        <v>-0.20271018000000005</v>
      </c>
      <c r="K42" s="75">
        <v>1.24555497E-2</v>
      </c>
      <c r="L42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5.2234948213846142</v>
      </c>
    </row>
    <row r="43" spans="1:12" x14ac:dyDescent="0.3">
      <c r="A43" s="74" t="s">
        <v>51</v>
      </c>
      <c r="B43" s="75">
        <v>6</v>
      </c>
      <c r="C43" s="75">
        <v>0.25893054300000001</v>
      </c>
      <c r="D43" s="75">
        <v>-0.50017831400000001</v>
      </c>
      <c r="E43" s="75">
        <v>1.2297753300000001</v>
      </c>
      <c r="F43" s="75">
        <v>-0.44170611900000001</v>
      </c>
      <c r="G43" s="75">
        <v>-0.63951111300000008</v>
      </c>
      <c r="H43" s="75">
        <v>-0.52839246600000001</v>
      </c>
      <c r="I43" s="75">
        <v>-0.67484489500000022</v>
      </c>
      <c r="J43" s="75">
        <v>0.29365999400000004</v>
      </c>
      <c r="K43" s="75">
        <v>-0.40166410100000005</v>
      </c>
      <c r="L43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3.4158339659757897</v>
      </c>
    </row>
    <row r="44" spans="1:12" x14ac:dyDescent="0.3">
      <c r="A44" s="74" t="s">
        <v>52</v>
      </c>
      <c r="B44" s="75">
        <v>6</v>
      </c>
      <c r="C44" s="75">
        <v>0.91270705500000004</v>
      </c>
      <c r="D44" s="75">
        <v>1.2629634300000001</v>
      </c>
      <c r="E44" s="75">
        <v>1.4361019800000001</v>
      </c>
      <c r="F44" s="75">
        <v>-0.69654602600000004</v>
      </c>
      <c r="G44" s="75">
        <v>-0.61931703700000007</v>
      </c>
      <c r="H44" s="75">
        <v>-0.65083375500000007</v>
      </c>
      <c r="I44" s="75">
        <v>-0.63058665999999997</v>
      </c>
      <c r="J44" s="75">
        <v>-0.37536067500000014</v>
      </c>
      <c r="K44" s="75">
        <v>-0.27784262900000006</v>
      </c>
      <c r="L44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6.3985459239942539</v>
      </c>
    </row>
    <row r="45" spans="1:12" x14ac:dyDescent="0.3">
      <c r="A45" s="74" t="s">
        <v>53</v>
      </c>
      <c r="B45" s="75">
        <v>4</v>
      </c>
      <c r="C45" s="75">
        <v>-1.1566475199999999</v>
      </c>
      <c r="D45" s="75">
        <v>0.73599090100000009</v>
      </c>
      <c r="E45" s="75">
        <v>5.3581182199999997</v>
      </c>
      <c r="F45" s="75">
        <v>-0.5110294070000001</v>
      </c>
      <c r="G45" s="75">
        <v>-0.63479916200000019</v>
      </c>
      <c r="H45" s="75">
        <v>0.45113784399999995</v>
      </c>
      <c r="I45" s="75">
        <v>-0.48073680600000002</v>
      </c>
      <c r="J45" s="75">
        <v>1.97700232</v>
      </c>
      <c r="K45" s="75">
        <v>-0.78525796799999992</v>
      </c>
      <c r="L45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36.212869462138691</v>
      </c>
    </row>
    <row r="46" spans="1:12" x14ac:dyDescent="0.3">
      <c r="A46" s="74" t="s">
        <v>54</v>
      </c>
      <c r="B46" s="75">
        <v>6</v>
      </c>
      <c r="C46" s="75">
        <v>1.3774397600000001</v>
      </c>
      <c r="D46" s="75">
        <v>0.28289302100000002</v>
      </c>
      <c r="E46" s="75">
        <v>-0.690151124</v>
      </c>
      <c r="F46" s="75">
        <v>6.3189663099999988E-2</v>
      </c>
      <c r="G46" s="75">
        <v>0.85081166200000014</v>
      </c>
      <c r="H46" s="75">
        <v>-0.18147548200000002</v>
      </c>
      <c r="I46" s="75">
        <v>-0.33686437400000013</v>
      </c>
      <c r="J46" s="75">
        <v>-0.39694198700000005</v>
      </c>
      <c r="K46" s="75">
        <v>0.42596872800000007</v>
      </c>
      <c r="L46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3.6669740004017966</v>
      </c>
    </row>
    <row r="47" spans="1:12" x14ac:dyDescent="0.3">
      <c r="A47" s="74" t="s">
        <v>55</v>
      </c>
      <c r="B47" s="75">
        <v>6</v>
      </c>
      <c r="C47" s="75">
        <v>-0.50512152600000004</v>
      </c>
      <c r="D47" s="75">
        <v>0.19424343600000005</v>
      </c>
      <c r="E47" s="75">
        <v>-0.41641013600000004</v>
      </c>
      <c r="F47" s="75">
        <v>-0.30599285500000006</v>
      </c>
      <c r="G47" s="75">
        <v>-0.26524757999999998</v>
      </c>
      <c r="H47" s="75">
        <v>-0.63042687400000008</v>
      </c>
      <c r="I47" s="75">
        <v>-0.18733441100000001</v>
      </c>
      <c r="J47" s="75">
        <v>1.35114428</v>
      </c>
      <c r="K47" s="75">
        <v>-0.60877446600000018</v>
      </c>
      <c r="L47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3.2589930167475312</v>
      </c>
    </row>
    <row r="48" spans="1:12" x14ac:dyDescent="0.3">
      <c r="A48" s="74" t="s">
        <v>56</v>
      </c>
      <c r="B48" s="75">
        <v>6</v>
      </c>
      <c r="C48" s="75">
        <v>1.5642330499999999</v>
      </c>
      <c r="D48" s="75">
        <v>1.54368712</v>
      </c>
      <c r="E48" s="75">
        <v>-0.31104988000000006</v>
      </c>
      <c r="F48" s="75">
        <v>-2.0733667900000001</v>
      </c>
      <c r="G48" s="75">
        <v>0.64752463500000013</v>
      </c>
      <c r="H48" s="75">
        <v>-0.36513741500000002</v>
      </c>
      <c r="I48" s="75">
        <v>-0.79923932499999994</v>
      </c>
      <c r="J48" s="75">
        <v>0.315241306</v>
      </c>
      <c r="K48" s="75">
        <v>-0.50334932600000004</v>
      </c>
      <c r="L48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10.769531440549327</v>
      </c>
    </row>
    <row r="49" spans="1:12" x14ac:dyDescent="0.3">
      <c r="A49" s="74" t="s">
        <v>57</v>
      </c>
      <c r="B49" s="75">
        <v>5</v>
      </c>
      <c r="C49" s="75">
        <v>1.0634920000000001</v>
      </c>
      <c r="D49" s="75">
        <v>4.7301472100000002</v>
      </c>
      <c r="E49" s="75">
        <v>0.27651410200000004</v>
      </c>
      <c r="F49" s="75">
        <v>-2.2608627800000001</v>
      </c>
      <c r="G49" s="75">
        <v>-0.7142291930000001</v>
      </c>
      <c r="H49" s="75">
        <v>-0.69164751800000013</v>
      </c>
      <c r="I49" s="75">
        <v>-0.8456277310000001</v>
      </c>
      <c r="J49" s="75">
        <v>3.46611285</v>
      </c>
      <c r="K49" s="75">
        <v>-0.77969863700000019</v>
      </c>
      <c r="L49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43.01872256053889</v>
      </c>
    </row>
    <row r="50" spans="1:12" ht="14.4" customHeight="1" x14ac:dyDescent="0.3">
      <c r="A50" s="74" t="s">
        <v>58</v>
      </c>
      <c r="B50" s="75">
        <v>6</v>
      </c>
      <c r="C50" s="75">
        <v>0.85081771200000011</v>
      </c>
      <c r="D50" s="75">
        <v>0.16961855100000001</v>
      </c>
      <c r="E50" s="75">
        <v>0.72864012300000014</v>
      </c>
      <c r="F50" s="75">
        <v>0.31741530800000006</v>
      </c>
      <c r="G50" s="75">
        <v>-0.74452030600000008</v>
      </c>
      <c r="H50" s="75">
        <v>-0.65083375500000007</v>
      </c>
      <c r="I50" s="75">
        <v>-0.75104593100000017</v>
      </c>
      <c r="J50" s="75">
        <v>2.0201649499999998</v>
      </c>
      <c r="K50" s="75">
        <v>-0.82579054800000007</v>
      </c>
      <c r="L50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7.6892916452750359</v>
      </c>
    </row>
    <row r="51" spans="1:12" x14ac:dyDescent="0.3">
      <c r="A51" s="74" t="s">
        <v>59</v>
      </c>
      <c r="B51" s="75">
        <v>6</v>
      </c>
      <c r="C51" s="75">
        <v>-0.67278538200000015</v>
      </c>
      <c r="D51" s="75">
        <v>0.43064233000000002</v>
      </c>
      <c r="E51" s="75">
        <v>1.1322965899999999</v>
      </c>
      <c r="F51" s="75">
        <v>0.75492571000000019</v>
      </c>
      <c r="G51" s="75">
        <v>-0.54729150100000001</v>
      </c>
      <c r="H51" s="75">
        <v>-0.36513741500000002</v>
      </c>
      <c r="I51" s="75">
        <v>3.7045388799999995E-2</v>
      </c>
      <c r="J51" s="75">
        <v>0.25049737</v>
      </c>
      <c r="K51" s="75">
        <v>-0.6613354170000002</v>
      </c>
      <c r="L51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3.4244405279217389</v>
      </c>
    </row>
    <row r="52" spans="1:12" x14ac:dyDescent="0.3">
      <c r="A52" s="74" t="s">
        <v>60</v>
      </c>
      <c r="B52" s="75">
        <v>6</v>
      </c>
      <c r="C52" s="75">
        <v>-1.2781756799999999</v>
      </c>
      <c r="D52" s="75">
        <v>-0.60360283000000015</v>
      </c>
      <c r="E52" s="75">
        <v>6.0971623600000004E-2</v>
      </c>
      <c r="F52" s="75">
        <v>1.2796273199999999</v>
      </c>
      <c r="G52" s="75">
        <v>-0.4045867010000001</v>
      </c>
      <c r="H52" s="75">
        <v>-0.16106860000000001</v>
      </c>
      <c r="I52" s="75">
        <v>0.54580711800000004</v>
      </c>
      <c r="J52" s="75">
        <v>0.444729178</v>
      </c>
      <c r="K52" s="75">
        <v>-0.55621351399999996</v>
      </c>
      <c r="L52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4.6339294804038156</v>
      </c>
    </row>
    <row r="53" spans="1:12" x14ac:dyDescent="0.3">
      <c r="A53" s="74" t="s">
        <v>61</v>
      </c>
      <c r="B53" s="75">
        <v>6</v>
      </c>
      <c r="C53" s="75">
        <v>1.5338510100000002</v>
      </c>
      <c r="D53" s="75">
        <v>-0.22930458200000001</v>
      </c>
      <c r="E53" s="75">
        <v>-2.4512955800000003E-2</v>
      </c>
      <c r="F53" s="75">
        <v>-1.9659731499999999</v>
      </c>
      <c r="G53" s="75">
        <v>-0.17370110400000002</v>
      </c>
      <c r="H53" s="75">
        <v>0.16544150300000002</v>
      </c>
      <c r="I53" s="75">
        <v>-0.51532624499999991</v>
      </c>
      <c r="J53" s="75">
        <v>0.63896098499999998</v>
      </c>
      <c r="K53" s="75">
        <v>0.57273507700000015</v>
      </c>
      <c r="L53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7.3303315349595479</v>
      </c>
    </row>
    <row r="54" spans="1:12" x14ac:dyDescent="0.3">
      <c r="A54" s="74" t="s">
        <v>62</v>
      </c>
      <c r="B54" s="75">
        <v>6</v>
      </c>
      <c r="C54" s="75">
        <v>-7.6397169299999998E-2</v>
      </c>
      <c r="D54" s="75">
        <v>-3.23055036E-2</v>
      </c>
      <c r="E54" s="75">
        <v>0.63645803000000012</v>
      </c>
      <c r="F54" s="75">
        <v>-0.52428023000000001</v>
      </c>
      <c r="G54" s="75">
        <v>-0.54998404499999998</v>
      </c>
      <c r="H54" s="75">
        <v>-0.81408880700000008</v>
      </c>
      <c r="I54" s="75">
        <v>-0.65165313400000013</v>
      </c>
      <c r="J54" s="75">
        <v>1.0058432900000001</v>
      </c>
      <c r="K54" s="75">
        <v>-0.60776367800000008</v>
      </c>
      <c r="L54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3.4578010114094644</v>
      </c>
    </row>
    <row r="55" spans="1:12" x14ac:dyDescent="0.3">
      <c r="A55" s="74" t="s">
        <v>63</v>
      </c>
      <c r="B55" s="75">
        <v>6</v>
      </c>
      <c r="C55" s="75">
        <v>1.03085944</v>
      </c>
      <c r="D55" s="75">
        <v>0.16961855100000001</v>
      </c>
      <c r="E55" s="75">
        <v>-0.14018981799999999</v>
      </c>
      <c r="F55" s="75">
        <v>-0.57951306599999997</v>
      </c>
      <c r="G55" s="75">
        <v>-0.28813419900000004</v>
      </c>
      <c r="H55" s="75">
        <v>2.1864515800000001E-3</v>
      </c>
      <c r="I55" s="75">
        <v>-0.68879397600000014</v>
      </c>
      <c r="J55" s="75">
        <v>0.70370492100000004</v>
      </c>
      <c r="K55" s="75">
        <v>-0.42026259100000007</v>
      </c>
      <c r="L55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2.6762147158584377</v>
      </c>
    </row>
    <row r="56" spans="1:12" x14ac:dyDescent="0.3">
      <c r="A56" s="74" t="s">
        <v>64</v>
      </c>
      <c r="B56" s="75">
        <v>6</v>
      </c>
      <c r="C56" s="75">
        <v>-2.03660145</v>
      </c>
      <c r="D56" s="75">
        <v>-0.24900449000000005</v>
      </c>
      <c r="E56" s="75">
        <v>0.31354269200000007</v>
      </c>
      <c r="F56" s="75">
        <v>1.7440124100000001</v>
      </c>
      <c r="G56" s="75">
        <v>-0.28140284000000004</v>
      </c>
      <c r="H56" s="75">
        <v>-0.22228924400000002</v>
      </c>
      <c r="I56" s="75">
        <v>1.6609961200000001</v>
      </c>
      <c r="J56" s="75">
        <v>0.66054229700000011</v>
      </c>
      <c r="K56" s="75">
        <v>0.85383508900000005</v>
      </c>
      <c r="L56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11.402495670871842</v>
      </c>
    </row>
    <row r="57" spans="1:12" x14ac:dyDescent="0.3">
      <c r="A57" s="74" t="s">
        <v>65</v>
      </c>
      <c r="B57" s="75">
        <v>6</v>
      </c>
      <c r="C57" s="75">
        <v>0.71916220099999995</v>
      </c>
      <c r="D57" s="75">
        <v>0.23364325200000002</v>
      </c>
      <c r="E57" s="75">
        <v>0.25552188200000003</v>
      </c>
      <c r="F57" s="75">
        <v>-0.86229009300000015</v>
      </c>
      <c r="G57" s="75">
        <v>-0.24976545500000005</v>
      </c>
      <c r="H57" s="75">
        <v>-0.67124063700000025</v>
      </c>
      <c r="I57" s="75">
        <v>-0.77860263000000007</v>
      </c>
      <c r="J57" s="75">
        <v>3.4684251299999996E-2</v>
      </c>
      <c r="K57" s="75">
        <v>-0.7448264670000001</v>
      </c>
      <c r="L57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3.0557573711288684</v>
      </c>
    </row>
    <row r="58" spans="1:12" x14ac:dyDescent="0.3">
      <c r="A58" s="74" t="s">
        <v>66</v>
      </c>
      <c r="B58" s="75">
        <v>3</v>
      </c>
      <c r="C58" s="75">
        <v>0.71691168000000005</v>
      </c>
      <c r="D58" s="75">
        <v>1.6668115500000003</v>
      </c>
      <c r="E58" s="75">
        <v>-0.62574745100000018</v>
      </c>
      <c r="F58" s="75">
        <v>0.10582420100000002</v>
      </c>
      <c r="G58" s="75">
        <v>1.0938137000000001</v>
      </c>
      <c r="H58" s="75">
        <v>4.5733278999999998</v>
      </c>
      <c r="I58" s="75">
        <v>-0.18025893800000001</v>
      </c>
      <c r="J58" s="75">
        <v>-1.51917021</v>
      </c>
      <c r="K58" s="75">
        <v>0.29759871200000004</v>
      </c>
      <c r="L58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28.235674628831138</v>
      </c>
    </row>
    <row r="59" spans="1:12" ht="14.4" customHeight="1" x14ac:dyDescent="0.3">
      <c r="A59" s="74" t="s">
        <v>67</v>
      </c>
      <c r="B59" s="75">
        <v>6</v>
      </c>
      <c r="C59" s="75">
        <v>2.2900262499999999</v>
      </c>
      <c r="D59" s="75">
        <v>-1.64769794</v>
      </c>
      <c r="E59" s="75">
        <v>0.33908836400000014</v>
      </c>
      <c r="F59" s="75">
        <v>-3.8153166000000009E-2</v>
      </c>
      <c r="G59" s="75">
        <v>-0.72365309400000011</v>
      </c>
      <c r="H59" s="75">
        <v>-0.712054399</v>
      </c>
      <c r="I59" s="75">
        <v>-0.11980098299999999</v>
      </c>
      <c r="J59" s="75">
        <v>3.2287184099999999</v>
      </c>
      <c r="K59" s="75">
        <v>-0.78586444099999997</v>
      </c>
      <c r="L59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20.162818342701694</v>
      </c>
    </row>
    <row r="60" spans="1:12" x14ac:dyDescent="0.3">
      <c r="A60" s="74" t="s">
        <v>68</v>
      </c>
      <c r="B60" s="75">
        <v>6</v>
      </c>
      <c r="C60" s="75">
        <v>-0.778559895</v>
      </c>
      <c r="D60" s="75">
        <v>0.86896527900000009</v>
      </c>
      <c r="E60" s="75">
        <v>1.9098010400000001</v>
      </c>
      <c r="F60" s="75">
        <v>-0.24756474800000003</v>
      </c>
      <c r="G60" s="75">
        <v>-0.62470212400000003</v>
      </c>
      <c r="H60" s="75">
        <v>-0.81408880700000008</v>
      </c>
      <c r="I60" s="75">
        <v>-6.8238141200000019E-2</v>
      </c>
      <c r="J60" s="75">
        <v>1.0058432900000001</v>
      </c>
      <c r="K60" s="75">
        <v>-0.72390316499999996</v>
      </c>
      <c r="L60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7.6632907726185033</v>
      </c>
    </row>
    <row r="61" spans="1:12" x14ac:dyDescent="0.3">
      <c r="A61" s="74" t="s">
        <v>69</v>
      </c>
      <c r="B61" s="75">
        <v>6</v>
      </c>
      <c r="C61" s="75">
        <v>0.79905571700000011</v>
      </c>
      <c r="D61" s="75">
        <v>0.23364325200000002</v>
      </c>
      <c r="E61" s="75">
        <v>-0.560360411</v>
      </c>
      <c r="F61" s="75">
        <v>-0.34491609900000009</v>
      </c>
      <c r="G61" s="75">
        <v>1.42432341</v>
      </c>
      <c r="H61" s="75">
        <v>-0.24269612600000001</v>
      </c>
      <c r="I61" s="75">
        <v>-0.46394369800000002</v>
      </c>
      <c r="J61" s="75">
        <v>-0.26745411500000005</v>
      </c>
      <c r="K61" s="75">
        <v>1.86533017</v>
      </c>
      <c r="L61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6.9798808008691484</v>
      </c>
    </row>
    <row r="62" spans="1:12" x14ac:dyDescent="0.3">
      <c r="A62" s="74" t="s">
        <v>70</v>
      </c>
      <c r="B62" s="75">
        <v>6</v>
      </c>
      <c r="C62" s="75">
        <v>0.29943993100000005</v>
      </c>
      <c r="D62" s="75">
        <v>0.32721781400000005</v>
      </c>
      <c r="E62" s="75">
        <v>-0.49765760799999997</v>
      </c>
      <c r="F62" s="75">
        <v>-0.17999626800000004</v>
      </c>
      <c r="G62" s="75">
        <v>-0.30496259500000011</v>
      </c>
      <c r="H62" s="75">
        <v>-0.34473053300000001</v>
      </c>
      <c r="I62" s="75">
        <v>-0.40352603500000006</v>
      </c>
      <c r="J62" s="75">
        <v>-0.18112886799999997</v>
      </c>
      <c r="K62" s="75">
        <v>-0.35446032300000008</v>
      </c>
      <c r="L62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1.0099218943904942</v>
      </c>
    </row>
    <row r="63" spans="1:12" x14ac:dyDescent="0.3">
      <c r="A63" s="74" t="s">
        <v>71</v>
      </c>
      <c r="B63" s="75">
        <v>6</v>
      </c>
      <c r="C63" s="75">
        <v>0.46260274400000001</v>
      </c>
      <c r="D63" s="75">
        <v>0.59316656899999975</v>
      </c>
      <c r="E63" s="75">
        <v>-0.74158797899999995</v>
      </c>
      <c r="F63" s="75">
        <v>-0.19203514800000002</v>
      </c>
      <c r="G63" s="75">
        <v>1.5024071699999999</v>
      </c>
      <c r="H63" s="75">
        <v>-7.9441074200000017E-2</v>
      </c>
      <c r="I63" s="75">
        <v>-0.28405370900000004</v>
      </c>
      <c r="J63" s="75">
        <v>-0.33219805100000005</v>
      </c>
      <c r="K63" s="75">
        <v>0.508651148</v>
      </c>
      <c r="L63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3.8659843397925782</v>
      </c>
    </row>
    <row r="64" spans="1:12" x14ac:dyDescent="0.3">
      <c r="A64" s="74" t="s">
        <v>72</v>
      </c>
      <c r="B64" s="75">
        <v>6</v>
      </c>
      <c r="C64" s="75">
        <v>0.13740237900000002</v>
      </c>
      <c r="D64" s="75">
        <v>-0.21452965100000002</v>
      </c>
      <c r="E64" s="75">
        <v>-0.67967054300000018</v>
      </c>
      <c r="F64" s="75">
        <v>1.26829843</v>
      </c>
      <c r="G64" s="75">
        <v>1.2257483300000001</v>
      </c>
      <c r="H64" s="75">
        <v>0.59398601399999995</v>
      </c>
      <c r="I64" s="75">
        <v>1.3369683400000001</v>
      </c>
      <c r="J64" s="75">
        <v>-1.7781459500000001</v>
      </c>
      <c r="K64" s="75">
        <v>1.6256724500000002</v>
      </c>
      <c r="L64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11.582811969331724</v>
      </c>
    </row>
    <row r="65" spans="1:12" x14ac:dyDescent="0.3">
      <c r="A65" s="74" t="s">
        <v>73</v>
      </c>
      <c r="B65" s="75">
        <v>6</v>
      </c>
      <c r="C65" s="75">
        <v>0.65277181500000026</v>
      </c>
      <c r="D65" s="75">
        <v>-1.00745094</v>
      </c>
      <c r="E65" s="75">
        <v>-0.29599274500000006</v>
      </c>
      <c r="F65" s="75">
        <v>-0.53335129200000009</v>
      </c>
      <c r="G65" s="75">
        <v>0.37086580000000008</v>
      </c>
      <c r="H65" s="75">
        <v>2.1864515800000001E-3</v>
      </c>
      <c r="I65" s="75">
        <v>-0.55948761700000005</v>
      </c>
      <c r="J65" s="75">
        <v>0.16417212299999998</v>
      </c>
      <c r="K65" s="75">
        <v>-4.6574441999999994E-2</v>
      </c>
      <c r="L65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2.2928380253039928</v>
      </c>
    </row>
    <row r="66" spans="1:12" x14ac:dyDescent="0.3">
      <c r="A66" s="74" t="s">
        <v>74</v>
      </c>
      <c r="B66" s="75">
        <v>6</v>
      </c>
      <c r="C66" s="75">
        <v>-0.17992116100000002</v>
      </c>
      <c r="D66" s="75">
        <v>-1.72649758</v>
      </c>
      <c r="E66" s="75">
        <v>-0.53123515899999996</v>
      </c>
      <c r="F66" s="75">
        <v>1.5963929399999999</v>
      </c>
      <c r="G66" s="75">
        <v>-0.60720059200000009</v>
      </c>
      <c r="H66" s="75">
        <v>-0.22228924400000002</v>
      </c>
      <c r="I66" s="75">
        <v>2.2486120400000003</v>
      </c>
      <c r="J66" s="75">
        <v>-1.2601944600000001</v>
      </c>
      <c r="K66" s="75">
        <v>-0.22972914200000003</v>
      </c>
      <c r="L66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12.959073460876795</v>
      </c>
    </row>
    <row r="67" spans="1:12" x14ac:dyDescent="0.3">
      <c r="A67" s="74" t="s">
        <v>75</v>
      </c>
      <c r="B67" s="75">
        <v>6</v>
      </c>
      <c r="C67" s="75">
        <v>-1.17802747</v>
      </c>
      <c r="D67" s="75">
        <v>-0.53465315300000005</v>
      </c>
      <c r="E67" s="75">
        <v>-0.73976757400000004</v>
      </c>
      <c r="F67" s="75">
        <v>0.29442023200000006</v>
      </c>
      <c r="G67" s="75">
        <v>0.98543883200000004</v>
      </c>
      <c r="H67" s="75">
        <v>0.96130987999999995</v>
      </c>
      <c r="I67" s="75">
        <v>-9.6755257700000038E-3</v>
      </c>
      <c r="J67" s="75">
        <v>-1.00121872</v>
      </c>
      <c r="K67" s="75">
        <v>0.7441646420000001</v>
      </c>
      <c r="L67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5.7590619838390928</v>
      </c>
    </row>
    <row r="68" spans="1:12" x14ac:dyDescent="0.3">
      <c r="A68" s="74" t="s">
        <v>76</v>
      </c>
      <c r="B68" s="75">
        <v>6</v>
      </c>
      <c r="C68" s="75">
        <v>0.9183333589999999</v>
      </c>
      <c r="D68" s="75">
        <v>1.19401376</v>
      </c>
      <c r="E68" s="75">
        <v>-0.50136484999999997</v>
      </c>
      <c r="F68" s="75">
        <v>-1.9062335399999999</v>
      </c>
      <c r="G68" s="75">
        <v>-0.63951111300000008</v>
      </c>
      <c r="H68" s="75">
        <v>-0.73246128099999996</v>
      </c>
      <c r="I68" s="75">
        <v>-0.45995725799999998</v>
      </c>
      <c r="J68" s="75">
        <v>-0.59117379399999992</v>
      </c>
      <c r="K68" s="75">
        <v>4.9753609500000011E-2</v>
      </c>
      <c r="L68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7.6630945860979072</v>
      </c>
    </row>
    <row r="69" spans="1:12" x14ac:dyDescent="0.3">
      <c r="A69" s="74" t="s">
        <v>77</v>
      </c>
      <c r="B69" s="75">
        <v>6</v>
      </c>
      <c r="C69" s="75">
        <v>-0.50287100400000007</v>
      </c>
      <c r="D69" s="75">
        <v>-0.81045186200000008</v>
      </c>
      <c r="E69" s="75">
        <v>0.23839430300000003</v>
      </c>
      <c r="F69" s="75">
        <v>-0.28588767100000012</v>
      </c>
      <c r="G69" s="75">
        <v>-0.34669701799999997</v>
      </c>
      <c r="H69" s="75">
        <v>2.1864515800000001E-3</v>
      </c>
      <c r="I69" s="75">
        <v>-0.60792642500000005</v>
      </c>
      <c r="J69" s="75">
        <v>0.22891605800000003</v>
      </c>
      <c r="K69" s="75">
        <v>-3.8181295600000003E-3</v>
      </c>
      <c r="L69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1.5904703525651664</v>
      </c>
    </row>
    <row r="70" spans="1:12" x14ac:dyDescent="0.3">
      <c r="A70" s="74" t="s">
        <v>78</v>
      </c>
      <c r="B70" s="75">
        <v>6</v>
      </c>
      <c r="C70" s="75">
        <v>0.94646487899999998</v>
      </c>
      <c r="D70" s="75">
        <v>-5.20054114E-2</v>
      </c>
      <c r="E70" s="75">
        <v>-0.43541354400000004</v>
      </c>
      <c r="F70" s="75">
        <v>-0.67678780200000022</v>
      </c>
      <c r="G70" s="75">
        <v>0.95851339799999991</v>
      </c>
      <c r="H70" s="75">
        <v>1.04293741</v>
      </c>
      <c r="I70" s="75">
        <v>-0.55942575500000002</v>
      </c>
      <c r="J70" s="75">
        <v>-5.16409964E-2</v>
      </c>
      <c r="K70" s="75">
        <v>2.4487531200000009E-3</v>
      </c>
      <c r="L70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3.8682233524617287</v>
      </c>
    </row>
    <row r="71" spans="1:12" x14ac:dyDescent="0.3">
      <c r="A71" s="74" t="s">
        <v>79</v>
      </c>
      <c r="B71" s="75">
        <v>6</v>
      </c>
      <c r="C71" s="75">
        <v>1.2345316399999999</v>
      </c>
      <c r="D71" s="75">
        <v>0.53899182300000015</v>
      </c>
      <c r="E71" s="75">
        <v>0.33708705700000008</v>
      </c>
      <c r="F71" s="75">
        <v>-0.58823574299999992</v>
      </c>
      <c r="G71" s="75">
        <v>-0.40929865199999999</v>
      </c>
      <c r="H71" s="75">
        <v>-0.61001999200000012</v>
      </c>
      <c r="I71" s="75">
        <v>-0.72553474899999992</v>
      </c>
      <c r="J71" s="75">
        <v>-0.59117379399999992</v>
      </c>
      <c r="K71" s="75">
        <v>-0.25378588500000004</v>
      </c>
      <c r="L71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3.754173707707992</v>
      </c>
    </row>
    <row r="72" spans="1:12" x14ac:dyDescent="0.3">
      <c r="A72" s="74" t="s">
        <v>80</v>
      </c>
      <c r="B72" s="75">
        <v>6</v>
      </c>
      <c r="C72" s="75">
        <v>-0.51412361200000012</v>
      </c>
      <c r="D72" s="75">
        <v>-0.77597702300000004</v>
      </c>
      <c r="E72" s="75">
        <v>0.14817077899999997</v>
      </c>
      <c r="F72" s="75">
        <v>-8.2986284800000004E-2</v>
      </c>
      <c r="G72" s="75">
        <v>-0.38035381000000007</v>
      </c>
      <c r="H72" s="75">
        <v>-0.42635805900000007</v>
      </c>
      <c r="I72" s="75">
        <v>-0.43233991800000005</v>
      </c>
      <c r="J72" s="75">
        <v>-0.52642985800000008</v>
      </c>
      <c r="K72" s="75">
        <v>-0.14340788700000004</v>
      </c>
      <c r="L72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1.7063669699221071</v>
      </c>
    </row>
    <row r="73" spans="1:12" x14ac:dyDescent="0.3">
      <c r="A73" s="74" t="s">
        <v>81</v>
      </c>
      <c r="B73" s="75">
        <v>6</v>
      </c>
      <c r="C73" s="75">
        <v>-1.30293142</v>
      </c>
      <c r="D73" s="75">
        <v>-1.1207254099999999</v>
      </c>
      <c r="E73" s="75">
        <v>0.13331336800000002</v>
      </c>
      <c r="F73" s="75">
        <v>8.147568459999999E-3</v>
      </c>
      <c r="G73" s="75">
        <v>-0.24707291200000001</v>
      </c>
      <c r="H73" s="75">
        <v>-5.9034192800000003E-2</v>
      </c>
      <c r="I73" s="75">
        <v>9.4559605099999985E-2</v>
      </c>
      <c r="J73" s="75">
        <v>5.62655632E-2</v>
      </c>
      <c r="K73" s="75">
        <v>0.23826548400000006</v>
      </c>
      <c r="L73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3.1049024007358565</v>
      </c>
    </row>
    <row r="74" spans="1:12" x14ac:dyDescent="0.3">
      <c r="A74" s="74" t="s">
        <v>82</v>
      </c>
      <c r="B74" s="75">
        <v>6</v>
      </c>
      <c r="C74" s="75">
        <v>0.74504319900000004</v>
      </c>
      <c r="D74" s="75">
        <v>-0.38690384400000005</v>
      </c>
      <c r="E74" s="75">
        <v>-0.3290132850000001</v>
      </c>
      <c r="F74" s="75">
        <v>-0.14185514000000002</v>
      </c>
      <c r="G74" s="75">
        <v>-0.17437424000000001</v>
      </c>
      <c r="H74" s="75">
        <v>0.41032408100000012</v>
      </c>
      <c r="I74" s="75">
        <v>-0.22722974300000001</v>
      </c>
      <c r="J74" s="75">
        <v>-0.76382428899999999</v>
      </c>
      <c r="K74" s="75">
        <v>0.23058349800000003</v>
      </c>
      <c r="L74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1.7201584523282263</v>
      </c>
    </row>
    <row r="75" spans="1:12" x14ac:dyDescent="0.3">
      <c r="A75" s="74" t="s">
        <v>83</v>
      </c>
      <c r="B75" s="75">
        <v>6</v>
      </c>
      <c r="C75" s="75">
        <v>1.02748365</v>
      </c>
      <c r="D75" s="75">
        <v>0.49466702999999995</v>
      </c>
      <c r="E75" s="75">
        <v>-0.51803533400000001</v>
      </c>
      <c r="F75" s="75">
        <v>0.89869505000000016</v>
      </c>
      <c r="G75" s="75">
        <v>5.651135740000001E-2</v>
      </c>
      <c r="H75" s="75">
        <v>0.5735791320000001</v>
      </c>
      <c r="I75" s="75">
        <v>0.35288336200000009</v>
      </c>
      <c r="J75" s="75">
        <v>-0.39694198700000005</v>
      </c>
      <c r="K75" s="75">
        <v>2.19798034</v>
      </c>
      <c r="L75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7.8218252580604553</v>
      </c>
    </row>
    <row r="76" spans="1:12" x14ac:dyDescent="0.3">
      <c r="A76" s="74" t="s">
        <v>84</v>
      </c>
      <c r="B76" s="75">
        <v>6</v>
      </c>
      <c r="C76" s="75">
        <v>-0.84607554200000012</v>
      </c>
      <c r="D76" s="75">
        <v>0.28289302100000002</v>
      </c>
      <c r="E76" s="75">
        <v>-0.56361560700000013</v>
      </c>
      <c r="F76" s="75">
        <v>0.22833990500000001</v>
      </c>
      <c r="G76" s="75">
        <v>-7.4365484499999994E-3</v>
      </c>
      <c r="H76" s="75">
        <v>-0.54879934800000008</v>
      </c>
      <c r="I76" s="75">
        <v>-0.48746064200000006</v>
      </c>
      <c r="J76" s="75">
        <v>-8.4783725399999992E-3</v>
      </c>
      <c r="K76" s="75">
        <v>-0.58603174599999996</v>
      </c>
      <c r="L76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2.0480329435506315</v>
      </c>
    </row>
    <row r="77" spans="1:12" x14ac:dyDescent="0.3">
      <c r="A77" s="74" t="s">
        <v>85</v>
      </c>
      <c r="B77" s="75">
        <v>6</v>
      </c>
      <c r="C77" s="75">
        <v>-0.59401712799999984</v>
      </c>
      <c r="D77" s="75">
        <v>3.6644173799999992E-2</v>
      </c>
      <c r="E77" s="75">
        <v>-0.42749969700000007</v>
      </c>
      <c r="F77" s="75">
        <v>-0.30865372600000002</v>
      </c>
      <c r="G77" s="75">
        <v>-0.26726698700000007</v>
      </c>
      <c r="H77" s="75">
        <v>0.3082896730000001</v>
      </c>
      <c r="I77" s="75">
        <v>-0.61313057000000004</v>
      </c>
      <c r="J77" s="75">
        <v>-0.41852329900000007</v>
      </c>
      <c r="K77" s="75">
        <v>-0.54519593000000011</v>
      </c>
      <c r="L77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1.647025872266674</v>
      </c>
    </row>
    <row r="78" spans="1:12" x14ac:dyDescent="0.3">
      <c r="A78" s="74" t="s">
        <v>86</v>
      </c>
      <c r="B78" s="75">
        <v>6</v>
      </c>
      <c r="C78" s="75">
        <v>-1.5932487</v>
      </c>
      <c r="D78" s="75">
        <v>-0.66762753000000019</v>
      </c>
      <c r="E78" s="75">
        <v>-0.71118363700000009</v>
      </c>
      <c r="F78" s="75">
        <v>0.54222945000000011</v>
      </c>
      <c r="G78" s="75">
        <v>-0.34737015300000007</v>
      </c>
      <c r="H78" s="75">
        <v>-0.20188236300000001</v>
      </c>
      <c r="I78" s="75">
        <v>0.52267640500000001</v>
      </c>
      <c r="J78" s="75">
        <v>0.12100949899999999</v>
      </c>
      <c r="K78" s="75">
        <v>0.36471500300000004</v>
      </c>
      <c r="L78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4.3662363498695731</v>
      </c>
    </row>
    <row r="79" spans="1:12" x14ac:dyDescent="0.3">
      <c r="A79" s="74" t="s">
        <v>87</v>
      </c>
      <c r="B79" s="75">
        <v>6</v>
      </c>
      <c r="C79" s="75">
        <v>-0.83707345600000016</v>
      </c>
      <c r="D79" s="75">
        <v>0.60794150000000013</v>
      </c>
      <c r="E79" s="75">
        <v>-0.44033746300000004</v>
      </c>
      <c r="F79" s="75">
        <v>2.7656109</v>
      </c>
      <c r="G79" s="75">
        <v>-7.0711318499999995E-2</v>
      </c>
      <c r="H79" s="75">
        <v>-0.54879934800000008</v>
      </c>
      <c r="I79" s="75">
        <v>1.7907155700000001</v>
      </c>
      <c r="J79" s="75">
        <v>-0.26745411500000005</v>
      </c>
      <c r="K79" s="75">
        <v>1.0137416800000001</v>
      </c>
      <c r="L79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13.524832534606873</v>
      </c>
    </row>
    <row r="80" spans="1:12" x14ac:dyDescent="0.3">
      <c r="A80" s="74" t="s">
        <v>88</v>
      </c>
      <c r="B80" s="75">
        <v>6</v>
      </c>
      <c r="C80" s="75">
        <v>-0.776309374</v>
      </c>
      <c r="D80" s="75">
        <v>0.16961855100000001</v>
      </c>
      <c r="E80" s="75">
        <v>-0.66571604100000004</v>
      </c>
      <c r="F80" s="75">
        <v>-0.14499569300000004</v>
      </c>
      <c r="G80" s="75">
        <v>1.06352259</v>
      </c>
      <c r="H80" s="75">
        <v>0.59398601399999995</v>
      </c>
      <c r="I80" s="75">
        <v>-0.24752416200000002</v>
      </c>
      <c r="J80" s="75">
        <v>-0.26745411500000005</v>
      </c>
      <c r="K80" s="75">
        <v>0.52866474099999994</v>
      </c>
      <c r="L80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2.9918143026115289</v>
      </c>
    </row>
    <row r="81" spans="1:12" x14ac:dyDescent="0.3">
      <c r="A81" s="74" t="s">
        <v>89</v>
      </c>
      <c r="B81" s="75">
        <v>5</v>
      </c>
      <c r="C81" s="75">
        <v>2.4171807200000002</v>
      </c>
      <c r="D81" s="75">
        <v>1.98693505</v>
      </c>
      <c r="E81" s="75">
        <v>-0.54726778999999992</v>
      </c>
      <c r="F81" s="75">
        <v>-2.0802994899999998</v>
      </c>
      <c r="G81" s="75">
        <v>-0.42141509700000007</v>
      </c>
      <c r="H81" s="75">
        <v>0.22666214800000001</v>
      </c>
      <c r="I81" s="75">
        <v>-0.8596919890000001</v>
      </c>
      <c r="J81" s="75">
        <v>1.4158882100000001</v>
      </c>
      <c r="K81" s="75">
        <v>-0.71662549500000017</v>
      </c>
      <c r="L81" s="70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17.904149778851341</v>
      </c>
    </row>
    <row r="82" spans="1:12" x14ac:dyDescent="0.3">
      <c r="A82" s="74" t="s">
        <v>90</v>
      </c>
      <c r="B82" s="75">
        <v>6</v>
      </c>
      <c r="C82" s="75">
        <v>-0.43535535800000003</v>
      </c>
      <c r="D82" s="75">
        <v>1.6944265900000002E-2</v>
      </c>
      <c r="E82" s="75">
        <v>-0.74363944300000018</v>
      </c>
      <c r="F82" s="75">
        <v>-8.9072869499999985E-2</v>
      </c>
      <c r="G82" s="75">
        <v>-0.236975874</v>
      </c>
      <c r="H82" s="75">
        <v>-0.44676494</v>
      </c>
      <c r="I82" s="75">
        <v>-0.63559056800000002</v>
      </c>
      <c r="J82" s="75">
        <v>0.531054425</v>
      </c>
      <c r="K82" s="75">
        <v>-0.53832257499999991</v>
      </c>
      <c r="L82" s="71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1.9822968370951561</v>
      </c>
    </row>
    <row r="83" spans="1:12" x14ac:dyDescent="0.3">
      <c r="A83" s="74" t="s">
        <v>91</v>
      </c>
      <c r="B83" s="75">
        <v>6</v>
      </c>
      <c r="C83" s="75">
        <v>0.43447122400000004</v>
      </c>
      <c r="D83" s="75">
        <v>-2.21407029</v>
      </c>
      <c r="E83" s="75">
        <v>1.68656903</v>
      </c>
      <c r="F83" s="75">
        <v>1.9762518</v>
      </c>
      <c r="G83" s="75">
        <v>-0.82327720000000004</v>
      </c>
      <c r="H83" s="75">
        <v>-0.83449568800000007</v>
      </c>
      <c r="I83" s="75">
        <v>4.0017250500000001</v>
      </c>
      <c r="J83" s="75">
        <v>-1.28177578</v>
      </c>
      <c r="K83" s="75">
        <v>-0.75260953100000016</v>
      </c>
      <c r="L83" s="72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31.438300797835456</v>
      </c>
    </row>
    <row r="84" spans="1:12" x14ac:dyDescent="0.3">
      <c r="A84" s="74" t="s">
        <v>92</v>
      </c>
      <c r="B84" s="75">
        <v>6</v>
      </c>
      <c r="C84" s="75">
        <v>1.4314522700000001</v>
      </c>
      <c r="D84" s="75">
        <v>0.3813925600000001</v>
      </c>
      <c r="E84" s="75">
        <v>-0.6404484960000002</v>
      </c>
      <c r="F84" s="75">
        <v>4.0313083199999999</v>
      </c>
      <c r="G84" s="75">
        <v>-0.60989313600000017</v>
      </c>
      <c r="H84" s="75">
        <v>-0.56920622899999995</v>
      </c>
      <c r="I84" s="75">
        <v>3.2937487700000001</v>
      </c>
      <c r="J84" s="75">
        <v>-1.8644712000000001</v>
      </c>
      <c r="K84" s="75">
        <v>-0.3640628050000001</v>
      </c>
      <c r="L84" s="72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34.009677842637942</v>
      </c>
    </row>
    <row r="85" spans="1:12" x14ac:dyDescent="0.3">
      <c r="A85" s="74" t="s">
        <v>93</v>
      </c>
      <c r="B85" s="75">
        <v>6</v>
      </c>
      <c r="C85" s="75">
        <v>-0.64690438400000005</v>
      </c>
      <c r="D85" s="75">
        <v>-0.91880135500000004</v>
      </c>
      <c r="E85" s="75">
        <v>-0.75930536000000004</v>
      </c>
      <c r="F85" s="75">
        <v>-0.45771125099999999</v>
      </c>
      <c r="G85" s="75">
        <v>-0.39045084800000002</v>
      </c>
      <c r="H85" s="75">
        <v>-0.32432365200000007</v>
      </c>
      <c r="I85" s="75">
        <v>-0.34949888600000006</v>
      </c>
      <c r="J85" s="75">
        <v>-0.93647478499999992</v>
      </c>
      <c r="K85" s="75">
        <v>-0.53680639399999996</v>
      </c>
      <c r="L85" s="72">
        <f>(Таблица3[[#This Row],[х1]]-Таблица3[[#Totals],[х1]])^2+(Таблица3[[#This Row],[x2]]-Таблица3[[#Totals],[x2]])^2+(Таблица3[[#This Row],[x3]]-Таблица3[[#Totals],[x3]])^2+(Таблица3[[#This Row],[x4]]-Таблица3[[#Totals],[x4]])^2+(Таблица3[[#This Row],[x5]]-Таблица3[[#Totals],[x5]])^2+(Таблица3[[#This Row],[x6]]-Таблица3[[#Totals],[x6]])^2+(Таблица3[[#This Row],[x7]]-Таблица3[[#Totals],[x7]])^2+(Таблица3[[#This Row],[x8]]-Таблица3[[#Totals],[x8]])^2+(Таблица3[[#This Row],[x9]]-Таблица3[[#Totals],[x9]])^2</f>
        <v>3.5936587268459972</v>
      </c>
    </row>
    <row r="86" spans="1:12" x14ac:dyDescent="0.3">
      <c r="A86" s="27"/>
      <c r="B86" s="28">
        <f>SUBTOTAL(102,Таблица3[Cluster Membership])</f>
        <v>84</v>
      </c>
      <c r="C86" s="2">
        <f t="shared" ref="C86:K86" si="0">SUBTOTAL(101,C1:C85)</f>
        <v>1.9761905603995648E-10</v>
      </c>
      <c r="D86" s="2">
        <f t="shared" si="0"/>
        <v>1.713095353403492E-10</v>
      </c>
      <c r="E86" s="2">
        <f t="shared" si="0"/>
        <v>2.7380933499357309E-11</v>
      </c>
      <c r="F86" s="2">
        <f t="shared" si="0"/>
        <v>2.809523116798998E-11</v>
      </c>
      <c r="G86" s="2">
        <f t="shared" si="0"/>
        <v>-1.1369050740522063E-10</v>
      </c>
      <c r="H86" s="2">
        <f t="shared" si="0"/>
        <v>1.4071426629722711E-10</v>
      </c>
      <c r="I86" s="2">
        <f t="shared" si="0"/>
        <v>7.0237737583750141E-12</v>
      </c>
      <c r="J86" s="2">
        <f t="shared" si="0"/>
        <v>1.2571423531800482E-10</v>
      </c>
      <c r="K86" s="2">
        <f t="shared" si="0"/>
        <v>1.0667854430511711E-10</v>
      </c>
      <c r="L86" s="73">
        <f>SUBTOTAL(109,Таблица3[Расстояние])</f>
        <v>746.9999999181473</v>
      </c>
    </row>
  </sheetData>
  <sortState xmlns:xlrd2="http://schemas.microsoft.com/office/spreadsheetml/2017/richdata2" ref="A2:K84">
    <sortCondition ref="B2:B84"/>
  </sortState>
  <phoneticPr fontId="7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B485-03E8-462A-A727-890088BF2099}">
  <dimension ref="A1:W86"/>
  <sheetViews>
    <sheetView zoomScale="96" workbookViewId="0">
      <selection activeCell="K2" sqref="K1:K1048576"/>
    </sheetView>
  </sheetViews>
  <sheetFormatPr defaultRowHeight="14.4" x14ac:dyDescent="0.3"/>
  <cols>
    <col min="1" max="1" width="41.5546875" style="2" bestFit="1" customWidth="1"/>
    <col min="2" max="10" width="8.88671875" style="2"/>
    <col min="11" max="11" width="11.6640625" style="2" customWidth="1"/>
    <col min="12" max="12" width="10.21875" bestFit="1" customWidth="1"/>
    <col min="14" max="14" width="2" bestFit="1" customWidth="1"/>
    <col min="15" max="22" width="10.5546875" bestFit="1" customWidth="1"/>
    <col min="23" max="23" width="12.77734375" customWidth="1"/>
  </cols>
  <sheetData>
    <row r="1" spans="1:23" ht="26.4" x14ac:dyDescent="0.3">
      <c r="A1" s="84" t="s">
        <v>103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8</v>
      </c>
      <c r="J1" s="85" t="s">
        <v>9</v>
      </c>
      <c r="K1" s="85" t="s">
        <v>110</v>
      </c>
      <c r="L1" s="79" t="s">
        <v>109</v>
      </c>
    </row>
    <row r="2" spans="1:23" hidden="1" x14ac:dyDescent="0.3">
      <c r="A2" s="86" t="s">
        <v>111</v>
      </c>
      <c r="B2" s="87">
        <v>-0.50962256914359705</v>
      </c>
      <c r="C2" s="87">
        <v>-0.58390292229454055</v>
      </c>
      <c r="D2" s="87">
        <v>-0.30895468920520641</v>
      </c>
      <c r="E2" s="87">
        <v>-0.33385007568953712</v>
      </c>
      <c r="F2" s="87">
        <v>-2.0226129632776629E-2</v>
      </c>
      <c r="G2" s="87">
        <v>1.3286337463551301</v>
      </c>
      <c r="H2" s="87">
        <v>-0.77242252862455907</v>
      </c>
      <c r="I2" s="87">
        <v>-0.85014953709969332</v>
      </c>
      <c r="J2" s="87">
        <v>9.6253445752446324E-3</v>
      </c>
      <c r="K2" s="88">
        <v>1</v>
      </c>
      <c r="L2" s="80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11.492367914614553</v>
      </c>
      <c r="N2" s="10"/>
      <c r="O2" s="11" t="s">
        <v>94</v>
      </c>
      <c r="P2" s="11" t="s">
        <v>95</v>
      </c>
      <c r="Q2" s="11" t="s">
        <v>96</v>
      </c>
      <c r="R2" s="11" t="s">
        <v>97</v>
      </c>
      <c r="S2" s="11" t="s">
        <v>98</v>
      </c>
      <c r="T2" s="11" t="s">
        <v>99</v>
      </c>
      <c r="U2" s="11" t="s">
        <v>100</v>
      </c>
      <c r="V2" s="11" t="s">
        <v>101</v>
      </c>
      <c r="W2" s="11" t="s">
        <v>102</v>
      </c>
    </row>
    <row r="3" spans="1:23" hidden="1" x14ac:dyDescent="0.3">
      <c r="A3" s="86" t="s">
        <v>112</v>
      </c>
      <c r="B3" s="87">
        <v>-0.67728642518547644</v>
      </c>
      <c r="C3" s="87">
        <v>-1.0173008941392272</v>
      </c>
      <c r="D3" s="87">
        <v>-5.9127443494535373E-2</v>
      </c>
      <c r="E3" s="87">
        <v>0.43913757987995128</v>
      </c>
      <c r="F3" s="87">
        <v>-0.54325268623819534</v>
      </c>
      <c r="G3" s="87">
        <v>-0.61001999215537184</v>
      </c>
      <c r="H3" s="87">
        <v>0.51976563269984788</v>
      </c>
      <c r="I3" s="87">
        <v>0.70370492055487022</v>
      </c>
      <c r="J3" s="87">
        <v>-0.67235300113430552</v>
      </c>
      <c r="K3" s="88">
        <v>1</v>
      </c>
      <c r="L3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6.1189706002678088</v>
      </c>
      <c r="N3" s="11">
        <v>1</v>
      </c>
      <c r="O3" s="15">
        <v>-0.73728823381011999</v>
      </c>
      <c r="P3" s="15">
        <v>-0.36720393637219689</v>
      </c>
      <c r="Q3" s="15">
        <v>-0.29918578896201231</v>
      </c>
      <c r="R3" s="15">
        <v>2.2317248716847319E-2</v>
      </c>
      <c r="S3" s="15">
        <v>-0.11333601773524003</v>
      </c>
      <c r="T3" s="15">
        <v>-6.8250203770263793E-2</v>
      </c>
      <c r="U3" s="15">
        <v>-0.20443235241407953</v>
      </c>
      <c r="V3" s="15">
        <v>5.696173455079781E-2</v>
      </c>
      <c r="W3" s="15">
        <v>-0.12355732446692121</v>
      </c>
    </row>
    <row r="4" spans="1:23" hidden="1" x14ac:dyDescent="0.3">
      <c r="A4" s="86" t="s">
        <v>117</v>
      </c>
      <c r="B4" s="87">
        <v>-1.1994074265507935</v>
      </c>
      <c r="C4" s="87">
        <v>-9.6330203969267614E-2</v>
      </c>
      <c r="D4" s="87">
        <v>0.35917219399492767</v>
      </c>
      <c r="E4" s="87">
        <v>0.80851463998846607</v>
      </c>
      <c r="F4" s="87">
        <v>-0.27467148149487219</v>
      </c>
      <c r="G4" s="87">
        <v>0.34910343637087654</v>
      </c>
      <c r="H4" s="87">
        <v>0.41666477523965506</v>
      </c>
      <c r="I4" s="87">
        <v>0.20733474658188444</v>
      </c>
      <c r="J4" s="87">
        <v>-0.67225192238142129</v>
      </c>
      <c r="K4" s="88">
        <v>1</v>
      </c>
      <c r="L4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6.2371562078687957</v>
      </c>
      <c r="N4" s="11">
        <v>2</v>
      </c>
      <c r="O4" s="25">
        <v>0.91258202628994711</v>
      </c>
      <c r="P4" s="25">
        <v>0.3004040505602753</v>
      </c>
      <c r="Q4" s="25">
        <v>-0.39215896213538776</v>
      </c>
      <c r="R4" s="25">
        <v>-0.54605035593771156</v>
      </c>
      <c r="S4" s="25">
        <v>0.17692788198053422</v>
      </c>
      <c r="T4" s="25">
        <v>2.5616574740274255E-2</v>
      </c>
      <c r="U4" s="25">
        <v>-0.44898256095176081</v>
      </c>
      <c r="V4" s="25">
        <v>-0.12997316552214103</v>
      </c>
      <c r="W4" s="25">
        <v>0.14126357374807266</v>
      </c>
    </row>
    <row r="5" spans="1:23" hidden="1" x14ac:dyDescent="0.3">
      <c r="A5" s="86" t="s">
        <v>118</v>
      </c>
      <c r="B5" s="87">
        <v>1.1546381227083509</v>
      </c>
      <c r="C5" s="87">
        <v>-7.1705319205364951E-2</v>
      </c>
      <c r="D5" s="87">
        <v>-0.3557183740225347</v>
      </c>
      <c r="E5" s="87">
        <v>-0.21255969168848687</v>
      </c>
      <c r="F5" s="87">
        <v>-0.15148762067274657</v>
      </c>
      <c r="G5" s="87">
        <v>-0.40595117757531896</v>
      </c>
      <c r="H5" s="87">
        <v>-0.33845121679629725</v>
      </c>
      <c r="I5" s="87">
        <v>-0.2027101797436251</v>
      </c>
      <c r="J5" s="87">
        <v>-0.65446206187380607</v>
      </c>
      <c r="K5" s="88">
        <v>2</v>
      </c>
      <c r="L5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6.6947615255439086</v>
      </c>
      <c r="N5" s="11">
        <v>3</v>
      </c>
      <c r="O5" s="25">
        <v>7.3074970814032109E-2</v>
      </c>
      <c r="P5" s="25">
        <v>-3.0663844598860578E-2</v>
      </c>
      <c r="Q5" s="25">
        <v>1.7924172898715078</v>
      </c>
      <c r="R5" s="25">
        <v>-0.17342803105471413</v>
      </c>
      <c r="S5" s="25">
        <v>-0.56905622721186466</v>
      </c>
      <c r="T5" s="25">
        <v>-0.50118329104601023</v>
      </c>
      <c r="U5" s="25">
        <v>-0.34834487319466173</v>
      </c>
      <c r="V5" s="25">
        <v>0.64435631279723049</v>
      </c>
      <c r="W5" s="25">
        <v>-0.57554482555948383</v>
      </c>
    </row>
    <row r="6" spans="1:23" hidden="1" x14ac:dyDescent="0.3">
      <c r="A6" s="86" t="s">
        <v>21</v>
      </c>
      <c r="B6" s="87">
        <v>0.59875929797889738</v>
      </c>
      <c r="C6" s="87">
        <v>0.91329007135074147</v>
      </c>
      <c r="D6" s="87">
        <v>-0.51013152277075646</v>
      </c>
      <c r="E6" s="87">
        <v>-0.42279348608457595</v>
      </c>
      <c r="F6" s="87">
        <v>-0.40795238008930318</v>
      </c>
      <c r="G6" s="87">
        <v>-0.34473053320130309</v>
      </c>
      <c r="H6" s="87">
        <v>-0.35145568019114087</v>
      </c>
      <c r="I6" s="87">
        <v>-0.33219805121483903</v>
      </c>
      <c r="J6" s="87">
        <v>0.55130638128155562</v>
      </c>
      <c r="K6" s="88">
        <v>2</v>
      </c>
      <c r="L6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8.8052008323711135</v>
      </c>
      <c r="N6" s="11">
        <v>4</v>
      </c>
      <c r="O6" s="25">
        <v>-8.4649081681740498E-2</v>
      </c>
      <c r="P6" s="25">
        <v>1.3992211306917544</v>
      </c>
      <c r="Q6" s="25">
        <v>-0.69892973005595005</v>
      </c>
      <c r="R6" s="25">
        <v>0.73239321494839904</v>
      </c>
      <c r="S6" s="25">
        <v>3.2830758722312186</v>
      </c>
      <c r="T6" s="25">
        <v>3.8590870471477849</v>
      </c>
      <c r="U6" s="25">
        <v>1.2051340502009384</v>
      </c>
      <c r="V6" s="25">
        <v>-0.93647478474716905</v>
      </c>
      <c r="W6" s="25">
        <v>2.6552943154833524</v>
      </c>
    </row>
    <row r="7" spans="1:23" hidden="1" x14ac:dyDescent="0.3">
      <c r="A7" s="86" t="s">
        <v>121</v>
      </c>
      <c r="B7" s="87">
        <v>1.250285288906738</v>
      </c>
      <c r="C7" s="87">
        <v>0.65719126980615439</v>
      </c>
      <c r="D7" s="87">
        <v>-0.515065966063879</v>
      </c>
      <c r="E7" s="87">
        <v>-0.64861460267852233</v>
      </c>
      <c r="F7" s="87">
        <v>-0.20533848879170863</v>
      </c>
      <c r="G7" s="87">
        <v>6.3407095958802492E-2</v>
      </c>
      <c r="H7" s="87">
        <v>-0.63330248613102236</v>
      </c>
      <c r="I7" s="87">
        <v>0.48789180143618083</v>
      </c>
      <c r="J7" s="87">
        <v>-0.46119948635925734</v>
      </c>
      <c r="K7" s="88">
        <v>2</v>
      </c>
      <c r="L7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7.9790597851332024</v>
      </c>
      <c r="N7" s="11">
        <v>5</v>
      </c>
      <c r="O7" s="25">
        <v>1.7403363580761253</v>
      </c>
      <c r="P7" s="25">
        <v>3.3585411284062761</v>
      </c>
      <c r="Q7" s="25">
        <v>-0.1353768439474361</v>
      </c>
      <c r="R7" s="25">
        <v>-2.1705811327607378</v>
      </c>
      <c r="S7" s="25">
        <v>-0.56782214481747173</v>
      </c>
      <c r="T7" s="25">
        <v>-0.23249268518227406</v>
      </c>
      <c r="U7" s="25">
        <v>-0.85265986020724938</v>
      </c>
      <c r="V7" s="25">
        <v>2.4410005294603199</v>
      </c>
      <c r="W7" s="25">
        <v>-0.74816206579743905</v>
      </c>
    </row>
    <row r="8" spans="1:23" hidden="1" x14ac:dyDescent="0.3">
      <c r="A8" s="86" t="s">
        <v>123</v>
      </c>
      <c r="B8" s="87">
        <v>-0.59176660599632913</v>
      </c>
      <c r="C8" s="87">
        <v>-0.3869038441833193</v>
      </c>
      <c r="D8" s="87">
        <v>-0.30959152472530083</v>
      </c>
      <c r="E8" s="87">
        <v>-0.51045466164983355</v>
      </c>
      <c r="F8" s="87">
        <v>-0.2302445152967286</v>
      </c>
      <c r="G8" s="87">
        <v>-0.85490256965143518</v>
      </c>
      <c r="H8" s="87">
        <v>-0.52926799993400508</v>
      </c>
      <c r="I8" s="87">
        <v>-1.346519711072679</v>
      </c>
      <c r="J8" s="87">
        <v>-0.24054456881309635</v>
      </c>
      <c r="K8" s="88">
        <v>1</v>
      </c>
      <c r="L8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9.4494056623499567</v>
      </c>
      <c r="N8" s="11">
        <v>6</v>
      </c>
      <c r="O8" s="25">
        <v>-0.65415606473227195</v>
      </c>
      <c r="P8" s="25">
        <v>-0.80826298347676451</v>
      </c>
      <c r="Q8" s="25">
        <v>8.0176315009161489E-2</v>
      </c>
      <c r="R8" s="25">
        <v>2.0307382103809837</v>
      </c>
      <c r="S8" s="25">
        <v>-0.34983831824425665</v>
      </c>
      <c r="T8" s="25">
        <v>-0.40821860884843059</v>
      </c>
      <c r="U8" s="25">
        <v>2.3033320131868518</v>
      </c>
      <c r="V8" s="25">
        <v>-0.89571008446919442</v>
      </c>
      <c r="W8" s="25">
        <v>5.0348851015025738E-2</v>
      </c>
    </row>
    <row r="9" spans="1:23" hidden="1" x14ac:dyDescent="0.3">
      <c r="A9" s="86" t="s">
        <v>30</v>
      </c>
      <c r="B9" s="87">
        <v>0.78217680492404051</v>
      </c>
      <c r="C9" s="87">
        <v>-0.41152872894722192</v>
      </c>
      <c r="D9" s="87">
        <v>-0.533981792766131</v>
      </c>
      <c r="E9" s="87">
        <v>-0.56338741703607953</v>
      </c>
      <c r="F9" s="87">
        <v>0.58424986500257192</v>
      </c>
      <c r="G9" s="87">
        <v>3.1244393146595946</v>
      </c>
      <c r="H9" s="87">
        <v>-0.51145172635804437</v>
      </c>
      <c r="I9" s="87">
        <v>-5.1640996360542681E-2</v>
      </c>
      <c r="J9" s="87">
        <v>0.13425544688143626</v>
      </c>
      <c r="K9" s="88">
        <v>2</v>
      </c>
      <c r="L9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21.70217123368344</v>
      </c>
    </row>
    <row r="10" spans="1:23" x14ac:dyDescent="0.3">
      <c r="A10" s="86" t="s">
        <v>127</v>
      </c>
      <c r="B10" s="87">
        <v>-0.59401712755393943</v>
      </c>
      <c r="C10" s="87">
        <v>0.36169265263932243</v>
      </c>
      <c r="D10" s="87">
        <v>1.1258601821070651</v>
      </c>
      <c r="E10" s="87">
        <v>-4.2682522844140529E-2</v>
      </c>
      <c r="F10" s="87">
        <v>-9.2924801593375433E-2</v>
      </c>
      <c r="G10" s="87">
        <v>-0.83449568819342979</v>
      </c>
      <c r="H10" s="87">
        <v>-0.15101731162741622</v>
      </c>
      <c r="I10" s="87">
        <v>-0.31061673930296979</v>
      </c>
      <c r="J10" s="87">
        <v>-0.71460391983989202</v>
      </c>
      <c r="K10" s="88">
        <v>3</v>
      </c>
      <c r="L10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2.3683956715059287</v>
      </c>
    </row>
    <row r="11" spans="1:23" hidden="1" x14ac:dyDescent="0.3">
      <c r="A11" s="86" t="s">
        <v>129</v>
      </c>
      <c r="B11" s="87">
        <v>0.40859022636092507</v>
      </c>
      <c r="C11" s="87">
        <v>0.24841818272536964</v>
      </c>
      <c r="D11" s="87">
        <v>-0.63389257452729963</v>
      </c>
      <c r="E11" s="87">
        <v>-0.43240515951873265</v>
      </c>
      <c r="F11" s="87">
        <v>0.12247867088247263</v>
      </c>
      <c r="G11" s="87">
        <v>0.10422085887481305</v>
      </c>
      <c r="H11" s="87">
        <v>-0.38164517994711633</v>
      </c>
      <c r="I11" s="87">
        <v>-0.41852329886231449</v>
      </c>
      <c r="J11" s="87">
        <v>0.6668393958281712</v>
      </c>
      <c r="K11" s="88">
        <v>2</v>
      </c>
      <c r="L11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9.6635812087145911</v>
      </c>
    </row>
    <row r="12" spans="1:23" hidden="1" x14ac:dyDescent="0.3">
      <c r="A12" s="86" t="s">
        <v>130</v>
      </c>
      <c r="B12" s="87">
        <v>-1.2545452047122163</v>
      </c>
      <c r="C12" s="87">
        <v>1.7259112685595293</v>
      </c>
      <c r="D12" s="87">
        <v>-0.71721293824351251</v>
      </c>
      <c r="E12" s="87">
        <v>0.92777866747186966</v>
      </c>
      <c r="F12" s="87">
        <v>6.8915327934359984</v>
      </c>
      <c r="G12" s="87">
        <v>3.8590870471477849</v>
      </c>
      <c r="H12" s="87">
        <v>3.0694821077089509</v>
      </c>
      <c r="I12" s="87">
        <v>-0.18112886783175625</v>
      </c>
      <c r="J12" s="87">
        <v>1.3464929302213853</v>
      </c>
      <c r="K12" s="88">
        <v>4</v>
      </c>
      <c r="L12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103.08857368000223</v>
      </c>
    </row>
    <row r="13" spans="1:23" x14ac:dyDescent="0.3">
      <c r="A13" s="86" t="s">
        <v>132</v>
      </c>
      <c r="B13" s="87">
        <v>9.6892990632061804E-2</v>
      </c>
      <c r="C13" s="87">
        <v>-2.1992953628065548</v>
      </c>
      <c r="D13" s="87">
        <v>1.7329891754804394</v>
      </c>
      <c r="E13" s="87">
        <v>-0.17048649312864572</v>
      </c>
      <c r="F13" s="87">
        <v>-0.79567863054582977</v>
      </c>
      <c r="G13" s="87">
        <v>-0.79368192527741932</v>
      </c>
      <c r="H13" s="87">
        <v>7.2950210450722031E-2</v>
      </c>
      <c r="I13" s="87">
        <v>-1.1522879038658584</v>
      </c>
      <c r="J13" s="87">
        <v>-0.82720565055286643</v>
      </c>
      <c r="K13" s="88">
        <v>3</v>
      </c>
      <c r="L13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8.3127366375864558</v>
      </c>
    </row>
    <row r="14" spans="1:23" hidden="1" x14ac:dyDescent="0.3">
      <c r="A14" s="86" t="s">
        <v>42</v>
      </c>
      <c r="B14" s="87">
        <v>-0.39597123048433591</v>
      </c>
      <c r="C14" s="87">
        <v>-0.97790107851698316</v>
      </c>
      <c r="D14" s="87">
        <v>-0.22288951607658244</v>
      </c>
      <c r="E14" s="87">
        <v>3.2830160281538574E-2</v>
      </c>
      <c r="F14" s="87">
        <v>-0.41333746690119944</v>
      </c>
      <c r="G14" s="87">
        <v>-7.9441074247234414E-2</v>
      </c>
      <c r="H14" s="87">
        <v>8.0467671827311016E-2</v>
      </c>
      <c r="I14" s="87">
        <v>-1.6702393897507131</v>
      </c>
      <c r="J14" s="87">
        <v>-0.78455041683574334</v>
      </c>
      <c r="K14" s="88">
        <v>1</v>
      </c>
      <c r="L14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11.008298311816686</v>
      </c>
    </row>
    <row r="15" spans="1:23" hidden="1" x14ac:dyDescent="0.3">
      <c r="A15" s="86" t="s">
        <v>44</v>
      </c>
      <c r="B15" s="87">
        <v>-2.350991270002558E-2</v>
      </c>
      <c r="C15" s="87">
        <v>-0.10125518092204787</v>
      </c>
      <c r="D15" s="87">
        <v>-0.23314975922359857</v>
      </c>
      <c r="E15" s="87">
        <v>-0.72464517793036443</v>
      </c>
      <c r="F15" s="87">
        <v>-0.47728537279246686</v>
      </c>
      <c r="G15" s="87">
        <v>-0.24269612591127676</v>
      </c>
      <c r="H15" s="87">
        <v>-0.81386441169166834</v>
      </c>
      <c r="I15" s="87">
        <v>1.9770023233551373</v>
      </c>
      <c r="J15" s="87">
        <v>-0.39004004432879585</v>
      </c>
      <c r="K15" s="88">
        <v>1</v>
      </c>
      <c r="L15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6.5233773481749786</v>
      </c>
    </row>
    <row r="16" spans="1:23" hidden="1" x14ac:dyDescent="0.3">
      <c r="A16" s="86" t="s">
        <v>142</v>
      </c>
      <c r="B16" s="87">
        <v>-1.3681965433714778</v>
      </c>
      <c r="C16" s="87">
        <v>-0.57405296838897935</v>
      </c>
      <c r="D16" s="87">
        <v>-0.45614134186869687</v>
      </c>
      <c r="E16" s="87">
        <v>0.29532124695162626</v>
      </c>
      <c r="F16" s="87">
        <v>8.0744248090277138E-2</v>
      </c>
      <c r="G16" s="87">
        <v>-9.9847955705239744E-2</v>
      </c>
      <c r="H16" s="87">
        <v>0.28194914869638976</v>
      </c>
      <c r="I16" s="87">
        <v>1.3079816540872007</v>
      </c>
      <c r="J16" s="87">
        <v>-1.3622768588116311E-2</v>
      </c>
      <c r="K16" s="88">
        <v>1</v>
      </c>
      <c r="L16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9.3850133783015721</v>
      </c>
    </row>
    <row r="17" spans="1:23" hidden="1" x14ac:dyDescent="0.3">
      <c r="A17" s="86" t="s">
        <v>143</v>
      </c>
      <c r="B17" s="87">
        <v>1.5799866970964755</v>
      </c>
      <c r="C17" s="87">
        <v>0.76061578581454525</v>
      </c>
      <c r="D17" s="87">
        <v>-0.21339163885778331</v>
      </c>
      <c r="E17" s="87">
        <v>-1.4099380045513255</v>
      </c>
      <c r="F17" s="87">
        <v>-0.43689722170324535</v>
      </c>
      <c r="G17" s="87">
        <v>-0.44676494049132953</v>
      </c>
      <c r="H17" s="87">
        <v>-0.84844855970406818</v>
      </c>
      <c r="I17" s="87">
        <v>-7.3222308272411538E-2</v>
      </c>
      <c r="J17" s="87">
        <v>-0.60361944917306432</v>
      </c>
      <c r="K17" s="88">
        <v>2</v>
      </c>
      <c r="L17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9.2353710962231208</v>
      </c>
    </row>
    <row r="18" spans="1:23" x14ac:dyDescent="0.3">
      <c r="A18" s="86" t="s">
        <v>65</v>
      </c>
      <c r="B18" s="87">
        <v>-0.44323218319412772</v>
      </c>
      <c r="C18" s="87">
        <v>0.30751790615873548</v>
      </c>
      <c r="D18" s="87">
        <v>4.1533658911082521</v>
      </c>
      <c r="E18" s="87">
        <v>2.987572663593006E-2</v>
      </c>
      <c r="F18" s="87">
        <v>-0.4180494178616086</v>
      </c>
      <c r="G18" s="87">
        <v>-0.12025483716324496</v>
      </c>
      <c r="H18" s="87">
        <v>-0.35390574339762987</v>
      </c>
      <c r="I18" s="87">
        <v>0.68212360864300092</v>
      </c>
      <c r="J18" s="87">
        <v>0.11717313764401018</v>
      </c>
      <c r="K18" s="88">
        <v>3</v>
      </c>
      <c r="L18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6.6455757013037271</v>
      </c>
    </row>
    <row r="19" spans="1:23" hidden="1" x14ac:dyDescent="0.3">
      <c r="A19" s="86" t="s">
        <v>160</v>
      </c>
      <c r="B19" s="87">
        <v>-0.70541794465559049</v>
      </c>
      <c r="C19" s="87">
        <v>0.39124251435600538</v>
      </c>
      <c r="D19" s="87">
        <v>-0.48169671664349895</v>
      </c>
      <c r="E19" s="87">
        <v>0.16635461724315534</v>
      </c>
      <c r="F19" s="87">
        <v>-0.37294931581197793</v>
      </c>
      <c r="G19" s="87">
        <v>-0.69164751798739288</v>
      </c>
      <c r="H19" s="87">
        <v>-3.3762251809202441E-2</v>
      </c>
      <c r="I19" s="87">
        <v>1.0490059111447736</v>
      </c>
      <c r="J19" s="87">
        <v>1.5815010306770996</v>
      </c>
      <c r="K19" s="88">
        <v>1</v>
      </c>
      <c r="L19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11.061387849346165</v>
      </c>
    </row>
    <row r="20" spans="1:23" hidden="1" x14ac:dyDescent="0.3">
      <c r="A20" s="86" t="s">
        <v>162</v>
      </c>
      <c r="B20" s="87">
        <v>-1.6517622596302277</v>
      </c>
      <c r="C20" s="87">
        <v>-1.4753237507478165</v>
      </c>
      <c r="D20" s="87">
        <v>0.31847076225017129</v>
      </c>
      <c r="E20" s="87">
        <v>1.3915135578786044</v>
      </c>
      <c r="F20" s="87">
        <v>-0.6529738300305804</v>
      </c>
      <c r="G20" s="87">
        <v>-0.54879934778135586</v>
      </c>
      <c r="H20" s="87">
        <v>2.1548446166321362</v>
      </c>
      <c r="I20" s="87">
        <v>3.4684251286933157E-2</v>
      </c>
      <c r="J20" s="87">
        <v>-0.4011587071460555</v>
      </c>
      <c r="K20" s="88">
        <v>6</v>
      </c>
      <c r="L20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16.361043874803794</v>
      </c>
    </row>
    <row r="21" spans="1:23" hidden="1" x14ac:dyDescent="0.3">
      <c r="A21" s="86" t="s">
        <v>164</v>
      </c>
      <c r="B21" s="87">
        <v>0.94083857473548338</v>
      </c>
      <c r="C21" s="87">
        <v>0.60794150027834903</v>
      </c>
      <c r="D21" s="87">
        <v>0.20178942588489301</v>
      </c>
      <c r="E21" s="87">
        <v>-1.0656263226345346</v>
      </c>
      <c r="F21" s="87">
        <v>-0.59037219584228717</v>
      </c>
      <c r="G21" s="87">
        <v>-0.85490256965143518</v>
      </c>
      <c r="H21" s="87">
        <v>-0.80178299536531594</v>
      </c>
      <c r="I21" s="87">
        <v>-0.93647478474716916</v>
      </c>
      <c r="J21" s="87">
        <v>-0.74836422330320751</v>
      </c>
      <c r="K21" s="88">
        <v>2</v>
      </c>
      <c r="L21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7.3470165843984345</v>
      </c>
    </row>
    <row r="22" spans="1:23" hidden="1" x14ac:dyDescent="0.3">
      <c r="A22" s="86" t="s">
        <v>167</v>
      </c>
      <c r="B22" s="87">
        <v>1.2210285086578205</v>
      </c>
      <c r="C22" s="87">
        <v>-0.77597702345298092</v>
      </c>
      <c r="D22" s="87">
        <v>-0.76107067094529834</v>
      </c>
      <c r="E22" s="87">
        <v>-0.16066322588233975</v>
      </c>
      <c r="F22" s="87">
        <v>5.853076499120527E-2</v>
      </c>
      <c r="G22" s="87">
        <v>0.3286965549128712</v>
      </c>
      <c r="H22" s="87">
        <v>-6.5466078422328619E-3</v>
      </c>
      <c r="I22" s="87">
        <v>0.14259081084627787</v>
      </c>
      <c r="J22" s="87">
        <v>7.3041432143689476E-4</v>
      </c>
      <c r="K22" s="88">
        <v>2</v>
      </c>
      <c r="L22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10.17700658266623</v>
      </c>
    </row>
    <row r="23" spans="1:23" hidden="1" x14ac:dyDescent="0.3">
      <c r="A23" s="86" t="s">
        <v>168</v>
      </c>
      <c r="B23" s="87">
        <v>-0.62439916858166211</v>
      </c>
      <c r="C23" s="87">
        <v>-0.56420301448341814</v>
      </c>
      <c r="D23" s="87">
        <v>-0.38504044890180011</v>
      </c>
      <c r="E23" s="87">
        <v>-0.12648505011812103</v>
      </c>
      <c r="F23" s="87">
        <v>-0.28072970415825543</v>
      </c>
      <c r="G23" s="87">
        <v>-0.79368192527741932</v>
      </c>
      <c r="H23" s="87">
        <v>-0.64246702488247298</v>
      </c>
      <c r="I23" s="87">
        <v>1.9122583876195312</v>
      </c>
      <c r="J23" s="87">
        <v>-0.70479928081012666</v>
      </c>
      <c r="K23" s="88">
        <v>1</v>
      </c>
      <c r="L23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7.3941379291075737</v>
      </c>
    </row>
    <row r="24" spans="1:23" hidden="1" x14ac:dyDescent="0.3">
      <c r="A24" s="86" t="s">
        <v>169</v>
      </c>
      <c r="B24" s="87">
        <v>-0.95860161988661696</v>
      </c>
      <c r="C24" s="87">
        <v>-0.77105204650020065</v>
      </c>
      <c r="D24" s="87">
        <v>6.2179608967183476E-2</v>
      </c>
      <c r="E24" s="87">
        <v>-0.46777220449116913</v>
      </c>
      <c r="F24" s="87">
        <v>-0.53786759942629914</v>
      </c>
      <c r="G24" s="87">
        <v>-0.83449568819342979</v>
      </c>
      <c r="H24" s="87">
        <v>-0.6620545069425926</v>
      </c>
      <c r="I24" s="87">
        <v>-0.15954755591988737</v>
      </c>
      <c r="J24" s="87">
        <v>-0.65719118820167877</v>
      </c>
      <c r="K24" s="88">
        <v>1</v>
      </c>
      <c r="L24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5.556303379744195</v>
      </c>
    </row>
    <row r="25" spans="1:23" hidden="1" x14ac:dyDescent="0.3">
      <c r="A25" s="86" t="s">
        <v>84</v>
      </c>
      <c r="B25" s="87">
        <v>1.4044460156029634</v>
      </c>
      <c r="C25" s="87">
        <v>0.55869173075054368</v>
      </c>
      <c r="D25" s="87">
        <v>-0.70671943466699205</v>
      </c>
      <c r="E25" s="87">
        <v>-0.2618405445734408</v>
      </c>
      <c r="F25" s="87">
        <v>2.479800422790035</v>
      </c>
      <c r="G25" s="87">
        <v>1.2470062205231092</v>
      </c>
      <c r="H25" s="87">
        <v>-0.37069152527278854</v>
      </c>
      <c r="I25" s="87">
        <v>1.3102939375064293E-2</v>
      </c>
      <c r="J25" s="87">
        <v>2.0049199265089217</v>
      </c>
      <c r="K25" s="88">
        <v>2</v>
      </c>
      <c r="L25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27.782861965186022</v>
      </c>
    </row>
    <row r="26" spans="1:23" hidden="1" x14ac:dyDescent="0.3">
      <c r="A26" s="86" t="s">
        <v>174</v>
      </c>
      <c r="B26" s="87">
        <v>-0.71329477010722331</v>
      </c>
      <c r="C26" s="87">
        <v>0.10066887414195368</v>
      </c>
      <c r="D26" s="87">
        <v>-0.5384284862447507</v>
      </c>
      <c r="E26" s="87">
        <v>0.42883352897258353</v>
      </c>
      <c r="F26" s="87">
        <v>0.3399015509127819</v>
      </c>
      <c r="G26" s="87">
        <v>-0.34473053320130309</v>
      </c>
      <c r="H26" s="87">
        <v>0.56073948043681332</v>
      </c>
      <c r="I26" s="87">
        <v>-0.31061673930296979</v>
      </c>
      <c r="J26" s="87">
        <v>1.1717277664846411</v>
      </c>
      <c r="K26" s="88">
        <v>1</v>
      </c>
      <c r="L26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12.073237782188166</v>
      </c>
    </row>
    <row r="27" spans="1:23" hidden="1" x14ac:dyDescent="0.3">
      <c r="A27" s="86" t="s">
        <v>114</v>
      </c>
      <c r="B27" s="87">
        <v>-0.77180833060506004</v>
      </c>
      <c r="C27" s="87">
        <v>-1.007450940233666</v>
      </c>
      <c r="D27" s="87">
        <v>-0.56855580085152779</v>
      </c>
      <c r="E27" s="87">
        <v>-0.19345081591322894</v>
      </c>
      <c r="F27" s="87">
        <v>-0.43420467829729725</v>
      </c>
      <c r="G27" s="87">
        <v>-3.8627311331223844E-2</v>
      </c>
      <c r="H27" s="87">
        <v>-0.64411450924457736</v>
      </c>
      <c r="I27" s="87">
        <v>-0.76382428945221781</v>
      </c>
      <c r="J27" s="87">
        <v>-0.63202257873351853</v>
      </c>
      <c r="K27" s="88">
        <v>1</v>
      </c>
      <c r="L27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9.5483206676261467</v>
      </c>
    </row>
    <row r="28" spans="1:23" hidden="1" x14ac:dyDescent="0.3">
      <c r="A28" s="86" t="s">
        <v>115</v>
      </c>
      <c r="B28" s="87">
        <v>-0.2834451526038797</v>
      </c>
      <c r="C28" s="87">
        <v>-0.44107859066390487</v>
      </c>
      <c r="D28" s="87">
        <v>-0.50203169795271563</v>
      </c>
      <c r="E28" s="87">
        <v>-0.45999517787897731</v>
      </c>
      <c r="F28" s="87">
        <v>-0.32986862131680822</v>
      </c>
      <c r="G28" s="87">
        <v>-0.48757870340734005</v>
      </c>
      <c r="H28" s="87">
        <v>-0.40724223564627771</v>
      </c>
      <c r="I28" s="87">
        <v>0.57421704908365667</v>
      </c>
      <c r="J28" s="87">
        <v>-0.20021414641230925</v>
      </c>
      <c r="K28" s="88">
        <v>1</v>
      </c>
      <c r="L28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5.8488210795019047</v>
      </c>
    </row>
    <row r="29" spans="1:23" hidden="1" x14ac:dyDescent="0.3">
      <c r="A29" s="86" t="s">
        <v>116</v>
      </c>
      <c r="B29" s="87">
        <v>0.30169045237449293</v>
      </c>
      <c r="C29" s="87">
        <v>1.9967850009624586</v>
      </c>
      <c r="D29" s="87">
        <v>-0.64474922714917959</v>
      </c>
      <c r="E29" s="87">
        <v>0.56278830920784495</v>
      </c>
      <c r="F29" s="87">
        <v>-0.25649681350472253</v>
      </c>
      <c r="G29" s="87">
        <v>-3.8627311331223844E-2</v>
      </c>
      <c r="H29" s="87">
        <v>0.19380954929828395</v>
      </c>
      <c r="I29" s="87">
        <v>1.135331158792249</v>
      </c>
      <c r="J29" s="87">
        <v>0.45224920345506092</v>
      </c>
      <c r="K29" s="88">
        <v>2</v>
      </c>
      <c r="L29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12.547608695906694</v>
      </c>
    </row>
    <row r="30" spans="1:23" x14ac:dyDescent="0.3">
      <c r="A30" s="86" t="s">
        <v>17</v>
      </c>
      <c r="B30" s="87">
        <v>0.18916437449403672</v>
      </c>
      <c r="C30" s="87">
        <v>-0.12588006568595053</v>
      </c>
      <c r="D30" s="87">
        <v>1.726512558771808</v>
      </c>
      <c r="E30" s="87">
        <v>-0.51090440440882601</v>
      </c>
      <c r="F30" s="87">
        <v>-0.43824349340621938</v>
      </c>
      <c r="G30" s="87">
        <v>-0.18147548153726087</v>
      </c>
      <c r="H30" s="87">
        <v>-0.40830447235208095</v>
      </c>
      <c r="I30" s="87">
        <v>-0.89331216092343135</v>
      </c>
      <c r="J30" s="87">
        <v>-0.4124795274690834</v>
      </c>
      <c r="K30" s="88">
        <v>3</v>
      </c>
      <c r="L30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2.6547114493919008</v>
      </c>
    </row>
    <row r="31" spans="1:23" hidden="1" x14ac:dyDescent="0.3">
      <c r="A31" s="86" t="s">
        <v>119</v>
      </c>
      <c r="B31" s="87">
        <v>-1.6213802186025041</v>
      </c>
      <c r="C31" s="87">
        <v>-1.2586247648254729</v>
      </c>
      <c r="D31" s="87">
        <v>0.48395994645881424</v>
      </c>
      <c r="E31" s="87">
        <v>2.2071345529215733</v>
      </c>
      <c r="F31" s="87">
        <v>-0.76404124552593955</v>
      </c>
      <c r="G31" s="87">
        <v>-0.65083375507138241</v>
      </c>
      <c r="H31" s="87">
        <v>2.9261652127593814</v>
      </c>
      <c r="I31" s="87">
        <v>-1.1522879038658584</v>
      </c>
      <c r="J31" s="87">
        <v>-0.72147727503601611</v>
      </c>
      <c r="K31" s="88">
        <v>6</v>
      </c>
      <c r="L31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25.790262689146729</v>
      </c>
    </row>
    <row r="32" spans="1:23" hidden="1" x14ac:dyDescent="0.3">
      <c r="A32" s="86" t="s">
        <v>122</v>
      </c>
      <c r="B32" s="87">
        <v>0.28368627991361872</v>
      </c>
      <c r="C32" s="87">
        <v>0.80494057838957034</v>
      </c>
      <c r="D32" s="87">
        <v>-0.7538288006644972</v>
      </c>
      <c r="E32" s="87">
        <v>1.1635767759977234</v>
      </c>
      <c r="F32" s="87">
        <v>1.8638811186794069</v>
      </c>
      <c r="G32" s="87">
        <v>3.1448461961176002</v>
      </c>
      <c r="H32" s="87">
        <v>0.7261789809869057</v>
      </c>
      <c r="I32" s="87">
        <v>-1.1091252800421207</v>
      </c>
      <c r="J32" s="87">
        <v>6.3217913046864034</v>
      </c>
      <c r="K32" s="88">
        <v>4</v>
      </c>
      <c r="L32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80.028802936415644</v>
      </c>
      <c r="O32" s="280" t="s">
        <v>198</v>
      </c>
      <c r="P32" s="282" t="s">
        <v>199</v>
      </c>
      <c r="Q32" s="281"/>
      <c r="R32" s="281"/>
      <c r="S32" s="281"/>
      <c r="T32" s="281"/>
      <c r="U32" s="281"/>
      <c r="V32" s="2"/>
      <c r="W32" s="2"/>
    </row>
    <row r="33" spans="1:23" hidden="1" x14ac:dyDescent="0.3">
      <c r="A33" s="86" t="s">
        <v>25</v>
      </c>
      <c r="B33" s="87">
        <v>-1.5639919188834717</v>
      </c>
      <c r="C33" s="87">
        <v>-1.1256503871003991</v>
      </c>
      <c r="D33" s="87">
        <v>0.21073606309159831</v>
      </c>
      <c r="E33" s="87">
        <v>1.296120966972129</v>
      </c>
      <c r="F33" s="87">
        <v>-0.56479303348578003</v>
      </c>
      <c r="G33" s="87">
        <v>-0.67124063652938759</v>
      </c>
      <c r="H33" s="87">
        <v>1.3162124002854068</v>
      </c>
      <c r="I33" s="87">
        <v>-1.1522879038658584</v>
      </c>
      <c r="J33" s="87">
        <v>-0.57107209074435894</v>
      </c>
      <c r="K33" s="88">
        <v>6</v>
      </c>
      <c r="L33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14.567912329247678</v>
      </c>
      <c r="O33" s="281"/>
      <c r="P33" s="90" t="s">
        <v>200</v>
      </c>
      <c r="Q33" s="90" t="s">
        <v>201</v>
      </c>
      <c r="R33" s="90" t="s">
        <v>202</v>
      </c>
      <c r="S33" s="90" t="s">
        <v>201</v>
      </c>
      <c r="T33" s="90" t="s">
        <v>203</v>
      </c>
      <c r="U33" s="90" t="s">
        <v>204</v>
      </c>
      <c r="V33" s="91" t="s">
        <v>205</v>
      </c>
      <c r="W33" s="91" t="s">
        <v>206</v>
      </c>
    </row>
    <row r="34" spans="1:23" hidden="1" x14ac:dyDescent="0.3">
      <c r="A34" s="86" t="s">
        <v>124</v>
      </c>
      <c r="B34" s="87">
        <v>0.32307040717177937</v>
      </c>
      <c r="C34" s="87">
        <v>-0.59375287620010109</v>
      </c>
      <c r="D34" s="87">
        <v>-0.69147659917873294</v>
      </c>
      <c r="E34" s="87">
        <v>-0.28282996692220519</v>
      </c>
      <c r="F34" s="87">
        <v>0.88110277550835014</v>
      </c>
      <c r="G34" s="87">
        <v>2.1864515847867128E-3</v>
      </c>
      <c r="H34" s="87">
        <v>-0.36056934553714048</v>
      </c>
      <c r="I34" s="87">
        <v>-1.0443813443065137</v>
      </c>
      <c r="J34" s="87">
        <v>2.913354388189103E-2</v>
      </c>
      <c r="K34" s="88">
        <v>2</v>
      </c>
      <c r="L34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12.135227085023265</v>
      </c>
      <c r="O34" s="92" t="s">
        <v>94</v>
      </c>
      <c r="P34" s="93">
        <v>49.331569999999999</v>
      </c>
      <c r="Q34" s="88">
        <v>5</v>
      </c>
      <c r="R34" s="93">
        <v>33.668430000000001</v>
      </c>
      <c r="S34" s="88">
        <v>78</v>
      </c>
      <c r="T34" s="93">
        <v>22.857389999999999</v>
      </c>
      <c r="U34" s="94">
        <v>4.7127340000000003E-14</v>
      </c>
      <c r="V34" s="2">
        <f>P34/Q34</f>
        <v>9.8663139999999991</v>
      </c>
      <c r="W34" s="2">
        <f>R34/S34</f>
        <v>0.4316465384615385</v>
      </c>
    </row>
    <row r="35" spans="1:23" hidden="1" x14ac:dyDescent="0.3">
      <c r="A35" s="86" t="s">
        <v>29</v>
      </c>
      <c r="B35" s="87">
        <v>-0.5625098257474116</v>
      </c>
      <c r="C35" s="87">
        <v>0.11544380500029514</v>
      </c>
      <c r="D35" s="87">
        <v>0.74399524936973926</v>
      </c>
      <c r="E35" s="87">
        <v>-0.25529812252892253</v>
      </c>
      <c r="F35" s="87">
        <v>-0.49478690493112948</v>
      </c>
      <c r="G35" s="87">
        <v>-0.18147548153726087</v>
      </c>
      <c r="H35" s="87">
        <v>-0.44306932270064092</v>
      </c>
      <c r="I35" s="87">
        <v>-7.3222308272411538E-2</v>
      </c>
      <c r="J35" s="87">
        <v>-0.5187132967503546</v>
      </c>
      <c r="K35" s="88">
        <v>1</v>
      </c>
      <c r="L35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2.1660576028894538</v>
      </c>
      <c r="O35" s="92" t="s">
        <v>2</v>
      </c>
      <c r="P35" s="93">
        <v>40.940489999999997</v>
      </c>
      <c r="Q35" s="88">
        <v>5</v>
      </c>
      <c r="R35" s="93">
        <v>42.059510000000003</v>
      </c>
      <c r="S35" s="88">
        <v>78</v>
      </c>
      <c r="T35" s="93">
        <v>15.184950000000001</v>
      </c>
      <c r="U35" s="94">
        <v>2.120211E-10</v>
      </c>
      <c r="V35" s="2">
        <f t="shared" ref="V35:V42" si="0">P35/Q35</f>
        <v>8.1880980000000001</v>
      </c>
      <c r="W35" s="2">
        <f t="shared" ref="W35:W42" si="1">R35/S35</f>
        <v>0.53922448717948723</v>
      </c>
    </row>
    <row r="36" spans="1:23" hidden="1" x14ac:dyDescent="0.3">
      <c r="A36" s="86" t="s">
        <v>126</v>
      </c>
      <c r="B36" s="87">
        <v>-0.99573522558716732</v>
      </c>
      <c r="C36" s="87">
        <v>-0.74642716173629797</v>
      </c>
      <c r="D36" s="87">
        <v>-0.12795296283252566</v>
      </c>
      <c r="E36" s="87">
        <v>0.48232877127976836</v>
      </c>
      <c r="F36" s="87">
        <v>0.63204251045815085</v>
      </c>
      <c r="G36" s="87">
        <v>-0.48757870340734005</v>
      </c>
      <c r="H36" s="87">
        <v>-0.10258623662591485</v>
      </c>
      <c r="I36" s="87">
        <v>-7.3222308272411538E-2</v>
      </c>
      <c r="J36" s="87">
        <v>1.0498267905063221</v>
      </c>
      <c r="K36" s="88">
        <v>1</v>
      </c>
      <c r="L36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10.432483790983285</v>
      </c>
      <c r="O36" s="92" t="s">
        <v>3</v>
      </c>
      <c r="P36" s="93">
        <v>47.040300000000002</v>
      </c>
      <c r="Q36" s="88">
        <v>5</v>
      </c>
      <c r="R36" s="93">
        <v>35.959699999999998</v>
      </c>
      <c r="S36" s="88">
        <v>78</v>
      </c>
      <c r="T36" s="93">
        <v>20.406980000000001</v>
      </c>
      <c r="U36" s="94">
        <v>5.7378060000000005E-13</v>
      </c>
      <c r="V36" s="2">
        <f t="shared" si="0"/>
        <v>9.4080600000000008</v>
      </c>
      <c r="W36" s="2">
        <f t="shared" si="1"/>
        <v>0.46102179487179484</v>
      </c>
    </row>
    <row r="37" spans="1:23" hidden="1" x14ac:dyDescent="0.3">
      <c r="A37" s="86" t="s">
        <v>128</v>
      </c>
      <c r="B37" s="87">
        <v>-1.6146286539296766</v>
      </c>
      <c r="C37" s="87">
        <v>2.1693350863430327E-3</v>
      </c>
      <c r="D37" s="87">
        <v>-0.7077780243899835</v>
      </c>
      <c r="E37" s="87">
        <v>-0.1367135238027849</v>
      </c>
      <c r="F37" s="87">
        <v>0.20729378816983776</v>
      </c>
      <c r="G37" s="87">
        <v>-0.16106860007925553</v>
      </c>
      <c r="H37" s="87">
        <v>-0.38535324072358285</v>
      </c>
      <c r="I37" s="87">
        <v>-9.4803620184280402E-2</v>
      </c>
      <c r="J37" s="87">
        <v>-0.27935880992062073</v>
      </c>
      <c r="K37" s="88">
        <v>1</v>
      </c>
      <c r="L37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10.455596638206156</v>
      </c>
      <c r="O37" s="92" t="s">
        <v>4</v>
      </c>
      <c r="P37" s="93">
        <v>56.574109999999997</v>
      </c>
      <c r="Q37" s="88">
        <v>5</v>
      </c>
      <c r="R37" s="93">
        <v>26.425889999999999</v>
      </c>
      <c r="S37" s="88">
        <v>78</v>
      </c>
      <c r="T37" s="93">
        <v>33.397399999999998</v>
      </c>
      <c r="U37" s="94">
        <v>4.5341499999999999E-18</v>
      </c>
      <c r="V37" s="2">
        <f t="shared" si="0"/>
        <v>11.314821999999999</v>
      </c>
      <c r="W37" s="2">
        <f t="shared" si="1"/>
        <v>0.33879346153846152</v>
      </c>
    </row>
    <row r="38" spans="1:23" hidden="1" x14ac:dyDescent="0.3">
      <c r="A38" s="86" t="s">
        <v>131</v>
      </c>
      <c r="B38" s="87">
        <v>-0.31945349752562652</v>
      </c>
      <c r="C38" s="87">
        <v>0.43064232997824875</v>
      </c>
      <c r="D38" s="87">
        <v>0.17363694316212827</v>
      </c>
      <c r="E38" s="87">
        <v>0.1018966113287126</v>
      </c>
      <c r="F38" s="87">
        <v>-5.5229193910102031E-2</v>
      </c>
      <c r="G38" s="87">
        <v>0.38991719928688701</v>
      </c>
      <c r="H38" s="87">
        <v>-0.50788448316786505</v>
      </c>
      <c r="I38" s="87">
        <v>9.9428187022539749E-2</v>
      </c>
      <c r="J38" s="87">
        <v>0.12495620161609196</v>
      </c>
      <c r="K38" s="88">
        <v>1</v>
      </c>
      <c r="L38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4.9343149972641216</v>
      </c>
      <c r="O38" s="92" t="s">
        <v>5</v>
      </c>
      <c r="P38" s="93">
        <v>39.211379999999998</v>
      </c>
      <c r="Q38" s="88">
        <v>5</v>
      </c>
      <c r="R38" s="93">
        <v>43.788620000000002</v>
      </c>
      <c r="S38" s="88">
        <v>78</v>
      </c>
      <c r="T38" s="93">
        <v>13.969329999999999</v>
      </c>
      <c r="U38" s="94">
        <v>9.5959330000000001E-10</v>
      </c>
      <c r="V38" s="2">
        <f t="shared" si="0"/>
        <v>7.842276</v>
      </c>
      <c r="W38" s="2">
        <f t="shared" si="1"/>
        <v>0.56139256410256411</v>
      </c>
    </row>
    <row r="39" spans="1:23" hidden="1" x14ac:dyDescent="0.3">
      <c r="A39" s="86" t="s">
        <v>37</v>
      </c>
      <c r="B39" s="87">
        <v>0.37145662066037471</v>
      </c>
      <c r="C39" s="87">
        <v>0.25334315967814991</v>
      </c>
      <c r="D39" s="87">
        <v>-0.24591907013702488</v>
      </c>
      <c r="E39" s="87">
        <v>-0.31639823168489478</v>
      </c>
      <c r="F39" s="87">
        <v>-0.47324655768354468</v>
      </c>
      <c r="G39" s="87">
        <v>-0.73246128090340346</v>
      </c>
      <c r="H39" s="87">
        <v>-0.65302712289223741</v>
      </c>
      <c r="I39" s="87">
        <v>-0.24587280356736321</v>
      </c>
      <c r="J39" s="87">
        <v>-0.61766939582396518</v>
      </c>
      <c r="K39" s="88">
        <v>2</v>
      </c>
      <c r="L39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5.2947298159361269</v>
      </c>
      <c r="O39" s="92" t="s">
        <v>6</v>
      </c>
      <c r="P39" s="93">
        <v>49.461880000000001</v>
      </c>
      <c r="Q39" s="88">
        <v>5</v>
      </c>
      <c r="R39" s="93">
        <v>33.538119999999999</v>
      </c>
      <c r="S39" s="88">
        <v>78</v>
      </c>
      <c r="T39" s="93">
        <v>23.006810000000002</v>
      </c>
      <c r="U39" s="94">
        <v>4.0666610000000003E-14</v>
      </c>
      <c r="V39" s="2">
        <f t="shared" si="0"/>
        <v>9.8923760000000005</v>
      </c>
      <c r="W39" s="2">
        <f t="shared" si="1"/>
        <v>0.42997589743589743</v>
      </c>
    </row>
    <row r="40" spans="1:23" hidden="1" x14ac:dyDescent="0.3">
      <c r="A40" s="86" t="s">
        <v>136</v>
      </c>
      <c r="B40" s="87">
        <v>0.99147530978168907</v>
      </c>
      <c r="C40" s="87">
        <v>3.1719196803025942E-2</v>
      </c>
      <c r="D40" s="87">
        <v>-0.52524393875393927</v>
      </c>
      <c r="E40" s="87">
        <v>-0.44642183979430766</v>
      </c>
      <c r="F40" s="87">
        <v>-0.39852847816848486</v>
      </c>
      <c r="G40" s="87">
        <v>-0.32432365174329786</v>
      </c>
      <c r="H40" s="87">
        <v>-0.60986449775917484</v>
      </c>
      <c r="I40" s="87">
        <v>-0.26745411547923209</v>
      </c>
      <c r="J40" s="87">
        <v>-0.47019549536594912</v>
      </c>
      <c r="K40" s="88">
        <v>2</v>
      </c>
      <c r="L40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7.2646783144806069</v>
      </c>
      <c r="O40" s="92" t="s">
        <v>7</v>
      </c>
      <c r="P40" s="93">
        <v>61.75365</v>
      </c>
      <c r="Q40" s="88">
        <v>5</v>
      </c>
      <c r="R40" s="93">
        <v>21.24635</v>
      </c>
      <c r="S40" s="88">
        <v>78</v>
      </c>
      <c r="T40" s="93">
        <v>45.342239999999997</v>
      </c>
      <c r="U40" s="94">
        <v>1.038727E-21</v>
      </c>
      <c r="V40" s="2">
        <f t="shared" si="0"/>
        <v>12.35073</v>
      </c>
      <c r="W40" s="2">
        <f t="shared" si="1"/>
        <v>0.27238910256410254</v>
      </c>
    </row>
    <row r="41" spans="1:23" hidden="1" x14ac:dyDescent="0.3">
      <c r="A41" s="86" t="s">
        <v>137</v>
      </c>
      <c r="B41" s="87">
        <v>-0.64015281948492608</v>
      </c>
      <c r="C41" s="87">
        <v>0.49959200731717651</v>
      </c>
      <c r="D41" s="87">
        <v>-0.65771263994642071</v>
      </c>
      <c r="E41" s="87">
        <v>0.20246502169197902</v>
      </c>
      <c r="F41" s="87">
        <v>0.37961656615051642</v>
      </c>
      <c r="G41" s="87">
        <v>0.73683418407297685</v>
      </c>
      <c r="H41" s="87">
        <v>-0.16444015790868427</v>
      </c>
      <c r="I41" s="87">
        <v>-9.4803620184280402E-2</v>
      </c>
      <c r="J41" s="87">
        <v>-0.37194694756252794</v>
      </c>
      <c r="K41" s="88">
        <v>1</v>
      </c>
      <c r="L41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9.9885951937592594</v>
      </c>
      <c r="O41" s="92" t="s">
        <v>8</v>
      </c>
      <c r="P41" s="93">
        <v>27.30763</v>
      </c>
      <c r="Q41" s="88">
        <v>5</v>
      </c>
      <c r="R41" s="93">
        <v>55.69238</v>
      </c>
      <c r="S41" s="88">
        <v>78</v>
      </c>
      <c r="T41" s="93">
        <v>7.6491439999999997</v>
      </c>
      <c r="U41" s="94">
        <v>6.8240659999999999E-6</v>
      </c>
      <c r="V41" s="2">
        <f t="shared" si="0"/>
        <v>5.4615260000000001</v>
      </c>
      <c r="W41" s="2">
        <f t="shared" si="1"/>
        <v>0.71400487179487182</v>
      </c>
    </row>
    <row r="42" spans="1:23" hidden="1" x14ac:dyDescent="0.3">
      <c r="A42" s="86" t="s">
        <v>138</v>
      </c>
      <c r="B42" s="87">
        <v>0.27243367212557373</v>
      </c>
      <c r="C42" s="87">
        <v>-0.92372633203639687</v>
      </c>
      <c r="D42" s="87">
        <v>-0.60840498013530098</v>
      </c>
      <c r="E42" s="87">
        <v>0.26535322060161992</v>
      </c>
      <c r="F42" s="87">
        <v>0.15613546345682391</v>
      </c>
      <c r="G42" s="87">
        <v>1.9204333086372836</v>
      </c>
      <c r="H42" s="87">
        <v>0.31897725510662484</v>
      </c>
      <c r="I42" s="87">
        <v>-0.2027101797436251</v>
      </c>
      <c r="J42" s="87">
        <v>1.2455549656001647E-2</v>
      </c>
      <c r="K42" s="88">
        <v>1</v>
      </c>
      <c r="L42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14.692495908258655</v>
      </c>
      <c r="O42" s="92" t="s">
        <v>9</v>
      </c>
      <c r="P42" s="93">
        <v>27.28115</v>
      </c>
      <c r="Q42" s="88">
        <v>5</v>
      </c>
      <c r="R42" s="93">
        <v>55.718850000000003</v>
      </c>
      <c r="S42" s="88">
        <v>78</v>
      </c>
      <c r="T42" s="93">
        <v>7.6380949999999999</v>
      </c>
      <c r="U42" s="94">
        <v>6.9423870000000001E-6</v>
      </c>
      <c r="V42" s="2">
        <f t="shared" si="0"/>
        <v>5.4562299999999997</v>
      </c>
      <c r="W42" s="2">
        <f t="shared" si="1"/>
        <v>0.71434423076923081</v>
      </c>
    </row>
    <row r="43" spans="1:23" x14ac:dyDescent="0.3">
      <c r="A43" s="86" t="s">
        <v>139</v>
      </c>
      <c r="B43" s="87">
        <v>0.2589305427799185</v>
      </c>
      <c r="C43" s="87">
        <v>-0.50017831409727143</v>
      </c>
      <c r="D43" s="87">
        <v>1.2297753299975211</v>
      </c>
      <c r="E43" s="87">
        <v>-0.44170611929871867</v>
      </c>
      <c r="F43" s="87">
        <v>-0.63951111300083985</v>
      </c>
      <c r="G43" s="87">
        <v>-0.52839246632335057</v>
      </c>
      <c r="H43" s="87">
        <v>-0.67484489504730194</v>
      </c>
      <c r="I43" s="87">
        <v>0.29365999422936029</v>
      </c>
      <c r="J43" s="87">
        <v>-0.40166410091047633</v>
      </c>
      <c r="K43" s="88">
        <v>3</v>
      </c>
      <c r="L43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0.90905414702394571</v>
      </c>
    </row>
    <row r="44" spans="1:23" x14ac:dyDescent="0.3">
      <c r="A44" s="86" t="s">
        <v>140</v>
      </c>
      <c r="B44" s="87">
        <v>0.91270705526536933</v>
      </c>
      <c r="C44" s="87">
        <v>1.2629634349981589</v>
      </c>
      <c r="D44" s="87">
        <v>1.4361019753689988</v>
      </c>
      <c r="E44" s="87">
        <v>-0.69654602612895222</v>
      </c>
      <c r="F44" s="87">
        <v>-0.61931703745622924</v>
      </c>
      <c r="G44" s="87">
        <v>-0.65083375507138241</v>
      </c>
      <c r="H44" s="87">
        <v>-0.63058666025445997</v>
      </c>
      <c r="I44" s="87">
        <v>-0.37536067503857679</v>
      </c>
      <c r="J44" s="87">
        <v>-0.27784262862735809</v>
      </c>
      <c r="K44" s="88">
        <v>3</v>
      </c>
      <c r="L44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4.0120977860084786</v>
      </c>
    </row>
    <row r="45" spans="1:23" x14ac:dyDescent="0.3">
      <c r="A45" s="86" t="s">
        <v>141</v>
      </c>
      <c r="B45" s="87">
        <v>-1.1566475169562205</v>
      </c>
      <c r="C45" s="87">
        <v>0.73599090105064258</v>
      </c>
      <c r="D45" s="87">
        <v>5.3581182243183862</v>
      </c>
      <c r="E45" s="87">
        <v>-0.51102940747884773</v>
      </c>
      <c r="F45" s="87">
        <v>-0.63479916204043074</v>
      </c>
      <c r="G45" s="87">
        <v>0.45113784366090298</v>
      </c>
      <c r="H45" s="87">
        <v>-0.48073680607057689</v>
      </c>
      <c r="I45" s="87">
        <v>1.9770023233551373</v>
      </c>
      <c r="J45" s="87">
        <v>-0.78525796810593251</v>
      </c>
      <c r="K45" s="88">
        <v>3</v>
      </c>
      <c r="L45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17.676865031826143</v>
      </c>
    </row>
    <row r="46" spans="1:23" hidden="1" x14ac:dyDescent="0.3">
      <c r="A46" s="86" t="s">
        <v>52</v>
      </c>
      <c r="B46" s="87">
        <v>1.3774397569116545</v>
      </c>
      <c r="C46" s="87">
        <v>0.2828930213948328</v>
      </c>
      <c r="D46" s="87">
        <v>-0.69015112374234777</v>
      </c>
      <c r="E46" s="87">
        <v>6.318966308612689E-2</v>
      </c>
      <c r="F46" s="87">
        <v>0.85081166219143411</v>
      </c>
      <c r="G46" s="87">
        <v>-0.18147548153726087</v>
      </c>
      <c r="H46" s="87">
        <v>-0.33686437353348947</v>
      </c>
      <c r="I46" s="87">
        <v>-0.39694198695044564</v>
      </c>
      <c r="J46" s="87">
        <v>0.42596872770517458</v>
      </c>
      <c r="K46" s="88">
        <v>2</v>
      </c>
      <c r="L46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12.224520519999164</v>
      </c>
    </row>
    <row r="47" spans="1:23" hidden="1" x14ac:dyDescent="0.3">
      <c r="A47" s="86" t="s">
        <v>54</v>
      </c>
      <c r="B47" s="87">
        <v>-0.50512152602837834</v>
      </c>
      <c r="C47" s="87">
        <v>0.19424343624478407</v>
      </c>
      <c r="D47" s="87">
        <v>-0.41641013597208254</v>
      </c>
      <c r="E47" s="87">
        <v>-0.30599285463087467</v>
      </c>
      <c r="F47" s="87">
        <v>-0.26524757957405387</v>
      </c>
      <c r="G47" s="87">
        <v>-0.63042687361337701</v>
      </c>
      <c r="H47" s="87">
        <v>-0.18733441132307768</v>
      </c>
      <c r="I47" s="87">
        <v>1.3511442779109384</v>
      </c>
      <c r="J47" s="87">
        <v>-0.60877446557015746</v>
      </c>
      <c r="K47" s="88">
        <v>1</v>
      </c>
      <c r="L47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5.916967906997197</v>
      </c>
    </row>
    <row r="48" spans="1:23" hidden="1" x14ac:dyDescent="0.3">
      <c r="A48" s="86" t="s">
        <v>145</v>
      </c>
      <c r="B48" s="87">
        <v>1.5642330461932115</v>
      </c>
      <c r="C48" s="87">
        <v>1.5436871213066501</v>
      </c>
      <c r="D48" s="87">
        <v>-0.31104987977102705</v>
      </c>
      <c r="E48" s="87">
        <v>-2.0733667944061054</v>
      </c>
      <c r="F48" s="87">
        <v>0.64752463504235236</v>
      </c>
      <c r="G48" s="87">
        <v>-0.36513741465930838</v>
      </c>
      <c r="H48" s="87">
        <v>-0.79923932509279771</v>
      </c>
      <c r="I48" s="87">
        <v>0.31524130614122914</v>
      </c>
      <c r="J48" s="87">
        <v>-0.50334932631195961</v>
      </c>
      <c r="K48" s="88">
        <v>2</v>
      </c>
      <c r="L48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14.551886967220682</v>
      </c>
    </row>
    <row r="49" spans="1:12" hidden="1" x14ac:dyDescent="0.3">
      <c r="A49" s="86" t="s">
        <v>146</v>
      </c>
      <c r="B49" s="87">
        <v>1.063491999625181</v>
      </c>
      <c r="C49" s="87">
        <v>4.7301472097556543</v>
      </c>
      <c r="D49" s="87">
        <v>0.27651410234895812</v>
      </c>
      <c r="E49" s="87">
        <v>-2.260862775143214</v>
      </c>
      <c r="F49" s="87">
        <v>-0.71422919251589967</v>
      </c>
      <c r="G49" s="87">
        <v>-0.69164751798739288</v>
      </c>
      <c r="H49" s="87">
        <v>-0.84562773111865674</v>
      </c>
      <c r="I49" s="87">
        <v>3.4661128452740946</v>
      </c>
      <c r="J49" s="87">
        <v>-0.77969863669730266</v>
      </c>
      <c r="K49" s="88">
        <v>5</v>
      </c>
      <c r="L49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38.61022483055465</v>
      </c>
    </row>
    <row r="50" spans="1:12" x14ac:dyDescent="0.3">
      <c r="A50" s="86" t="s">
        <v>151</v>
      </c>
      <c r="B50" s="87">
        <v>0.85081771243111881</v>
      </c>
      <c r="C50" s="87">
        <v>0.1696185514808814</v>
      </c>
      <c r="D50" s="87">
        <v>0.72864012324563687</v>
      </c>
      <c r="E50" s="87">
        <v>0.31741530811844576</v>
      </c>
      <c r="F50" s="87">
        <v>-0.74452030583281581</v>
      </c>
      <c r="G50" s="87">
        <v>-0.65083375507138241</v>
      </c>
      <c r="H50" s="87">
        <v>-0.75104593064156</v>
      </c>
      <c r="I50" s="87">
        <v>2.0201649471788756</v>
      </c>
      <c r="J50" s="87">
        <v>-0.82579054801248797</v>
      </c>
      <c r="K50" s="88">
        <v>3</v>
      </c>
      <c r="L50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4.1883692201460008</v>
      </c>
    </row>
    <row r="51" spans="1:12" x14ac:dyDescent="0.3">
      <c r="A51" s="86" t="s">
        <v>152</v>
      </c>
      <c r="B51" s="87">
        <v>-0.67278538207025906</v>
      </c>
      <c r="C51" s="87">
        <v>0.43064232997824875</v>
      </c>
      <c r="D51" s="87">
        <v>1.1322965851365052</v>
      </c>
      <c r="E51" s="87">
        <v>0.75492571017690502</v>
      </c>
      <c r="F51" s="87">
        <v>-0.54729150134711746</v>
      </c>
      <c r="G51" s="87">
        <v>-0.36513741465930838</v>
      </c>
      <c r="H51" s="87">
        <v>3.7045388832830602E-2</v>
      </c>
      <c r="I51" s="87">
        <v>0.25049737040562253</v>
      </c>
      <c r="J51" s="87">
        <v>-0.66133541706993004</v>
      </c>
      <c r="K51" s="88">
        <v>3</v>
      </c>
      <c r="L51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2.3967037963191871</v>
      </c>
    </row>
    <row r="52" spans="1:12" hidden="1" x14ac:dyDescent="0.3">
      <c r="A52" s="86" t="s">
        <v>153</v>
      </c>
      <c r="B52" s="87">
        <v>-1.278175681067113</v>
      </c>
      <c r="C52" s="87">
        <v>-0.60360283010566229</v>
      </c>
      <c r="D52" s="87">
        <v>6.0971623643644314E-2</v>
      </c>
      <c r="E52" s="87">
        <v>1.2796273160192106</v>
      </c>
      <c r="F52" s="87">
        <v>-0.4045867008318681</v>
      </c>
      <c r="G52" s="87">
        <v>-0.16106860007925553</v>
      </c>
      <c r="H52" s="87">
        <v>0.54580711846902286</v>
      </c>
      <c r="I52" s="87">
        <v>0.44472917761244307</v>
      </c>
      <c r="J52" s="87">
        <v>-0.55621351407038477</v>
      </c>
      <c r="K52" s="88">
        <v>1</v>
      </c>
      <c r="L52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8.2458720471033367</v>
      </c>
    </row>
    <row r="53" spans="1:12" hidden="1" x14ac:dyDescent="0.3">
      <c r="A53" s="86" t="s">
        <v>66</v>
      </c>
      <c r="B53" s="87">
        <v>1.5338510051654872</v>
      </c>
      <c r="C53" s="87">
        <v>-0.22930458169434212</v>
      </c>
      <c r="D53" s="87">
        <v>-2.4512955784248454E-2</v>
      </c>
      <c r="E53" s="87">
        <v>-1.9659731504490676</v>
      </c>
      <c r="F53" s="87">
        <v>-0.17370110377181844</v>
      </c>
      <c r="G53" s="87">
        <v>0.16544150324882895</v>
      </c>
      <c r="H53" s="87">
        <v>-0.51532624491714407</v>
      </c>
      <c r="I53" s="87">
        <v>0.63896098481926322</v>
      </c>
      <c r="J53" s="87">
        <v>0.57273507689300118</v>
      </c>
      <c r="K53" s="88">
        <v>2</v>
      </c>
      <c r="L53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10.634931200054135</v>
      </c>
    </row>
    <row r="54" spans="1:12" x14ac:dyDescent="0.3">
      <c r="A54" s="86" t="s">
        <v>156</v>
      </c>
      <c r="B54" s="87">
        <v>-7.6397169303839871E-2</v>
      </c>
      <c r="C54" s="87">
        <v>-3.2305503583120836E-2</v>
      </c>
      <c r="D54" s="87">
        <v>0.63645803036576842</v>
      </c>
      <c r="E54" s="87">
        <v>-0.52428023030827664</v>
      </c>
      <c r="F54" s="87">
        <v>-0.54998404475306562</v>
      </c>
      <c r="G54" s="87">
        <v>-0.81408880673542461</v>
      </c>
      <c r="H54" s="87">
        <v>-0.65165313395783375</v>
      </c>
      <c r="I54" s="87">
        <v>1.005843287321035</v>
      </c>
      <c r="J54" s="87">
        <v>-0.60776367804131559</v>
      </c>
      <c r="K54" s="88">
        <v>3</v>
      </c>
      <c r="L54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1.803664089219156</v>
      </c>
    </row>
    <row r="55" spans="1:12" hidden="1" x14ac:dyDescent="0.3">
      <c r="A55" s="86" t="s">
        <v>157</v>
      </c>
      <c r="B55" s="87">
        <v>1.0308594370398481</v>
      </c>
      <c r="C55" s="87">
        <v>0.1696185514808814</v>
      </c>
      <c r="D55" s="87">
        <v>-0.14018981765790467</v>
      </c>
      <c r="E55" s="87">
        <v>-0.57951306589336604</v>
      </c>
      <c r="F55" s="87">
        <v>-0.28813419852461275</v>
      </c>
      <c r="G55" s="87">
        <v>2.1864515847867128E-3</v>
      </c>
      <c r="H55" s="87">
        <v>-0.6887939758345476</v>
      </c>
      <c r="I55" s="87">
        <v>0.70370492055487022</v>
      </c>
      <c r="J55" s="87">
        <v>-0.42026259144116512</v>
      </c>
      <c r="K55" s="88">
        <v>2</v>
      </c>
      <c r="L55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5.3331781144778301</v>
      </c>
    </row>
    <row r="56" spans="1:12" hidden="1" x14ac:dyDescent="0.3">
      <c r="A56" s="86" t="s">
        <v>158</v>
      </c>
      <c r="B56" s="87">
        <v>-2.0366014459813875</v>
      </c>
      <c r="C56" s="87">
        <v>-0.24900448950546383</v>
      </c>
      <c r="D56" s="87">
        <v>0.31354269173625721</v>
      </c>
      <c r="E56" s="87">
        <v>1.7440124123261671</v>
      </c>
      <c r="F56" s="87">
        <v>-0.28140284000974253</v>
      </c>
      <c r="G56" s="87">
        <v>-0.22228924445327142</v>
      </c>
      <c r="H56" s="87">
        <v>1.6609961205632846</v>
      </c>
      <c r="I56" s="87">
        <v>0.66054229673113252</v>
      </c>
      <c r="J56" s="87">
        <v>0.85383508866390068</v>
      </c>
      <c r="K56" s="88">
        <v>6</v>
      </c>
      <c r="L56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16.60342166657442</v>
      </c>
    </row>
    <row r="57" spans="1:12" hidden="1" x14ac:dyDescent="0.3">
      <c r="A57" s="86" t="s">
        <v>163</v>
      </c>
      <c r="B57" s="87">
        <v>0.71916220131098485</v>
      </c>
      <c r="C57" s="87">
        <v>0.2336432518670282</v>
      </c>
      <c r="D57" s="87">
        <v>0.25552188181876478</v>
      </c>
      <c r="E57" s="87">
        <v>-0.86229009325988037</v>
      </c>
      <c r="F57" s="87">
        <v>-0.24976545498985223</v>
      </c>
      <c r="G57" s="87">
        <v>-0.67124063652938759</v>
      </c>
      <c r="H57" s="87">
        <v>-0.77860262991866913</v>
      </c>
      <c r="I57" s="87">
        <v>3.4684251286933157E-2</v>
      </c>
      <c r="J57" s="87">
        <v>-0.74482646695226118</v>
      </c>
      <c r="K57" s="88">
        <v>2</v>
      </c>
      <c r="L57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4.0402095185916185</v>
      </c>
    </row>
    <row r="58" spans="1:12" hidden="1" x14ac:dyDescent="0.3">
      <c r="A58" s="86" t="s">
        <v>165</v>
      </c>
      <c r="B58" s="87">
        <v>0.71691167975337611</v>
      </c>
      <c r="C58" s="87">
        <v>1.6668115451261634</v>
      </c>
      <c r="D58" s="87">
        <v>-0.62574745125984044</v>
      </c>
      <c r="E58" s="87">
        <v>0.1058242013756038</v>
      </c>
      <c r="F58" s="87">
        <v>1.0938137045782501</v>
      </c>
      <c r="G58" s="87">
        <v>4.5733278981779693</v>
      </c>
      <c r="H58" s="87">
        <v>-0.18025893809304158</v>
      </c>
      <c r="I58" s="87">
        <v>-1.5191702063676304</v>
      </c>
      <c r="J58" s="87">
        <v>0.29759871154226825</v>
      </c>
      <c r="K58" s="88">
        <v>4</v>
      </c>
      <c r="L58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43.208730667770325</v>
      </c>
    </row>
    <row r="59" spans="1:12" x14ac:dyDescent="0.3">
      <c r="A59" s="86" t="s">
        <v>166</v>
      </c>
      <c r="B59" s="87">
        <v>2.2900262485221545</v>
      </c>
      <c r="C59" s="87">
        <v>-1.6476979440951351</v>
      </c>
      <c r="D59" s="87">
        <v>0.33908836426648992</v>
      </c>
      <c r="E59" s="87">
        <v>-3.8153166030944402E-2</v>
      </c>
      <c r="F59" s="87">
        <v>-0.7236530944367181</v>
      </c>
      <c r="G59" s="87">
        <v>-0.71205439944539817</v>
      </c>
      <c r="H59" s="87">
        <v>-0.11980098305582988</v>
      </c>
      <c r="I59" s="87">
        <v>3.2287184142435361</v>
      </c>
      <c r="J59" s="87">
        <v>-0.78586444062323768</v>
      </c>
      <c r="K59" s="88">
        <v>3</v>
      </c>
      <c r="L59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16.503897439078486</v>
      </c>
    </row>
    <row r="60" spans="1:12" x14ac:dyDescent="0.3">
      <c r="A60" s="86" t="s">
        <v>170</v>
      </c>
      <c r="B60" s="87">
        <v>-0.77855989527788771</v>
      </c>
      <c r="C60" s="87">
        <v>0.86896527877571639</v>
      </c>
      <c r="D60" s="87">
        <v>1.9098010382912201</v>
      </c>
      <c r="E60" s="87">
        <v>-0.24756474796049835</v>
      </c>
      <c r="F60" s="87">
        <v>-0.62470212426812533</v>
      </c>
      <c r="G60" s="87">
        <v>-0.81408880673542461</v>
      </c>
      <c r="H60" s="87">
        <v>-6.8238141214804163E-2</v>
      </c>
      <c r="I60" s="87">
        <v>1.005843287321035</v>
      </c>
      <c r="J60" s="87">
        <v>-0.72390316510523633</v>
      </c>
      <c r="K60" s="88">
        <v>3</v>
      </c>
      <c r="L60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1.8860388405253792</v>
      </c>
    </row>
    <row r="61" spans="1:12" hidden="1" x14ac:dyDescent="0.3">
      <c r="A61" s="86" t="s">
        <v>172</v>
      </c>
      <c r="B61" s="87">
        <v>0.79905571660610963</v>
      </c>
      <c r="C61" s="87">
        <v>0.2336432518670282</v>
      </c>
      <c r="D61" s="87">
        <v>-0.5603604108549588</v>
      </c>
      <c r="E61" s="87">
        <v>-0.34491609864827899</v>
      </c>
      <c r="F61" s="87">
        <v>1.4243234076583793</v>
      </c>
      <c r="G61" s="87">
        <v>-0.24269612591127676</v>
      </c>
      <c r="H61" s="87">
        <v>-0.46394369842503369</v>
      </c>
      <c r="I61" s="87">
        <v>-0.26745411547923209</v>
      </c>
      <c r="J61" s="87">
        <v>1.8653301687758717</v>
      </c>
      <c r="K61" s="88">
        <v>2</v>
      </c>
      <c r="L61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17.004887417600528</v>
      </c>
    </row>
    <row r="62" spans="1:12" hidden="1" x14ac:dyDescent="0.3">
      <c r="A62" s="86" t="s">
        <v>173</v>
      </c>
      <c r="B62" s="87">
        <v>0.29943993081688269</v>
      </c>
      <c r="C62" s="87">
        <v>0.32721781396985788</v>
      </c>
      <c r="D62" s="87">
        <v>-0.49765760773196632</v>
      </c>
      <c r="E62" s="87">
        <v>-0.17999626760685447</v>
      </c>
      <c r="F62" s="87">
        <v>-0.30496259481178839</v>
      </c>
      <c r="G62" s="87">
        <v>-0.34473053320130309</v>
      </c>
      <c r="H62" s="87">
        <v>-0.40352603512493995</v>
      </c>
      <c r="I62" s="87">
        <v>-0.18112886783175625</v>
      </c>
      <c r="J62" s="87">
        <v>-0.3544603233135652</v>
      </c>
      <c r="K62" s="88">
        <v>2</v>
      </c>
      <c r="L62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6.2513785683368086</v>
      </c>
    </row>
    <row r="63" spans="1:12" hidden="1" x14ac:dyDescent="0.3">
      <c r="A63" s="86" t="s">
        <v>90</v>
      </c>
      <c r="B63" s="87">
        <v>0.46260274374354449</v>
      </c>
      <c r="C63" s="87">
        <v>0.5931665694200069</v>
      </c>
      <c r="D63" s="87">
        <v>-0.74158797889141226</v>
      </c>
      <c r="E63" s="87">
        <v>-0.19203514765274102</v>
      </c>
      <c r="F63" s="87">
        <v>1.5024071664308745</v>
      </c>
      <c r="G63" s="87">
        <v>-7.9441074247234414E-2</v>
      </c>
      <c r="H63" s="87">
        <v>-0.28405370880357678</v>
      </c>
      <c r="I63" s="87">
        <v>-0.33219805121483903</v>
      </c>
      <c r="J63" s="87">
        <v>0.50865114756443242</v>
      </c>
      <c r="K63" s="88">
        <v>2</v>
      </c>
      <c r="L63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13.564524974704845</v>
      </c>
    </row>
    <row r="64" spans="1:12" hidden="1" x14ac:dyDescent="0.3">
      <c r="A64" s="86" t="s">
        <v>26</v>
      </c>
      <c r="B64" s="87">
        <v>0.13740237866902599</v>
      </c>
      <c r="C64" s="87">
        <v>-0.21452965083600067</v>
      </c>
      <c r="D64" s="87">
        <v>-0.67967054311064468</v>
      </c>
      <c r="E64" s="87">
        <v>1.2682984339281271</v>
      </c>
      <c r="F64" s="87">
        <v>1.2257483314697071</v>
      </c>
      <c r="G64" s="87">
        <v>0.59398601386693994</v>
      </c>
      <c r="H64" s="87">
        <v>1.3369683427219106</v>
      </c>
      <c r="I64" s="87">
        <v>-1.7781459493100578</v>
      </c>
      <c r="J64" s="87">
        <v>1.6256724456874851</v>
      </c>
      <c r="K64" s="88">
        <v>6</v>
      </c>
      <c r="L64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26.2026126350965</v>
      </c>
    </row>
    <row r="65" spans="1:12" hidden="1" x14ac:dyDescent="0.3">
      <c r="A65" s="86" t="s">
        <v>144</v>
      </c>
      <c r="B65" s="87">
        <v>0.6527718153615153</v>
      </c>
      <c r="C65" s="87">
        <v>-1.007450940233666</v>
      </c>
      <c r="D65" s="87">
        <v>-0.2959927450473927</v>
      </c>
      <c r="E65" s="87">
        <v>-0.53335129220288968</v>
      </c>
      <c r="F65" s="87">
        <v>0.37086580008118497</v>
      </c>
      <c r="G65" s="87">
        <v>2.1864515847867128E-3</v>
      </c>
      <c r="H65" s="87">
        <v>-0.55948761674600767</v>
      </c>
      <c r="I65" s="87">
        <v>0.16417212275814672</v>
      </c>
      <c r="J65" s="87">
        <v>-4.6574442028358386E-2</v>
      </c>
      <c r="K65" s="88">
        <v>2</v>
      </c>
      <c r="L65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7.4729649860003056</v>
      </c>
    </row>
    <row r="66" spans="1:12" hidden="1" x14ac:dyDescent="0.3">
      <c r="A66" s="86" t="s">
        <v>147</v>
      </c>
      <c r="B66" s="87">
        <v>-0.17992116095385979</v>
      </c>
      <c r="C66" s="87">
        <v>-1.7264975753396234</v>
      </c>
      <c r="D66" s="87">
        <v>-0.5312351593105985</v>
      </c>
      <c r="E66" s="87">
        <v>1.5963929397055054</v>
      </c>
      <c r="F66" s="87">
        <v>-0.60720059212946265</v>
      </c>
      <c r="G66" s="87">
        <v>-0.22228924445327142</v>
      </c>
      <c r="H66" s="87">
        <v>2.2486120356347832</v>
      </c>
      <c r="I66" s="87">
        <v>-1.2601944634252031</v>
      </c>
      <c r="J66" s="87">
        <v>-0.22972914225448929</v>
      </c>
      <c r="K66" s="88">
        <v>6</v>
      </c>
      <c r="L66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22.041810272286302</v>
      </c>
    </row>
    <row r="67" spans="1:12" hidden="1" x14ac:dyDescent="0.3">
      <c r="A67" s="86" t="s">
        <v>148</v>
      </c>
      <c r="B67" s="87">
        <v>-1.1780274717535069</v>
      </c>
      <c r="C67" s="87">
        <v>-0.53465315276673531</v>
      </c>
      <c r="D67" s="87">
        <v>-0.73976757361522538</v>
      </c>
      <c r="E67" s="87">
        <v>0.2944202322117635</v>
      </c>
      <c r="F67" s="87">
        <v>0.98543883248883901</v>
      </c>
      <c r="G67" s="87">
        <v>0.9613098801110348</v>
      </c>
      <c r="H67" s="87">
        <v>-9.6755257710515706E-3</v>
      </c>
      <c r="I67" s="87">
        <v>-1.001218720482776</v>
      </c>
      <c r="J67" s="87">
        <v>0.74416464178456743</v>
      </c>
      <c r="K67" s="88">
        <v>1</v>
      </c>
      <c r="L67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17.569693086410012</v>
      </c>
    </row>
    <row r="68" spans="1:12" hidden="1" x14ac:dyDescent="0.3">
      <c r="A68" s="86" t="s">
        <v>154</v>
      </c>
      <c r="B68" s="87">
        <v>0.91833335915939185</v>
      </c>
      <c r="C68" s="87">
        <v>1.1940137576592313</v>
      </c>
      <c r="D68" s="87">
        <v>-0.50136485042106782</v>
      </c>
      <c r="E68" s="87">
        <v>-1.9062335445633831</v>
      </c>
      <c r="F68" s="87">
        <v>-0.63951111300083985</v>
      </c>
      <c r="G68" s="87">
        <v>-0.73246128090340346</v>
      </c>
      <c r="H68" s="87">
        <v>-0.45995725837394363</v>
      </c>
      <c r="I68" s="87">
        <v>-0.59117379415726612</v>
      </c>
      <c r="J68" s="87">
        <v>4.9753609470263381E-2</v>
      </c>
      <c r="K68" s="88">
        <v>2</v>
      </c>
      <c r="L68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12.46679192940312</v>
      </c>
    </row>
    <row r="69" spans="1:12" hidden="1" x14ac:dyDescent="0.3">
      <c r="A69" s="86" t="s">
        <v>155</v>
      </c>
      <c r="B69" s="87">
        <v>-0.5028710044707696</v>
      </c>
      <c r="C69" s="87">
        <v>-0.8104518621224448</v>
      </c>
      <c r="D69" s="87">
        <v>0.23839430299391681</v>
      </c>
      <c r="E69" s="87">
        <v>-0.28588767080761451</v>
      </c>
      <c r="F69" s="87">
        <v>-0.34669701760398397</v>
      </c>
      <c r="G69" s="87">
        <v>2.1864515847867128E-3</v>
      </c>
      <c r="H69" s="87">
        <v>-0.60792642450513812</v>
      </c>
      <c r="I69" s="87">
        <v>0.22891605849375368</v>
      </c>
      <c r="J69" s="87">
        <v>-3.8181295583510429E-3</v>
      </c>
      <c r="K69" s="88">
        <v>1</v>
      </c>
      <c r="L69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4.237087050527923</v>
      </c>
    </row>
    <row r="70" spans="1:12" hidden="1" x14ac:dyDescent="0.3">
      <c r="A70" s="86" t="s">
        <v>113</v>
      </c>
      <c r="B70" s="87">
        <v>0.9464648786295059</v>
      </c>
      <c r="C70" s="87">
        <v>-5.2005411394242543E-2</v>
      </c>
      <c r="D70" s="87">
        <v>-0.43541354394006082</v>
      </c>
      <c r="E70" s="87">
        <v>-0.67678780183026599</v>
      </c>
      <c r="F70" s="87">
        <v>0.95851339842935812</v>
      </c>
      <c r="G70" s="87">
        <v>1.0429374059430563</v>
      </c>
      <c r="H70" s="87">
        <v>-0.55942575468498013</v>
      </c>
      <c r="I70" s="87">
        <v>-5.1640996360542681E-2</v>
      </c>
      <c r="J70" s="87">
        <v>2.4487531204679587E-3</v>
      </c>
      <c r="K70" s="88">
        <v>2</v>
      </c>
      <c r="L70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11.560688334396483</v>
      </c>
    </row>
    <row r="71" spans="1:12" hidden="1" x14ac:dyDescent="0.3">
      <c r="A71" s="86" t="s">
        <v>134</v>
      </c>
      <c r="B71" s="87">
        <v>1.2345316380034741</v>
      </c>
      <c r="C71" s="87">
        <v>0.53899182293942127</v>
      </c>
      <c r="D71" s="87">
        <v>0.33708705728736604</v>
      </c>
      <c r="E71" s="87">
        <v>-0.58823574260173961</v>
      </c>
      <c r="F71" s="87">
        <v>-0.40929865179227726</v>
      </c>
      <c r="G71" s="87">
        <v>-0.61001999215537184</v>
      </c>
      <c r="H71" s="87">
        <v>-0.72553474925079942</v>
      </c>
      <c r="I71" s="87">
        <v>-0.59117379415726612</v>
      </c>
      <c r="J71" s="87">
        <v>-0.25378588544092368</v>
      </c>
      <c r="K71" s="88">
        <v>2</v>
      </c>
      <c r="L71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5.7732442664983514</v>
      </c>
    </row>
    <row r="72" spans="1:12" hidden="1" x14ac:dyDescent="0.3">
      <c r="A72" s="86" t="s">
        <v>149</v>
      </c>
      <c r="B72" s="87">
        <v>-0.51412361225881464</v>
      </c>
      <c r="C72" s="87">
        <v>-0.77597702345298092</v>
      </c>
      <c r="D72" s="87">
        <v>0.14817077905030762</v>
      </c>
      <c r="E72" s="87">
        <v>-8.2986284770196858E-2</v>
      </c>
      <c r="F72" s="87">
        <v>-0.38035381017833519</v>
      </c>
      <c r="G72" s="87">
        <v>-0.42635805903332424</v>
      </c>
      <c r="H72" s="87">
        <v>-0.43233991799753768</v>
      </c>
      <c r="I72" s="87">
        <v>-0.52642985842165924</v>
      </c>
      <c r="J72" s="87">
        <v>-0.14340788729140114</v>
      </c>
      <c r="K72" s="88">
        <v>1</v>
      </c>
      <c r="L72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5.2177653855796624</v>
      </c>
    </row>
    <row r="73" spans="1:12" hidden="1" x14ac:dyDescent="0.3">
      <c r="A73" s="86" t="s">
        <v>150</v>
      </c>
      <c r="B73" s="87">
        <v>-1.3029314182008134</v>
      </c>
      <c r="C73" s="87">
        <v>-1.1207254101476181</v>
      </c>
      <c r="D73" s="87">
        <v>0.13331336824043333</v>
      </c>
      <c r="E73" s="87">
        <v>8.1475684588846117E-3</v>
      </c>
      <c r="F73" s="87">
        <v>-0.24707291158390424</v>
      </c>
      <c r="G73" s="87">
        <v>-5.9034192789229181E-2</v>
      </c>
      <c r="H73" s="87">
        <v>9.4559605137061742E-2</v>
      </c>
      <c r="I73" s="87">
        <v>5.6265563198802021E-2</v>
      </c>
      <c r="J73" s="87">
        <v>0.23826548359925567</v>
      </c>
      <c r="K73" s="88">
        <v>1</v>
      </c>
      <c r="L73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7.3706947270212559</v>
      </c>
    </row>
    <row r="74" spans="1:12" hidden="1" x14ac:dyDescent="0.3">
      <c r="A74" s="86" t="s">
        <v>64</v>
      </c>
      <c r="B74" s="87">
        <v>0.74504319922349016</v>
      </c>
      <c r="C74" s="87">
        <v>-0.3869038441833193</v>
      </c>
      <c r="D74" s="87">
        <v>-0.32901328528880608</v>
      </c>
      <c r="E74" s="87">
        <v>-0.14185513996330273</v>
      </c>
      <c r="F74" s="87">
        <v>-0.17437423962330545</v>
      </c>
      <c r="G74" s="87">
        <v>0.41032408074489229</v>
      </c>
      <c r="H74" s="87">
        <v>-0.22722974286449604</v>
      </c>
      <c r="I74" s="87">
        <v>-0.76382428945221781</v>
      </c>
      <c r="J74" s="87">
        <v>0.23058349838005815</v>
      </c>
      <c r="K74" s="88">
        <v>2</v>
      </c>
      <c r="L74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8.7140166881326699</v>
      </c>
    </row>
    <row r="75" spans="1:12" hidden="1" x14ac:dyDescent="0.3">
      <c r="A75" s="86" t="s">
        <v>159</v>
      </c>
      <c r="B75" s="87">
        <v>1.0274836547034343</v>
      </c>
      <c r="C75" s="87">
        <v>0.49466703036439624</v>
      </c>
      <c r="D75" s="87">
        <v>-0.51803533367574983</v>
      </c>
      <c r="E75" s="87">
        <v>0.89869504951513512</v>
      </c>
      <c r="F75" s="87">
        <v>5.651135743674416E-2</v>
      </c>
      <c r="G75" s="87">
        <v>0.57357913240893454</v>
      </c>
      <c r="H75" s="87">
        <v>0.35288336237118262</v>
      </c>
      <c r="I75" s="87">
        <v>-0.39694198695044564</v>
      </c>
      <c r="J75" s="87">
        <v>2.1979803445177022</v>
      </c>
      <c r="K75" s="88">
        <v>2</v>
      </c>
      <c r="L75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18.489421815917858</v>
      </c>
    </row>
    <row r="76" spans="1:12" hidden="1" x14ac:dyDescent="0.3">
      <c r="A76" s="86" t="s">
        <v>161</v>
      </c>
      <c r="B76" s="87">
        <v>-0.84607554200616075</v>
      </c>
      <c r="C76" s="87">
        <v>0.2828930213948328</v>
      </c>
      <c r="D76" s="87">
        <v>-0.56361560661303411</v>
      </c>
      <c r="E76" s="87">
        <v>0.22833990467650395</v>
      </c>
      <c r="F76" s="87">
        <v>-7.4365484545232015E-3</v>
      </c>
      <c r="G76" s="87">
        <v>-0.54879934778135586</v>
      </c>
      <c r="H76" s="87">
        <v>-0.48746064232214059</v>
      </c>
      <c r="I76" s="87">
        <v>-8.4783725368049543E-3</v>
      </c>
      <c r="J76" s="87">
        <v>-0.58603174617121734</v>
      </c>
      <c r="K76" s="88">
        <v>1</v>
      </c>
      <c r="L76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7.4188043084540345</v>
      </c>
    </row>
    <row r="77" spans="1:12" hidden="1" x14ac:dyDescent="0.3">
      <c r="A77" s="86" t="s">
        <v>83</v>
      </c>
      <c r="B77" s="87">
        <v>-0.59401712755393943</v>
      </c>
      <c r="C77" s="87">
        <v>3.6644173755806898E-2</v>
      </c>
      <c r="D77" s="87">
        <v>-0.42749969713858088</v>
      </c>
      <c r="E77" s="87">
        <v>-0.3086537259058616</v>
      </c>
      <c r="F77" s="87">
        <v>-0.26726698712851499</v>
      </c>
      <c r="G77" s="87">
        <v>0.30828967345486585</v>
      </c>
      <c r="H77" s="87">
        <v>-0.61313057038908847</v>
      </c>
      <c r="I77" s="87">
        <v>-0.41852329886231449</v>
      </c>
      <c r="J77" s="87">
        <v>-0.54519593000600941</v>
      </c>
      <c r="K77" s="88">
        <v>1</v>
      </c>
      <c r="L77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7.3429284702732627</v>
      </c>
    </row>
    <row r="78" spans="1:12" hidden="1" x14ac:dyDescent="0.3">
      <c r="A78" s="86" t="s">
        <v>171</v>
      </c>
      <c r="B78" s="87">
        <v>-1.5932486991323902</v>
      </c>
      <c r="C78" s="87">
        <v>-0.66762753049180901</v>
      </c>
      <c r="D78" s="87">
        <v>-0.71118363659641282</v>
      </c>
      <c r="E78" s="87">
        <v>0.54222945013741342</v>
      </c>
      <c r="F78" s="87">
        <v>-0.34737015345547095</v>
      </c>
      <c r="G78" s="87">
        <v>-0.2018823629952661</v>
      </c>
      <c r="H78" s="87">
        <v>0.52267640546609651</v>
      </c>
      <c r="I78" s="87">
        <v>0.12100949893440899</v>
      </c>
      <c r="J78" s="87">
        <v>0.36471500345736252</v>
      </c>
      <c r="K78" s="88">
        <v>1</v>
      </c>
      <c r="L78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12.017924801919877</v>
      </c>
    </row>
    <row r="79" spans="1:12" hidden="1" x14ac:dyDescent="0.3">
      <c r="A79" s="86" t="s">
        <v>87</v>
      </c>
      <c r="B79" s="87">
        <v>-0.83707345577572445</v>
      </c>
      <c r="C79" s="87">
        <v>0.60794150027834903</v>
      </c>
      <c r="D79" s="87">
        <v>-0.44033746262788098</v>
      </c>
      <c r="E79" s="87">
        <v>2.765610901627507</v>
      </c>
      <c r="F79" s="87">
        <v>-7.0711318494303566E-2</v>
      </c>
      <c r="G79" s="87">
        <v>-0.54879934778135586</v>
      </c>
      <c r="H79" s="87">
        <v>1.7907155717040815</v>
      </c>
      <c r="I79" s="87">
        <v>-0.26745411547923209</v>
      </c>
      <c r="J79" s="87">
        <v>1.0137416757266706</v>
      </c>
      <c r="K79" s="88">
        <v>6</v>
      </c>
      <c r="L79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23.042754941678247</v>
      </c>
    </row>
    <row r="80" spans="1:12" hidden="1" x14ac:dyDescent="0.3">
      <c r="A80" s="86" t="s">
        <v>120</v>
      </c>
      <c r="B80" s="87">
        <v>-0.77630937372027742</v>
      </c>
      <c r="C80" s="87">
        <v>0.1696185514808814</v>
      </c>
      <c r="D80" s="87">
        <v>-0.66571604149682984</v>
      </c>
      <c r="E80" s="87">
        <v>-0.14499569256225814</v>
      </c>
      <c r="F80" s="87">
        <v>1.063522591261334</v>
      </c>
      <c r="G80" s="87">
        <v>0.59398601386693994</v>
      </c>
      <c r="H80" s="87">
        <v>-0.24752416176675501</v>
      </c>
      <c r="I80" s="87">
        <v>-0.26745411547923209</v>
      </c>
      <c r="J80" s="87">
        <v>0.52866474063549951</v>
      </c>
      <c r="K80" s="88">
        <v>1</v>
      </c>
      <c r="L80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12.730345919569482</v>
      </c>
    </row>
    <row r="81" spans="1:12" hidden="1" x14ac:dyDescent="0.3">
      <c r="A81" s="86" t="s">
        <v>125</v>
      </c>
      <c r="B81" s="87">
        <v>2.4171807165270693</v>
      </c>
      <c r="C81" s="87">
        <v>1.9869350470568981</v>
      </c>
      <c r="D81" s="87">
        <v>-0.54726779024383032</v>
      </c>
      <c r="E81" s="87">
        <v>-2.0802994903782621</v>
      </c>
      <c r="F81" s="87">
        <v>-0.42141509711904374</v>
      </c>
      <c r="G81" s="87">
        <v>0.22666214762284473</v>
      </c>
      <c r="H81" s="87">
        <v>-0.85969198929584201</v>
      </c>
      <c r="I81" s="87">
        <v>1.4158882136465454</v>
      </c>
      <c r="J81" s="87">
        <v>-0.71662549489757554</v>
      </c>
      <c r="K81" s="88">
        <v>5</v>
      </c>
      <c r="L81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20.104020059512631</v>
      </c>
    </row>
    <row r="82" spans="1:12" hidden="1" x14ac:dyDescent="0.3">
      <c r="A82" s="86" t="s">
        <v>133</v>
      </c>
      <c r="B82" s="87">
        <v>-0.43535535774249656</v>
      </c>
      <c r="C82" s="87">
        <v>1.694426594468449E-2</v>
      </c>
      <c r="D82" s="87">
        <v>-0.74363944285339079</v>
      </c>
      <c r="E82" s="87">
        <v>-8.9072869534419563E-2</v>
      </c>
      <c r="F82" s="87">
        <v>-0.23697587381159879</v>
      </c>
      <c r="G82" s="87">
        <v>-0.44676494049132953</v>
      </c>
      <c r="H82" s="87">
        <v>-0.63559056841455819</v>
      </c>
      <c r="I82" s="87">
        <v>0.53105442525991853</v>
      </c>
      <c r="J82" s="87">
        <v>-0.53832257480988521</v>
      </c>
      <c r="K82" s="88">
        <v>1</v>
      </c>
      <c r="L82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6.9094390971443138</v>
      </c>
    </row>
    <row r="83" spans="1:12" hidden="1" x14ac:dyDescent="0.3">
      <c r="A83" s="86" t="s">
        <v>135</v>
      </c>
      <c r="B83" s="87">
        <v>0.43447122427343043</v>
      </c>
      <c r="C83" s="87">
        <v>-2.2140702936648964</v>
      </c>
      <c r="D83" s="87">
        <v>1.6865690329514782</v>
      </c>
      <c r="E83" s="87">
        <v>1.9762518045308757</v>
      </c>
      <c r="F83" s="87">
        <v>-0.82327720045679786</v>
      </c>
      <c r="G83" s="87">
        <v>-0.83449568819342979</v>
      </c>
      <c r="H83" s="87">
        <v>4.0017250529695412</v>
      </c>
      <c r="I83" s="87">
        <v>-1.2817757753370722</v>
      </c>
      <c r="J83" s="87">
        <v>-0.75260953092434302</v>
      </c>
      <c r="K83" s="88">
        <v>6</v>
      </c>
      <c r="L83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32.370368773528483</v>
      </c>
    </row>
    <row r="84" spans="1:12" hidden="1" x14ac:dyDescent="0.3">
      <c r="A84" s="86" t="s">
        <v>91</v>
      </c>
      <c r="B84" s="87">
        <v>1.4314522742942726</v>
      </c>
      <c r="C84" s="87">
        <v>0.38139256045044345</v>
      </c>
      <c r="D84" s="87">
        <v>-0.64044849635674173</v>
      </c>
      <c r="E84" s="87">
        <v>4.0313083235383642</v>
      </c>
      <c r="F84" s="87">
        <v>-0.6098931355354108</v>
      </c>
      <c r="G84" s="87">
        <v>-0.56920622923936126</v>
      </c>
      <c r="H84" s="87">
        <v>3.2937487654111375</v>
      </c>
      <c r="I84" s="87">
        <v>-1.8644711969575336</v>
      </c>
      <c r="J84" s="87">
        <v>-0.36406280483756209</v>
      </c>
      <c r="K84" s="88">
        <v>6</v>
      </c>
      <c r="L84" s="81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45.223704089354719</v>
      </c>
    </row>
    <row r="85" spans="1:12" hidden="1" x14ac:dyDescent="0.3">
      <c r="A85" s="86" t="s">
        <v>92</v>
      </c>
      <c r="B85" s="87">
        <v>-0.64690438415775375</v>
      </c>
      <c r="C85" s="87">
        <v>-0.9188013550836166</v>
      </c>
      <c r="D85" s="87">
        <v>-0.75930536046666064</v>
      </c>
      <c r="E85" s="87">
        <v>-0.45771125128674589</v>
      </c>
      <c r="F85" s="87">
        <v>-0.39045084795064056</v>
      </c>
      <c r="G85" s="87">
        <v>-0.32432365174329786</v>
      </c>
      <c r="H85" s="87">
        <v>-0.3494988855238978</v>
      </c>
      <c r="I85" s="87">
        <v>-0.93647478474716916</v>
      </c>
      <c r="J85" s="87">
        <v>-0.53680639351662252</v>
      </c>
      <c r="K85" s="88">
        <v>1</v>
      </c>
      <c r="L85" s="82">
        <f>(Таблица4[[#This Row],[x1]]-Таблица4[[#Totals],[x1]])^2+(Таблица4[[#This Row],[x2]]-Таблица4[[#Totals],[x2]])^2+(Таблица4[[#This Row],[x3]]-Таблица4[[#Totals],[x3]])^2+(Таблица4[[#This Row],[x4]]-Таблица4[[#Totals],[x4]])^2+(Таблица4[[#This Row],[x5]]-Таблица4[[#Totals],[x5]])^2+(Таблица4[[#This Row],[x6]]-Таблица4[[#Totals],[x6]])^2+(Таблица4[[#This Row],[x7]]-Таблица4[[#Totals],[x7]])^2+(Таблица4[[#This Row],[x8]]-Таблица4[[#Totals],[x8]])^2+(Таблица4[[#This Row],[x9]]-Таблица4[[#Totals],[x9]])^2</f>
        <v>10.46297211301035</v>
      </c>
    </row>
    <row r="86" spans="1:12" x14ac:dyDescent="0.3">
      <c r="A86" s="27"/>
      <c r="B86" s="28">
        <f>SUBTOTAL(101,Таблица4[x1])</f>
        <v>7.3074970814032109E-2</v>
      </c>
      <c r="C86" s="28">
        <f>SUBTOTAL(101,Таблица4[x2])</f>
        <v>-3.0663844598860578E-2</v>
      </c>
      <c r="D86" s="28">
        <f>SUBTOTAL(101,Таблица4[x3])</f>
        <v>1.7924172898715078</v>
      </c>
      <c r="E86" s="28">
        <f>SUBTOTAL(101,Таблица4[x4])</f>
        <v>-0.17342803105471413</v>
      </c>
      <c r="F86" s="28">
        <f>SUBTOTAL(101,Таблица4[x5])</f>
        <v>-0.56905622721186466</v>
      </c>
      <c r="G86" s="28">
        <f>SUBTOTAL(101,Таблица4[x6])</f>
        <v>-0.50118329104601023</v>
      </c>
      <c r="H86" s="28">
        <f>SUBTOTAL(101,Таблица4[x7])</f>
        <v>-0.34834487319466173</v>
      </c>
      <c r="I86" s="28">
        <f>SUBTOTAL(101,Таблица4[x8])</f>
        <v>0.64435631279723049</v>
      </c>
      <c r="J86" s="28">
        <f>SUBTOTAL(101,Таблица4[x9])</f>
        <v>-0.57554482555948383</v>
      </c>
      <c r="K86" s="89">
        <f>SUBTOTAL(102,Таблица4[[CLUSTER ]])</f>
        <v>12</v>
      </c>
      <c r="L86" s="83">
        <f>SUBTOTAL(109,Таблица4[расстояние])</f>
        <v>69.358109809934774</v>
      </c>
    </row>
  </sheetData>
  <sortState xmlns:xlrd2="http://schemas.microsoft.com/office/spreadsheetml/2017/richdata2" ref="A2:K86">
    <sortCondition ref="K2:K86"/>
  </sortState>
  <mergeCells count="2">
    <mergeCell ref="O32:O33"/>
    <mergeCell ref="P32:U3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DDE7-C01A-4DCE-9187-239D85E29272}">
  <dimension ref="A1:K1001"/>
  <sheetViews>
    <sheetView zoomScale="90" zoomScaleNormal="90" workbookViewId="0">
      <selection activeCell="C10" sqref="C10"/>
    </sheetView>
  </sheetViews>
  <sheetFormatPr defaultRowHeight="15.6" x14ac:dyDescent="0.3"/>
  <cols>
    <col min="1" max="1" width="42.77734375" style="41" bestFit="1" customWidth="1"/>
    <col min="2" max="2" width="18.109375" style="32" customWidth="1"/>
    <col min="3" max="3" width="14.77734375" style="32" customWidth="1"/>
    <col min="4" max="4" width="16.21875" style="32" customWidth="1"/>
    <col min="5" max="5" width="18.88671875" style="32" customWidth="1"/>
    <col min="6" max="6" width="17.109375" style="32" customWidth="1"/>
    <col min="7" max="7" width="14.77734375" style="40" customWidth="1"/>
    <col min="8" max="8" width="14.21875" style="32" customWidth="1"/>
    <col min="9" max="9" width="13.6640625" style="32" bestFit="1" customWidth="1"/>
    <col min="10" max="10" width="12.6640625" style="32" customWidth="1"/>
    <col min="11" max="11" width="10" style="223" customWidth="1"/>
  </cols>
  <sheetData>
    <row r="1" spans="1:11" ht="39.6" customHeight="1" x14ac:dyDescent="0.3">
      <c r="A1" s="44" t="s">
        <v>185</v>
      </c>
      <c r="B1" s="45" t="s">
        <v>94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7" t="s">
        <v>9</v>
      </c>
      <c r="K1" s="283"/>
    </row>
    <row r="2" spans="1:11" ht="93.6" x14ac:dyDescent="0.3">
      <c r="A2" s="44" t="s">
        <v>186</v>
      </c>
      <c r="B2" s="46" t="s">
        <v>191</v>
      </c>
      <c r="C2" s="46" t="s">
        <v>187</v>
      </c>
      <c r="D2" s="46" t="s">
        <v>192</v>
      </c>
      <c r="E2" s="46" t="s">
        <v>193</v>
      </c>
      <c r="F2" s="48" t="s">
        <v>194</v>
      </c>
      <c r="G2" s="48" t="s">
        <v>195</v>
      </c>
      <c r="H2" s="46" t="s">
        <v>188</v>
      </c>
      <c r="I2" s="46" t="s">
        <v>196</v>
      </c>
      <c r="J2" s="46" t="s">
        <v>197</v>
      </c>
      <c r="K2" s="284"/>
    </row>
    <row r="3" spans="1:11" x14ac:dyDescent="0.3">
      <c r="A3" s="41" t="s">
        <v>10</v>
      </c>
      <c r="B3" s="240">
        <v>71.91</v>
      </c>
      <c r="C3" s="240">
        <v>110.6</v>
      </c>
      <c r="D3" s="241">
        <v>1.79084</v>
      </c>
      <c r="E3" s="242">
        <v>113.81844067469416</v>
      </c>
      <c r="F3" s="242">
        <v>1.2500000000000001E-2</v>
      </c>
      <c r="G3" s="243">
        <v>1.07E-3</v>
      </c>
      <c r="H3" s="244">
        <v>32729.066666666666</v>
      </c>
      <c r="I3" s="244">
        <v>9.3000000000000007</v>
      </c>
      <c r="J3" s="245">
        <v>8.319E-2</v>
      </c>
      <c r="K3" s="114"/>
    </row>
    <row r="4" spans="1:11" x14ac:dyDescent="0.3">
      <c r="A4" s="41" t="s">
        <v>11</v>
      </c>
      <c r="B4" s="240">
        <v>70.42</v>
      </c>
      <c r="C4" s="240">
        <v>101.8</v>
      </c>
      <c r="D4" s="241">
        <v>0.66851000000000005</v>
      </c>
      <c r="E4" s="242">
        <v>152.94995874641486</v>
      </c>
      <c r="F4" s="242">
        <v>4.7299999999999998E-3</v>
      </c>
      <c r="G4" s="243">
        <v>1.2E-4</v>
      </c>
      <c r="H4" s="244">
        <v>59187.474999999999</v>
      </c>
      <c r="I4" s="244">
        <v>16.5</v>
      </c>
      <c r="J4" s="245">
        <v>1.5720000000000001E-2</v>
      </c>
      <c r="K4" s="114"/>
    </row>
    <row r="5" spans="1:11" x14ac:dyDescent="0.3">
      <c r="A5" s="41" t="s">
        <v>12</v>
      </c>
      <c r="B5" s="240">
        <v>65.78</v>
      </c>
      <c r="C5" s="240">
        <v>120.5</v>
      </c>
      <c r="D5" s="241">
        <v>0.88161999999999996</v>
      </c>
      <c r="E5" s="242">
        <v>171.6492031635413</v>
      </c>
      <c r="F5" s="242">
        <v>8.7200000000000003E-3</v>
      </c>
      <c r="G5" s="243">
        <v>5.9000000000000003E-4</v>
      </c>
      <c r="H5" s="244">
        <v>57076.416666666657</v>
      </c>
      <c r="I5" s="244">
        <v>14.2</v>
      </c>
      <c r="J5" s="245">
        <v>1.5730000000000001E-2</v>
      </c>
      <c r="K5" s="114"/>
    </row>
    <row r="6" spans="1:11" x14ac:dyDescent="0.3">
      <c r="A6" s="41" t="s">
        <v>13</v>
      </c>
      <c r="B6" s="240">
        <v>86.7</v>
      </c>
      <c r="C6" s="240">
        <v>121</v>
      </c>
      <c r="D6" s="241">
        <v>0.47182000000000002</v>
      </c>
      <c r="E6" s="242">
        <v>119.9586122793316</v>
      </c>
      <c r="F6" s="242">
        <v>1.055E-2</v>
      </c>
      <c r="G6" s="243">
        <v>2.2000000000000001E-4</v>
      </c>
      <c r="H6" s="244">
        <v>41614.916666666664</v>
      </c>
      <c r="I6" s="244">
        <v>12.3</v>
      </c>
      <c r="J6" s="245">
        <v>1.7489999999999999E-2</v>
      </c>
      <c r="K6" s="114"/>
    </row>
    <row r="7" spans="1:11" x14ac:dyDescent="0.3">
      <c r="A7" s="41" t="s">
        <v>14</v>
      </c>
      <c r="B7" s="240">
        <v>81.760000000000005</v>
      </c>
      <c r="C7" s="240">
        <v>141</v>
      </c>
      <c r="D7" s="241">
        <v>1.9824900000000001</v>
      </c>
      <c r="E7" s="242">
        <v>109.31579351576931</v>
      </c>
      <c r="F7" s="242">
        <v>6.7400000000000003E-3</v>
      </c>
      <c r="G7" s="243">
        <v>2.5000000000000001E-4</v>
      </c>
      <c r="H7" s="244">
        <v>41348.641666666663</v>
      </c>
      <c r="I7" s="244">
        <v>11.7</v>
      </c>
      <c r="J7" s="245">
        <v>0.13678000000000001</v>
      </c>
      <c r="K7" s="114"/>
    </row>
    <row r="8" spans="1:11" x14ac:dyDescent="0.3">
      <c r="A8" s="41" t="s">
        <v>15</v>
      </c>
      <c r="B8" s="240">
        <v>87.55</v>
      </c>
      <c r="C8" s="240">
        <v>135.80000000000001</v>
      </c>
      <c r="D8" s="241">
        <v>1.0855699999999999</v>
      </c>
      <c r="E8" s="242">
        <v>97.883886367831977</v>
      </c>
      <c r="F8" s="242">
        <v>9.75E-3</v>
      </c>
      <c r="G8" s="243">
        <v>4.4999999999999999E-4</v>
      </c>
      <c r="H8" s="244">
        <v>35577.64166666667</v>
      </c>
      <c r="I8" s="244">
        <v>15.5</v>
      </c>
      <c r="J8" s="245">
        <v>3.6609999999999997E-2</v>
      </c>
      <c r="K8" s="114"/>
    </row>
    <row r="9" spans="1:11" x14ac:dyDescent="0.3">
      <c r="A9" s="41" t="s">
        <v>16</v>
      </c>
      <c r="B9" s="240">
        <v>71.180000000000007</v>
      </c>
      <c r="C9" s="240">
        <v>114.6</v>
      </c>
      <c r="D9" s="241">
        <v>1.24431</v>
      </c>
      <c r="E9" s="242">
        <v>104.87805786617098</v>
      </c>
      <c r="F9" s="242">
        <v>9.3799999999999994E-3</v>
      </c>
      <c r="G9" s="243">
        <v>0</v>
      </c>
      <c r="H9" s="244">
        <v>37707.816666666666</v>
      </c>
      <c r="I9" s="244">
        <v>7</v>
      </c>
      <c r="J9" s="245">
        <v>5.8439999999999999E-2</v>
      </c>
      <c r="K9" s="114"/>
    </row>
    <row r="10" spans="1:11" x14ac:dyDescent="0.3">
      <c r="A10" s="41" t="s">
        <v>17</v>
      </c>
      <c r="B10" s="240">
        <v>83.39</v>
      </c>
      <c r="C10" s="240">
        <v>114.1</v>
      </c>
      <c r="D10" s="241">
        <v>1.7648600000000001</v>
      </c>
      <c r="E10" s="242">
        <v>102.19840436969072</v>
      </c>
      <c r="F10" s="242">
        <v>2.1479999999999999E-2</v>
      </c>
      <c r="G10" s="243">
        <v>1.9499999999999999E-3</v>
      </c>
      <c r="H10" s="244">
        <v>38072.616666666669</v>
      </c>
      <c r="I10" s="244">
        <v>13</v>
      </c>
      <c r="J10" s="245">
        <v>9.5519999999999994E-2</v>
      </c>
      <c r="K10" s="114"/>
    </row>
    <row r="11" spans="1:11" x14ac:dyDescent="0.3">
      <c r="A11" s="41" t="s">
        <v>18</v>
      </c>
      <c r="B11" s="240">
        <v>71.16</v>
      </c>
      <c r="C11" s="240">
        <v>129.80000000000001</v>
      </c>
      <c r="D11" s="241">
        <v>0.96255000000000002</v>
      </c>
      <c r="E11" s="242">
        <v>128.55842814276579</v>
      </c>
      <c r="F11" s="242">
        <v>1.142E-2</v>
      </c>
      <c r="G11" s="243">
        <v>1.0000000000000001E-5</v>
      </c>
      <c r="H11" s="244">
        <v>45452.750000000007</v>
      </c>
      <c r="I11" s="244">
        <v>11.8</v>
      </c>
      <c r="J11" s="245">
        <v>1.154E-2</v>
      </c>
      <c r="K11" s="114"/>
    </row>
    <row r="12" spans="1:11" x14ac:dyDescent="0.3">
      <c r="A12" s="41" t="s">
        <v>19</v>
      </c>
      <c r="B12" s="240">
        <v>80.069999999999993</v>
      </c>
      <c r="C12" s="240">
        <v>127.5</v>
      </c>
      <c r="D12" s="241">
        <v>2.2043300000000001</v>
      </c>
      <c r="E12" s="242">
        <v>108.82921475868544</v>
      </c>
      <c r="F12" s="242">
        <v>1.4619999999999999E-2</v>
      </c>
      <c r="G12" s="243">
        <v>4.6999999999999999E-4</v>
      </c>
      <c r="H12" s="244">
        <v>40730.491666666676</v>
      </c>
      <c r="I12" s="244">
        <v>11.3</v>
      </c>
      <c r="J12" s="245">
        <v>0.14821000000000001</v>
      </c>
      <c r="K12" s="114"/>
    </row>
    <row r="13" spans="1:11" x14ac:dyDescent="0.3">
      <c r="A13" s="41" t="s">
        <v>20</v>
      </c>
      <c r="B13" s="240">
        <v>65.290000000000006</v>
      </c>
      <c r="C13" s="240">
        <v>157.5</v>
      </c>
      <c r="D13" s="241">
        <v>10.18773</v>
      </c>
      <c r="E13" s="242">
        <v>177.68679304372466</v>
      </c>
      <c r="F13" s="242">
        <v>0.11518</v>
      </c>
      <c r="G13" s="243">
        <v>2.31E-3</v>
      </c>
      <c r="H13" s="244">
        <v>111394.60833333332</v>
      </c>
      <c r="I13" s="244">
        <v>12.4</v>
      </c>
      <c r="J13" s="245">
        <v>0.21545</v>
      </c>
      <c r="K13" s="115"/>
    </row>
    <row r="14" spans="1:11" x14ac:dyDescent="0.3">
      <c r="A14" s="41" t="s">
        <v>21</v>
      </c>
      <c r="B14" s="240">
        <v>77.3</v>
      </c>
      <c r="C14" s="240">
        <v>77.8</v>
      </c>
      <c r="D14" s="241">
        <v>0.12998000000000001</v>
      </c>
      <c r="E14" s="242">
        <v>122.08851450728706</v>
      </c>
      <c r="F14" s="242">
        <v>9.7999999999999997E-4</v>
      </c>
      <c r="G14" s="243">
        <v>3.0000000000000001E-5</v>
      </c>
      <c r="H14" s="244">
        <v>50038.633333333331</v>
      </c>
      <c r="I14" s="244">
        <v>7.9</v>
      </c>
      <c r="J14" s="245">
        <v>4.0000000000000002E-4</v>
      </c>
      <c r="K14" s="114"/>
    </row>
    <row r="15" spans="1:11" x14ac:dyDescent="0.3">
      <c r="A15" s="41" t="s">
        <v>22</v>
      </c>
      <c r="B15" s="240">
        <v>72.92</v>
      </c>
      <c r="C15" s="240">
        <v>102.6</v>
      </c>
      <c r="D15" s="241">
        <v>0.81259999999999999</v>
      </c>
      <c r="E15" s="242">
        <v>132.38116179586615</v>
      </c>
      <c r="F15" s="242">
        <v>6.6600000000000001E-3</v>
      </c>
      <c r="G15" s="243">
        <v>3.8000000000000002E-4</v>
      </c>
      <c r="H15" s="244">
        <v>50192.558333333327</v>
      </c>
      <c r="I15" s="244">
        <v>5.5</v>
      </c>
      <c r="J15" s="245">
        <v>4.62E-3</v>
      </c>
      <c r="K15" s="114"/>
    </row>
    <row r="16" spans="1:11" x14ac:dyDescent="0.3">
      <c r="A16" s="41" t="s">
        <v>23</v>
      </c>
      <c r="B16" s="240">
        <v>76.23</v>
      </c>
      <c r="C16" s="240">
        <v>120.4</v>
      </c>
      <c r="D16" s="241">
        <v>0.79117999999999999</v>
      </c>
      <c r="E16" s="242">
        <v>94.034935083766712</v>
      </c>
      <c r="F16" s="242">
        <v>5.7099999999999998E-3</v>
      </c>
      <c r="G16" s="243">
        <v>2.9999999999999997E-4</v>
      </c>
      <c r="H16" s="244">
        <v>31880.516666666663</v>
      </c>
      <c r="I16" s="244">
        <v>22.4</v>
      </c>
      <c r="J16" s="245">
        <v>4.3650000000000001E-2</v>
      </c>
      <c r="K16" s="114"/>
    </row>
    <row r="17" spans="1:11" x14ac:dyDescent="0.3">
      <c r="A17" s="41" t="s">
        <v>24</v>
      </c>
      <c r="B17" s="240">
        <v>64.28</v>
      </c>
      <c r="C17" s="240">
        <v>110.8</v>
      </c>
      <c r="D17" s="241">
        <v>2.17123</v>
      </c>
      <c r="E17" s="242">
        <v>145.66943959394899</v>
      </c>
      <c r="F17" s="242">
        <v>1.4E-2</v>
      </c>
      <c r="G17" s="243">
        <v>3.6999999999999999E-4</v>
      </c>
      <c r="H17" s="244">
        <v>54318.025000000001</v>
      </c>
      <c r="I17" s="244">
        <v>19.3</v>
      </c>
      <c r="J17" s="245">
        <v>8.0890000000000004E-2</v>
      </c>
      <c r="K17" s="114"/>
    </row>
    <row r="18" spans="1:11" x14ac:dyDescent="0.3">
      <c r="A18" s="41" t="s">
        <v>25</v>
      </c>
      <c r="B18" s="240">
        <v>90.48</v>
      </c>
      <c r="C18" s="240">
        <v>137.9</v>
      </c>
      <c r="D18" s="241">
        <v>0.61240000000000006</v>
      </c>
      <c r="E18" s="242">
        <v>59.342856321419646</v>
      </c>
      <c r="F18" s="242">
        <v>6.3099999999999996E-3</v>
      </c>
      <c r="G18" s="243">
        <v>2.0000000000000001E-4</v>
      </c>
      <c r="H18" s="244">
        <v>31172.383333333335</v>
      </c>
      <c r="I18" s="244">
        <v>12.9</v>
      </c>
      <c r="J18" s="245">
        <v>2.2519999999999998E-2</v>
      </c>
      <c r="K18" s="114"/>
    </row>
    <row r="19" spans="1:11" x14ac:dyDescent="0.3">
      <c r="A19" s="41" t="s">
        <v>26</v>
      </c>
      <c r="B19" s="240">
        <v>72.5</v>
      </c>
      <c r="C19" s="240">
        <v>128.69999999999999</v>
      </c>
      <c r="D19" s="241">
        <v>0.70655999999999997</v>
      </c>
      <c r="E19" s="242">
        <v>132.23159734582373</v>
      </c>
      <c r="F19" s="242">
        <v>6.5900000000000004E-3</v>
      </c>
      <c r="G19" s="243">
        <v>3.6000000000000002E-4</v>
      </c>
      <c r="H19" s="244">
        <v>41298.475000000006</v>
      </c>
      <c r="I19" s="244">
        <v>16.399999999999999</v>
      </c>
      <c r="J19" s="245">
        <v>9.3829999999999997E-2</v>
      </c>
      <c r="K19" s="115"/>
    </row>
    <row r="20" spans="1:11" x14ac:dyDescent="0.3">
      <c r="A20" s="41" t="s">
        <v>27</v>
      </c>
      <c r="B20" s="240">
        <v>70.17</v>
      </c>
      <c r="C20" s="240">
        <v>130.4</v>
      </c>
      <c r="D20" s="241">
        <v>0.79274999999999995</v>
      </c>
      <c r="E20" s="242">
        <v>139.14066780215643</v>
      </c>
      <c r="F20" s="242">
        <v>7.26E-3</v>
      </c>
      <c r="G20" s="243">
        <v>8.0000000000000007E-5</v>
      </c>
      <c r="H20" s="244">
        <v>47853.625</v>
      </c>
      <c r="I20" s="244">
        <v>18.100000000000001</v>
      </c>
      <c r="J20" s="245">
        <v>0.2387</v>
      </c>
      <c r="K20" s="114"/>
    </row>
    <row r="21" spans="1:11" x14ac:dyDescent="0.3">
      <c r="A21" s="41" t="s">
        <v>28</v>
      </c>
      <c r="B21" s="240">
        <v>61.76</v>
      </c>
      <c r="C21" s="240">
        <v>92.5</v>
      </c>
      <c r="D21" s="241">
        <v>0.14502999999999999</v>
      </c>
      <c r="E21" s="242">
        <v>201.16278274897974</v>
      </c>
      <c r="F21" s="242">
        <v>3.0999999999999999E-3</v>
      </c>
      <c r="G21" s="243">
        <v>1.4999999999999999E-4</v>
      </c>
      <c r="H21" s="244">
        <v>92666.8</v>
      </c>
      <c r="I21" s="244">
        <v>13.4</v>
      </c>
      <c r="J21" s="245">
        <v>4.2549999999999998E-2</v>
      </c>
      <c r="K21" s="114"/>
    </row>
    <row r="22" spans="1:11" x14ac:dyDescent="0.3">
      <c r="A22" s="41" t="s">
        <v>29</v>
      </c>
      <c r="B22" s="240">
        <v>84.8</v>
      </c>
      <c r="C22" s="240">
        <v>134.80000000000001</v>
      </c>
      <c r="D22" s="241">
        <v>0.55445</v>
      </c>
      <c r="E22" s="242">
        <v>76.77319781025632</v>
      </c>
      <c r="F22" s="242">
        <v>4.0299999999999997E-3</v>
      </c>
      <c r="G22" s="243">
        <v>0</v>
      </c>
      <c r="H22" s="244">
        <v>32127.891666666666</v>
      </c>
      <c r="I22" s="244">
        <v>8.9</v>
      </c>
      <c r="J22" s="245">
        <v>8.2000000000000007E-3</v>
      </c>
      <c r="K22" s="114"/>
    </row>
    <row r="23" spans="1:11" x14ac:dyDescent="0.3">
      <c r="A23" s="41" t="s">
        <v>30</v>
      </c>
      <c r="B23" s="240">
        <v>87.29</v>
      </c>
      <c r="C23" s="240">
        <v>106.7</v>
      </c>
      <c r="D23" s="241">
        <v>2.2534800000000001</v>
      </c>
      <c r="E23" s="242">
        <v>122.58580493230551</v>
      </c>
      <c r="F23" s="242">
        <v>1.367E-2</v>
      </c>
      <c r="G23" s="243">
        <v>5.8E-4</v>
      </c>
      <c r="H23" s="244">
        <v>48410.883333333331</v>
      </c>
      <c r="I23" s="244">
        <v>13.9</v>
      </c>
      <c r="J23" s="245">
        <v>8.2309999999999994E-2</v>
      </c>
      <c r="K23" s="114"/>
    </row>
    <row r="24" spans="1:11" x14ac:dyDescent="0.3">
      <c r="A24" s="41" t="s">
        <v>31</v>
      </c>
      <c r="B24" s="240">
        <v>70.89</v>
      </c>
      <c r="C24" s="240">
        <v>111</v>
      </c>
      <c r="D24" s="241">
        <v>1.2211700000000001</v>
      </c>
      <c r="E24" s="242">
        <v>124.31603166094663</v>
      </c>
      <c r="F24" s="242">
        <v>8.6300000000000005E-3</v>
      </c>
      <c r="G24" s="243">
        <v>3.0000000000000001E-5</v>
      </c>
      <c r="H24" s="244">
        <v>35389.991666666661</v>
      </c>
      <c r="I24" s="244">
        <v>22.1</v>
      </c>
      <c r="J24" s="245">
        <v>1.251E-2</v>
      </c>
      <c r="K24" s="114"/>
    </row>
    <row r="25" spans="1:11" x14ac:dyDescent="0.3">
      <c r="A25" s="41" t="s">
        <v>32</v>
      </c>
      <c r="B25" s="240">
        <v>67.92</v>
      </c>
      <c r="C25" s="240">
        <v>106.8</v>
      </c>
      <c r="D25" s="241">
        <v>0.58935999999999999</v>
      </c>
      <c r="E25" s="242">
        <v>107.03880303669922</v>
      </c>
      <c r="F25" s="242">
        <v>4.81E-3</v>
      </c>
      <c r="G25" s="243">
        <v>1.0000000000000001E-5</v>
      </c>
      <c r="H25" s="244">
        <v>34988.92500000001</v>
      </c>
      <c r="I25" s="244">
        <v>12.5</v>
      </c>
      <c r="J25" s="245">
        <v>1.7219999999999999E-2</v>
      </c>
      <c r="K25" s="114"/>
    </row>
    <row r="26" spans="1:11" x14ac:dyDescent="0.3">
      <c r="A26" s="41" t="s">
        <v>33</v>
      </c>
      <c r="B26" s="240">
        <v>88.92</v>
      </c>
      <c r="C26" s="240">
        <v>133.80000000000001</v>
      </c>
      <c r="D26" s="241">
        <v>4.53247</v>
      </c>
      <c r="E26" s="242">
        <v>117.46383170765917</v>
      </c>
      <c r="F26" s="242">
        <v>4.9639999999999997E-2</v>
      </c>
      <c r="G26" s="243">
        <v>1.0300000000000001E-3</v>
      </c>
      <c r="H26" s="244">
        <v>40954.774999999994</v>
      </c>
      <c r="I26" s="244">
        <v>13.3</v>
      </c>
      <c r="J26" s="245">
        <v>0.28059000000000001</v>
      </c>
      <c r="K26" s="114"/>
    </row>
    <row r="27" spans="1:11" x14ac:dyDescent="0.3">
      <c r="A27" s="41" t="s">
        <v>34</v>
      </c>
      <c r="B27" s="240">
        <v>70.099999999999994</v>
      </c>
      <c r="C27" s="240">
        <v>124.5</v>
      </c>
      <c r="D27" s="241">
        <v>1.9330700000000001</v>
      </c>
      <c r="E27" s="242">
        <v>152.42832925933524</v>
      </c>
      <c r="F27" s="242">
        <v>1.7850000000000001E-2</v>
      </c>
      <c r="G27" s="243">
        <v>2.5000000000000001E-4</v>
      </c>
      <c r="H27" s="244">
        <v>60026.441666666658</v>
      </c>
      <c r="I27" s="244">
        <v>11.8</v>
      </c>
      <c r="J27" s="245">
        <v>0.19816</v>
      </c>
      <c r="K27" s="114"/>
    </row>
    <row r="28" spans="1:11" x14ac:dyDescent="0.3">
      <c r="A28" s="41" t="s">
        <v>35</v>
      </c>
      <c r="B28" s="240">
        <v>69.58</v>
      </c>
      <c r="C28" s="240">
        <v>102</v>
      </c>
      <c r="D28" s="241">
        <v>0.74695999999999996</v>
      </c>
      <c r="E28" s="242">
        <v>120.92597483983572</v>
      </c>
      <c r="F28" s="242">
        <v>6.3499999999999997E-3</v>
      </c>
      <c r="G28" s="243">
        <v>4.0000000000000002E-4</v>
      </c>
      <c r="H28" s="244">
        <v>35356.258333333331</v>
      </c>
      <c r="I28" s="244">
        <v>9.6999999999999993</v>
      </c>
      <c r="J28" s="245">
        <v>1.9709999999999998E-2</v>
      </c>
      <c r="K28" s="114"/>
    </row>
    <row r="29" spans="1:11" x14ac:dyDescent="0.3">
      <c r="A29" s="41" t="s">
        <v>36</v>
      </c>
      <c r="B29" s="240">
        <v>73.92</v>
      </c>
      <c r="C29" s="240">
        <v>113.5</v>
      </c>
      <c r="D29" s="241">
        <v>1.2331099999999999</v>
      </c>
      <c r="E29" s="242">
        <v>107.43250512912789</v>
      </c>
      <c r="F29" s="242">
        <v>7.9000000000000008E-3</v>
      </c>
      <c r="G29" s="243">
        <v>1.8000000000000001E-4</v>
      </c>
      <c r="H29" s="244">
        <v>40206.375</v>
      </c>
      <c r="I29" s="244">
        <v>15.9</v>
      </c>
      <c r="J29" s="245">
        <v>6.2429999999999999E-2</v>
      </c>
      <c r="K29" s="114"/>
    </row>
    <row r="30" spans="1:11" x14ac:dyDescent="0.3">
      <c r="A30" s="41" t="s">
        <v>37</v>
      </c>
      <c r="B30" s="240">
        <v>79.12</v>
      </c>
      <c r="C30" s="240">
        <v>163</v>
      </c>
      <c r="D30" s="241">
        <v>1.31142</v>
      </c>
      <c r="E30" s="242">
        <v>159.2096198346778</v>
      </c>
      <c r="F30" s="242">
        <v>8.9899999999999997E-3</v>
      </c>
      <c r="G30" s="243">
        <v>4.0000000000000002E-4</v>
      </c>
      <c r="H30" s="244">
        <v>52513.308333333342</v>
      </c>
      <c r="I30" s="244">
        <v>18.5</v>
      </c>
      <c r="J30" s="245">
        <v>0.12698000000000001</v>
      </c>
      <c r="K30" s="114"/>
    </row>
    <row r="31" spans="1:11" x14ac:dyDescent="0.3">
      <c r="A31" s="41" t="s">
        <v>38</v>
      </c>
      <c r="B31" s="240">
        <v>78.12</v>
      </c>
      <c r="C31" s="240">
        <v>119.9</v>
      </c>
      <c r="D31" s="241">
        <v>1.1667799999999999</v>
      </c>
      <c r="E31" s="242">
        <v>104.85529021034318</v>
      </c>
      <c r="F31" s="242">
        <v>6.2899999999999996E-3</v>
      </c>
      <c r="G31" s="243">
        <v>3.3E-4</v>
      </c>
      <c r="H31" s="244">
        <v>40184.625000000007</v>
      </c>
      <c r="I31" s="244">
        <v>9.1</v>
      </c>
      <c r="J31" s="245">
        <v>4.1430000000000002E-2</v>
      </c>
      <c r="K31" s="114"/>
    </row>
    <row r="32" spans="1:11" x14ac:dyDescent="0.3">
      <c r="A32" s="41" t="s">
        <v>39</v>
      </c>
      <c r="B32" s="240">
        <v>62.03</v>
      </c>
      <c r="C32" s="240">
        <v>96.9</v>
      </c>
      <c r="D32" s="241">
        <v>5.5649999999999998E-2</v>
      </c>
      <c r="E32" s="242">
        <v>242.45255947081458</v>
      </c>
      <c r="F32" s="242">
        <v>1.4499999999999999E-3</v>
      </c>
      <c r="G32" s="243">
        <v>1E-4</v>
      </c>
      <c r="H32" s="244">
        <v>108460.09999999999</v>
      </c>
      <c r="I32" s="244">
        <v>7.9</v>
      </c>
      <c r="J32" s="245">
        <v>1.086E-2</v>
      </c>
      <c r="K32" s="114"/>
    </row>
    <row r="33" spans="1:11" x14ac:dyDescent="0.3">
      <c r="A33" s="41" t="s">
        <v>40</v>
      </c>
      <c r="B33" s="240">
        <v>78.959999999999994</v>
      </c>
      <c r="C33" s="240">
        <v>138.80000000000001</v>
      </c>
      <c r="D33" s="241">
        <v>4.3277200000000002</v>
      </c>
      <c r="E33" s="242">
        <v>189.62377273359957</v>
      </c>
      <c r="F33" s="242">
        <v>4.0489999999999998E-2</v>
      </c>
      <c r="G33" s="243">
        <v>1.9599999999999999E-3</v>
      </c>
      <c r="H33" s="244">
        <v>63413.924999999988</v>
      </c>
      <c r="I33" s="244">
        <v>8.1</v>
      </c>
      <c r="J33" s="245">
        <v>0.70767000000000002</v>
      </c>
      <c r="K33" s="114"/>
    </row>
    <row r="34" spans="1:11" x14ac:dyDescent="0.3">
      <c r="A34" s="41" t="s">
        <v>41</v>
      </c>
      <c r="B34" s="240">
        <v>62.54</v>
      </c>
      <c r="C34" s="240">
        <v>99.6</v>
      </c>
      <c r="D34" s="241">
        <v>0.30786999999999998</v>
      </c>
      <c r="E34" s="242">
        <v>196.33365401960194</v>
      </c>
      <c r="F34" s="242">
        <v>4.4099999999999999E-3</v>
      </c>
      <c r="G34" s="243">
        <v>9.0000000000000006E-5</v>
      </c>
      <c r="H34" s="244">
        <v>75495.250000000015</v>
      </c>
      <c r="I34" s="244">
        <v>7.9</v>
      </c>
      <c r="J34" s="245">
        <v>2.5739999999999999E-2</v>
      </c>
      <c r="K34" s="114"/>
    </row>
    <row r="35" spans="1:11" x14ac:dyDescent="0.3">
      <c r="A35" s="41" t="s">
        <v>42</v>
      </c>
      <c r="B35" s="240">
        <v>79.31</v>
      </c>
      <c r="C35" s="240">
        <v>110.4</v>
      </c>
      <c r="D35" s="241">
        <v>2.87968</v>
      </c>
      <c r="E35" s="242">
        <v>116.40126886588838</v>
      </c>
      <c r="F35" s="242">
        <v>2.589E-2</v>
      </c>
      <c r="G35" s="243">
        <v>4.2000000000000002E-4</v>
      </c>
      <c r="H35" s="244">
        <v>41162.033333333333</v>
      </c>
      <c r="I35" s="244">
        <v>8.4</v>
      </c>
      <c r="J35" s="245">
        <v>8.5120000000000001E-2</v>
      </c>
      <c r="K35" s="114"/>
    </row>
    <row r="36" spans="1:11" x14ac:dyDescent="0.3">
      <c r="A36" s="41" t="s">
        <v>43</v>
      </c>
      <c r="B36" s="240">
        <v>71.44</v>
      </c>
      <c r="C36" s="240">
        <v>124.8</v>
      </c>
      <c r="D36" s="241">
        <v>0.57382</v>
      </c>
      <c r="E36" s="242">
        <v>117.79503351227179</v>
      </c>
      <c r="F36" s="242">
        <v>5.45E-3</v>
      </c>
      <c r="G36" s="243">
        <v>3.3E-4</v>
      </c>
      <c r="H36" s="244">
        <v>39472.791666666672</v>
      </c>
      <c r="I36" s="244">
        <v>12.9</v>
      </c>
      <c r="J36" s="245">
        <v>3.092E-2</v>
      </c>
      <c r="K36" s="114"/>
    </row>
    <row r="37" spans="1:11" x14ac:dyDescent="0.3">
      <c r="A37" s="41" t="s">
        <v>44</v>
      </c>
      <c r="B37" s="240">
        <v>67.59</v>
      </c>
      <c r="C37" s="240">
        <v>107.3</v>
      </c>
      <c r="D37" s="241">
        <v>1.9216</v>
      </c>
      <c r="E37" s="242">
        <v>155.1364579416134</v>
      </c>
      <c r="F37" s="242">
        <v>2.2190000000000001E-2</v>
      </c>
      <c r="G37" s="243">
        <v>1.8000000000000001E-4</v>
      </c>
      <c r="H37" s="244">
        <v>46444.408333333333</v>
      </c>
      <c r="I37" s="244">
        <v>12.9</v>
      </c>
      <c r="J37" s="245">
        <v>0.18609999999999999</v>
      </c>
      <c r="K37" s="114"/>
    </row>
    <row r="38" spans="1:11" x14ac:dyDescent="0.3">
      <c r="A38" s="41" t="s">
        <v>45</v>
      </c>
      <c r="B38" s="240">
        <v>62.09</v>
      </c>
      <c r="C38" s="240">
        <v>122.5</v>
      </c>
      <c r="D38" s="241">
        <v>1.31663</v>
      </c>
      <c r="E38" s="242">
        <v>123.79822817475427</v>
      </c>
      <c r="F38" s="242">
        <v>1.5879999999999998E-2</v>
      </c>
      <c r="G38" s="243">
        <v>3.4000000000000002E-4</v>
      </c>
      <c r="H38" s="244">
        <v>40654.566666666666</v>
      </c>
      <c r="I38" s="244">
        <v>12.8</v>
      </c>
      <c r="J38" s="245">
        <v>5.4600000000000003E-2</v>
      </c>
      <c r="K38" s="114"/>
    </row>
    <row r="39" spans="1:11" x14ac:dyDescent="0.3">
      <c r="A39" s="41" t="s">
        <v>46</v>
      </c>
      <c r="B39" s="240">
        <v>73.599999999999994</v>
      </c>
      <c r="C39" s="240">
        <v>131.19999999999999</v>
      </c>
      <c r="D39" s="241">
        <v>1.90639</v>
      </c>
      <c r="E39" s="242">
        <v>135.87756313918507</v>
      </c>
      <c r="F39" s="242">
        <v>1.1979999999999999E-2</v>
      </c>
      <c r="G39" s="243">
        <v>6.0999999999999997E-4</v>
      </c>
      <c r="H39" s="244">
        <v>38145.658333333333</v>
      </c>
      <c r="I39" s="244">
        <v>13.7</v>
      </c>
      <c r="J39" s="245">
        <v>9.4600000000000004E-2</v>
      </c>
      <c r="K39" s="114"/>
    </row>
    <row r="40" spans="1:11" x14ac:dyDescent="0.3">
      <c r="A40" s="41" t="s">
        <v>47</v>
      </c>
      <c r="B40" s="240">
        <v>79.739999999999995</v>
      </c>
      <c r="C40" s="240">
        <v>127.6</v>
      </c>
      <c r="D40" s="241">
        <v>0.61573999999999995</v>
      </c>
      <c r="E40" s="242">
        <v>114.70191810687822</v>
      </c>
      <c r="F40" s="242">
        <v>5.77E-3</v>
      </c>
      <c r="G40" s="243">
        <v>6.0000000000000002E-5</v>
      </c>
      <c r="H40" s="244">
        <v>35173.766666666699</v>
      </c>
      <c r="I40" s="244">
        <v>12.1</v>
      </c>
      <c r="J40" s="245">
        <v>2.1129999999999999E-2</v>
      </c>
      <c r="K40" s="114"/>
    </row>
    <row r="41" spans="1:11" x14ac:dyDescent="0.3">
      <c r="A41" s="41" t="s">
        <v>48</v>
      </c>
      <c r="B41" s="240">
        <v>85.25</v>
      </c>
      <c r="C41" s="240">
        <v>123.1</v>
      </c>
      <c r="D41" s="241">
        <v>0.98375999999999997</v>
      </c>
      <c r="E41" s="242">
        <v>108.11963812630688</v>
      </c>
      <c r="F41" s="242">
        <v>6.8799999999999998E-3</v>
      </c>
      <c r="G41" s="243">
        <v>2.5999999999999998E-4</v>
      </c>
      <c r="H41" s="244">
        <v>36057.550000000003</v>
      </c>
      <c r="I41" s="244">
        <v>12</v>
      </c>
      <c r="J41" s="245">
        <v>3.5720000000000002E-2</v>
      </c>
      <c r="K41" s="114"/>
    </row>
    <row r="42" spans="1:11" x14ac:dyDescent="0.3">
      <c r="A42" s="41" t="s">
        <v>49</v>
      </c>
      <c r="B42" s="240">
        <v>70.75</v>
      </c>
      <c r="C42" s="240">
        <v>132.6</v>
      </c>
      <c r="D42" s="241">
        <v>2.0307400000000002</v>
      </c>
      <c r="E42" s="242">
        <v>140.96871115328244</v>
      </c>
      <c r="F42" s="242">
        <v>1.8440000000000002E-2</v>
      </c>
      <c r="G42" s="243">
        <v>7.7999999999999999E-4</v>
      </c>
      <c r="H42" s="244">
        <v>45177.908333333326</v>
      </c>
      <c r="I42" s="244">
        <v>12.8</v>
      </c>
      <c r="J42" s="245">
        <v>4.5440000000000001E-2</v>
      </c>
      <c r="K42" s="114"/>
    </row>
    <row r="43" spans="1:11" x14ac:dyDescent="0.3">
      <c r="A43" s="41" t="s">
        <v>50</v>
      </c>
      <c r="B43" s="240">
        <v>78.86</v>
      </c>
      <c r="C43" s="240">
        <v>103.7</v>
      </c>
      <c r="D43" s="241">
        <v>1.1244400000000001</v>
      </c>
      <c r="E43" s="242">
        <v>144.15234633089409</v>
      </c>
      <c r="F43" s="242">
        <v>1.512E-2</v>
      </c>
      <c r="G43" s="243">
        <v>1.3600000000000001E-3</v>
      </c>
      <c r="H43" s="244">
        <v>55076.19999999999</v>
      </c>
      <c r="I43" s="244">
        <v>12.3</v>
      </c>
      <c r="J43" s="245">
        <v>8.3470000000000003E-2</v>
      </c>
      <c r="K43" s="114"/>
    </row>
    <row r="44" spans="1:11" x14ac:dyDescent="0.3">
      <c r="A44" s="41" t="s">
        <v>51</v>
      </c>
      <c r="B44" s="240">
        <v>78.739999999999995</v>
      </c>
      <c r="C44" s="240">
        <v>112.3</v>
      </c>
      <c r="D44" s="241">
        <v>0.49269000000000002</v>
      </c>
      <c r="E44" s="242">
        <v>108.35836548561817</v>
      </c>
      <c r="F44" s="242">
        <v>3.3E-3</v>
      </c>
      <c r="G44" s="243">
        <v>1.6000000000000001E-4</v>
      </c>
      <c r="H44" s="244">
        <v>34727.033333333326</v>
      </c>
      <c r="I44" s="244">
        <v>14.6</v>
      </c>
      <c r="J44" s="245">
        <v>4.2500000000000003E-2</v>
      </c>
      <c r="K44" s="114"/>
    </row>
    <row r="45" spans="1:11" x14ac:dyDescent="0.3">
      <c r="A45" s="41" t="s">
        <v>52</v>
      </c>
      <c r="B45" s="240">
        <v>84.55</v>
      </c>
      <c r="C45" s="240">
        <v>148.1</v>
      </c>
      <c r="D45" s="241">
        <v>0.34144999999999998</v>
      </c>
      <c r="E45" s="242">
        <v>95.45741894698817</v>
      </c>
      <c r="F45" s="242">
        <v>3.5999999999999999E-3</v>
      </c>
      <c r="G45" s="243">
        <v>1E-4</v>
      </c>
      <c r="H45" s="244">
        <v>35633.250000000007</v>
      </c>
      <c r="I45" s="244">
        <v>11.5</v>
      </c>
      <c r="J45" s="245">
        <v>5.475E-2</v>
      </c>
      <c r="K45" s="114"/>
    </row>
    <row r="46" spans="1:11" x14ac:dyDescent="0.3">
      <c r="A46" s="41" t="s">
        <v>53</v>
      </c>
      <c r="B46" s="240">
        <v>66.16</v>
      </c>
      <c r="C46" s="240">
        <v>137.4</v>
      </c>
      <c r="D46" s="241">
        <v>0.22069</v>
      </c>
      <c r="E46" s="242">
        <v>104.84896208872529</v>
      </c>
      <c r="F46" s="242">
        <v>3.3700000000000002E-3</v>
      </c>
      <c r="G46" s="243">
        <v>6.4000000000000005E-4</v>
      </c>
      <c r="H46" s="244">
        <v>38701.525000000001</v>
      </c>
      <c r="I46" s="244">
        <v>22.4</v>
      </c>
      <c r="J46" s="245">
        <v>4.5500000000000002E-3</v>
      </c>
      <c r="K46" s="114"/>
    </row>
    <row r="47" spans="1:11" x14ac:dyDescent="0.3">
      <c r="A47" s="41" t="s">
        <v>54</v>
      </c>
      <c r="B47" s="240">
        <v>88.68</v>
      </c>
      <c r="C47" s="240">
        <v>128.19999999999999</v>
      </c>
      <c r="D47" s="241">
        <v>2.5931700000000002</v>
      </c>
      <c r="E47" s="242">
        <v>133.91807305710867</v>
      </c>
      <c r="F47" s="242">
        <v>2.5440000000000001E-2</v>
      </c>
      <c r="G47" s="243">
        <v>3.3E-4</v>
      </c>
      <c r="H47" s="244">
        <v>41647.408333333333</v>
      </c>
      <c r="I47" s="244">
        <v>11.4</v>
      </c>
      <c r="J47" s="245">
        <v>0.12438</v>
      </c>
      <c r="K47" s="114"/>
    </row>
    <row r="48" spans="1:11" x14ac:dyDescent="0.3">
      <c r="A48" s="41" t="s">
        <v>55</v>
      </c>
      <c r="B48" s="240">
        <v>71.95</v>
      </c>
      <c r="C48" s="240">
        <v>126.4</v>
      </c>
      <c r="D48" s="241">
        <v>0.80147000000000002</v>
      </c>
      <c r="E48" s="242">
        <v>115.22867710140896</v>
      </c>
      <c r="F48" s="242">
        <v>8.8599999999999998E-3</v>
      </c>
      <c r="G48" s="243">
        <v>1.1E-4</v>
      </c>
      <c r="H48" s="244">
        <v>44709.133333333339</v>
      </c>
      <c r="I48" s="244">
        <v>19.5</v>
      </c>
      <c r="J48" s="245">
        <v>2.2009999999999998E-2</v>
      </c>
      <c r="K48" s="114"/>
    </row>
    <row r="49" spans="1:11" x14ac:dyDescent="0.3">
      <c r="A49" s="41" t="s">
        <v>56</v>
      </c>
      <c r="B49" s="240">
        <v>90.34</v>
      </c>
      <c r="C49" s="240">
        <v>153.80000000000001</v>
      </c>
      <c r="D49" s="241">
        <v>3.5058699999999998</v>
      </c>
      <c r="E49" s="242">
        <v>25.757616644628545</v>
      </c>
      <c r="F49" s="242">
        <v>2.2419999999999999E-2</v>
      </c>
      <c r="G49" s="243">
        <v>2.4000000000000001E-4</v>
      </c>
      <c r="H49" s="244">
        <v>32179.975000000002</v>
      </c>
      <c r="I49" s="244">
        <v>14.7</v>
      </c>
      <c r="J49" s="245">
        <v>3.2439999999999997E-2</v>
      </c>
      <c r="K49" s="114"/>
    </row>
    <row r="50" spans="1:11" x14ac:dyDescent="0.3">
      <c r="A50" s="41" t="s">
        <v>57</v>
      </c>
      <c r="B50" s="240">
        <v>85.89</v>
      </c>
      <c r="C50" s="240">
        <v>218.5</v>
      </c>
      <c r="D50" s="241">
        <v>0.74309000000000003</v>
      </c>
      <c r="E50" s="242">
        <v>16.265870811787622</v>
      </c>
      <c r="F50" s="242">
        <v>2.1900000000000001E-3</v>
      </c>
      <c r="G50" s="243">
        <v>8.0000000000000007E-5</v>
      </c>
      <c r="H50" s="244">
        <v>31230.141666666663</v>
      </c>
      <c r="I50" s="244">
        <v>29.3</v>
      </c>
      <c r="J50" s="245">
        <v>5.1000000000000004E-3</v>
      </c>
      <c r="K50" s="114"/>
    </row>
    <row r="51" spans="1:11" x14ac:dyDescent="0.3">
      <c r="A51" s="41" t="s">
        <v>58</v>
      </c>
      <c r="B51" s="240">
        <v>84</v>
      </c>
      <c r="C51" s="240">
        <v>125.9</v>
      </c>
      <c r="D51" s="241">
        <v>0.22672999999999999</v>
      </c>
      <c r="E51" s="242">
        <v>146.78792337256786</v>
      </c>
      <c r="F51" s="242">
        <v>1.74E-3</v>
      </c>
      <c r="G51" s="243">
        <v>1E-4</v>
      </c>
      <c r="H51" s="244">
        <v>33166.76666666667</v>
      </c>
      <c r="I51" s="244">
        <v>22.6</v>
      </c>
      <c r="J51" s="245">
        <v>5.4000000000000001E-4</v>
      </c>
      <c r="K51" s="114"/>
    </row>
    <row r="52" spans="1:11" x14ac:dyDescent="0.3">
      <c r="A52" s="41" t="s">
        <v>59</v>
      </c>
      <c r="B52" s="240">
        <v>70.459999999999994</v>
      </c>
      <c r="C52" s="240">
        <v>131.19999999999999</v>
      </c>
      <c r="D52" s="241">
        <v>0.61504000000000003</v>
      </c>
      <c r="E52" s="242">
        <v>168.93633167037325</v>
      </c>
      <c r="F52" s="242">
        <v>4.6699999999999997E-3</v>
      </c>
      <c r="G52" s="243">
        <v>2.4000000000000001E-4</v>
      </c>
      <c r="H52" s="244">
        <v>49303.458333333336</v>
      </c>
      <c r="I52" s="244">
        <v>14.4</v>
      </c>
      <c r="J52" s="245">
        <v>1.6809999999999999E-2</v>
      </c>
      <c r="K52" s="114"/>
    </row>
    <row r="53" spans="1:11" x14ac:dyDescent="0.3">
      <c r="A53" s="41" t="s">
        <v>60</v>
      </c>
      <c r="B53" s="240">
        <v>65.08</v>
      </c>
      <c r="C53" s="240">
        <v>110.2</v>
      </c>
      <c r="D53" s="241">
        <v>0.63782000000000005</v>
      </c>
      <c r="E53" s="242">
        <v>195.49868389338786</v>
      </c>
      <c r="F53" s="242">
        <v>6.79E-3</v>
      </c>
      <c r="G53" s="243">
        <v>3.4000000000000002E-4</v>
      </c>
      <c r="H53" s="244">
        <v>59720.691666666658</v>
      </c>
      <c r="I53" s="244">
        <v>15.3</v>
      </c>
      <c r="J53" s="245">
        <v>2.7210000000000002E-2</v>
      </c>
      <c r="K53" s="114"/>
    </row>
    <row r="54" spans="1:11" x14ac:dyDescent="0.3">
      <c r="A54" s="41" t="s">
        <v>61</v>
      </c>
      <c r="B54" s="240">
        <v>90.07</v>
      </c>
      <c r="C54" s="240">
        <v>117.8</v>
      </c>
      <c r="D54" s="241">
        <v>1.3063100000000001</v>
      </c>
      <c r="E54" s="242">
        <v>31.194283438740072</v>
      </c>
      <c r="F54" s="242">
        <v>1.022E-2</v>
      </c>
      <c r="G54" s="243">
        <v>5.0000000000000001E-4</v>
      </c>
      <c r="H54" s="244">
        <v>37993.283333333333</v>
      </c>
      <c r="I54" s="244">
        <v>16.2</v>
      </c>
      <c r="J54" s="245">
        <v>0.1389</v>
      </c>
      <c r="K54" s="114"/>
    </row>
    <row r="55" spans="1:11" x14ac:dyDescent="0.3">
      <c r="A55" s="41" t="s">
        <v>62</v>
      </c>
      <c r="B55" s="240">
        <v>75.760000000000005</v>
      </c>
      <c r="C55" s="240">
        <v>121.8</v>
      </c>
      <c r="D55" s="241">
        <v>0.63185000000000002</v>
      </c>
      <c r="E55" s="242">
        <v>104.1781560166245</v>
      </c>
      <c r="F55" s="242">
        <v>4.6299999999999996E-3</v>
      </c>
      <c r="G55" s="243">
        <v>2.0000000000000002E-5</v>
      </c>
      <c r="H55" s="244">
        <v>35201.9</v>
      </c>
      <c r="I55" s="244">
        <v>17.899999999999999</v>
      </c>
      <c r="J55" s="245">
        <v>2.2110000000000001E-2</v>
      </c>
      <c r="K55" s="114"/>
    </row>
    <row r="56" spans="1:11" x14ac:dyDescent="0.3">
      <c r="A56" s="41" t="s">
        <v>63</v>
      </c>
      <c r="B56" s="240">
        <v>85.6</v>
      </c>
      <c r="C56" s="240">
        <v>125.9</v>
      </c>
      <c r="D56" s="241">
        <v>0.68864999999999998</v>
      </c>
      <c r="E56" s="242">
        <v>101.38206388206387</v>
      </c>
      <c r="F56" s="242">
        <v>8.5199999999999998E-3</v>
      </c>
      <c r="G56" s="243">
        <v>4.2000000000000002E-4</v>
      </c>
      <c r="H56" s="244">
        <v>34441.416666666664</v>
      </c>
      <c r="I56" s="244">
        <v>16.5</v>
      </c>
      <c r="J56" s="245">
        <v>4.0660000000000002E-2</v>
      </c>
      <c r="K56" s="114"/>
    </row>
    <row r="57" spans="1:11" x14ac:dyDescent="0.3">
      <c r="A57" s="41" t="s">
        <v>64</v>
      </c>
      <c r="B57" s="240">
        <v>58.34</v>
      </c>
      <c r="C57" s="240">
        <v>117.4</v>
      </c>
      <c r="D57" s="241">
        <v>0.59196000000000004</v>
      </c>
      <c r="E57" s="242">
        <v>219.0075894463302</v>
      </c>
      <c r="F57" s="242">
        <v>8.6199999999999992E-3</v>
      </c>
      <c r="G57" s="243">
        <v>3.1E-4</v>
      </c>
      <c r="H57" s="244">
        <v>82554.925000000003</v>
      </c>
      <c r="I57" s="244">
        <v>16.3</v>
      </c>
      <c r="J57" s="245">
        <v>0.16671</v>
      </c>
      <c r="K57" s="114"/>
    </row>
    <row r="58" spans="1:11" x14ac:dyDescent="0.3">
      <c r="A58" s="41" t="s">
        <v>65</v>
      </c>
      <c r="B58" s="240">
        <v>82.83</v>
      </c>
      <c r="C58" s="240">
        <v>127.2</v>
      </c>
      <c r="D58" s="241">
        <v>0.58684000000000003</v>
      </c>
      <c r="E58" s="242">
        <v>87.066836107167703</v>
      </c>
      <c r="F58" s="242">
        <v>9.0900000000000009E-3</v>
      </c>
      <c r="G58" s="243">
        <v>9.0000000000000006E-5</v>
      </c>
      <c r="H58" s="244">
        <v>32602.524999999998</v>
      </c>
      <c r="I58" s="244">
        <v>13.4</v>
      </c>
      <c r="J58" s="245">
        <v>8.5500000000000003E-3</v>
      </c>
      <c r="K58" s="114"/>
    </row>
    <row r="59" spans="1:11" x14ac:dyDescent="0.3">
      <c r="A59" s="41" t="s">
        <v>66</v>
      </c>
      <c r="B59" s="240">
        <v>82.81</v>
      </c>
      <c r="C59" s="240">
        <v>156.30000000000001</v>
      </c>
      <c r="D59" s="241">
        <v>2.9184700000000001</v>
      </c>
      <c r="E59" s="242">
        <v>136.07639239575968</v>
      </c>
      <c r="F59" s="242">
        <v>2.9049999999999999E-2</v>
      </c>
      <c r="G59" s="243">
        <v>2.66E-3</v>
      </c>
      <c r="H59" s="244">
        <v>44854.008333333331</v>
      </c>
      <c r="I59" s="244">
        <v>6.2</v>
      </c>
      <c r="J59" s="245">
        <v>0.11168</v>
      </c>
      <c r="K59" s="114"/>
    </row>
    <row r="60" spans="1:11" x14ac:dyDescent="0.3">
      <c r="A60" s="41" t="s">
        <v>67</v>
      </c>
      <c r="B60" s="240">
        <v>96.79</v>
      </c>
      <c r="C60" s="240">
        <v>89</v>
      </c>
      <c r="D60" s="241">
        <v>0.23357</v>
      </c>
      <c r="E60" s="242">
        <v>128.78772107740946</v>
      </c>
      <c r="F60" s="242">
        <v>2.0500000000000002E-3</v>
      </c>
      <c r="G60" s="243">
        <v>6.9999999999999994E-5</v>
      </c>
      <c r="H60" s="244">
        <v>46091.92500000001</v>
      </c>
      <c r="I60" s="244">
        <v>28.2</v>
      </c>
      <c r="J60" s="245">
        <v>4.4900000000000001E-3</v>
      </c>
      <c r="K60" s="114"/>
    </row>
    <row r="61" spans="1:11" x14ac:dyDescent="0.3">
      <c r="A61" s="41" t="s">
        <v>68</v>
      </c>
      <c r="B61" s="240">
        <v>69.52</v>
      </c>
      <c r="C61" s="240">
        <v>140.1</v>
      </c>
      <c r="D61" s="241">
        <v>0.29210000000000003</v>
      </c>
      <c r="E61" s="242">
        <v>118.18652577543959</v>
      </c>
      <c r="F61" s="242">
        <v>3.5200000000000001E-3</v>
      </c>
      <c r="G61" s="243">
        <v>2.0000000000000002E-5</v>
      </c>
      <c r="H61" s="244">
        <v>47147.708333333336</v>
      </c>
      <c r="I61" s="244">
        <v>17.899999999999999</v>
      </c>
      <c r="J61" s="245">
        <v>1.0619999999999999E-2</v>
      </c>
      <c r="K61" s="114"/>
    </row>
    <row r="62" spans="1:11" x14ac:dyDescent="0.3">
      <c r="A62" s="41" t="s">
        <v>69</v>
      </c>
      <c r="B62" s="240">
        <v>83.54</v>
      </c>
      <c r="C62" s="240">
        <v>127.2</v>
      </c>
      <c r="D62" s="241">
        <v>3.5905300000000002</v>
      </c>
      <c r="E62" s="242">
        <v>113.25823732051116</v>
      </c>
      <c r="F62" s="242">
        <v>3.3959999999999997E-2</v>
      </c>
      <c r="G62" s="243">
        <v>2.9999999999999997E-4</v>
      </c>
      <c r="H62" s="244">
        <v>39045.375000000007</v>
      </c>
      <c r="I62" s="244">
        <v>12</v>
      </c>
      <c r="J62" s="245">
        <v>0.26678000000000002</v>
      </c>
      <c r="K62" s="114"/>
    </row>
    <row r="63" spans="1:11" x14ac:dyDescent="0.3">
      <c r="A63" s="41" t="s">
        <v>70</v>
      </c>
      <c r="B63" s="240">
        <v>79.099999999999994</v>
      </c>
      <c r="C63" s="240">
        <v>129.1</v>
      </c>
      <c r="D63" s="241">
        <v>1.3025199999999999</v>
      </c>
      <c r="E63" s="242">
        <v>121.6070942553972</v>
      </c>
      <c r="F63" s="242">
        <v>8.2699999999999996E-3</v>
      </c>
      <c r="G63" s="243">
        <v>2.5000000000000001E-4</v>
      </c>
      <c r="H63" s="244">
        <v>40282.46666666666</v>
      </c>
      <c r="I63" s="244">
        <v>12.4</v>
      </c>
      <c r="J63" s="245">
        <v>4.7169999999999997E-2</v>
      </c>
      <c r="K63" s="114"/>
    </row>
    <row r="64" spans="1:11" x14ac:dyDescent="0.3">
      <c r="A64" s="41" t="s">
        <v>71</v>
      </c>
      <c r="B64" s="240">
        <v>80.55</v>
      </c>
      <c r="C64" s="240">
        <v>134.5</v>
      </c>
      <c r="D64" s="241">
        <v>2.1654300000000002</v>
      </c>
      <c r="E64" s="242">
        <v>120.99764124708</v>
      </c>
      <c r="F64" s="242">
        <v>3.5119999999999998E-2</v>
      </c>
      <c r="G64" s="243">
        <v>3.8000000000000002E-4</v>
      </c>
      <c r="H64" s="244">
        <v>42728.741666666669</v>
      </c>
      <c r="I64" s="244">
        <v>11.7</v>
      </c>
      <c r="J64" s="245">
        <v>0.13256000000000001</v>
      </c>
      <c r="K64" s="114"/>
    </row>
    <row r="65" spans="1:11" x14ac:dyDescent="0.3">
      <c r="A65" s="41" t="s">
        <v>72</v>
      </c>
      <c r="B65" s="240">
        <v>77.66</v>
      </c>
      <c r="C65" s="240">
        <v>118.1</v>
      </c>
      <c r="D65" s="241">
        <v>5.69956</v>
      </c>
      <c r="E65" s="242">
        <v>194.92517362956221</v>
      </c>
      <c r="F65" s="242">
        <v>3.1009999999999999E-2</v>
      </c>
      <c r="G65" s="243">
        <v>7.1000000000000002E-4</v>
      </c>
      <c r="H65" s="244">
        <v>75920.241666666669</v>
      </c>
      <c r="I65" s="244">
        <v>5</v>
      </c>
      <c r="J65" s="245">
        <v>0.24307000000000001</v>
      </c>
      <c r="K65" s="114"/>
    </row>
    <row r="66" spans="1:11" x14ac:dyDescent="0.3">
      <c r="A66" s="41" t="s">
        <v>73</v>
      </c>
      <c r="B66" s="240">
        <v>82.24</v>
      </c>
      <c r="C66" s="240">
        <v>102</v>
      </c>
      <c r="D66" s="241">
        <v>1.4075299999999999</v>
      </c>
      <c r="E66" s="242">
        <v>103.71894503194554</v>
      </c>
      <c r="F66" s="242">
        <v>1.831E-2</v>
      </c>
      <c r="G66" s="243">
        <v>4.2000000000000002E-4</v>
      </c>
      <c r="H66" s="244">
        <v>37089.050000000003</v>
      </c>
      <c r="I66" s="244">
        <v>14</v>
      </c>
      <c r="J66" s="245">
        <v>7.7630000000000005E-2</v>
      </c>
      <c r="K66" s="114"/>
    </row>
    <row r="67" spans="1:11" x14ac:dyDescent="0.3">
      <c r="A67" s="41" t="s">
        <v>74</v>
      </c>
      <c r="B67" s="240">
        <v>74.84</v>
      </c>
      <c r="C67" s="240">
        <v>87.4</v>
      </c>
      <c r="D67" s="241">
        <v>0.23605999999999999</v>
      </c>
      <c r="E67" s="242">
        <v>211.53454117838925</v>
      </c>
      <c r="F67" s="242">
        <v>3.7799999999999999E-3</v>
      </c>
      <c r="G67" s="243">
        <v>3.1E-4</v>
      </c>
      <c r="H67" s="244">
        <v>94586.75</v>
      </c>
      <c r="I67" s="244">
        <v>7.4</v>
      </c>
      <c r="J67" s="245">
        <v>5.951E-2</v>
      </c>
      <c r="K67" s="114"/>
    </row>
    <row r="68" spans="1:11" x14ac:dyDescent="0.3">
      <c r="A68" s="41" t="s">
        <v>75</v>
      </c>
      <c r="B68" s="240">
        <v>65.97</v>
      </c>
      <c r="C68" s="240">
        <v>111.6</v>
      </c>
      <c r="D68" s="241">
        <v>2.8652799999999998</v>
      </c>
      <c r="E68" s="242">
        <v>145.62382686737854</v>
      </c>
      <c r="F68" s="242">
        <v>2.7439999999999999E-2</v>
      </c>
      <c r="G68" s="243">
        <v>8.8999999999999995E-4</v>
      </c>
      <c r="H68" s="244">
        <v>48346.816666666673</v>
      </c>
      <c r="I68" s="244">
        <v>8.6</v>
      </c>
      <c r="J68" s="245">
        <v>0.15586</v>
      </c>
      <c r="K68" s="114"/>
    </row>
    <row r="69" spans="1:11" x14ac:dyDescent="0.3">
      <c r="A69" s="41" t="s">
        <v>76</v>
      </c>
      <c r="B69" s="240">
        <v>84.6</v>
      </c>
      <c r="C69" s="240">
        <v>146.69999999999999</v>
      </c>
      <c r="D69" s="241">
        <v>0.22037999999999999</v>
      </c>
      <c r="E69" s="242">
        <v>34.218525094437503</v>
      </c>
      <c r="F69" s="242">
        <v>3.3E-3</v>
      </c>
      <c r="G69" s="243">
        <v>6.0000000000000002E-5</v>
      </c>
      <c r="H69" s="244">
        <v>39127</v>
      </c>
      <c r="I69" s="244">
        <v>10.5</v>
      </c>
      <c r="J69" s="245">
        <v>8.7160000000000001E-2</v>
      </c>
      <c r="K69" s="114"/>
    </row>
    <row r="70" spans="1:11" x14ac:dyDescent="0.3">
      <c r="A70" s="41" t="s">
        <v>77</v>
      </c>
      <c r="B70" s="240">
        <v>71.97</v>
      </c>
      <c r="C70" s="240">
        <v>106</v>
      </c>
      <c r="D70" s="241">
        <v>0.75100999999999996</v>
      </c>
      <c r="E70" s="242">
        <v>116.24647649114895</v>
      </c>
      <c r="F70" s="242">
        <v>7.6499999999999997E-3</v>
      </c>
      <c r="G70" s="243">
        <v>4.2000000000000002E-4</v>
      </c>
      <c r="H70" s="244">
        <v>36097.23333333333</v>
      </c>
      <c r="I70" s="244">
        <v>14.3</v>
      </c>
      <c r="J70" s="245">
        <v>8.1860000000000002E-2</v>
      </c>
      <c r="K70" s="114"/>
    </row>
    <row r="71" spans="1:11" x14ac:dyDescent="0.3">
      <c r="A71" s="41" t="s">
        <v>78</v>
      </c>
      <c r="B71" s="240">
        <v>84.85</v>
      </c>
      <c r="C71" s="240">
        <v>121.4</v>
      </c>
      <c r="D71" s="241">
        <v>2.2046899999999998</v>
      </c>
      <c r="E71" s="242">
        <v>96.457653951568588</v>
      </c>
      <c r="F71" s="242">
        <v>2.7040000000000002E-2</v>
      </c>
      <c r="G71" s="243">
        <v>9.3000000000000005E-4</v>
      </c>
      <c r="H71" s="244">
        <v>37090.316666666666</v>
      </c>
      <c r="I71" s="244">
        <v>13</v>
      </c>
      <c r="J71" s="245">
        <v>8.2479999999999998E-2</v>
      </c>
      <c r="K71" s="114"/>
    </row>
    <row r="72" spans="1:11" x14ac:dyDescent="0.3">
      <c r="A72" s="41" t="s">
        <v>79</v>
      </c>
      <c r="B72" s="240">
        <v>87.41</v>
      </c>
      <c r="C72" s="240">
        <v>133.4</v>
      </c>
      <c r="D72" s="241">
        <v>1.0933900000000001</v>
      </c>
      <c r="E72" s="242">
        <v>100.94048945485517</v>
      </c>
      <c r="F72" s="242">
        <v>6.7200000000000003E-3</v>
      </c>
      <c r="G72" s="243">
        <v>1.2E-4</v>
      </c>
      <c r="H72" s="244">
        <v>33689.125</v>
      </c>
      <c r="I72" s="244">
        <v>10.5</v>
      </c>
      <c r="J72" s="245">
        <v>5.713E-2</v>
      </c>
      <c r="K72" s="114"/>
    </row>
    <row r="73" spans="1:11" x14ac:dyDescent="0.3">
      <c r="A73" s="41" t="s">
        <v>80</v>
      </c>
      <c r="B73" s="240">
        <v>71.87</v>
      </c>
      <c r="C73" s="240">
        <v>106.7</v>
      </c>
      <c r="D73" s="241">
        <v>0.99085000000000001</v>
      </c>
      <c r="E73" s="242">
        <v>126.51810139653094</v>
      </c>
      <c r="F73" s="242">
        <v>7.1500000000000001E-3</v>
      </c>
      <c r="G73" s="243">
        <v>2.1000000000000001E-4</v>
      </c>
      <c r="H73" s="244">
        <v>39692.483333333337</v>
      </c>
      <c r="I73" s="244">
        <v>10.8</v>
      </c>
      <c r="J73" s="245">
        <v>6.8049999999999999E-2</v>
      </c>
      <c r="K73" s="114"/>
    </row>
    <row r="74" spans="1:11" x14ac:dyDescent="0.3">
      <c r="A74" s="41" t="s">
        <v>81</v>
      </c>
      <c r="B74" s="240">
        <v>64.86</v>
      </c>
      <c r="C74" s="240">
        <v>99.7</v>
      </c>
      <c r="D74" s="241">
        <v>0.69964000000000004</v>
      </c>
      <c r="E74" s="242">
        <v>131.13163694122471</v>
      </c>
      <c r="F74" s="242">
        <v>9.1299999999999992E-3</v>
      </c>
      <c r="G74" s="243">
        <v>3.8999999999999999E-4</v>
      </c>
      <c r="H74" s="244">
        <v>50481.1</v>
      </c>
      <c r="I74" s="244">
        <v>13.5</v>
      </c>
      <c r="J74" s="245">
        <v>0.10581</v>
      </c>
      <c r="K74" s="114"/>
    </row>
    <row r="75" spans="1:11" x14ac:dyDescent="0.3">
      <c r="A75" s="41" t="s">
        <v>82</v>
      </c>
      <c r="B75" s="240">
        <v>83.06</v>
      </c>
      <c r="C75" s="240">
        <v>114.6</v>
      </c>
      <c r="D75" s="241">
        <v>1.4757</v>
      </c>
      <c r="E75" s="242">
        <v>123.53794038845719</v>
      </c>
      <c r="F75" s="242">
        <v>1.021E-2</v>
      </c>
      <c r="G75" s="243">
        <v>6.2E-4</v>
      </c>
      <c r="H75" s="244">
        <v>43892.25</v>
      </c>
      <c r="I75" s="244">
        <v>9.6999999999999993</v>
      </c>
      <c r="J75" s="245">
        <v>0.10505</v>
      </c>
      <c r="K75" s="114"/>
    </row>
    <row r="76" spans="1:11" x14ac:dyDescent="0.3">
      <c r="A76" s="41" t="s">
        <v>83</v>
      </c>
      <c r="B76" s="240">
        <v>85.57</v>
      </c>
      <c r="C76" s="240">
        <v>132.5</v>
      </c>
      <c r="D76" s="241">
        <v>0.98404000000000003</v>
      </c>
      <c r="E76" s="242">
        <v>176.21447183204049</v>
      </c>
      <c r="F76" s="242">
        <v>1.3639999999999999E-2</v>
      </c>
      <c r="G76" s="243">
        <v>6.9999999999999999E-4</v>
      </c>
      <c r="H76" s="244">
        <v>55770.44999999999</v>
      </c>
      <c r="I76" s="244">
        <v>11.4</v>
      </c>
      <c r="J76" s="245">
        <v>0.29969000000000001</v>
      </c>
      <c r="K76" s="114"/>
    </row>
    <row r="77" spans="1:11" x14ac:dyDescent="0.3">
      <c r="A77" s="41" t="s">
        <v>84</v>
      </c>
      <c r="B77" s="240">
        <v>68.92</v>
      </c>
      <c r="C77" s="240">
        <v>128.19999999999999</v>
      </c>
      <c r="D77" s="241">
        <v>1.0716000000000001</v>
      </c>
      <c r="E77" s="242">
        <v>142.27859423332546</v>
      </c>
      <c r="F77" s="242">
        <v>1.269E-2</v>
      </c>
      <c r="G77" s="243">
        <v>1.4999999999999999E-4</v>
      </c>
      <c r="H77" s="244">
        <v>38563.85</v>
      </c>
      <c r="I77" s="244">
        <v>13.2</v>
      </c>
      <c r="J77" s="245">
        <v>2.426E-2</v>
      </c>
      <c r="K77" s="114"/>
    </row>
    <row r="78" spans="1:11" x14ac:dyDescent="0.3">
      <c r="A78" s="41" t="s">
        <v>85</v>
      </c>
      <c r="B78" s="240">
        <v>71.16</v>
      </c>
      <c r="C78" s="240">
        <v>123.2</v>
      </c>
      <c r="D78" s="241">
        <v>1.1350899999999999</v>
      </c>
      <c r="E78" s="242">
        <v>115.0939738734422</v>
      </c>
      <c r="F78" s="242">
        <v>8.8299999999999993E-3</v>
      </c>
      <c r="G78" s="243">
        <v>5.6999999999999998E-4</v>
      </c>
      <c r="H78" s="244">
        <v>35990.674999999996</v>
      </c>
      <c r="I78" s="244">
        <v>11.3</v>
      </c>
      <c r="J78" s="245">
        <v>2.8299999999999999E-2</v>
      </c>
      <c r="K78" s="114"/>
    </row>
    <row r="79" spans="1:11" x14ac:dyDescent="0.3">
      <c r="A79" s="41" t="s">
        <v>86</v>
      </c>
      <c r="B79" s="240">
        <v>62.28</v>
      </c>
      <c r="C79" s="240">
        <v>108.9</v>
      </c>
      <c r="D79" s="241">
        <v>0.69628000000000001</v>
      </c>
      <c r="E79" s="242">
        <v>158.16885371189173</v>
      </c>
      <c r="F79" s="242">
        <v>7.6400000000000001E-3</v>
      </c>
      <c r="G79" s="243">
        <v>3.2000000000000003E-4</v>
      </c>
      <c r="H79" s="244">
        <v>59247.075000000012</v>
      </c>
      <c r="I79" s="244">
        <v>13.8</v>
      </c>
      <c r="J79" s="245">
        <v>0.11831999999999999</v>
      </c>
      <c r="K79" s="114"/>
    </row>
    <row r="80" spans="1:11" x14ac:dyDescent="0.3">
      <c r="A80" s="41" t="s">
        <v>87</v>
      </c>
      <c r="B80" s="240">
        <v>69</v>
      </c>
      <c r="C80" s="240">
        <v>134.80000000000001</v>
      </c>
      <c r="D80" s="241">
        <v>0.59433999999999998</v>
      </c>
      <c r="E80" s="242">
        <v>270.7247151443928</v>
      </c>
      <c r="F80" s="242">
        <v>1.175E-2</v>
      </c>
      <c r="G80" s="243">
        <v>1.4999999999999999E-4</v>
      </c>
      <c r="H80" s="244">
        <v>85211.016666666677</v>
      </c>
      <c r="I80" s="244">
        <v>12</v>
      </c>
      <c r="J80" s="245">
        <v>0.18253</v>
      </c>
      <c r="K80" s="114"/>
    </row>
    <row r="81" spans="1:11" x14ac:dyDescent="0.3">
      <c r="A81" s="41" t="s">
        <v>88</v>
      </c>
      <c r="B81" s="240">
        <v>69.540000000000006</v>
      </c>
      <c r="C81" s="240">
        <v>125.9</v>
      </c>
      <c r="D81" s="241">
        <v>2.29976</v>
      </c>
      <c r="E81" s="242">
        <v>123.3789539028442</v>
      </c>
      <c r="F81" s="242">
        <v>2.86E-2</v>
      </c>
      <c r="G81" s="243">
        <v>7.1000000000000002E-4</v>
      </c>
      <c r="H81" s="244">
        <v>43476.708333333328</v>
      </c>
      <c r="I81" s="244">
        <v>12</v>
      </c>
      <c r="J81" s="245">
        <v>0.13453999999999999</v>
      </c>
      <c r="K81" s="114"/>
    </row>
    <row r="82" spans="1:11" x14ac:dyDescent="0.3">
      <c r="A82" s="41" t="s">
        <v>89</v>
      </c>
      <c r="B82" s="240">
        <v>97.92</v>
      </c>
      <c r="C82" s="240">
        <v>162.80000000000001</v>
      </c>
      <c r="D82" s="241">
        <v>2.3936799999999998</v>
      </c>
      <c r="E82" s="242">
        <v>25.406657718227152</v>
      </c>
      <c r="F82" s="242">
        <v>6.5399999999999998E-3</v>
      </c>
      <c r="G82" s="243">
        <v>5.2999999999999998E-4</v>
      </c>
      <c r="H82" s="244">
        <v>30942.166666666668</v>
      </c>
      <c r="I82" s="244">
        <v>19.8</v>
      </c>
      <c r="J82" s="245">
        <v>1.1339999999999999E-2</v>
      </c>
      <c r="K82" s="114"/>
    </row>
    <row r="83" spans="1:11" x14ac:dyDescent="0.3">
      <c r="A83" s="41" t="s">
        <v>90</v>
      </c>
      <c r="B83" s="240">
        <v>72.569999999999993</v>
      </c>
      <c r="C83" s="240">
        <v>122.8</v>
      </c>
      <c r="D83" s="241">
        <v>0.80030000000000001</v>
      </c>
      <c r="E83" s="242">
        <v>126.2099757751447</v>
      </c>
      <c r="F83" s="242">
        <v>9.2800000000000001E-3</v>
      </c>
      <c r="G83" s="243">
        <v>2.0000000000000001E-4</v>
      </c>
      <c r="H83" s="244">
        <v>35530.791666666664</v>
      </c>
      <c r="I83" s="244">
        <v>15.7</v>
      </c>
      <c r="J83" s="245">
        <v>2.8979999999999999E-2</v>
      </c>
      <c r="K83" s="114"/>
    </row>
    <row r="84" spans="1:11" x14ac:dyDescent="0.3">
      <c r="A84" s="41" t="s">
        <v>91</v>
      </c>
      <c r="B84" s="240">
        <v>80.3</v>
      </c>
      <c r="C84" s="240">
        <v>77.5</v>
      </c>
      <c r="D84" s="241">
        <v>1.874E-2</v>
      </c>
      <c r="E84" s="242">
        <v>230.76441364338496</v>
      </c>
      <c r="F84" s="242">
        <v>5.6999999999999998E-4</v>
      </c>
      <c r="G84" s="243">
        <v>1.0000000000000001E-5</v>
      </c>
      <c r="H84" s="244">
        <v>130482.90000000001</v>
      </c>
      <c r="I84" s="244">
        <v>7.3</v>
      </c>
      <c r="J84" s="245">
        <v>7.7799999999999996E-3</v>
      </c>
      <c r="K84" s="115"/>
    </row>
    <row r="85" spans="1:11" x14ac:dyDescent="0.3">
      <c r="A85" s="41" t="s">
        <v>92</v>
      </c>
      <c r="B85" s="240">
        <v>89.16</v>
      </c>
      <c r="C85" s="240">
        <v>130.19999999999999</v>
      </c>
      <c r="D85" s="241">
        <v>0.16178000000000001</v>
      </c>
      <c r="E85" s="242">
        <v>334.79903920632808</v>
      </c>
      <c r="F85" s="242">
        <v>3.7399999999999998E-3</v>
      </c>
      <c r="G85" s="243">
        <v>1.3999999999999999E-4</v>
      </c>
      <c r="H85" s="244">
        <v>115986.61666666665</v>
      </c>
      <c r="I85" s="244">
        <v>4.5999999999999996</v>
      </c>
      <c r="J85" s="245">
        <v>4.6219999999999997E-2</v>
      </c>
      <c r="K85" s="115"/>
    </row>
    <row r="86" spans="1:11" x14ac:dyDescent="0.3">
      <c r="A86" s="41" t="s">
        <v>93</v>
      </c>
      <c r="B86" s="240">
        <v>70.69</v>
      </c>
      <c r="C86" s="240">
        <v>103.8</v>
      </c>
      <c r="D86" s="241">
        <v>1.00553</v>
      </c>
      <c r="E86" s="242">
        <v>107.54812601139481</v>
      </c>
      <c r="F86" s="242">
        <v>7.0000000000000001E-3</v>
      </c>
      <c r="G86" s="243">
        <v>2.5999999999999998E-4</v>
      </c>
      <c r="H86" s="244">
        <v>41388.708333333336</v>
      </c>
      <c r="I86" s="244">
        <v>8.9</v>
      </c>
      <c r="J86" s="246">
        <v>-0.53680639399999996</v>
      </c>
      <c r="K86" s="128"/>
    </row>
    <row r="87" spans="1:11" x14ac:dyDescent="0.3">
      <c r="A87" s="42"/>
      <c r="B87" s="33"/>
      <c r="C87" s="36"/>
      <c r="D87" s="36"/>
      <c r="E87" s="36"/>
      <c r="F87" s="36"/>
      <c r="G87" s="51"/>
      <c r="H87" s="51"/>
      <c r="I87" s="51"/>
      <c r="J87" s="52"/>
      <c r="K87" s="116"/>
    </row>
    <row r="88" spans="1:11" x14ac:dyDescent="0.3">
      <c r="A88" s="42"/>
      <c r="B88" s="33"/>
      <c r="C88" s="36"/>
      <c r="D88" s="36"/>
      <c r="E88" s="36"/>
      <c r="F88" s="36"/>
      <c r="G88" s="51"/>
      <c r="H88" s="51"/>
      <c r="I88" s="51"/>
      <c r="J88" s="52"/>
      <c r="K88" s="141"/>
    </row>
    <row r="89" spans="1:11" x14ac:dyDescent="0.3">
      <c r="A89" s="42"/>
      <c r="B89" s="33"/>
      <c r="C89" s="36"/>
      <c r="D89" s="36"/>
      <c r="E89" s="36"/>
      <c r="F89" s="36"/>
      <c r="G89" s="51"/>
      <c r="H89" s="51"/>
      <c r="I89" s="51"/>
      <c r="J89" s="52"/>
    </row>
    <row r="90" spans="1:11" x14ac:dyDescent="0.3">
      <c r="A90" s="42"/>
      <c r="B90" s="33"/>
      <c r="C90" s="36"/>
      <c r="D90" s="36"/>
      <c r="E90" s="36"/>
      <c r="F90" s="36"/>
      <c r="G90" s="51"/>
      <c r="H90" s="51"/>
      <c r="I90" s="51"/>
      <c r="J90" s="52"/>
    </row>
    <row r="91" spans="1:11" x14ac:dyDescent="0.3">
      <c r="A91" s="42"/>
      <c r="B91" s="33"/>
      <c r="C91" s="36"/>
      <c r="D91" s="36"/>
      <c r="E91" s="36"/>
      <c r="F91" s="36"/>
      <c r="G91" s="51"/>
      <c r="H91" s="51"/>
      <c r="I91" s="51"/>
      <c r="J91" s="52"/>
    </row>
    <row r="92" spans="1:11" x14ac:dyDescent="0.3">
      <c r="A92" s="42"/>
      <c r="B92" s="33"/>
      <c r="C92" s="36"/>
      <c r="D92" s="36"/>
      <c r="E92" s="36"/>
      <c r="F92" s="36"/>
      <c r="G92" s="51"/>
      <c r="H92" s="51"/>
      <c r="I92" s="51"/>
      <c r="J92" s="52"/>
    </row>
    <row r="93" spans="1:11" x14ac:dyDescent="0.3">
      <c r="A93" s="42"/>
      <c r="B93" s="33"/>
      <c r="C93" s="36"/>
      <c r="D93" s="36"/>
      <c r="E93" s="36"/>
      <c r="F93" s="36"/>
      <c r="G93" s="51"/>
      <c r="H93" s="51"/>
      <c r="I93" s="51"/>
      <c r="J93" s="52"/>
    </row>
    <row r="94" spans="1:11" x14ac:dyDescent="0.3">
      <c r="A94" s="42"/>
      <c r="B94" s="33"/>
      <c r="C94" s="36"/>
      <c r="D94" s="36"/>
      <c r="E94" s="36"/>
      <c r="F94" s="36"/>
      <c r="G94" s="51"/>
      <c r="H94" s="51"/>
      <c r="I94" s="51"/>
      <c r="J94" s="52"/>
    </row>
    <row r="95" spans="1:11" x14ac:dyDescent="0.3">
      <c r="A95" s="42"/>
      <c r="B95" s="33"/>
      <c r="C95" s="36"/>
      <c r="D95" s="36"/>
      <c r="E95" s="36"/>
      <c r="F95" s="36"/>
      <c r="G95" s="51"/>
      <c r="H95" s="51"/>
      <c r="I95" s="51"/>
      <c r="J95" s="52"/>
    </row>
    <row r="96" spans="1:11" x14ac:dyDescent="0.3">
      <c r="A96" s="42"/>
      <c r="B96" s="33"/>
      <c r="C96" s="36"/>
      <c r="D96" s="36"/>
      <c r="E96" s="36"/>
      <c r="F96" s="36"/>
      <c r="G96" s="51"/>
      <c r="H96" s="51"/>
      <c r="I96" s="51"/>
      <c r="J96" s="52"/>
    </row>
    <row r="97" spans="1:10" x14ac:dyDescent="0.3">
      <c r="A97" s="42"/>
      <c r="B97" s="33"/>
      <c r="C97" s="36"/>
      <c r="D97" s="36"/>
      <c r="E97" s="36"/>
      <c r="F97" s="36"/>
      <c r="G97" s="51"/>
      <c r="H97" s="51"/>
      <c r="I97" s="51"/>
      <c r="J97" s="52"/>
    </row>
    <row r="98" spans="1:10" x14ac:dyDescent="0.3">
      <c r="A98" s="42"/>
      <c r="B98" s="33"/>
      <c r="C98" s="36"/>
      <c r="D98" s="36"/>
      <c r="E98" s="36"/>
      <c r="F98" s="36"/>
      <c r="G98" s="51"/>
      <c r="H98" s="51"/>
      <c r="I98" s="51"/>
      <c r="J98" s="52"/>
    </row>
    <row r="99" spans="1:10" x14ac:dyDescent="0.3">
      <c r="A99" s="42"/>
      <c r="B99" s="33"/>
      <c r="C99" s="36"/>
      <c r="D99" s="36"/>
      <c r="E99" s="36"/>
      <c r="F99" s="36"/>
      <c r="G99" s="37"/>
      <c r="H99" s="36"/>
      <c r="I99" s="36"/>
    </row>
    <row r="100" spans="1:10" x14ac:dyDescent="0.3">
      <c r="A100" s="42"/>
      <c r="B100" s="33"/>
      <c r="C100" s="36"/>
      <c r="D100" s="36"/>
      <c r="E100" s="36"/>
      <c r="F100" s="36"/>
      <c r="G100" s="37"/>
      <c r="H100" s="36"/>
      <c r="I100" s="36"/>
    </row>
    <row r="101" spans="1:10" x14ac:dyDescent="0.3">
      <c r="A101" s="42"/>
      <c r="B101" s="33"/>
      <c r="C101" s="36"/>
      <c r="D101" s="36"/>
      <c r="E101" s="36"/>
      <c r="F101" s="36"/>
      <c r="G101" s="37"/>
      <c r="H101" s="36"/>
      <c r="I101" s="36"/>
    </row>
    <row r="102" spans="1:10" x14ac:dyDescent="0.3">
      <c r="A102" s="42"/>
      <c r="B102" s="33"/>
      <c r="C102" s="36"/>
      <c r="D102" s="36"/>
      <c r="E102" s="36"/>
      <c r="F102" s="36"/>
      <c r="G102" s="37"/>
      <c r="H102" s="36"/>
      <c r="I102" s="36"/>
    </row>
    <row r="103" spans="1:10" x14ac:dyDescent="0.3">
      <c r="A103" s="42"/>
      <c r="B103" s="33"/>
      <c r="C103" s="36"/>
      <c r="D103" s="36"/>
      <c r="E103" s="36"/>
      <c r="F103" s="36"/>
      <c r="G103" s="37"/>
      <c r="H103" s="36"/>
      <c r="I103" s="36"/>
    </row>
    <row r="104" spans="1:10" x14ac:dyDescent="0.3">
      <c r="A104" s="42"/>
      <c r="B104" s="33"/>
      <c r="C104" s="36"/>
      <c r="D104" s="36"/>
      <c r="E104" s="36"/>
      <c r="F104" s="36"/>
      <c r="G104" s="37"/>
      <c r="H104" s="36"/>
      <c r="I104" s="36"/>
    </row>
    <row r="105" spans="1:10" x14ac:dyDescent="0.3">
      <c r="A105" s="42"/>
      <c r="B105" s="33"/>
      <c r="C105" s="36"/>
      <c r="D105" s="36"/>
      <c r="E105" s="36"/>
      <c r="F105" s="36"/>
      <c r="G105" s="37"/>
      <c r="H105" s="36"/>
      <c r="I105" s="36"/>
    </row>
    <row r="106" spans="1:10" x14ac:dyDescent="0.3">
      <c r="A106" s="42"/>
      <c r="B106" s="33"/>
      <c r="C106" s="36"/>
      <c r="D106" s="36"/>
      <c r="E106" s="36"/>
      <c r="F106" s="36"/>
      <c r="G106" s="37"/>
      <c r="H106" s="36"/>
      <c r="I106" s="36"/>
    </row>
    <row r="107" spans="1:10" x14ac:dyDescent="0.3">
      <c r="A107" s="42"/>
      <c r="B107" s="33"/>
      <c r="C107" s="36"/>
      <c r="D107" s="36"/>
      <c r="E107" s="36"/>
      <c r="F107" s="36"/>
      <c r="G107" s="37"/>
      <c r="H107" s="36"/>
      <c r="I107" s="36"/>
    </row>
    <row r="108" spans="1:10" x14ac:dyDescent="0.3">
      <c r="A108" s="42"/>
      <c r="B108" s="33"/>
      <c r="C108" s="36"/>
      <c r="D108" s="36"/>
      <c r="E108" s="36"/>
      <c r="F108" s="36"/>
      <c r="G108" s="37"/>
      <c r="H108" s="36"/>
      <c r="I108" s="36"/>
    </row>
    <row r="109" spans="1:10" x14ac:dyDescent="0.3">
      <c r="A109" s="42"/>
      <c r="B109" s="33"/>
      <c r="C109" s="36"/>
      <c r="D109" s="36"/>
      <c r="E109" s="36"/>
      <c r="F109" s="36"/>
      <c r="G109" s="37"/>
      <c r="H109" s="36"/>
      <c r="I109" s="36"/>
    </row>
    <row r="110" spans="1:10" x14ac:dyDescent="0.3">
      <c r="A110" s="42"/>
      <c r="B110" s="33"/>
      <c r="C110" s="36"/>
      <c r="D110" s="36"/>
      <c r="E110" s="36"/>
      <c r="F110" s="36"/>
      <c r="G110" s="37"/>
      <c r="H110" s="36"/>
      <c r="I110" s="36"/>
    </row>
    <row r="111" spans="1:10" x14ac:dyDescent="0.3">
      <c r="A111" s="42"/>
      <c r="B111" s="33"/>
      <c r="C111" s="36"/>
      <c r="D111" s="36"/>
      <c r="E111" s="36"/>
      <c r="F111" s="36"/>
      <c r="G111" s="37"/>
      <c r="H111" s="36"/>
      <c r="I111" s="36"/>
    </row>
    <row r="112" spans="1:10" x14ac:dyDescent="0.3">
      <c r="A112" s="42"/>
      <c r="B112" s="33"/>
      <c r="C112" s="36"/>
      <c r="D112" s="36"/>
      <c r="E112" s="36"/>
      <c r="F112" s="36"/>
      <c r="G112" s="37"/>
      <c r="H112" s="36"/>
      <c r="I112" s="36"/>
    </row>
    <row r="113" spans="1:9" x14ac:dyDescent="0.3">
      <c r="A113" s="42"/>
      <c r="B113" s="33"/>
      <c r="C113" s="36"/>
      <c r="D113" s="36"/>
      <c r="E113" s="36"/>
      <c r="F113" s="36"/>
      <c r="G113" s="37"/>
      <c r="H113" s="36"/>
      <c r="I113" s="36"/>
    </row>
    <row r="114" spans="1:9" x14ac:dyDescent="0.3">
      <c r="A114" s="42"/>
      <c r="B114" s="33"/>
      <c r="C114" s="36"/>
      <c r="D114" s="36"/>
      <c r="E114" s="36"/>
      <c r="F114" s="36"/>
      <c r="G114" s="37"/>
      <c r="H114" s="36"/>
      <c r="I114" s="36"/>
    </row>
    <row r="115" spans="1:9" x14ac:dyDescent="0.3">
      <c r="A115" s="42"/>
      <c r="B115" s="33"/>
      <c r="C115" s="36"/>
      <c r="D115" s="36"/>
      <c r="E115" s="36"/>
      <c r="F115" s="36"/>
      <c r="G115" s="37"/>
      <c r="H115" s="36"/>
      <c r="I115" s="36"/>
    </row>
    <row r="116" spans="1:9" x14ac:dyDescent="0.3">
      <c r="A116" s="42"/>
      <c r="B116" s="33"/>
      <c r="C116" s="36"/>
      <c r="D116" s="36"/>
      <c r="E116" s="36"/>
      <c r="F116" s="36"/>
      <c r="G116" s="37"/>
      <c r="H116" s="36"/>
      <c r="I116" s="36"/>
    </row>
    <row r="117" spans="1:9" x14ac:dyDescent="0.3">
      <c r="A117" s="42"/>
      <c r="B117" s="33"/>
      <c r="C117" s="36"/>
      <c r="D117" s="36"/>
      <c r="E117" s="36"/>
      <c r="F117" s="36"/>
      <c r="G117" s="37"/>
      <c r="H117" s="36"/>
      <c r="I117" s="36"/>
    </row>
    <row r="118" spans="1:9" x14ac:dyDescent="0.3">
      <c r="A118" s="42"/>
      <c r="B118" s="33"/>
      <c r="C118" s="36"/>
      <c r="D118" s="36"/>
      <c r="E118" s="36"/>
      <c r="F118" s="36"/>
      <c r="G118" s="37"/>
      <c r="H118" s="36"/>
      <c r="I118" s="36"/>
    </row>
    <row r="119" spans="1:9" x14ac:dyDescent="0.3">
      <c r="A119" s="42"/>
      <c r="B119" s="33"/>
      <c r="C119" s="36"/>
      <c r="D119" s="36"/>
      <c r="E119" s="36"/>
      <c r="F119" s="36"/>
      <c r="G119" s="37"/>
      <c r="H119" s="36"/>
      <c r="I119" s="36"/>
    </row>
    <row r="120" spans="1:9" x14ac:dyDescent="0.3">
      <c r="A120" s="42"/>
      <c r="B120" s="33"/>
      <c r="C120" s="36"/>
      <c r="D120" s="36"/>
      <c r="E120" s="36"/>
      <c r="F120" s="36"/>
      <c r="G120" s="37"/>
      <c r="H120" s="36"/>
      <c r="I120" s="36"/>
    </row>
    <row r="121" spans="1:9" x14ac:dyDescent="0.3">
      <c r="A121" s="42"/>
      <c r="B121" s="33"/>
      <c r="C121" s="36"/>
      <c r="D121" s="36"/>
      <c r="E121" s="36"/>
      <c r="F121" s="36"/>
      <c r="G121" s="37"/>
      <c r="H121" s="36"/>
      <c r="I121" s="36"/>
    </row>
    <row r="122" spans="1:9" x14ac:dyDescent="0.3">
      <c r="A122" s="42"/>
      <c r="B122" s="33"/>
      <c r="C122" s="36"/>
      <c r="D122" s="36"/>
      <c r="E122" s="36"/>
      <c r="F122" s="36"/>
      <c r="G122" s="37"/>
      <c r="H122" s="36"/>
      <c r="I122" s="36"/>
    </row>
    <row r="123" spans="1:9" x14ac:dyDescent="0.3">
      <c r="A123" s="42"/>
      <c r="B123" s="33"/>
      <c r="C123" s="36"/>
      <c r="D123" s="36"/>
      <c r="E123" s="36"/>
      <c r="F123" s="36"/>
      <c r="G123" s="37"/>
      <c r="H123" s="36"/>
      <c r="I123" s="36"/>
    </row>
    <row r="124" spans="1:9" x14ac:dyDescent="0.3">
      <c r="A124" s="42"/>
      <c r="B124" s="33"/>
      <c r="C124" s="36"/>
      <c r="D124" s="36"/>
      <c r="E124" s="36"/>
      <c r="F124" s="36"/>
      <c r="G124" s="37"/>
      <c r="H124" s="36"/>
      <c r="I124" s="36"/>
    </row>
    <row r="125" spans="1:9" x14ac:dyDescent="0.3">
      <c r="A125" s="42"/>
      <c r="B125" s="33"/>
      <c r="C125" s="36"/>
      <c r="D125" s="36"/>
      <c r="E125" s="36"/>
      <c r="F125" s="36"/>
      <c r="G125" s="37"/>
      <c r="H125" s="36"/>
      <c r="I125" s="36"/>
    </row>
    <row r="126" spans="1:9" x14ac:dyDescent="0.3">
      <c r="A126" s="42"/>
      <c r="B126" s="33"/>
      <c r="C126" s="36"/>
      <c r="D126" s="36"/>
      <c r="E126" s="36"/>
      <c r="F126" s="36"/>
      <c r="G126" s="37"/>
      <c r="H126" s="36"/>
      <c r="I126" s="36"/>
    </row>
    <row r="127" spans="1:9" x14ac:dyDescent="0.3">
      <c r="A127" s="42"/>
      <c r="B127" s="33"/>
      <c r="C127" s="36"/>
      <c r="D127" s="36"/>
      <c r="E127" s="36"/>
      <c r="F127" s="36"/>
      <c r="G127" s="37"/>
      <c r="H127" s="36"/>
      <c r="I127" s="36"/>
    </row>
    <row r="128" spans="1:9" x14ac:dyDescent="0.3">
      <c r="A128" s="42"/>
      <c r="B128" s="33"/>
      <c r="C128" s="36"/>
      <c r="D128" s="36"/>
      <c r="E128" s="36"/>
      <c r="F128" s="36"/>
      <c r="G128" s="37"/>
      <c r="H128" s="36"/>
      <c r="I128" s="36"/>
    </row>
    <row r="129" spans="1:9" x14ac:dyDescent="0.3">
      <c r="A129" s="42"/>
      <c r="B129" s="33"/>
      <c r="C129" s="36"/>
      <c r="D129" s="36"/>
      <c r="E129" s="36"/>
      <c r="F129" s="36"/>
      <c r="G129" s="37"/>
      <c r="H129" s="36"/>
      <c r="I129" s="36"/>
    </row>
    <row r="130" spans="1:9" x14ac:dyDescent="0.3">
      <c r="A130" s="42"/>
      <c r="B130" s="33"/>
      <c r="C130" s="36"/>
      <c r="D130" s="36"/>
      <c r="E130" s="36"/>
      <c r="F130" s="36"/>
      <c r="G130" s="37"/>
      <c r="H130" s="36"/>
      <c r="I130" s="36"/>
    </row>
    <row r="131" spans="1:9" x14ac:dyDescent="0.3">
      <c r="A131" s="42"/>
      <c r="B131" s="33"/>
      <c r="C131" s="36"/>
      <c r="D131" s="36"/>
      <c r="E131" s="36"/>
      <c r="F131" s="36"/>
      <c r="G131" s="37"/>
      <c r="H131" s="36"/>
      <c r="I131" s="36"/>
    </row>
    <row r="132" spans="1:9" x14ac:dyDescent="0.3">
      <c r="A132" s="42"/>
      <c r="B132" s="33"/>
      <c r="C132" s="36"/>
      <c r="D132" s="36"/>
      <c r="E132" s="36"/>
      <c r="F132" s="36"/>
      <c r="G132" s="37"/>
      <c r="H132" s="36"/>
      <c r="I132" s="36"/>
    </row>
    <row r="133" spans="1:9" x14ac:dyDescent="0.3">
      <c r="A133" s="42"/>
      <c r="B133" s="33"/>
      <c r="C133" s="36"/>
      <c r="D133" s="36"/>
      <c r="E133" s="36"/>
      <c r="F133" s="36"/>
      <c r="G133" s="37"/>
      <c r="H133" s="36"/>
      <c r="I133" s="36"/>
    </row>
    <row r="134" spans="1:9" x14ac:dyDescent="0.3">
      <c r="A134" s="42"/>
      <c r="B134" s="33"/>
      <c r="C134" s="36"/>
      <c r="D134" s="36"/>
      <c r="E134" s="36"/>
      <c r="F134" s="36"/>
      <c r="G134" s="37"/>
      <c r="H134" s="36"/>
      <c r="I134" s="36"/>
    </row>
    <row r="135" spans="1:9" x14ac:dyDescent="0.3">
      <c r="A135" s="42"/>
      <c r="B135" s="33"/>
      <c r="C135" s="36"/>
      <c r="D135" s="36"/>
      <c r="E135" s="36"/>
      <c r="F135" s="36"/>
      <c r="G135" s="37"/>
      <c r="H135" s="36"/>
      <c r="I135" s="36"/>
    </row>
    <row r="136" spans="1:9" x14ac:dyDescent="0.3">
      <c r="A136" s="42"/>
      <c r="B136" s="33"/>
      <c r="C136" s="36"/>
      <c r="D136" s="36"/>
      <c r="E136" s="36"/>
      <c r="F136" s="36"/>
      <c r="G136" s="37"/>
      <c r="H136" s="36"/>
      <c r="I136" s="36"/>
    </row>
    <row r="137" spans="1:9" x14ac:dyDescent="0.3">
      <c r="A137" s="42"/>
      <c r="B137" s="33"/>
      <c r="C137" s="36"/>
      <c r="D137" s="36"/>
      <c r="E137" s="36"/>
      <c r="F137" s="36"/>
      <c r="G137" s="37"/>
      <c r="H137" s="36"/>
      <c r="I137" s="36"/>
    </row>
    <row r="138" spans="1:9" x14ac:dyDescent="0.3">
      <c r="A138" s="42"/>
      <c r="B138" s="33"/>
      <c r="C138" s="36"/>
      <c r="D138" s="36"/>
      <c r="E138" s="36"/>
      <c r="F138" s="36"/>
      <c r="G138" s="37"/>
      <c r="H138" s="36"/>
      <c r="I138" s="36"/>
    </row>
    <row r="139" spans="1:9" x14ac:dyDescent="0.3">
      <c r="A139" s="42"/>
      <c r="B139" s="33"/>
      <c r="C139" s="36"/>
      <c r="D139" s="36"/>
      <c r="E139" s="36"/>
      <c r="F139" s="36"/>
      <c r="G139" s="37"/>
      <c r="H139" s="36"/>
      <c r="I139" s="36"/>
    </row>
    <row r="140" spans="1:9" x14ac:dyDescent="0.3">
      <c r="A140" s="42"/>
      <c r="B140" s="33"/>
      <c r="C140" s="36"/>
      <c r="D140" s="36"/>
      <c r="E140" s="36"/>
      <c r="F140" s="36"/>
      <c r="G140" s="37"/>
      <c r="H140" s="36"/>
      <c r="I140" s="36"/>
    </row>
    <row r="141" spans="1:9" x14ac:dyDescent="0.3">
      <c r="A141" s="42"/>
      <c r="B141" s="33"/>
      <c r="C141" s="36"/>
      <c r="D141" s="36"/>
      <c r="E141" s="36"/>
      <c r="F141" s="36"/>
      <c r="G141" s="37"/>
      <c r="H141" s="36"/>
      <c r="I141" s="36"/>
    </row>
    <row r="142" spans="1:9" x14ac:dyDescent="0.3">
      <c r="A142" s="42"/>
      <c r="B142" s="33"/>
      <c r="C142" s="36"/>
      <c r="D142" s="36"/>
      <c r="E142" s="36"/>
      <c r="F142" s="36"/>
      <c r="G142" s="37"/>
      <c r="H142" s="36"/>
      <c r="I142" s="36"/>
    </row>
    <row r="143" spans="1:9" x14ac:dyDescent="0.3">
      <c r="A143" s="42"/>
      <c r="B143" s="33"/>
      <c r="C143" s="36"/>
      <c r="D143" s="36"/>
      <c r="E143" s="36"/>
      <c r="F143" s="36"/>
      <c r="G143" s="37"/>
      <c r="H143" s="36"/>
      <c r="I143" s="36"/>
    </row>
    <row r="144" spans="1:9" x14ac:dyDescent="0.3">
      <c r="A144" s="42"/>
      <c r="B144" s="33"/>
      <c r="C144" s="36"/>
      <c r="D144" s="36"/>
      <c r="E144" s="36"/>
      <c r="F144" s="36"/>
      <c r="G144" s="37"/>
      <c r="H144" s="36"/>
      <c r="I144" s="36"/>
    </row>
    <row r="145" spans="1:9" x14ac:dyDescent="0.3">
      <c r="A145" s="42"/>
      <c r="B145" s="33"/>
      <c r="C145" s="36"/>
      <c r="D145" s="36"/>
      <c r="E145" s="36"/>
      <c r="F145" s="36"/>
      <c r="G145" s="37"/>
      <c r="H145" s="36"/>
      <c r="I145" s="36"/>
    </row>
    <row r="146" spans="1:9" x14ac:dyDescent="0.3">
      <c r="A146" s="42"/>
      <c r="B146" s="33"/>
      <c r="C146" s="36"/>
      <c r="D146" s="36"/>
      <c r="E146" s="36"/>
      <c r="F146" s="36"/>
      <c r="G146" s="37"/>
      <c r="H146" s="36"/>
      <c r="I146" s="36"/>
    </row>
    <row r="147" spans="1:9" x14ac:dyDescent="0.3">
      <c r="A147" s="42"/>
      <c r="B147" s="33"/>
      <c r="C147" s="36"/>
      <c r="D147" s="36"/>
      <c r="E147" s="36"/>
      <c r="F147" s="36"/>
      <c r="G147" s="37"/>
      <c r="H147" s="36"/>
      <c r="I147" s="36"/>
    </row>
    <row r="148" spans="1:9" x14ac:dyDescent="0.3">
      <c r="A148" s="42"/>
      <c r="B148" s="33"/>
      <c r="C148" s="36"/>
      <c r="D148" s="36"/>
      <c r="E148" s="36"/>
      <c r="F148" s="36"/>
      <c r="G148" s="37"/>
      <c r="H148" s="36"/>
      <c r="I148" s="36"/>
    </row>
    <row r="149" spans="1:9" x14ac:dyDescent="0.3">
      <c r="A149" s="42"/>
      <c r="B149" s="33"/>
      <c r="C149" s="36"/>
      <c r="D149" s="36"/>
      <c r="E149" s="36"/>
      <c r="F149" s="36"/>
      <c r="G149" s="37"/>
      <c r="H149" s="36"/>
      <c r="I149" s="36"/>
    </row>
    <row r="150" spans="1:9" x14ac:dyDescent="0.3">
      <c r="A150" s="42"/>
      <c r="B150" s="33"/>
      <c r="C150" s="36"/>
      <c r="D150" s="36"/>
      <c r="E150" s="36"/>
      <c r="F150" s="36"/>
      <c r="G150" s="37"/>
      <c r="H150" s="36"/>
      <c r="I150" s="36"/>
    </row>
    <row r="151" spans="1:9" x14ac:dyDescent="0.3">
      <c r="A151" s="42"/>
      <c r="B151" s="33"/>
      <c r="C151" s="36"/>
      <c r="D151" s="36"/>
      <c r="E151" s="36"/>
      <c r="F151" s="36"/>
      <c r="G151" s="37"/>
      <c r="H151" s="36"/>
      <c r="I151" s="36"/>
    </row>
    <row r="152" spans="1:9" x14ac:dyDescent="0.3">
      <c r="A152" s="42"/>
      <c r="B152" s="33"/>
      <c r="C152" s="36"/>
      <c r="D152" s="36"/>
      <c r="E152" s="36"/>
      <c r="F152" s="36"/>
      <c r="G152" s="37"/>
      <c r="H152" s="36"/>
      <c r="I152" s="36"/>
    </row>
    <row r="153" spans="1:9" x14ac:dyDescent="0.3">
      <c r="A153" s="42"/>
      <c r="B153" s="33"/>
      <c r="C153" s="36"/>
      <c r="D153" s="36"/>
      <c r="E153" s="36"/>
      <c r="F153" s="36"/>
      <c r="G153" s="37"/>
      <c r="H153" s="36"/>
      <c r="I153" s="36"/>
    </row>
    <row r="154" spans="1:9" x14ac:dyDescent="0.3">
      <c r="A154" s="42"/>
      <c r="B154" s="33"/>
      <c r="C154" s="36"/>
      <c r="D154" s="36"/>
      <c r="E154" s="36"/>
      <c r="F154" s="36"/>
      <c r="G154" s="37"/>
      <c r="H154" s="36"/>
      <c r="I154" s="36"/>
    </row>
    <row r="155" spans="1:9" x14ac:dyDescent="0.3">
      <c r="A155" s="42"/>
      <c r="B155" s="33"/>
      <c r="C155" s="36"/>
      <c r="D155" s="36"/>
      <c r="E155" s="36"/>
      <c r="F155" s="36"/>
      <c r="G155" s="37"/>
      <c r="H155" s="36"/>
      <c r="I155" s="36"/>
    </row>
    <row r="156" spans="1:9" x14ac:dyDescent="0.3">
      <c r="A156" s="42"/>
      <c r="B156" s="33"/>
      <c r="C156" s="36"/>
      <c r="D156" s="36"/>
      <c r="E156" s="36"/>
      <c r="F156" s="36"/>
      <c r="G156" s="37"/>
      <c r="H156" s="36"/>
      <c r="I156" s="36"/>
    </row>
    <row r="157" spans="1:9" x14ac:dyDescent="0.3">
      <c r="A157" s="42"/>
      <c r="B157" s="33"/>
      <c r="C157" s="36"/>
      <c r="D157" s="36"/>
      <c r="E157" s="36"/>
      <c r="F157" s="36"/>
      <c r="G157" s="37"/>
      <c r="H157" s="36"/>
      <c r="I157" s="36"/>
    </row>
    <row r="158" spans="1:9" x14ac:dyDescent="0.3">
      <c r="A158" s="42"/>
      <c r="B158" s="33"/>
      <c r="C158" s="36"/>
      <c r="D158" s="36"/>
      <c r="E158" s="36"/>
      <c r="F158" s="36"/>
      <c r="G158" s="37"/>
      <c r="H158" s="36"/>
      <c r="I158" s="36"/>
    </row>
    <row r="159" spans="1:9" x14ac:dyDescent="0.3">
      <c r="A159" s="42"/>
      <c r="B159" s="33"/>
      <c r="C159" s="36"/>
      <c r="D159" s="36"/>
      <c r="E159" s="36"/>
      <c r="F159" s="36"/>
      <c r="G159" s="37"/>
      <c r="H159" s="36"/>
      <c r="I159" s="36"/>
    </row>
    <row r="160" spans="1:9" x14ac:dyDescent="0.3">
      <c r="A160" s="42"/>
      <c r="B160" s="33"/>
      <c r="C160" s="36"/>
      <c r="D160" s="36"/>
      <c r="E160" s="36"/>
      <c r="F160" s="36"/>
      <c r="G160" s="37"/>
      <c r="H160" s="36"/>
      <c r="I160" s="36"/>
    </row>
    <row r="161" spans="1:9" x14ac:dyDescent="0.3">
      <c r="A161" s="42"/>
      <c r="B161" s="33"/>
      <c r="C161" s="36"/>
      <c r="D161" s="36"/>
      <c r="E161" s="36"/>
      <c r="F161" s="36"/>
      <c r="G161" s="37"/>
      <c r="H161" s="36"/>
      <c r="I161" s="36"/>
    </row>
    <row r="162" spans="1:9" x14ac:dyDescent="0.3">
      <c r="A162" s="42"/>
      <c r="B162" s="33"/>
      <c r="C162" s="36"/>
      <c r="D162" s="36"/>
      <c r="E162" s="36"/>
      <c r="F162" s="36"/>
      <c r="G162" s="37"/>
      <c r="H162" s="36"/>
      <c r="I162" s="36"/>
    </row>
    <row r="163" spans="1:9" x14ac:dyDescent="0.3">
      <c r="A163" s="42"/>
      <c r="B163" s="33"/>
      <c r="C163" s="36"/>
      <c r="D163" s="36"/>
      <c r="E163" s="36"/>
      <c r="F163" s="36"/>
      <c r="G163" s="37"/>
      <c r="H163" s="36"/>
      <c r="I163" s="36"/>
    </row>
    <row r="164" spans="1:9" x14ac:dyDescent="0.3">
      <c r="A164" s="42"/>
      <c r="B164" s="33"/>
      <c r="C164" s="36"/>
      <c r="D164" s="36"/>
      <c r="E164" s="36"/>
      <c r="F164" s="36"/>
      <c r="G164" s="37"/>
      <c r="H164" s="36"/>
      <c r="I164" s="36"/>
    </row>
    <row r="165" spans="1:9" x14ac:dyDescent="0.3">
      <c r="A165" s="42"/>
      <c r="B165" s="33"/>
      <c r="C165" s="36"/>
      <c r="D165" s="36"/>
      <c r="E165" s="36"/>
      <c r="F165" s="36"/>
      <c r="G165" s="37"/>
      <c r="H165" s="36"/>
      <c r="I165" s="36"/>
    </row>
    <row r="166" spans="1:9" x14ac:dyDescent="0.3">
      <c r="A166" s="42"/>
      <c r="B166" s="33"/>
      <c r="C166" s="36"/>
      <c r="D166" s="36"/>
      <c r="E166" s="36"/>
      <c r="F166" s="36"/>
      <c r="G166" s="37"/>
      <c r="H166" s="36"/>
      <c r="I166" s="36"/>
    </row>
    <row r="167" spans="1:9" x14ac:dyDescent="0.3">
      <c r="A167" s="42"/>
      <c r="B167" s="33"/>
      <c r="C167" s="36"/>
      <c r="D167" s="36"/>
      <c r="E167" s="36"/>
      <c r="F167" s="36"/>
      <c r="G167" s="37"/>
      <c r="H167" s="36"/>
      <c r="I167" s="36"/>
    </row>
    <row r="168" spans="1:9" x14ac:dyDescent="0.3">
      <c r="A168" s="42"/>
      <c r="B168" s="33"/>
      <c r="C168" s="36"/>
      <c r="D168" s="36"/>
      <c r="E168" s="36"/>
      <c r="F168" s="36"/>
      <c r="G168" s="37"/>
      <c r="H168" s="36"/>
      <c r="I168" s="36"/>
    </row>
    <row r="169" spans="1:9" x14ac:dyDescent="0.3">
      <c r="A169" s="42"/>
      <c r="B169" s="33"/>
      <c r="C169" s="36"/>
      <c r="D169" s="36"/>
      <c r="E169" s="36"/>
      <c r="F169" s="36"/>
      <c r="G169" s="37"/>
      <c r="H169" s="36"/>
      <c r="I169" s="36"/>
    </row>
    <row r="170" spans="1:9" x14ac:dyDescent="0.3">
      <c r="A170" s="42"/>
      <c r="B170" s="33"/>
      <c r="C170" s="36"/>
      <c r="D170" s="36"/>
      <c r="E170" s="36"/>
      <c r="F170" s="36"/>
      <c r="G170" s="37"/>
      <c r="H170" s="36"/>
      <c r="I170" s="36"/>
    </row>
    <row r="171" spans="1:9" x14ac:dyDescent="0.3">
      <c r="A171" s="42"/>
      <c r="B171" s="33"/>
      <c r="C171" s="36"/>
      <c r="D171" s="36"/>
      <c r="E171" s="36"/>
      <c r="F171" s="36"/>
      <c r="G171" s="37"/>
      <c r="H171" s="36"/>
      <c r="I171" s="36"/>
    </row>
    <row r="172" spans="1:9" x14ac:dyDescent="0.3">
      <c r="A172" s="42"/>
      <c r="B172" s="33"/>
      <c r="C172" s="36"/>
      <c r="D172" s="36"/>
      <c r="E172" s="36"/>
      <c r="F172" s="36"/>
      <c r="G172" s="37"/>
      <c r="H172" s="36"/>
      <c r="I172" s="36"/>
    </row>
    <row r="173" spans="1:9" x14ac:dyDescent="0.3">
      <c r="A173" s="42"/>
      <c r="B173" s="33"/>
      <c r="C173" s="36"/>
      <c r="D173" s="36"/>
      <c r="E173" s="36"/>
      <c r="F173" s="36"/>
      <c r="G173" s="37"/>
      <c r="H173" s="36"/>
      <c r="I173" s="36"/>
    </row>
    <row r="174" spans="1:9" x14ac:dyDescent="0.3">
      <c r="A174" s="42"/>
      <c r="B174" s="33"/>
      <c r="C174" s="36"/>
      <c r="D174" s="36"/>
      <c r="E174" s="36"/>
      <c r="F174" s="36"/>
      <c r="G174" s="37"/>
      <c r="H174" s="36"/>
      <c r="I174" s="36"/>
    </row>
    <row r="175" spans="1:9" x14ac:dyDescent="0.3">
      <c r="A175" s="42"/>
      <c r="B175" s="33"/>
      <c r="C175" s="36"/>
      <c r="D175" s="36"/>
      <c r="E175" s="36"/>
      <c r="F175" s="36"/>
      <c r="G175" s="37"/>
      <c r="H175" s="36"/>
      <c r="I175" s="36"/>
    </row>
    <row r="176" spans="1:9" x14ac:dyDescent="0.3">
      <c r="A176" s="42"/>
      <c r="B176" s="33"/>
      <c r="C176" s="36"/>
      <c r="D176" s="36"/>
      <c r="E176" s="36"/>
      <c r="F176" s="36"/>
      <c r="G176" s="37"/>
      <c r="H176" s="36"/>
      <c r="I176" s="36"/>
    </row>
    <row r="177" spans="1:9" x14ac:dyDescent="0.3">
      <c r="A177" s="42"/>
      <c r="B177" s="33"/>
      <c r="C177" s="36"/>
      <c r="D177" s="36"/>
      <c r="E177" s="36"/>
      <c r="F177" s="36"/>
      <c r="G177" s="37"/>
      <c r="H177" s="36"/>
      <c r="I177" s="36"/>
    </row>
    <row r="178" spans="1:9" x14ac:dyDescent="0.3">
      <c r="A178" s="42"/>
      <c r="B178" s="33"/>
      <c r="C178" s="36"/>
      <c r="D178" s="36"/>
      <c r="E178" s="36"/>
      <c r="F178" s="36"/>
      <c r="G178" s="37"/>
      <c r="H178" s="36"/>
      <c r="I178" s="36"/>
    </row>
    <row r="179" spans="1:9" x14ac:dyDescent="0.3">
      <c r="A179" s="42"/>
      <c r="B179" s="33"/>
      <c r="C179" s="36"/>
      <c r="D179" s="36"/>
      <c r="E179" s="36"/>
      <c r="F179" s="36"/>
      <c r="G179" s="37"/>
      <c r="H179" s="36"/>
      <c r="I179" s="36"/>
    </row>
    <row r="180" spans="1:9" x14ac:dyDescent="0.3">
      <c r="A180" s="42"/>
      <c r="B180" s="33"/>
      <c r="C180" s="36"/>
      <c r="D180" s="36"/>
      <c r="E180" s="36"/>
      <c r="F180" s="36"/>
      <c r="G180" s="37"/>
      <c r="H180" s="36"/>
      <c r="I180" s="36"/>
    </row>
    <row r="181" spans="1:9" x14ac:dyDescent="0.3">
      <c r="A181" s="42"/>
      <c r="B181" s="33"/>
      <c r="C181" s="36"/>
      <c r="D181" s="36"/>
      <c r="E181" s="36"/>
      <c r="F181" s="36"/>
      <c r="G181" s="37"/>
      <c r="H181" s="36"/>
      <c r="I181" s="36"/>
    </row>
    <row r="182" spans="1:9" x14ac:dyDescent="0.3">
      <c r="A182" s="42"/>
      <c r="B182" s="33"/>
      <c r="C182" s="36"/>
      <c r="D182" s="36"/>
      <c r="E182" s="36"/>
      <c r="F182" s="36"/>
      <c r="G182" s="37"/>
      <c r="H182" s="36"/>
      <c r="I182" s="36"/>
    </row>
    <row r="183" spans="1:9" x14ac:dyDescent="0.3">
      <c r="A183" s="42"/>
      <c r="B183" s="33"/>
      <c r="C183" s="36"/>
      <c r="D183" s="36"/>
      <c r="E183" s="36"/>
      <c r="F183" s="36"/>
      <c r="G183" s="37"/>
      <c r="H183" s="36"/>
      <c r="I183" s="36"/>
    </row>
    <row r="184" spans="1:9" x14ac:dyDescent="0.3">
      <c r="A184" s="42"/>
      <c r="B184" s="33"/>
      <c r="C184" s="36"/>
      <c r="D184" s="36"/>
      <c r="E184" s="36"/>
      <c r="F184" s="36"/>
      <c r="G184" s="37"/>
      <c r="H184" s="36"/>
      <c r="I184" s="36"/>
    </row>
    <row r="185" spans="1:9" x14ac:dyDescent="0.3">
      <c r="A185" s="42"/>
      <c r="B185" s="33"/>
      <c r="C185" s="36"/>
      <c r="D185" s="36"/>
      <c r="E185" s="36"/>
      <c r="F185" s="36"/>
      <c r="G185" s="37"/>
      <c r="H185" s="36"/>
      <c r="I185" s="36"/>
    </row>
    <row r="186" spans="1:9" x14ac:dyDescent="0.3">
      <c r="A186" s="42"/>
      <c r="B186" s="33"/>
      <c r="C186" s="36"/>
      <c r="D186" s="36"/>
      <c r="E186" s="36"/>
      <c r="F186" s="36"/>
      <c r="G186" s="37"/>
      <c r="H186" s="36"/>
      <c r="I186" s="36"/>
    </row>
    <row r="187" spans="1:9" x14ac:dyDescent="0.3">
      <c r="A187" s="42"/>
      <c r="B187" s="33"/>
      <c r="C187" s="36"/>
      <c r="D187" s="36"/>
      <c r="E187" s="36"/>
      <c r="F187" s="36"/>
      <c r="G187" s="37"/>
      <c r="H187" s="36"/>
      <c r="I187" s="36"/>
    </row>
    <row r="188" spans="1:9" x14ac:dyDescent="0.3">
      <c r="A188" s="42"/>
      <c r="B188" s="33"/>
      <c r="C188" s="36"/>
      <c r="D188" s="36"/>
      <c r="E188" s="36"/>
      <c r="F188" s="36"/>
      <c r="G188" s="37"/>
      <c r="H188" s="36"/>
      <c r="I188" s="36"/>
    </row>
    <row r="189" spans="1:9" x14ac:dyDescent="0.3">
      <c r="A189" s="42"/>
      <c r="B189" s="33"/>
      <c r="C189" s="36"/>
      <c r="D189" s="36"/>
      <c r="E189" s="36"/>
      <c r="F189" s="36"/>
      <c r="G189" s="37"/>
      <c r="H189" s="36"/>
      <c r="I189" s="36"/>
    </row>
    <row r="190" spans="1:9" x14ac:dyDescent="0.3">
      <c r="A190" s="42"/>
      <c r="B190" s="33"/>
      <c r="C190" s="36"/>
      <c r="D190" s="36"/>
      <c r="E190" s="36"/>
      <c r="F190" s="36"/>
      <c r="G190" s="37"/>
      <c r="H190" s="36"/>
      <c r="I190" s="36"/>
    </row>
    <row r="191" spans="1:9" x14ac:dyDescent="0.3">
      <c r="A191" s="42"/>
      <c r="B191" s="33"/>
      <c r="C191" s="36"/>
      <c r="D191" s="36"/>
      <c r="E191" s="36"/>
      <c r="F191" s="36"/>
      <c r="G191" s="37"/>
      <c r="H191" s="36"/>
      <c r="I191" s="36"/>
    </row>
    <row r="192" spans="1:9" x14ac:dyDescent="0.3">
      <c r="A192" s="42"/>
      <c r="B192" s="33"/>
      <c r="C192" s="36"/>
      <c r="D192" s="36"/>
      <c r="E192" s="36"/>
      <c r="F192" s="36"/>
      <c r="G192" s="37"/>
      <c r="H192" s="36"/>
      <c r="I192" s="36"/>
    </row>
    <row r="193" spans="1:9" x14ac:dyDescent="0.3">
      <c r="A193" s="42"/>
      <c r="B193" s="33"/>
      <c r="C193" s="36"/>
      <c r="D193" s="36"/>
      <c r="E193" s="36"/>
      <c r="F193" s="36"/>
      <c r="G193" s="37"/>
      <c r="H193" s="36"/>
      <c r="I193" s="36"/>
    </row>
    <row r="194" spans="1:9" x14ac:dyDescent="0.3">
      <c r="A194" s="42"/>
      <c r="B194" s="33"/>
      <c r="C194" s="36"/>
      <c r="D194" s="36"/>
      <c r="E194" s="36"/>
      <c r="F194" s="36"/>
      <c r="G194" s="37"/>
      <c r="H194" s="36"/>
      <c r="I194" s="36"/>
    </row>
    <row r="195" spans="1:9" x14ac:dyDescent="0.3">
      <c r="A195" s="42"/>
      <c r="B195" s="33"/>
      <c r="C195" s="36"/>
      <c r="D195" s="36"/>
      <c r="E195" s="36"/>
      <c r="F195" s="36"/>
      <c r="G195" s="37"/>
      <c r="H195" s="36"/>
      <c r="I195" s="36"/>
    </row>
    <row r="196" spans="1:9" x14ac:dyDescent="0.3">
      <c r="A196" s="42"/>
      <c r="B196" s="33"/>
      <c r="C196" s="36"/>
      <c r="D196" s="36"/>
      <c r="E196" s="36"/>
      <c r="F196" s="36"/>
      <c r="G196" s="37"/>
      <c r="H196" s="36"/>
      <c r="I196" s="36"/>
    </row>
    <row r="197" spans="1:9" x14ac:dyDescent="0.3">
      <c r="A197" s="42"/>
      <c r="B197" s="33"/>
      <c r="C197" s="36"/>
      <c r="D197" s="36"/>
      <c r="E197" s="36"/>
      <c r="F197" s="36"/>
      <c r="G197" s="37"/>
      <c r="H197" s="36"/>
      <c r="I197" s="36"/>
    </row>
    <row r="198" spans="1:9" x14ac:dyDescent="0.3">
      <c r="A198" s="42"/>
      <c r="B198" s="33"/>
      <c r="C198" s="36"/>
      <c r="D198" s="36"/>
      <c r="E198" s="36"/>
      <c r="F198" s="36"/>
      <c r="G198" s="37"/>
      <c r="H198" s="36"/>
      <c r="I198" s="36"/>
    </row>
    <row r="199" spans="1:9" x14ac:dyDescent="0.3">
      <c r="A199" s="42"/>
      <c r="B199" s="33"/>
      <c r="C199" s="36"/>
      <c r="D199" s="36"/>
      <c r="E199" s="36"/>
      <c r="F199" s="36"/>
      <c r="G199" s="37"/>
      <c r="H199" s="36"/>
      <c r="I199" s="36"/>
    </row>
    <row r="200" spans="1:9" x14ac:dyDescent="0.3">
      <c r="A200" s="42"/>
      <c r="B200" s="33"/>
      <c r="C200" s="36"/>
      <c r="D200" s="36"/>
      <c r="E200" s="36"/>
      <c r="F200" s="36"/>
      <c r="G200" s="37"/>
      <c r="H200" s="36"/>
      <c r="I200" s="36"/>
    </row>
    <row r="201" spans="1:9" x14ac:dyDescent="0.3">
      <c r="A201" s="42"/>
      <c r="B201" s="33"/>
      <c r="C201" s="36"/>
      <c r="D201" s="36"/>
      <c r="E201" s="36"/>
      <c r="F201" s="36"/>
      <c r="G201" s="37"/>
      <c r="H201" s="36"/>
      <c r="I201" s="36"/>
    </row>
    <row r="202" spans="1:9" x14ac:dyDescent="0.3">
      <c r="A202" s="42"/>
      <c r="B202" s="33"/>
      <c r="C202" s="36"/>
      <c r="D202" s="36"/>
      <c r="E202" s="36"/>
      <c r="F202" s="36"/>
      <c r="G202" s="37"/>
      <c r="H202" s="36"/>
      <c r="I202" s="36"/>
    </row>
    <row r="203" spans="1:9" x14ac:dyDescent="0.3">
      <c r="A203" s="42"/>
      <c r="B203" s="33"/>
      <c r="C203" s="36"/>
      <c r="D203" s="36"/>
      <c r="E203" s="36"/>
      <c r="F203" s="36"/>
      <c r="G203" s="37"/>
      <c r="H203" s="36"/>
      <c r="I203" s="36"/>
    </row>
    <row r="204" spans="1:9" x14ac:dyDescent="0.3">
      <c r="A204" s="42"/>
      <c r="B204" s="33"/>
      <c r="C204" s="36"/>
      <c r="D204" s="36"/>
      <c r="E204" s="36"/>
      <c r="F204" s="36"/>
      <c r="G204" s="37"/>
      <c r="H204" s="36"/>
      <c r="I204" s="36"/>
    </row>
    <row r="205" spans="1:9" x14ac:dyDescent="0.3">
      <c r="A205" s="42"/>
      <c r="B205" s="33"/>
      <c r="C205" s="36"/>
      <c r="D205" s="36"/>
      <c r="E205" s="36"/>
      <c r="F205" s="36"/>
      <c r="G205" s="37"/>
      <c r="H205" s="36"/>
      <c r="I205" s="36"/>
    </row>
    <row r="206" spans="1:9" x14ac:dyDescent="0.3">
      <c r="A206" s="42"/>
      <c r="B206" s="33"/>
      <c r="C206" s="36"/>
      <c r="D206" s="36"/>
      <c r="E206" s="36"/>
      <c r="F206" s="36"/>
      <c r="G206" s="37"/>
      <c r="H206" s="36"/>
      <c r="I206" s="36"/>
    </row>
    <row r="207" spans="1:9" x14ac:dyDescent="0.3">
      <c r="A207" s="42"/>
      <c r="B207" s="33"/>
      <c r="C207" s="36"/>
      <c r="D207" s="36"/>
      <c r="E207" s="36"/>
      <c r="F207" s="36"/>
      <c r="G207" s="37"/>
      <c r="H207" s="36"/>
      <c r="I207" s="36"/>
    </row>
    <row r="208" spans="1:9" x14ac:dyDescent="0.3">
      <c r="A208" s="42"/>
      <c r="B208" s="33"/>
      <c r="C208" s="36"/>
      <c r="D208" s="36"/>
      <c r="E208" s="36"/>
      <c r="F208" s="36"/>
      <c r="G208" s="37"/>
      <c r="H208" s="36"/>
      <c r="I208" s="36"/>
    </row>
    <row r="209" spans="1:9" x14ac:dyDescent="0.3">
      <c r="A209" s="42"/>
      <c r="B209" s="33"/>
      <c r="C209" s="36"/>
      <c r="D209" s="36"/>
      <c r="E209" s="36"/>
      <c r="F209" s="36"/>
      <c r="G209" s="37"/>
      <c r="H209" s="36"/>
      <c r="I209" s="36"/>
    </row>
    <row r="210" spans="1:9" x14ac:dyDescent="0.3">
      <c r="A210" s="42"/>
      <c r="B210" s="33"/>
      <c r="C210" s="36"/>
      <c r="D210" s="36"/>
      <c r="E210" s="36"/>
      <c r="F210" s="36"/>
      <c r="G210" s="37"/>
      <c r="H210" s="36"/>
      <c r="I210" s="36"/>
    </row>
    <row r="211" spans="1:9" x14ac:dyDescent="0.3">
      <c r="A211" s="42"/>
      <c r="B211" s="33"/>
      <c r="C211" s="36"/>
      <c r="D211" s="36"/>
      <c r="E211" s="36"/>
      <c r="F211" s="36"/>
      <c r="G211" s="37"/>
      <c r="H211" s="36"/>
      <c r="I211" s="36"/>
    </row>
    <row r="212" spans="1:9" x14ac:dyDescent="0.3">
      <c r="A212" s="42"/>
      <c r="B212" s="33"/>
      <c r="C212" s="36"/>
      <c r="D212" s="36"/>
      <c r="E212" s="36"/>
      <c r="F212" s="36"/>
      <c r="G212" s="37"/>
      <c r="H212" s="36"/>
      <c r="I212" s="36"/>
    </row>
    <row r="213" spans="1:9" x14ac:dyDescent="0.3">
      <c r="A213" s="42"/>
      <c r="B213" s="33"/>
      <c r="C213" s="36"/>
      <c r="D213" s="36"/>
      <c r="E213" s="36"/>
      <c r="F213" s="36"/>
      <c r="G213" s="37"/>
      <c r="H213" s="36"/>
      <c r="I213" s="36"/>
    </row>
    <row r="214" spans="1:9" x14ac:dyDescent="0.3">
      <c r="A214" s="42"/>
      <c r="B214" s="33"/>
      <c r="C214" s="36"/>
      <c r="D214" s="36"/>
      <c r="E214" s="36"/>
      <c r="F214" s="36"/>
      <c r="G214" s="37"/>
      <c r="H214" s="36"/>
      <c r="I214" s="36"/>
    </row>
    <row r="215" spans="1:9" x14ac:dyDescent="0.3">
      <c r="A215" s="42"/>
      <c r="B215" s="33"/>
      <c r="C215" s="36"/>
      <c r="D215" s="36"/>
      <c r="E215" s="36"/>
      <c r="F215" s="36"/>
      <c r="G215" s="37"/>
      <c r="H215" s="36"/>
      <c r="I215" s="36"/>
    </row>
    <row r="216" spans="1:9" x14ac:dyDescent="0.3">
      <c r="A216" s="42"/>
      <c r="B216" s="33"/>
      <c r="C216" s="36"/>
      <c r="D216" s="36"/>
      <c r="E216" s="36"/>
      <c r="F216" s="36"/>
      <c r="G216" s="37"/>
      <c r="H216" s="36"/>
      <c r="I216" s="36"/>
    </row>
    <row r="217" spans="1:9" x14ac:dyDescent="0.3">
      <c r="A217" s="42"/>
      <c r="B217" s="33"/>
      <c r="C217" s="36"/>
      <c r="D217" s="36"/>
      <c r="E217" s="36"/>
      <c r="F217" s="36"/>
      <c r="G217" s="37"/>
      <c r="H217" s="36"/>
      <c r="I217" s="36"/>
    </row>
    <row r="218" spans="1:9" x14ac:dyDescent="0.3">
      <c r="A218" s="42"/>
      <c r="B218" s="33"/>
      <c r="C218" s="36"/>
      <c r="D218" s="36"/>
      <c r="E218" s="36"/>
      <c r="F218" s="36"/>
      <c r="G218" s="37"/>
      <c r="H218" s="36"/>
      <c r="I218" s="36"/>
    </row>
    <row r="219" spans="1:9" x14ac:dyDescent="0.3">
      <c r="A219" s="42"/>
      <c r="B219" s="33"/>
      <c r="C219" s="36"/>
      <c r="D219" s="36"/>
      <c r="E219" s="36"/>
      <c r="F219" s="36"/>
      <c r="G219" s="37"/>
      <c r="H219" s="36"/>
      <c r="I219" s="36"/>
    </row>
    <row r="220" spans="1:9" x14ac:dyDescent="0.3">
      <c r="A220" s="42"/>
      <c r="B220" s="33"/>
      <c r="C220" s="36"/>
      <c r="D220" s="36"/>
      <c r="E220" s="36"/>
      <c r="F220" s="36"/>
      <c r="G220" s="37"/>
      <c r="H220" s="36"/>
      <c r="I220" s="36"/>
    </row>
    <row r="221" spans="1:9" x14ac:dyDescent="0.3">
      <c r="A221" s="42"/>
      <c r="B221" s="33"/>
      <c r="C221" s="36"/>
      <c r="D221" s="36"/>
      <c r="E221" s="36"/>
      <c r="F221" s="36"/>
      <c r="G221" s="37"/>
      <c r="H221" s="36"/>
      <c r="I221" s="36"/>
    </row>
    <row r="222" spans="1:9" x14ac:dyDescent="0.3">
      <c r="A222" s="42"/>
      <c r="B222" s="33"/>
      <c r="C222" s="36"/>
      <c r="D222" s="36"/>
      <c r="E222" s="36"/>
      <c r="F222" s="36"/>
      <c r="G222" s="37"/>
      <c r="H222" s="36"/>
      <c r="I222" s="36"/>
    </row>
    <row r="223" spans="1:9" x14ac:dyDescent="0.3">
      <c r="A223" s="42"/>
      <c r="B223" s="33"/>
      <c r="C223" s="36"/>
      <c r="D223" s="36"/>
      <c r="E223" s="36"/>
      <c r="F223" s="36"/>
      <c r="G223" s="37"/>
      <c r="H223" s="36"/>
      <c r="I223" s="36"/>
    </row>
    <row r="224" spans="1:9" x14ac:dyDescent="0.3">
      <c r="A224" s="42"/>
      <c r="B224" s="33"/>
      <c r="C224" s="36"/>
      <c r="D224" s="36"/>
      <c r="E224" s="36"/>
      <c r="F224" s="36"/>
      <c r="G224" s="37"/>
      <c r="H224" s="36"/>
      <c r="I224" s="36"/>
    </row>
    <row r="225" spans="1:9" x14ac:dyDescent="0.3">
      <c r="A225" s="42"/>
      <c r="B225" s="33"/>
      <c r="C225" s="36"/>
      <c r="D225" s="36"/>
      <c r="E225" s="36"/>
      <c r="F225" s="36"/>
      <c r="G225" s="37"/>
      <c r="H225" s="36"/>
      <c r="I225" s="36"/>
    </row>
    <row r="226" spans="1:9" x14ac:dyDescent="0.3">
      <c r="A226" s="42"/>
      <c r="B226" s="33"/>
      <c r="C226" s="36"/>
      <c r="D226" s="36"/>
      <c r="E226" s="36"/>
      <c r="F226" s="36"/>
      <c r="G226" s="37"/>
      <c r="H226" s="36"/>
      <c r="I226" s="36"/>
    </row>
    <row r="227" spans="1:9" x14ac:dyDescent="0.3">
      <c r="A227" s="42"/>
      <c r="B227" s="33"/>
      <c r="C227" s="36"/>
      <c r="D227" s="36"/>
      <c r="E227" s="36"/>
      <c r="F227" s="36"/>
      <c r="G227" s="37"/>
      <c r="H227" s="36"/>
      <c r="I227" s="36"/>
    </row>
    <row r="228" spans="1:9" x14ac:dyDescent="0.3">
      <c r="A228" s="42"/>
      <c r="B228" s="33"/>
      <c r="C228" s="36"/>
      <c r="D228" s="36"/>
      <c r="E228" s="36"/>
      <c r="F228" s="36"/>
      <c r="G228" s="37"/>
      <c r="H228" s="36"/>
      <c r="I228" s="36"/>
    </row>
    <row r="229" spans="1:9" x14ac:dyDescent="0.3">
      <c r="A229" s="42"/>
      <c r="B229" s="33"/>
      <c r="C229" s="36"/>
      <c r="D229" s="36"/>
      <c r="E229" s="36"/>
      <c r="F229" s="36"/>
      <c r="G229" s="37"/>
      <c r="H229" s="36"/>
      <c r="I229" s="36"/>
    </row>
    <row r="230" spans="1:9" x14ac:dyDescent="0.3">
      <c r="A230" s="42"/>
      <c r="B230" s="33"/>
      <c r="C230" s="36"/>
      <c r="D230" s="36"/>
      <c r="E230" s="36"/>
      <c r="F230" s="36"/>
      <c r="G230" s="37"/>
      <c r="H230" s="36"/>
      <c r="I230" s="36"/>
    </row>
    <row r="231" spans="1:9" x14ac:dyDescent="0.3">
      <c r="A231" s="42"/>
      <c r="B231" s="33"/>
      <c r="C231" s="36"/>
      <c r="D231" s="36"/>
      <c r="E231" s="36"/>
      <c r="F231" s="36"/>
      <c r="G231" s="37"/>
      <c r="H231" s="36"/>
      <c r="I231" s="36"/>
    </row>
    <row r="232" spans="1:9" x14ac:dyDescent="0.3">
      <c r="A232" s="42"/>
      <c r="B232" s="33"/>
      <c r="C232" s="36"/>
      <c r="D232" s="36"/>
      <c r="E232" s="36"/>
      <c r="F232" s="36"/>
      <c r="G232" s="37"/>
      <c r="H232" s="36"/>
      <c r="I232" s="36"/>
    </row>
    <row r="233" spans="1:9" x14ac:dyDescent="0.3">
      <c r="A233" s="42"/>
      <c r="B233" s="33"/>
      <c r="C233" s="36"/>
      <c r="D233" s="36"/>
      <c r="E233" s="36"/>
      <c r="F233" s="36"/>
      <c r="G233" s="37"/>
      <c r="H233" s="36"/>
      <c r="I233" s="36"/>
    </row>
    <row r="234" spans="1:9" x14ac:dyDescent="0.3">
      <c r="A234" s="42"/>
      <c r="B234" s="33"/>
      <c r="C234" s="36"/>
      <c r="D234" s="36"/>
      <c r="E234" s="36"/>
      <c r="F234" s="36"/>
      <c r="G234" s="37"/>
      <c r="H234" s="36"/>
      <c r="I234" s="36"/>
    </row>
    <row r="235" spans="1:9" x14ac:dyDescent="0.3">
      <c r="A235" s="42"/>
      <c r="B235" s="33"/>
      <c r="C235" s="36"/>
      <c r="D235" s="36"/>
      <c r="E235" s="36"/>
      <c r="F235" s="36"/>
      <c r="G235" s="37"/>
      <c r="H235" s="36"/>
      <c r="I235" s="36"/>
    </row>
    <row r="236" spans="1:9" x14ac:dyDescent="0.3">
      <c r="A236" s="42"/>
      <c r="B236" s="33"/>
      <c r="C236" s="36"/>
      <c r="D236" s="36"/>
      <c r="E236" s="36"/>
      <c r="F236" s="36"/>
      <c r="G236" s="37"/>
      <c r="H236" s="36"/>
      <c r="I236" s="36"/>
    </row>
    <row r="237" spans="1:9" x14ac:dyDescent="0.3">
      <c r="A237" s="42"/>
      <c r="B237" s="33"/>
      <c r="C237" s="36"/>
      <c r="D237" s="36"/>
      <c r="E237" s="36"/>
      <c r="F237" s="36"/>
      <c r="G237" s="37"/>
      <c r="H237" s="36"/>
      <c r="I237" s="36"/>
    </row>
    <row r="238" spans="1:9" x14ac:dyDescent="0.3">
      <c r="A238" s="42"/>
      <c r="B238" s="33"/>
      <c r="C238" s="36"/>
      <c r="D238" s="36"/>
      <c r="E238" s="36"/>
      <c r="F238" s="36"/>
      <c r="G238" s="37"/>
      <c r="H238" s="36"/>
      <c r="I238" s="36"/>
    </row>
    <row r="239" spans="1:9" x14ac:dyDescent="0.3">
      <c r="A239" s="42"/>
      <c r="B239" s="33"/>
      <c r="C239" s="36"/>
      <c r="D239" s="36"/>
      <c r="E239" s="36"/>
      <c r="F239" s="36"/>
      <c r="G239" s="37"/>
      <c r="H239" s="36"/>
      <c r="I239" s="36"/>
    </row>
    <row r="240" spans="1:9" x14ac:dyDescent="0.3">
      <c r="A240" s="42"/>
      <c r="B240" s="33"/>
      <c r="C240" s="36"/>
      <c r="D240" s="36"/>
      <c r="E240" s="36"/>
      <c r="F240" s="36"/>
      <c r="G240" s="37"/>
      <c r="H240" s="36"/>
      <c r="I240" s="36"/>
    </row>
    <row r="241" spans="1:9" x14ac:dyDescent="0.3">
      <c r="A241" s="42"/>
      <c r="B241" s="33"/>
      <c r="C241" s="36"/>
      <c r="D241" s="36"/>
      <c r="E241" s="36"/>
      <c r="F241" s="36"/>
      <c r="G241" s="37"/>
      <c r="H241" s="36"/>
      <c r="I241" s="36"/>
    </row>
    <row r="242" spans="1:9" x14ac:dyDescent="0.3">
      <c r="A242" s="42"/>
      <c r="B242" s="33"/>
      <c r="C242" s="36"/>
      <c r="D242" s="36"/>
      <c r="E242" s="36"/>
      <c r="F242" s="36"/>
      <c r="G242" s="37"/>
      <c r="H242" s="36"/>
      <c r="I242" s="36"/>
    </row>
    <row r="243" spans="1:9" x14ac:dyDescent="0.3">
      <c r="A243" s="42"/>
      <c r="B243" s="33"/>
      <c r="C243" s="36"/>
      <c r="D243" s="36"/>
      <c r="E243" s="36"/>
      <c r="F243" s="36"/>
      <c r="G243" s="37"/>
      <c r="H243" s="36"/>
      <c r="I243" s="36"/>
    </row>
    <row r="244" spans="1:9" x14ac:dyDescent="0.3">
      <c r="A244" s="42"/>
      <c r="B244" s="33"/>
      <c r="C244" s="36"/>
      <c r="D244" s="36"/>
      <c r="E244" s="36"/>
      <c r="F244" s="36"/>
      <c r="G244" s="37"/>
      <c r="H244" s="36"/>
      <c r="I244" s="36"/>
    </row>
    <row r="245" spans="1:9" x14ac:dyDescent="0.3">
      <c r="A245" s="42"/>
      <c r="B245" s="33"/>
      <c r="C245" s="36"/>
      <c r="D245" s="36"/>
      <c r="E245" s="36"/>
      <c r="F245" s="36"/>
      <c r="G245" s="37"/>
      <c r="H245" s="36"/>
      <c r="I245" s="36"/>
    </row>
    <row r="246" spans="1:9" x14ac:dyDescent="0.3">
      <c r="A246" s="42"/>
      <c r="B246" s="33"/>
      <c r="C246" s="36"/>
      <c r="D246" s="36"/>
      <c r="E246" s="36"/>
      <c r="F246" s="36"/>
      <c r="G246" s="37"/>
      <c r="H246" s="36"/>
      <c r="I246" s="36"/>
    </row>
    <row r="247" spans="1:9" x14ac:dyDescent="0.3">
      <c r="A247" s="42"/>
      <c r="B247" s="33"/>
      <c r="C247" s="36"/>
      <c r="D247" s="36"/>
      <c r="E247" s="36"/>
      <c r="F247" s="36"/>
      <c r="G247" s="37"/>
      <c r="H247" s="36"/>
      <c r="I247" s="36"/>
    </row>
    <row r="248" spans="1:9" x14ac:dyDescent="0.3">
      <c r="A248" s="42"/>
      <c r="B248" s="33"/>
      <c r="C248" s="36"/>
      <c r="D248" s="36"/>
      <c r="E248" s="36"/>
      <c r="F248" s="36"/>
      <c r="G248" s="37"/>
      <c r="H248" s="36"/>
      <c r="I248" s="36"/>
    </row>
    <row r="249" spans="1:9" x14ac:dyDescent="0.3">
      <c r="A249" s="42"/>
      <c r="B249" s="33"/>
      <c r="C249" s="36"/>
      <c r="D249" s="36"/>
      <c r="E249" s="36"/>
      <c r="F249" s="36"/>
      <c r="G249" s="37"/>
      <c r="H249" s="36"/>
      <c r="I249" s="36"/>
    </row>
    <row r="250" spans="1:9" x14ac:dyDescent="0.3">
      <c r="A250" s="42"/>
      <c r="B250" s="33"/>
      <c r="C250" s="36"/>
      <c r="D250" s="36"/>
      <c r="E250" s="36"/>
      <c r="F250" s="36"/>
      <c r="G250" s="37"/>
      <c r="H250" s="36"/>
      <c r="I250" s="36"/>
    </row>
    <row r="251" spans="1:9" x14ac:dyDescent="0.3">
      <c r="A251" s="42"/>
      <c r="B251" s="33"/>
      <c r="C251" s="36"/>
      <c r="D251" s="36"/>
      <c r="E251" s="36"/>
      <c r="F251" s="36"/>
      <c r="G251" s="37"/>
      <c r="H251" s="36"/>
      <c r="I251" s="36"/>
    </row>
    <row r="252" spans="1:9" x14ac:dyDescent="0.3">
      <c r="A252" s="42"/>
      <c r="B252" s="33"/>
      <c r="C252" s="36"/>
      <c r="D252" s="36"/>
      <c r="E252" s="36"/>
      <c r="F252" s="36"/>
      <c r="G252" s="37"/>
      <c r="H252" s="36"/>
      <c r="I252" s="36"/>
    </row>
    <row r="253" spans="1:9" x14ac:dyDescent="0.3">
      <c r="A253" s="42"/>
      <c r="B253" s="33"/>
      <c r="C253" s="36"/>
      <c r="D253" s="36"/>
      <c r="E253" s="36"/>
      <c r="F253" s="36"/>
      <c r="G253" s="37"/>
      <c r="H253" s="36"/>
      <c r="I253" s="36"/>
    </row>
    <row r="254" spans="1:9" x14ac:dyDescent="0.3">
      <c r="A254" s="42"/>
      <c r="B254" s="33"/>
      <c r="C254" s="36"/>
      <c r="D254" s="36"/>
      <c r="E254" s="36"/>
      <c r="F254" s="36"/>
      <c r="G254" s="37"/>
      <c r="H254" s="36"/>
      <c r="I254" s="36"/>
    </row>
    <row r="255" spans="1:9" x14ac:dyDescent="0.3">
      <c r="A255" s="42"/>
      <c r="B255" s="33"/>
      <c r="C255" s="36"/>
      <c r="D255" s="36"/>
      <c r="E255" s="36"/>
      <c r="F255" s="36"/>
      <c r="G255" s="37"/>
      <c r="H255" s="36"/>
      <c r="I255" s="36"/>
    </row>
    <row r="256" spans="1:9" x14ac:dyDescent="0.3">
      <c r="A256" s="42"/>
      <c r="B256" s="33"/>
      <c r="C256" s="36"/>
      <c r="D256" s="36"/>
      <c r="E256" s="36"/>
      <c r="F256" s="36"/>
      <c r="G256" s="37"/>
      <c r="H256" s="36"/>
      <c r="I256" s="36"/>
    </row>
    <row r="257" spans="1:9" x14ac:dyDescent="0.3">
      <c r="A257" s="42"/>
      <c r="B257" s="33"/>
      <c r="C257" s="36"/>
      <c r="D257" s="36"/>
      <c r="E257" s="36"/>
      <c r="F257" s="36"/>
      <c r="G257" s="37"/>
      <c r="H257" s="36"/>
      <c r="I257" s="36"/>
    </row>
    <row r="258" spans="1:9" x14ac:dyDescent="0.3">
      <c r="A258" s="42"/>
      <c r="B258" s="33"/>
      <c r="C258" s="36"/>
      <c r="D258" s="36"/>
      <c r="E258" s="36"/>
      <c r="F258" s="36"/>
      <c r="G258" s="37"/>
      <c r="H258" s="36"/>
      <c r="I258" s="36"/>
    </row>
    <row r="259" spans="1:9" x14ac:dyDescent="0.3">
      <c r="A259" s="42"/>
      <c r="B259" s="33"/>
      <c r="C259" s="36"/>
      <c r="D259" s="36"/>
      <c r="E259" s="36"/>
      <c r="F259" s="36"/>
      <c r="G259" s="37"/>
      <c r="H259" s="36"/>
      <c r="I259" s="36"/>
    </row>
    <row r="260" spans="1:9" x14ac:dyDescent="0.3">
      <c r="A260" s="42"/>
      <c r="B260" s="33"/>
      <c r="C260" s="36"/>
      <c r="D260" s="36"/>
      <c r="E260" s="36"/>
      <c r="F260" s="36"/>
      <c r="G260" s="37"/>
      <c r="H260" s="36"/>
      <c r="I260" s="36"/>
    </row>
    <row r="261" spans="1:9" x14ac:dyDescent="0.3">
      <c r="A261" s="42"/>
      <c r="B261" s="33"/>
      <c r="C261" s="36"/>
      <c r="D261" s="36"/>
      <c r="E261" s="36"/>
      <c r="F261" s="36"/>
      <c r="G261" s="37"/>
      <c r="H261" s="36"/>
      <c r="I261" s="36"/>
    </row>
    <row r="262" spans="1:9" x14ac:dyDescent="0.3">
      <c r="A262" s="42"/>
      <c r="B262" s="33"/>
      <c r="C262" s="36"/>
      <c r="D262" s="36"/>
      <c r="E262" s="36"/>
      <c r="F262" s="36"/>
      <c r="G262" s="37"/>
      <c r="H262" s="36"/>
      <c r="I262" s="36"/>
    </row>
    <row r="263" spans="1:9" x14ac:dyDescent="0.3">
      <c r="A263" s="42"/>
      <c r="B263" s="33"/>
      <c r="C263" s="36"/>
      <c r="D263" s="36"/>
      <c r="E263" s="36"/>
      <c r="F263" s="36"/>
      <c r="G263" s="37"/>
      <c r="H263" s="36"/>
      <c r="I263" s="36"/>
    </row>
    <row r="264" spans="1:9" x14ac:dyDescent="0.3">
      <c r="A264" s="42"/>
      <c r="B264" s="33"/>
      <c r="C264" s="36"/>
      <c r="D264" s="36"/>
      <c r="E264" s="36"/>
      <c r="F264" s="36"/>
      <c r="G264" s="37"/>
      <c r="H264" s="36"/>
      <c r="I264" s="36"/>
    </row>
    <row r="265" spans="1:9" x14ac:dyDescent="0.3">
      <c r="A265" s="42"/>
      <c r="B265" s="33"/>
      <c r="C265" s="36"/>
      <c r="D265" s="36"/>
      <c r="E265" s="36"/>
      <c r="F265" s="36"/>
      <c r="G265" s="37"/>
      <c r="H265" s="36"/>
      <c r="I265" s="36"/>
    </row>
    <row r="266" spans="1:9" x14ac:dyDescent="0.3">
      <c r="A266" s="42"/>
      <c r="B266" s="33"/>
      <c r="C266" s="36"/>
      <c r="D266" s="36"/>
      <c r="E266" s="36"/>
      <c r="F266" s="36"/>
      <c r="G266" s="37"/>
      <c r="H266" s="36"/>
      <c r="I266" s="36"/>
    </row>
    <row r="267" spans="1:9" x14ac:dyDescent="0.3">
      <c r="A267" s="42"/>
      <c r="B267" s="33"/>
      <c r="C267" s="36"/>
      <c r="D267" s="36"/>
      <c r="E267" s="36"/>
      <c r="F267" s="36"/>
      <c r="G267" s="37"/>
      <c r="H267" s="36"/>
      <c r="I267" s="36"/>
    </row>
    <row r="268" spans="1:9" x14ac:dyDescent="0.3">
      <c r="A268" s="42"/>
      <c r="B268" s="33"/>
      <c r="C268" s="36"/>
      <c r="D268" s="36"/>
      <c r="E268" s="36"/>
      <c r="F268" s="36"/>
      <c r="G268" s="37"/>
      <c r="H268" s="36"/>
      <c r="I268" s="36"/>
    </row>
    <row r="269" spans="1:9" x14ac:dyDescent="0.3">
      <c r="A269" s="42"/>
      <c r="B269" s="33"/>
      <c r="C269" s="36"/>
      <c r="D269" s="36"/>
      <c r="E269" s="36"/>
      <c r="F269" s="36"/>
      <c r="G269" s="37"/>
      <c r="H269" s="36"/>
      <c r="I269" s="36"/>
    </row>
    <row r="270" spans="1:9" x14ac:dyDescent="0.3">
      <c r="A270" s="42"/>
      <c r="B270" s="33"/>
      <c r="C270" s="36"/>
      <c r="D270" s="36"/>
      <c r="E270" s="36"/>
      <c r="F270" s="36"/>
      <c r="G270" s="37"/>
      <c r="H270" s="36"/>
      <c r="I270" s="36"/>
    </row>
    <row r="271" spans="1:9" x14ac:dyDescent="0.3">
      <c r="A271" s="42"/>
      <c r="B271" s="33"/>
      <c r="C271" s="36"/>
      <c r="D271" s="36"/>
      <c r="E271" s="36"/>
      <c r="F271" s="36"/>
      <c r="G271" s="37"/>
      <c r="H271" s="36"/>
      <c r="I271" s="36"/>
    </row>
    <row r="272" spans="1:9" x14ac:dyDescent="0.3">
      <c r="A272" s="42"/>
      <c r="B272" s="33"/>
      <c r="C272" s="36"/>
      <c r="D272" s="36"/>
      <c r="E272" s="36"/>
      <c r="F272" s="36"/>
      <c r="G272" s="37"/>
      <c r="H272" s="36"/>
      <c r="I272" s="36"/>
    </row>
    <row r="273" spans="1:9" x14ac:dyDescent="0.3">
      <c r="A273" s="42"/>
      <c r="B273" s="33"/>
      <c r="C273" s="36"/>
      <c r="D273" s="36"/>
      <c r="E273" s="36"/>
      <c r="F273" s="36"/>
      <c r="G273" s="37"/>
      <c r="H273" s="36"/>
      <c r="I273" s="36"/>
    </row>
    <row r="274" spans="1:9" x14ac:dyDescent="0.3">
      <c r="A274" s="42"/>
      <c r="B274" s="33"/>
      <c r="C274" s="36"/>
      <c r="D274" s="36"/>
      <c r="E274" s="36"/>
      <c r="F274" s="36"/>
      <c r="G274" s="37"/>
      <c r="H274" s="36"/>
      <c r="I274" s="36"/>
    </row>
    <row r="275" spans="1:9" x14ac:dyDescent="0.3">
      <c r="A275" s="42"/>
      <c r="B275" s="33"/>
      <c r="C275" s="36"/>
      <c r="D275" s="36"/>
      <c r="E275" s="36"/>
      <c r="F275" s="36"/>
      <c r="G275" s="37"/>
      <c r="H275" s="36"/>
      <c r="I275" s="36"/>
    </row>
    <row r="276" spans="1:9" x14ac:dyDescent="0.3">
      <c r="A276" s="42"/>
      <c r="B276" s="33"/>
      <c r="C276" s="36"/>
      <c r="D276" s="36"/>
      <c r="E276" s="36"/>
      <c r="F276" s="36"/>
      <c r="G276" s="37"/>
      <c r="H276" s="36"/>
      <c r="I276" s="36"/>
    </row>
    <row r="277" spans="1:9" x14ac:dyDescent="0.3">
      <c r="A277" s="42"/>
      <c r="B277" s="33"/>
      <c r="C277" s="36"/>
      <c r="D277" s="36"/>
      <c r="E277" s="36"/>
      <c r="F277" s="36"/>
      <c r="G277" s="37"/>
      <c r="H277" s="36"/>
      <c r="I277" s="36"/>
    </row>
    <row r="278" spans="1:9" x14ac:dyDescent="0.3">
      <c r="A278" s="42"/>
      <c r="B278" s="33"/>
      <c r="C278" s="36"/>
      <c r="D278" s="36"/>
      <c r="E278" s="36"/>
      <c r="F278" s="36"/>
      <c r="G278" s="37"/>
      <c r="H278" s="36"/>
      <c r="I278" s="36"/>
    </row>
    <row r="279" spans="1:9" x14ac:dyDescent="0.3">
      <c r="A279" s="42"/>
      <c r="B279" s="33"/>
      <c r="C279" s="36"/>
      <c r="D279" s="36"/>
      <c r="E279" s="36"/>
      <c r="F279" s="36"/>
      <c r="G279" s="37"/>
      <c r="H279" s="36"/>
      <c r="I279" s="36"/>
    </row>
    <row r="280" spans="1:9" x14ac:dyDescent="0.3">
      <c r="A280" s="42"/>
      <c r="B280" s="33"/>
      <c r="C280" s="36"/>
      <c r="D280" s="36"/>
      <c r="E280" s="36"/>
      <c r="F280" s="36"/>
      <c r="G280" s="37"/>
      <c r="H280" s="36"/>
      <c r="I280" s="36"/>
    </row>
    <row r="281" spans="1:9" x14ac:dyDescent="0.3">
      <c r="A281" s="42"/>
      <c r="B281" s="33"/>
      <c r="C281" s="36"/>
      <c r="D281" s="36"/>
      <c r="E281" s="36"/>
      <c r="F281" s="36"/>
      <c r="G281" s="37"/>
      <c r="H281" s="36"/>
      <c r="I281" s="36"/>
    </row>
    <row r="282" spans="1:9" x14ac:dyDescent="0.3">
      <c r="A282" s="42"/>
      <c r="B282" s="33"/>
      <c r="C282" s="36"/>
      <c r="D282" s="36"/>
      <c r="E282" s="36"/>
      <c r="F282" s="36"/>
      <c r="G282" s="37"/>
      <c r="H282" s="36"/>
      <c r="I282" s="36"/>
    </row>
    <row r="283" spans="1:9" x14ac:dyDescent="0.3">
      <c r="A283" s="42"/>
      <c r="B283" s="33"/>
      <c r="C283" s="36"/>
      <c r="D283" s="36"/>
      <c r="E283" s="36"/>
      <c r="F283" s="36"/>
      <c r="G283" s="37"/>
      <c r="H283" s="36"/>
      <c r="I283" s="36"/>
    </row>
    <row r="284" spans="1:9" x14ac:dyDescent="0.3">
      <c r="A284" s="42"/>
      <c r="B284" s="33"/>
      <c r="C284" s="36"/>
      <c r="D284" s="36"/>
      <c r="E284" s="36"/>
      <c r="F284" s="36"/>
      <c r="G284" s="37"/>
      <c r="H284" s="36"/>
      <c r="I284" s="36"/>
    </row>
    <row r="285" spans="1:9" x14ac:dyDescent="0.3">
      <c r="A285" s="42"/>
      <c r="B285" s="33"/>
      <c r="C285" s="36"/>
      <c r="D285" s="36"/>
      <c r="E285" s="36"/>
      <c r="F285" s="36"/>
      <c r="G285" s="37"/>
      <c r="H285" s="36"/>
      <c r="I285" s="36"/>
    </row>
    <row r="286" spans="1:9" x14ac:dyDescent="0.3">
      <c r="A286" s="42"/>
      <c r="B286" s="33"/>
      <c r="C286" s="36"/>
      <c r="D286" s="36"/>
      <c r="E286" s="36"/>
      <c r="F286" s="36"/>
      <c r="G286" s="37"/>
      <c r="H286" s="36"/>
      <c r="I286" s="36"/>
    </row>
    <row r="287" spans="1:9" x14ac:dyDescent="0.3">
      <c r="A287" s="42"/>
      <c r="B287" s="36"/>
      <c r="C287" s="36"/>
      <c r="D287" s="36"/>
      <c r="E287" s="36"/>
      <c r="F287" s="36"/>
      <c r="G287" s="37"/>
      <c r="H287" s="36"/>
      <c r="I287" s="36"/>
    </row>
    <row r="288" spans="1:9" x14ac:dyDescent="0.3">
      <c r="A288" s="42"/>
      <c r="B288" s="36"/>
      <c r="C288" s="36"/>
      <c r="D288" s="36"/>
      <c r="E288" s="36"/>
      <c r="F288" s="36"/>
      <c r="G288" s="37"/>
      <c r="H288" s="36"/>
      <c r="I288" s="36"/>
    </row>
    <row r="289" spans="1:9" x14ac:dyDescent="0.3">
      <c r="A289" s="42"/>
      <c r="B289" s="36"/>
      <c r="C289" s="36"/>
      <c r="D289" s="36"/>
      <c r="E289" s="36"/>
      <c r="F289" s="36"/>
      <c r="G289" s="37"/>
      <c r="H289" s="36"/>
      <c r="I289" s="36"/>
    </row>
    <row r="290" spans="1:9" x14ac:dyDescent="0.3">
      <c r="A290" s="42"/>
      <c r="B290" s="36"/>
      <c r="C290" s="36"/>
      <c r="D290" s="36"/>
      <c r="E290" s="36"/>
      <c r="F290" s="36"/>
      <c r="G290" s="37"/>
      <c r="H290" s="36"/>
      <c r="I290" s="36"/>
    </row>
    <row r="291" spans="1:9" x14ac:dyDescent="0.3">
      <c r="A291" s="42"/>
      <c r="B291" s="36"/>
      <c r="C291" s="36"/>
      <c r="D291" s="36"/>
      <c r="E291" s="36"/>
      <c r="F291" s="36"/>
      <c r="G291" s="37"/>
      <c r="H291" s="36"/>
      <c r="I291" s="36"/>
    </row>
    <row r="292" spans="1:9" x14ac:dyDescent="0.3">
      <c r="A292" s="42"/>
      <c r="B292" s="36"/>
      <c r="C292" s="36"/>
      <c r="D292" s="36"/>
      <c r="E292" s="36"/>
      <c r="F292" s="36"/>
      <c r="G292" s="37"/>
      <c r="H292" s="36"/>
      <c r="I292" s="36"/>
    </row>
    <row r="293" spans="1:9" x14ac:dyDescent="0.3">
      <c r="A293" s="42"/>
      <c r="B293" s="36"/>
      <c r="C293" s="36"/>
      <c r="D293" s="36"/>
      <c r="E293" s="36"/>
      <c r="F293" s="36"/>
      <c r="G293" s="37"/>
      <c r="H293" s="36"/>
      <c r="I293" s="36"/>
    </row>
    <row r="294" spans="1:9" x14ac:dyDescent="0.3">
      <c r="A294" s="42"/>
      <c r="B294" s="36"/>
      <c r="C294" s="36"/>
      <c r="D294" s="36"/>
      <c r="E294" s="36"/>
      <c r="F294" s="36"/>
      <c r="G294" s="37"/>
      <c r="H294" s="36"/>
      <c r="I294" s="36"/>
    </row>
    <row r="295" spans="1:9" x14ac:dyDescent="0.3">
      <c r="A295" s="42"/>
      <c r="B295" s="36"/>
      <c r="C295" s="36"/>
      <c r="D295" s="36"/>
      <c r="E295" s="36"/>
      <c r="F295" s="36"/>
      <c r="G295" s="37"/>
      <c r="H295" s="36"/>
      <c r="I295" s="36"/>
    </row>
    <row r="296" spans="1:9" x14ac:dyDescent="0.3">
      <c r="A296" s="42"/>
      <c r="B296" s="36"/>
      <c r="C296" s="36"/>
      <c r="D296" s="36"/>
      <c r="E296" s="36"/>
      <c r="F296" s="36"/>
      <c r="G296" s="37"/>
      <c r="H296" s="36"/>
      <c r="I296" s="36"/>
    </row>
    <row r="297" spans="1:9" x14ac:dyDescent="0.3">
      <c r="A297" s="42"/>
      <c r="B297" s="36"/>
      <c r="C297" s="36"/>
      <c r="D297" s="36"/>
      <c r="E297" s="36"/>
      <c r="F297" s="36"/>
      <c r="G297" s="37"/>
      <c r="H297" s="36"/>
      <c r="I297" s="36"/>
    </row>
    <row r="298" spans="1:9" x14ac:dyDescent="0.3">
      <c r="A298" s="42"/>
      <c r="B298" s="36"/>
      <c r="C298" s="36"/>
      <c r="D298" s="36"/>
      <c r="E298" s="36"/>
      <c r="F298" s="36"/>
      <c r="G298" s="37"/>
      <c r="H298" s="36"/>
      <c r="I298" s="36"/>
    </row>
    <row r="299" spans="1:9" x14ac:dyDescent="0.3">
      <c r="A299" s="42"/>
      <c r="B299" s="36"/>
      <c r="C299" s="36"/>
      <c r="D299" s="36"/>
      <c r="E299" s="36"/>
      <c r="F299" s="36"/>
      <c r="G299" s="37"/>
      <c r="H299" s="36"/>
      <c r="I299" s="36"/>
    </row>
    <row r="300" spans="1:9" x14ac:dyDescent="0.3">
      <c r="A300" s="42"/>
      <c r="B300" s="36"/>
      <c r="C300" s="36"/>
      <c r="D300" s="36"/>
      <c r="E300" s="36"/>
      <c r="F300" s="36"/>
      <c r="G300" s="37"/>
      <c r="H300" s="36"/>
      <c r="I300" s="36"/>
    </row>
    <row r="301" spans="1:9" x14ac:dyDescent="0.3">
      <c r="A301" s="42"/>
      <c r="B301" s="36"/>
      <c r="C301" s="36"/>
      <c r="D301" s="36"/>
      <c r="E301" s="36"/>
      <c r="F301" s="36"/>
      <c r="G301" s="37"/>
      <c r="H301" s="36"/>
      <c r="I301" s="36"/>
    </row>
    <row r="302" spans="1:9" x14ac:dyDescent="0.3">
      <c r="A302" s="42"/>
      <c r="B302" s="36"/>
      <c r="C302" s="36"/>
      <c r="D302" s="36"/>
      <c r="E302" s="36"/>
      <c r="F302" s="36"/>
      <c r="G302" s="37"/>
      <c r="H302" s="36"/>
      <c r="I302" s="36"/>
    </row>
    <row r="303" spans="1:9" x14ac:dyDescent="0.3">
      <c r="A303" s="42"/>
      <c r="B303" s="36"/>
      <c r="C303" s="36"/>
      <c r="D303" s="36"/>
      <c r="E303" s="36"/>
      <c r="F303" s="36"/>
      <c r="G303" s="37"/>
      <c r="H303" s="36"/>
      <c r="I303" s="36"/>
    </row>
    <row r="304" spans="1:9" x14ac:dyDescent="0.3">
      <c r="A304" s="42"/>
      <c r="B304" s="36"/>
      <c r="C304" s="36"/>
      <c r="D304" s="36"/>
      <c r="E304" s="36"/>
      <c r="F304" s="36"/>
      <c r="G304" s="37"/>
      <c r="H304" s="36"/>
      <c r="I304" s="36"/>
    </row>
    <row r="305" spans="1:9" x14ac:dyDescent="0.3">
      <c r="A305" s="42"/>
      <c r="B305" s="36"/>
      <c r="C305" s="36"/>
      <c r="D305" s="36"/>
      <c r="E305" s="36"/>
      <c r="F305" s="36"/>
      <c r="G305" s="37"/>
      <c r="H305" s="36"/>
      <c r="I305" s="36"/>
    </row>
    <row r="306" spans="1:9" x14ac:dyDescent="0.3">
      <c r="A306" s="42"/>
      <c r="B306" s="36"/>
      <c r="C306" s="36"/>
      <c r="D306" s="36"/>
      <c r="E306" s="36"/>
      <c r="F306" s="36"/>
      <c r="G306" s="37"/>
      <c r="H306" s="36"/>
      <c r="I306" s="36"/>
    </row>
    <row r="307" spans="1:9" x14ac:dyDescent="0.3">
      <c r="A307" s="42"/>
      <c r="B307" s="36"/>
      <c r="C307" s="36"/>
      <c r="D307" s="36"/>
      <c r="E307" s="36"/>
      <c r="F307" s="36"/>
      <c r="G307" s="37"/>
      <c r="H307" s="36"/>
      <c r="I307" s="36"/>
    </row>
    <row r="308" spans="1:9" x14ac:dyDescent="0.3">
      <c r="A308" s="42"/>
      <c r="B308" s="36"/>
      <c r="C308" s="36"/>
      <c r="D308" s="36"/>
      <c r="E308" s="36"/>
      <c r="F308" s="36"/>
      <c r="G308" s="37"/>
      <c r="H308" s="36"/>
      <c r="I308" s="36"/>
    </row>
    <row r="309" spans="1:9" x14ac:dyDescent="0.3">
      <c r="A309" s="42"/>
      <c r="B309" s="36"/>
      <c r="C309" s="36"/>
      <c r="D309" s="36"/>
      <c r="E309" s="36"/>
      <c r="F309" s="36"/>
      <c r="G309" s="37"/>
      <c r="H309" s="36"/>
      <c r="I309" s="36"/>
    </row>
    <row r="310" spans="1:9" x14ac:dyDescent="0.3">
      <c r="A310" s="42"/>
      <c r="B310" s="36"/>
      <c r="C310" s="36"/>
      <c r="D310" s="36"/>
      <c r="E310" s="36"/>
      <c r="F310" s="36"/>
      <c r="G310" s="37"/>
      <c r="H310" s="36"/>
      <c r="I310" s="36"/>
    </row>
    <row r="311" spans="1:9" x14ac:dyDescent="0.3">
      <c r="A311" s="42"/>
      <c r="B311" s="36"/>
      <c r="C311" s="36"/>
      <c r="D311" s="36"/>
      <c r="E311" s="36"/>
      <c r="F311" s="36"/>
      <c r="G311" s="37"/>
      <c r="H311" s="36"/>
      <c r="I311" s="36"/>
    </row>
    <row r="312" spans="1:9" x14ac:dyDescent="0.3">
      <c r="A312" s="42"/>
      <c r="B312" s="36"/>
      <c r="C312" s="36"/>
      <c r="D312" s="36"/>
      <c r="E312" s="36"/>
      <c r="F312" s="36"/>
      <c r="G312" s="37"/>
      <c r="H312" s="36"/>
      <c r="I312" s="36"/>
    </row>
    <row r="313" spans="1:9" x14ac:dyDescent="0.3">
      <c r="A313" s="42"/>
      <c r="B313" s="36"/>
      <c r="C313" s="36"/>
      <c r="D313" s="36"/>
      <c r="E313" s="36"/>
      <c r="F313" s="36"/>
      <c r="G313" s="37"/>
      <c r="H313" s="36"/>
      <c r="I313" s="36"/>
    </row>
    <row r="314" spans="1:9" x14ac:dyDescent="0.3">
      <c r="A314" s="42"/>
      <c r="B314" s="36"/>
      <c r="C314" s="36"/>
      <c r="D314" s="36"/>
      <c r="E314" s="36"/>
      <c r="F314" s="36"/>
      <c r="G314" s="37"/>
      <c r="H314" s="36"/>
      <c r="I314" s="36"/>
    </row>
    <row r="315" spans="1:9" x14ac:dyDescent="0.3">
      <c r="A315" s="42"/>
      <c r="B315" s="36"/>
      <c r="C315" s="36"/>
      <c r="D315" s="36"/>
      <c r="E315" s="36"/>
      <c r="F315" s="36"/>
      <c r="G315" s="37"/>
      <c r="H315" s="36"/>
      <c r="I315" s="36"/>
    </row>
    <row r="316" spans="1:9" x14ac:dyDescent="0.3">
      <c r="A316" s="42"/>
      <c r="B316" s="36"/>
      <c r="C316" s="36"/>
      <c r="D316" s="36"/>
      <c r="E316" s="36"/>
      <c r="F316" s="36"/>
      <c r="G316" s="37"/>
      <c r="H316" s="36"/>
      <c r="I316" s="36"/>
    </row>
    <row r="317" spans="1:9" x14ac:dyDescent="0.3">
      <c r="A317" s="42"/>
      <c r="B317" s="36"/>
      <c r="C317" s="36"/>
      <c r="D317" s="36"/>
      <c r="E317" s="36"/>
      <c r="F317" s="36"/>
      <c r="G317" s="37"/>
      <c r="H317" s="36"/>
      <c r="I317" s="36"/>
    </row>
    <row r="318" spans="1:9" x14ac:dyDescent="0.3">
      <c r="A318" s="42"/>
      <c r="B318" s="36"/>
      <c r="C318" s="36"/>
      <c r="D318" s="36"/>
      <c r="E318" s="36"/>
      <c r="F318" s="36"/>
      <c r="G318" s="37"/>
      <c r="H318" s="36"/>
      <c r="I318" s="36"/>
    </row>
    <row r="319" spans="1:9" x14ac:dyDescent="0.3">
      <c r="A319" s="42"/>
      <c r="B319" s="36"/>
      <c r="C319" s="36"/>
      <c r="D319" s="36"/>
      <c r="E319" s="36"/>
      <c r="F319" s="36"/>
      <c r="G319" s="37"/>
      <c r="H319" s="36"/>
      <c r="I319" s="36"/>
    </row>
    <row r="320" spans="1:9" x14ac:dyDescent="0.3">
      <c r="A320" s="42"/>
      <c r="B320" s="36"/>
      <c r="C320" s="36"/>
      <c r="D320" s="36"/>
      <c r="E320" s="36"/>
      <c r="F320" s="36"/>
      <c r="G320" s="37"/>
      <c r="H320" s="36"/>
      <c r="I320" s="36"/>
    </row>
    <row r="321" spans="1:9" x14ac:dyDescent="0.3">
      <c r="A321" s="42"/>
      <c r="B321" s="36"/>
      <c r="C321" s="36"/>
      <c r="D321" s="36"/>
      <c r="E321" s="36"/>
      <c r="F321" s="36"/>
      <c r="G321" s="37"/>
      <c r="H321" s="36"/>
      <c r="I321" s="36"/>
    </row>
    <row r="322" spans="1:9" x14ac:dyDescent="0.3">
      <c r="A322" s="42"/>
      <c r="B322" s="36"/>
      <c r="C322" s="36"/>
      <c r="D322" s="36"/>
      <c r="E322" s="36"/>
      <c r="F322" s="36"/>
      <c r="G322" s="37"/>
      <c r="H322" s="36"/>
      <c r="I322" s="36"/>
    </row>
    <row r="323" spans="1:9" x14ac:dyDescent="0.3">
      <c r="A323" s="42"/>
      <c r="B323" s="36"/>
      <c r="C323" s="36"/>
      <c r="D323" s="36"/>
      <c r="E323" s="36"/>
      <c r="F323" s="36"/>
      <c r="G323" s="37"/>
      <c r="H323" s="36"/>
      <c r="I323" s="36"/>
    </row>
    <row r="324" spans="1:9" x14ac:dyDescent="0.3">
      <c r="A324" s="42"/>
      <c r="B324" s="36"/>
      <c r="C324" s="36"/>
      <c r="D324" s="36"/>
      <c r="E324" s="36"/>
      <c r="F324" s="36"/>
      <c r="G324" s="37"/>
      <c r="H324" s="36"/>
      <c r="I324" s="36"/>
    </row>
    <row r="325" spans="1:9" x14ac:dyDescent="0.3">
      <c r="A325" s="42"/>
      <c r="B325" s="36"/>
      <c r="C325" s="36"/>
      <c r="D325" s="36"/>
      <c r="E325" s="36"/>
      <c r="F325" s="36"/>
      <c r="G325" s="37"/>
      <c r="H325" s="36"/>
      <c r="I325" s="36"/>
    </row>
    <row r="326" spans="1:9" x14ac:dyDescent="0.3">
      <c r="A326" s="42"/>
      <c r="B326" s="36"/>
      <c r="C326" s="36"/>
      <c r="D326" s="36"/>
      <c r="E326" s="36"/>
      <c r="F326" s="36"/>
      <c r="G326" s="37"/>
      <c r="H326" s="36"/>
      <c r="I326" s="36"/>
    </row>
    <row r="327" spans="1:9" x14ac:dyDescent="0.3">
      <c r="A327" s="42"/>
      <c r="B327" s="36"/>
      <c r="C327" s="36"/>
      <c r="D327" s="36"/>
      <c r="E327" s="36"/>
      <c r="F327" s="36"/>
      <c r="G327" s="37"/>
      <c r="H327" s="36"/>
      <c r="I327" s="36"/>
    </row>
    <row r="328" spans="1:9" x14ac:dyDescent="0.3">
      <c r="A328" s="42"/>
      <c r="B328" s="36"/>
      <c r="C328" s="36"/>
      <c r="D328" s="36"/>
      <c r="E328" s="36"/>
      <c r="F328" s="36"/>
      <c r="G328" s="37"/>
      <c r="H328" s="36"/>
      <c r="I328" s="36"/>
    </row>
    <row r="329" spans="1:9" x14ac:dyDescent="0.3">
      <c r="A329" s="42"/>
      <c r="B329" s="36"/>
      <c r="C329" s="36"/>
      <c r="D329" s="36"/>
      <c r="E329" s="36"/>
      <c r="F329" s="36"/>
      <c r="G329" s="37"/>
      <c r="H329" s="36"/>
      <c r="I329" s="36"/>
    </row>
    <row r="330" spans="1:9" x14ac:dyDescent="0.3">
      <c r="A330" s="42"/>
      <c r="B330" s="36"/>
      <c r="C330" s="36"/>
      <c r="D330" s="36"/>
      <c r="E330" s="36"/>
      <c r="F330" s="36"/>
      <c r="G330" s="37"/>
      <c r="H330" s="36"/>
      <c r="I330" s="36"/>
    </row>
    <row r="331" spans="1:9" x14ac:dyDescent="0.3">
      <c r="A331" s="42"/>
      <c r="B331" s="36"/>
      <c r="C331" s="36"/>
      <c r="D331" s="36"/>
      <c r="E331" s="36"/>
      <c r="F331" s="36"/>
      <c r="G331" s="37"/>
      <c r="H331" s="36"/>
      <c r="I331" s="36"/>
    </row>
    <row r="332" spans="1:9" x14ac:dyDescent="0.3">
      <c r="A332" s="42"/>
      <c r="B332" s="36"/>
      <c r="C332" s="36"/>
      <c r="D332" s="36"/>
      <c r="E332" s="36"/>
      <c r="F332" s="36"/>
      <c r="G332" s="37"/>
      <c r="H332" s="36"/>
      <c r="I332" s="36"/>
    </row>
    <row r="333" spans="1:9" x14ac:dyDescent="0.3">
      <c r="A333" s="42"/>
      <c r="B333" s="36"/>
      <c r="C333" s="36"/>
      <c r="D333" s="36"/>
      <c r="E333" s="36"/>
      <c r="F333" s="36"/>
      <c r="G333" s="37"/>
      <c r="H333" s="36"/>
      <c r="I333" s="36"/>
    </row>
    <row r="334" spans="1:9" x14ac:dyDescent="0.3">
      <c r="A334" s="42"/>
      <c r="B334" s="36"/>
      <c r="C334" s="36"/>
      <c r="D334" s="36"/>
      <c r="E334" s="36"/>
      <c r="F334" s="36"/>
      <c r="G334" s="37"/>
      <c r="H334" s="36"/>
      <c r="I334" s="36"/>
    </row>
    <row r="335" spans="1:9" x14ac:dyDescent="0.3">
      <c r="A335" s="42"/>
      <c r="B335" s="36"/>
      <c r="C335" s="36"/>
      <c r="D335" s="36"/>
      <c r="E335" s="36"/>
      <c r="F335" s="36"/>
      <c r="G335" s="37"/>
      <c r="H335" s="36"/>
      <c r="I335" s="36"/>
    </row>
    <row r="336" spans="1:9" x14ac:dyDescent="0.3">
      <c r="A336" s="42"/>
      <c r="B336" s="36"/>
      <c r="C336" s="36"/>
      <c r="D336" s="36"/>
      <c r="E336" s="36"/>
      <c r="F336" s="36"/>
      <c r="G336" s="37"/>
      <c r="H336" s="36"/>
      <c r="I336" s="36"/>
    </row>
    <row r="337" spans="1:9" x14ac:dyDescent="0.3">
      <c r="A337" s="42"/>
      <c r="B337" s="36"/>
      <c r="C337" s="36"/>
      <c r="D337" s="36"/>
      <c r="E337" s="36"/>
      <c r="F337" s="36"/>
      <c r="G337" s="37"/>
      <c r="H337" s="36"/>
      <c r="I337" s="36"/>
    </row>
    <row r="338" spans="1:9" x14ac:dyDescent="0.3">
      <c r="A338" s="42"/>
      <c r="B338" s="36"/>
      <c r="C338" s="36"/>
      <c r="D338" s="36"/>
      <c r="E338" s="36"/>
      <c r="F338" s="36"/>
      <c r="G338" s="37"/>
      <c r="H338" s="36"/>
      <c r="I338" s="36"/>
    </row>
    <row r="339" spans="1:9" x14ac:dyDescent="0.3">
      <c r="A339" s="42"/>
      <c r="B339" s="36"/>
      <c r="C339" s="36"/>
      <c r="D339" s="36"/>
      <c r="E339" s="36"/>
      <c r="F339" s="36"/>
      <c r="G339" s="37"/>
      <c r="H339" s="36"/>
      <c r="I339" s="36"/>
    </row>
    <row r="340" spans="1:9" x14ac:dyDescent="0.3">
      <c r="A340" s="42"/>
      <c r="B340" s="36"/>
      <c r="C340" s="36"/>
      <c r="D340" s="36"/>
      <c r="E340" s="36"/>
      <c r="F340" s="36"/>
      <c r="G340" s="37"/>
      <c r="H340" s="36"/>
      <c r="I340" s="36"/>
    </row>
    <row r="341" spans="1:9" x14ac:dyDescent="0.3">
      <c r="A341" s="42"/>
      <c r="B341" s="36"/>
      <c r="C341" s="36"/>
      <c r="D341" s="36"/>
      <c r="E341" s="36"/>
      <c r="F341" s="36"/>
      <c r="G341" s="37"/>
      <c r="H341" s="36"/>
      <c r="I341" s="36"/>
    </row>
    <row r="342" spans="1:9" x14ac:dyDescent="0.3">
      <c r="A342" s="42"/>
      <c r="B342" s="36"/>
      <c r="C342" s="36"/>
      <c r="D342" s="36"/>
      <c r="E342" s="36"/>
      <c r="F342" s="36"/>
      <c r="G342" s="37"/>
      <c r="H342" s="36"/>
      <c r="I342" s="36"/>
    </row>
    <row r="343" spans="1:9" x14ac:dyDescent="0.3">
      <c r="A343" s="42"/>
      <c r="B343" s="36"/>
      <c r="C343" s="36"/>
      <c r="D343" s="36"/>
      <c r="E343" s="36"/>
      <c r="F343" s="36"/>
      <c r="G343" s="37"/>
      <c r="H343" s="36"/>
      <c r="I343" s="36"/>
    </row>
    <row r="344" spans="1:9" x14ac:dyDescent="0.3">
      <c r="A344" s="42"/>
      <c r="B344" s="36"/>
      <c r="C344" s="36"/>
      <c r="D344" s="36"/>
      <c r="E344" s="36"/>
      <c r="F344" s="36"/>
      <c r="G344" s="37"/>
      <c r="H344" s="36"/>
      <c r="I344" s="36"/>
    </row>
    <row r="345" spans="1:9" x14ac:dyDescent="0.3">
      <c r="A345" s="42"/>
      <c r="B345" s="36"/>
      <c r="C345" s="36"/>
      <c r="D345" s="36"/>
      <c r="E345" s="36"/>
      <c r="F345" s="36"/>
      <c r="G345" s="37"/>
      <c r="H345" s="36"/>
      <c r="I345" s="36"/>
    </row>
    <row r="346" spans="1:9" x14ac:dyDescent="0.3">
      <c r="A346" s="42"/>
      <c r="B346" s="36"/>
      <c r="C346" s="36"/>
      <c r="D346" s="36"/>
      <c r="E346" s="36"/>
      <c r="F346" s="36"/>
      <c r="G346" s="37"/>
      <c r="H346" s="36"/>
      <c r="I346" s="36"/>
    </row>
    <row r="347" spans="1:9" x14ac:dyDescent="0.3">
      <c r="A347" s="42"/>
      <c r="B347" s="36"/>
      <c r="C347" s="36"/>
      <c r="D347" s="36"/>
      <c r="E347" s="36"/>
      <c r="F347" s="36"/>
      <c r="G347" s="37"/>
      <c r="H347" s="36"/>
      <c r="I347" s="36"/>
    </row>
    <row r="348" spans="1:9" x14ac:dyDescent="0.3">
      <c r="A348" s="42"/>
      <c r="B348" s="36"/>
      <c r="C348" s="36"/>
      <c r="D348" s="36"/>
      <c r="E348" s="36"/>
      <c r="F348" s="36"/>
      <c r="G348" s="37"/>
      <c r="H348" s="36"/>
      <c r="I348" s="36"/>
    </row>
    <row r="349" spans="1:9" x14ac:dyDescent="0.3">
      <c r="A349" s="42"/>
      <c r="B349" s="36"/>
      <c r="C349" s="36"/>
      <c r="D349" s="36"/>
      <c r="E349" s="36"/>
      <c r="F349" s="36"/>
      <c r="G349" s="37"/>
      <c r="H349" s="36"/>
      <c r="I349" s="36"/>
    </row>
    <row r="350" spans="1:9" x14ac:dyDescent="0.3">
      <c r="A350" s="42"/>
      <c r="B350" s="36"/>
      <c r="C350" s="36"/>
      <c r="D350" s="36"/>
      <c r="E350" s="36"/>
      <c r="F350" s="36"/>
      <c r="G350" s="37"/>
      <c r="H350" s="36"/>
      <c r="I350" s="36"/>
    </row>
    <row r="351" spans="1:9" x14ac:dyDescent="0.3">
      <c r="A351" s="42"/>
      <c r="B351" s="36"/>
      <c r="C351" s="36"/>
      <c r="D351" s="36"/>
      <c r="E351" s="36"/>
      <c r="F351" s="36"/>
      <c r="G351" s="37"/>
      <c r="H351" s="36"/>
      <c r="I351" s="36"/>
    </row>
    <row r="352" spans="1:9" x14ac:dyDescent="0.3">
      <c r="A352" s="42"/>
      <c r="B352" s="36"/>
      <c r="C352" s="36"/>
      <c r="D352" s="36"/>
      <c r="E352" s="36"/>
      <c r="F352" s="36"/>
      <c r="G352" s="37"/>
      <c r="H352" s="36"/>
      <c r="I352" s="36"/>
    </row>
    <row r="353" spans="1:9" x14ac:dyDescent="0.3">
      <c r="A353" s="42"/>
      <c r="B353" s="36"/>
      <c r="C353" s="36"/>
      <c r="D353" s="36"/>
      <c r="E353" s="36"/>
      <c r="F353" s="36"/>
      <c r="G353" s="37"/>
      <c r="H353" s="36"/>
      <c r="I353" s="36"/>
    </row>
    <row r="354" spans="1:9" x14ac:dyDescent="0.3">
      <c r="A354" s="42"/>
      <c r="B354" s="36"/>
      <c r="C354" s="36"/>
      <c r="D354" s="36"/>
      <c r="E354" s="36"/>
      <c r="F354" s="36"/>
      <c r="G354" s="37"/>
      <c r="H354" s="36"/>
      <c r="I354" s="36"/>
    </row>
    <row r="355" spans="1:9" x14ac:dyDescent="0.3">
      <c r="A355" s="42"/>
      <c r="B355" s="36"/>
      <c r="C355" s="36"/>
      <c r="D355" s="36"/>
      <c r="E355" s="36"/>
      <c r="F355" s="36"/>
      <c r="G355" s="37"/>
      <c r="H355" s="36"/>
      <c r="I355" s="36"/>
    </row>
    <row r="356" spans="1:9" x14ac:dyDescent="0.3">
      <c r="A356" s="42"/>
      <c r="B356" s="36"/>
      <c r="C356" s="36"/>
      <c r="D356" s="36"/>
      <c r="E356" s="36"/>
      <c r="F356" s="36"/>
      <c r="G356" s="37"/>
      <c r="H356" s="36"/>
      <c r="I356" s="36"/>
    </row>
    <row r="357" spans="1:9" x14ac:dyDescent="0.3">
      <c r="A357" s="42"/>
      <c r="B357" s="36"/>
      <c r="C357" s="36"/>
      <c r="D357" s="36"/>
      <c r="E357" s="36"/>
      <c r="F357" s="36"/>
      <c r="G357" s="37"/>
      <c r="H357" s="36"/>
      <c r="I357" s="36"/>
    </row>
    <row r="358" spans="1:9" x14ac:dyDescent="0.3">
      <c r="A358" s="42"/>
      <c r="B358" s="36"/>
      <c r="C358" s="36"/>
      <c r="D358" s="36"/>
      <c r="E358" s="36"/>
      <c r="F358" s="36"/>
      <c r="G358" s="37"/>
      <c r="H358" s="36"/>
      <c r="I358" s="36"/>
    </row>
    <row r="359" spans="1:9" x14ac:dyDescent="0.3">
      <c r="A359" s="42"/>
      <c r="B359" s="36"/>
      <c r="C359" s="36"/>
      <c r="D359" s="36"/>
      <c r="E359" s="36"/>
      <c r="F359" s="36"/>
      <c r="G359" s="37"/>
      <c r="H359" s="36"/>
      <c r="I359" s="36"/>
    </row>
    <row r="360" spans="1:9" x14ac:dyDescent="0.3">
      <c r="A360" s="42"/>
      <c r="B360" s="36"/>
      <c r="C360" s="36"/>
      <c r="D360" s="36"/>
      <c r="E360" s="36"/>
      <c r="F360" s="36"/>
      <c r="G360" s="37"/>
      <c r="H360" s="36"/>
      <c r="I360" s="36"/>
    </row>
    <row r="361" spans="1:9" x14ac:dyDescent="0.3">
      <c r="A361" s="42"/>
      <c r="B361" s="36"/>
      <c r="C361" s="36"/>
      <c r="D361" s="36"/>
      <c r="E361" s="36"/>
      <c r="F361" s="36"/>
      <c r="G361" s="37"/>
      <c r="H361" s="36"/>
      <c r="I361" s="36"/>
    </row>
    <row r="362" spans="1:9" x14ac:dyDescent="0.3">
      <c r="A362" s="42"/>
      <c r="B362" s="36"/>
      <c r="C362" s="36"/>
      <c r="D362" s="36"/>
      <c r="E362" s="36"/>
      <c r="F362" s="36"/>
      <c r="G362" s="37"/>
      <c r="H362" s="36"/>
      <c r="I362" s="36"/>
    </row>
    <row r="363" spans="1:9" x14ac:dyDescent="0.3">
      <c r="A363" s="42"/>
      <c r="B363" s="36"/>
      <c r="C363" s="36"/>
      <c r="D363" s="36"/>
      <c r="E363" s="36"/>
      <c r="F363" s="36"/>
      <c r="G363" s="37"/>
      <c r="H363" s="36"/>
      <c r="I363" s="36"/>
    </row>
    <row r="364" spans="1:9" x14ac:dyDescent="0.3">
      <c r="A364" s="42"/>
      <c r="B364" s="36"/>
      <c r="C364" s="36"/>
      <c r="D364" s="36"/>
      <c r="E364" s="36"/>
      <c r="F364" s="36"/>
      <c r="G364" s="37"/>
      <c r="H364" s="36"/>
      <c r="I364" s="36"/>
    </row>
    <row r="365" spans="1:9" x14ac:dyDescent="0.3">
      <c r="A365" s="42"/>
      <c r="B365" s="36"/>
      <c r="C365" s="36"/>
      <c r="D365" s="36"/>
      <c r="E365" s="36"/>
      <c r="F365" s="36"/>
      <c r="G365" s="37"/>
      <c r="H365" s="36"/>
      <c r="I365" s="36"/>
    </row>
    <row r="366" spans="1:9" x14ac:dyDescent="0.3">
      <c r="A366" s="42"/>
      <c r="B366" s="36"/>
      <c r="C366" s="36"/>
      <c r="D366" s="36"/>
      <c r="E366" s="36"/>
      <c r="F366" s="36"/>
      <c r="G366" s="37"/>
      <c r="H366" s="36"/>
      <c r="I366" s="36"/>
    </row>
    <row r="367" spans="1:9" x14ac:dyDescent="0.3">
      <c r="A367" s="42"/>
      <c r="B367" s="36"/>
      <c r="C367" s="36"/>
      <c r="D367" s="36"/>
      <c r="E367" s="36"/>
      <c r="F367" s="36"/>
      <c r="G367" s="37"/>
      <c r="H367" s="36"/>
      <c r="I367" s="36"/>
    </row>
    <row r="368" spans="1:9" x14ac:dyDescent="0.3">
      <c r="A368" s="42"/>
      <c r="B368" s="36"/>
      <c r="C368" s="36"/>
      <c r="D368" s="36"/>
      <c r="E368" s="36"/>
      <c r="F368" s="36"/>
      <c r="G368" s="37"/>
      <c r="H368" s="36"/>
      <c r="I368" s="36"/>
    </row>
    <row r="369" spans="1:9" x14ac:dyDescent="0.3">
      <c r="A369" s="42"/>
      <c r="B369" s="36"/>
      <c r="C369" s="36"/>
      <c r="D369" s="36"/>
      <c r="E369" s="36"/>
      <c r="F369" s="36"/>
      <c r="G369" s="37"/>
      <c r="H369" s="36"/>
      <c r="I369" s="36"/>
    </row>
    <row r="370" spans="1:9" x14ac:dyDescent="0.3">
      <c r="A370" s="42"/>
      <c r="B370" s="36"/>
      <c r="C370" s="36"/>
      <c r="D370" s="36"/>
      <c r="E370" s="36"/>
      <c r="F370" s="36"/>
      <c r="G370" s="37"/>
      <c r="H370" s="36"/>
      <c r="I370" s="36"/>
    </row>
    <row r="371" spans="1:9" x14ac:dyDescent="0.3">
      <c r="A371" s="42"/>
      <c r="B371" s="36"/>
      <c r="C371" s="36"/>
      <c r="D371" s="36"/>
      <c r="E371" s="36"/>
      <c r="F371" s="36"/>
      <c r="G371" s="37"/>
      <c r="H371" s="36"/>
      <c r="I371" s="36"/>
    </row>
    <row r="372" spans="1:9" x14ac:dyDescent="0.3">
      <c r="A372" s="42"/>
      <c r="B372" s="36"/>
      <c r="C372" s="36"/>
      <c r="D372" s="36"/>
      <c r="E372" s="36"/>
      <c r="F372" s="36"/>
      <c r="G372" s="37"/>
      <c r="H372" s="36"/>
      <c r="I372" s="36"/>
    </row>
    <row r="373" spans="1:9" x14ac:dyDescent="0.3">
      <c r="A373" s="42"/>
      <c r="B373" s="36"/>
      <c r="C373" s="36"/>
      <c r="D373" s="36"/>
      <c r="E373" s="36"/>
      <c r="F373" s="36"/>
      <c r="G373" s="37"/>
      <c r="H373" s="36"/>
      <c r="I373" s="36"/>
    </row>
    <row r="374" spans="1:9" x14ac:dyDescent="0.3">
      <c r="A374" s="42"/>
      <c r="B374" s="36"/>
      <c r="C374" s="36"/>
      <c r="D374" s="36"/>
      <c r="E374" s="36"/>
      <c r="F374" s="36"/>
      <c r="G374" s="37"/>
      <c r="H374" s="36"/>
      <c r="I374" s="36"/>
    </row>
    <row r="375" spans="1:9" x14ac:dyDescent="0.3">
      <c r="A375" s="42"/>
      <c r="B375" s="36"/>
      <c r="C375" s="36"/>
      <c r="D375" s="36"/>
      <c r="E375" s="36"/>
      <c r="F375" s="36"/>
      <c r="G375" s="37"/>
      <c r="H375" s="36"/>
      <c r="I375" s="36"/>
    </row>
    <row r="376" spans="1:9" x14ac:dyDescent="0.3">
      <c r="A376" s="42"/>
      <c r="B376" s="36"/>
      <c r="C376" s="36"/>
      <c r="D376" s="36"/>
      <c r="E376" s="36"/>
      <c r="F376" s="36"/>
      <c r="G376" s="37"/>
      <c r="H376" s="36"/>
      <c r="I376" s="36"/>
    </row>
    <row r="377" spans="1:9" x14ac:dyDescent="0.3">
      <c r="A377" s="42"/>
      <c r="B377" s="36"/>
      <c r="C377" s="36"/>
      <c r="D377" s="36"/>
      <c r="E377" s="36"/>
      <c r="F377" s="36"/>
      <c r="G377" s="37"/>
      <c r="H377" s="36"/>
      <c r="I377" s="36"/>
    </row>
    <row r="378" spans="1:9" x14ac:dyDescent="0.3">
      <c r="A378" s="42"/>
      <c r="B378" s="36"/>
      <c r="C378" s="36"/>
      <c r="D378" s="36"/>
      <c r="E378" s="36"/>
      <c r="F378" s="36"/>
      <c r="G378" s="37"/>
      <c r="H378" s="36"/>
      <c r="I378" s="36"/>
    </row>
    <row r="379" spans="1:9" x14ac:dyDescent="0.3">
      <c r="A379" s="42"/>
      <c r="B379" s="36"/>
      <c r="C379" s="36"/>
      <c r="D379" s="36"/>
      <c r="E379" s="36"/>
      <c r="F379" s="36"/>
      <c r="G379" s="37"/>
      <c r="H379" s="36"/>
      <c r="I379" s="36"/>
    </row>
    <row r="380" spans="1:9" x14ac:dyDescent="0.3">
      <c r="A380" s="42"/>
      <c r="B380" s="36"/>
      <c r="C380" s="36"/>
      <c r="D380" s="36"/>
      <c r="E380" s="36"/>
      <c r="F380" s="36"/>
      <c r="G380" s="37"/>
      <c r="H380" s="36"/>
      <c r="I380" s="36"/>
    </row>
    <row r="381" spans="1:9" x14ac:dyDescent="0.3">
      <c r="A381" s="42"/>
      <c r="B381" s="36"/>
      <c r="C381" s="36"/>
      <c r="D381" s="36"/>
      <c r="E381" s="36"/>
      <c r="F381" s="36"/>
      <c r="G381" s="37"/>
      <c r="H381" s="36"/>
      <c r="I381" s="36"/>
    </row>
    <row r="382" spans="1:9" x14ac:dyDescent="0.3">
      <c r="A382" s="42"/>
      <c r="B382" s="36"/>
      <c r="C382" s="36"/>
      <c r="D382" s="36"/>
      <c r="E382" s="36"/>
      <c r="F382" s="36"/>
      <c r="G382" s="37"/>
      <c r="H382" s="36"/>
      <c r="I382" s="36"/>
    </row>
    <row r="383" spans="1:9" x14ac:dyDescent="0.3">
      <c r="A383" s="42"/>
      <c r="B383" s="36"/>
      <c r="C383" s="36"/>
      <c r="D383" s="36"/>
      <c r="E383" s="36"/>
      <c r="F383" s="36"/>
      <c r="G383" s="37"/>
      <c r="H383" s="36"/>
      <c r="I383" s="36"/>
    </row>
    <row r="384" spans="1:9" x14ac:dyDescent="0.3">
      <c r="A384" s="42"/>
      <c r="B384" s="36"/>
      <c r="C384" s="36"/>
      <c r="D384" s="36"/>
      <c r="E384" s="36"/>
      <c r="F384" s="36"/>
      <c r="G384" s="37"/>
      <c r="H384" s="36"/>
      <c r="I384" s="36"/>
    </row>
    <row r="385" spans="1:9" x14ac:dyDescent="0.3">
      <c r="A385" s="42"/>
      <c r="B385" s="36"/>
      <c r="C385" s="36"/>
      <c r="D385" s="36"/>
      <c r="E385" s="36"/>
      <c r="F385" s="36"/>
      <c r="G385" s="37"/>
      <c r="H385" s="36"/>
      <c r="I385" s="36"/>
    </row>
    <row r="386" spans="1:9" x14ac:dyDescent="0.3">
      <c r="A386" s="42"/>
      <c r="B386" s="36"/>
      <c r="C386" s="36"/>
      <c r="D386" s="36"/>
      <c r="E386" s="36"/>
      <c r="F386" s="36"/>
      <c r="G386" s="37"/>
      <c r="H386" s="36"/>
      <c r="I386" s="36"/>
    </row>
    <row r="387" spans="1:9" x14ac:dyDescent="0.3">
      <c r="A387" s="42"/>
      <c r="B387" s="36"/>
      <c r="C387" s="36"/>
      <c r="D387" s="36"/>
      <c r="E387" s="36"/>
      <c r="F387" s="36"/>
      <c r="G387" s="37"/>
      <c r="H387" s="36"/>
      <c r="I387" s="36"/>
    </row>
    <row r="388" spans="1:9" x14ac:dyDescent="0.3">
      <c r="A388" s="42"/>
      <c r="B388" s="36"/>
      <c r="C388" s="36"/>
      <c r="D388" s="36"/>
      <c r="E388" s="36"/>
      <c r="F388" s="36"/>
      <c r="G388" s="37"/>
      <c r="H388" s="36"/>
      <c r="I388" s="36"/>
    </row>
    <row r="389" spans="1:9" x14ac:dyDescent="0.3">
      <c r="A389" s="42"/>
      <c r="B389" s="36"/>
      <c r="C389" s="36"/>
      <c r="D389" s="36"/>
      <c r="E389" s="36"/>
      <c r="F389" s="36"/>
      <c r="G389" s="37"/>
      <c r="H389" s="36"/>
      <c r="I389" s="36"/>
    </row>
    <row r="390" spans="1:9" x14ac:dyDescent="0.3">
      <c r="A390" s="42"/>
      <c r="B390" s="36"/>
      <c r="C390" s="36"/>
      <c r="D390" s="36"/>
      <c r="E390" s="36"/>
      <c r="F390" s="36"/>
      <c r="G390" s="37"/>
      <c r="H390" s="36"/>
      <c r="I390" s="36"/>
    </row>
    <row r="391" spans="1:9" x14ac:dyDescent="0.3">
      <c r="A391" s="42"/>
      <c r="B391" s="36"/>
      <c r="C391" s="36"/>
      <c r="D391" s="36"/>
      <c r="E391" s="36"/>
      <c r="F391" s="36"/>
      <c r="G391" s="37"/>
      <c r="H391" s="36"/>
      <c r="I391" s="36"/>
    </row>
    <row r="392" spans="1:9" x14ac:dyDescent="0.3">
      <c r="A392" s="42"/>
      <c r="B392" s="36"/>
      <c r="C392" s="36"/>
      <c r="D392" s="36"/>
      <c r="E392" s="36"/>
      <c r="F392" s="36"/>
      <c r="G392" s="37"/>
      <c r="H392" s="36"/>
      <c r="I392" s="36"/>
    </row>
    <row r="393" spans="1:9" x14ac:dyDescent="0.3">
      <c r="A393" s="42"/>
      <c r="B393" s="36"/>
      <c r="C393" s="36"/>
      <c r="D393" s="36"/>
      <c r="E393" s="36"/>
      <c r="F393" s="36"/>
      <c r="G393" s="37"/>
      <c r="H393" s="36"/>
      <c r="I393" s="36"/>
    </row>
    <row r="394" spans="1:9" x14ac:dyDescent="0.3">
      <c r="A394" s="42"/>
      <c r="B394" s="36"/>
      <c r="C394" s="36"/>
      <c r="D394" s="36"/>
      <c r="E394" s="36"/>
      <c r="F394" s="36"/>
      <c r="G394" s="37"/>
      <c r="H394" s="36"/>
      <c r="I394" s="36"/>
    </row>
    <row r="395" spans="1:9" x14ac:dyDescent="0.3">
      <c r="A395" s="42"/>
      <c r="B395" s="36"/>
      <c r="C395" s="36"/>
      <c r="D395" s="36"/>
      <c r="E395" s="36"/>
      <c r="F395" s="36"/>
      <c r="G395" s="37"/>
      <c r="H395" s="36"/>
      <c r="I395" s="36"/>
    </row>
    <row r="396" spans="1:9" x14ac:dyDescent="0.3">
      <c r="A396" s="42"/>
      <c r="B396" s="36"/>
      <c r="C396" s="36"/>
      <c r="D396" s="36"/>
      <c r="E396" s="36"/>
      <c r="F396" s="36"/>
      <c r="G396" s="37"/>
      <c r="H396" s="36"/>
      <c r="I396" s="36"/>
    </row>
    <row r="397" spans="1:9" x14ac:dyDescent="0.3">
      <c r="A397" s="42"/>
      <c r="B397" s="36"/>
      <c r="C397" s="36"/>
      <c r="D397" s="36"/>
      <c r="E397" s="36"/>
      <c r="F397" s="36"/>
      <c r="G397" s="37"/>
      <c r="H397" s="36"/>
      <c r="I397" s="36"/>
    </row>
    <row r="398" spans="1:9" x14ac:dyDescent="0.3">
      <c r="A398" s="42"/>
      <c r="B398" s="36"/>
      <c r="C398" s="36"/>
      <c r="D398" s="36"/>
      <c r="E398" s="36"/>
      <c r="F398" s="36"/>
      <c r="G398" s="37"/>
      <c r="H398" s="36"/>
      <c r="I398" s="36"/>
    </row>
    <row r="399" spans="1:9" x14ac:dyDescent="0.3">
      <c r="A399" s="42"/>
      <c r="B399" s="36"/>
      <c r="C399" s="36"/>
      <c r="D399" s="36"/>
      <c r="E399" s="36"/>
      <c r="F399" s="36"/>
      <c r="G399" s="37"/>
      <c r="H399" s="36"/>
      <c r="I399" s="36"/>
    </row>
    <row r="400" spans="1:9" x14ac:dyDescent="0.3">
      <c r="A400" s="42"/>
      <c r="B400" s="36"/>
      <c r="C400" s="36"/>
      <c r="D400" s="36"/>
      <c r="E400" s="36"/>
      <c r="F400" s="36"/>
      <c r="G400" s="37"/>
      <c r="H400" s="36"/>
      <c r="I400" s="36"/>
    </row>
    <row r="401" spans="1:9" x14ac:dyDescent="0.3">
      <c r="A401" s="42"/>
      <c r="B401" s="36"/>
      <c r="C401" s="36"/>
      <c r="D401" s="36"/>
      <c r="E401" s="36"/>
      <c r="F401" s="36"/>
      <c r="G401" s="37"/>
      <c r="H401" s="36"/>
      <c r="I401" s="36"/>
    </row>
    <row r="402" spans="1:9" x14ac:dyDescent="0.3">
      <c r="A402" s="42"/>
      <c r="B402" s="36"/>
      <c r="C402" s="36"/>
      <c r="D402" s="36"/>
      <c r="E402" s="36"/>
      <c r="F402" s="36"/>
      <c r="G402" s="37"/>
      <c r="H402" s="36"/>
      <c r="I402" s="36"/>
    </row>
    <row r="403" spans="1:9" x14ac:dyDescent="0.3">
      <c r="A403" s="42"/>
      <c r="B403" s="36"/>
      <c r="C403" s="36"/>
      <c r="D403" s="36"/>
      <c r="E403" s="36"/>
      <c r="F403" s="36"/>
      <c r="G403" s="37"/>
      <c r="H403" s="36"/>
      <c r="I403" s="36"/>
    </row>
    <row r="404" spans="1:9" x14ac:dyDescent="0.3">
      <c r="A404" s="42"/>
      <c r="B404" s="36"/>
      <c r="C404" s="36"/>
      <c r="D404" s="36"/>
      <c r="E404" s="36"/>
      <c r="F404" s="36"/>
      <c r="G404" s="37"/>
      <c r="H404" s="36"/>
      <c r="I404" s="36"/>
    </row>
    <row r="405" spans="1:9" x14ac:dyDescent="0.3">
      <c r="A405" s="42"/>
      <c r="B405" s="36"/>
      <c r="C405" s="36"/>
      <c r="D405" s="36"/>
      <c r="E405" s="36"/>
      <c r="F405" s="36"/>
      <c r="G405" s="37"/>
      <c r="H405" s="36"/>
      <c r="I405" s="36"/>
    </row>
    <row r="406" spans="1:9" x14ac:dyDescent="0.3">
      <c r="A406" s="42"/>
      <c r="B406" s="36"/>
      <c r="C406" s="36"/>
      <c r="D406" s="36"/>
      <c r="E406" s="36"/>
      <c r="F406" s="36"/>
      <c r="G406" s="37"/>
      <c r="H406" s="36"/>
      <c r="I406" s="36"/>
    </row>
    <row r="407" spans="1:9" x14ac:dyDescent="0.3">
      <c r="A407" s="42"/>
      <c r="B407" s="36"/>
      <c r="C407" s="36"/>
      <c r="D407" s="36"/>
      <c r="E407" s="36"/>
      <c r="F407" s="36"/>
      <c r="G407" s="37"/>
      <c r="H407" s="36"/>
      <c r="I407" s="36"/>
    </row>
    <row r="408" spans="1:9" x14ac:dyDescent="0.3">
      <c r="A408" s="42"/>
      <c r="B408" s="36"/>
      <c r="C408" s="36"/>
      <c r="D408" s="36"/>
      <c r="E408" s="36"/>
      <c r="F408" s="36"/>
      <c r="G408" s="37"/>
      <c r="H408" s="36"/>
      <c r="I408" s="36"/>
    </row>
    <row r="409" spans="1:9" x14ac:dyDescent="0.3">
      <c r="A409" s="42"/>
      <c r="B409" s="36"/>
      <c r="C409" s="36"/>
      <c r="D409" s="36"/>
      <c r="E409" s="36"/>
      <c r="F409" s="36"/>
      <c r="G409" s="37"/>
      <c r="H409" s="36"/>
      <c r="I409" s="36"/>
    </row>
    <row r="410" spans="1:9" x14ac:dyDescent="0.3">
      <c r="A410" s="42"/>
      <c r="B410" s="36"/>
      <c r="C410" s="36"/>
      <c r="D410" s="36"/>
      <c r="E410" s="36"/>
      <c r="F410" s="36"/>
      <c r="G410" s="37"/>
      <c r="H410" s="36"/>
      <c r="I410" s="36"/>
    </row>
    <row r="411" spans="1:9" x14ac:dyDescent="0.3">
      <c r="A411" s="42"/>
      <c r="B411" s="36"/>
      <c r="C411" s="36"/>
      <c r="D411" s="36"/>
      <c r="E411" s="36"/>
      <c r="F411" s="36"/>
      <c r="G411" s="37"/>
      <c r="H411" s="36"/>
      <c r="I411" s="36"/>
    </row>
    <row r="412" spans="1:9" x14ac:dyDescent="0.3">
      <c r="A412" s="42"/>
      <c r="B412" s="36"/>
      <c r="C412" s="36"/>
      <c r="D412" s="36"/>
      <c r="E412" s="36"/>
      <c r="F412" s="36"/>
      <c r="G412" s="37"/>
      <c r="H412" s="36"/>
      <c r="I412" s="36"/>
    </row>
    <row r="413" spans="1:9" x14ac:dyDescent="0.3">
      <c r="A413" s="42"/>
      <c r="B413" s="36"/>
      <c r="C413" s="36"/>
      <c r="D413" s="36"/>
      <c r="E413" s="36"/>
      <c r="F413" s="36"/>
      <c r="G413" s="37"/>
      <c r="H413" s="36"/>
      <c r="I413" s="36"/>
    </row>
    <row r="414" spans="1:9" x14ac:dyDescent="0.3">
      <c r="A414" s="42"/>
      <c r="B414" s="36"/>
      <c r="C414" s="36"/>
      <c r="D414" s="36"/>
      <c r="E414" s="36"/>
      <c r="F414" s="36"/>
      <c r="G414" s="37"/>
      <c r="H414" s="36"/>
      <c r="I414" s="36"/>
    </row>
    <row r="415" spans="1:9" x14ac:dyDescent="0.3">
      <c r="A415" s="42"/>
      <c r="B415" s="36"/>
      <c r="C415" s="36"/>
      <c r="D415" s="36"/>
      <c r="E415" s="36"/>
      <c r="F415" s="36"/>
      <c r="G415" s="37"/>
      <c r="H415" s="36"/>
      <c r="I415" s="36"/>
    </row>
    <row r="416" spans="1:9" x14ac:dyDescent="0.3">
      <c r="A416" s="42"/>
      <c r="B416" s="36"/>
      <c r="C416" s="36"/>
      <c r="D416" s="36"/>
      <c r="E416" s="36"/>
      <c r="F416" s="36"/>
      <c r="G416" s="37"/>
      <c r="H416" s="36"/>
      <c r="I416" s="36"/>
    </row>
    <row r="417" spans="1:9" x14ac:dyDescent="0.3">
      <c r="A417" s="42"/>
      <c r="B417" s="36"/>
      <c r="C417" s="36"/>
      <c r="D417" s="36"/>
      <c r="E417" s="36"/>
      <c r="F417" s="36"/>
      <c r="G417" s="37"/>
      <c r="H417" s="36"/>
      <c r="I417" s="36"/>
    </row>
    <row r="418" spans="1:9" x14ac:dyDescent="0.3">
      <c r="A418" s="42"/>
      <c r="B418" s="36"/>
      <c r="C418" s="36"/>
      <c r="D418" s="36"/>
      <c r="E418" s="36"/>
      <c r="F418" s="36"/>
      <c r="G418" s="37"/>
      <c r="H418" s="36"/>
      <c r="I418" s="36"/>
    </row>
    <row r="419" spans="1:9" x14ac:dyDescent="0.3">
      <c r="A419" s="42"/>
      <c r="B419" s="36"/>
      <c r="C419" s="36"/>
      <c r="D419" s="36"/>
      <c r="E419" s="36"/>
      <c r="F419" s="36"/>
      <c r="G419" s="37"/>
      <c r="H419" s="36"/>
      <c r="I419" s="36"/>
    </row>
    <row r="420" spans="1:9" x14ac:dyDescent="0.3">
      <c r="A420" s="42"/>
      <c r="B420" s="36"/>
      <c r="C420" s="36"/>
      <c r="D420" s="36"/>
      <c r="E420" s="36"/>
      <c r="F420" s="36"/>
      <c r="G420" s="37"/>
      <c r="H420" s="36"/>
      <c r="I420" s="36"/>
    </row>
    <row r="421" spans="1:9" x14ac:dyDescent="0.3">
      <c r="A421" s="42"/>
      <c r="B421" s="36"/>
      <c r="C421" s="36"/>
      <c r="D421" s="36"/>
      <c r="E421" s="36"/>
      <c r="F421" s="36"/>
      <c r="G421" s="37"/>
      <c r="H421" s="36"/>
      <c r="I421" s="36"/>
    </row>
    <row r="422" spans="1:9" x14ac:dyDescent="0.3">
      <c r="A422" s="42"/>
      <c r="B422" s="36"/>
      <c r="C422" s="36"/>
      <c r="D422" s="36"/>
      <c r="E422" s="36"/>
      <c r="F422" s="36"/>
      <c r="G422" s="37"/>
      <c r="H422" s="36"/>
      <c r="I422" s="36"/>
    </row>
    <row r="423" spans="1:9" x14ac:dyDescent="0.3">
      <c r="A423" s="42"/>
      <c r="B423" s="36"/>
      <c r="C423" s="36"/>
      <c r="D423" s="36"/>
      <c r="E423" s="36"/>
      <c r="F423" s="36"/>
      <c r="G423" s="37"/>
      <c r="H423" s="36"/>
      <c r="I423" s="36"/>
    </row>
    <row r="424" spans="1:9" x14ac:dyDescent="0.3">
      <c r="A424" s="42"/>
      <c r="B424" s="36"/>
      <c r="C424" s="36"/>
      <c r="D424" s="36"/>
      <c r="E424" s="36"/>
      <c r="F424" s="36"/>
      <c r="G424" s="37"/>
      <c r="H424" s="36"/>
      <c r="I424" s="36"/>
    </row>
    <row r="425" spans="1:9" x14ac:dyDescent="0.3">
      <c r="A425" s="42"/>
      <c r="B425" s="36"/>
      <c r="C425" s="36"/>
      <c r="D425" s="36"/>
      <c r="E425" s="36"/>
      <c r="F425" s="36"/>
      <c r="G425" s="37"/>
      <c r="H425" s="36"/>
      <c r="I425" s="36"/>
    </row>
    <row r="426" spans="1:9" x14ac:dyDescent="0.3">
      <c r="A426" s="42"/>
      <c r="B426" s="36"/>
      <c r="C426" s="36"/>
      <c r="D426" s="36"/>
      <c r="E426" s="36"/>
      <c r="F426" s="36"/>
      <c r="G426" s="37"/>
      <c r="H426" s="36"/>
      <c r="I426" s="36"/>
    </row>
    <row r="427" spans="1:9" x14ac:dyDescent="0.3">
      <c r="A427" s="42"/>
      <c r="B427" s="36"/>
      <c r="C427" s="36"/>
      <c r="D427" s="36"/>
      <c r="E427" s="36"/>
      <c r="F427" s="36"/>
      <c r="G427" s="37"/>
      <c r="H427" s="36"/>
      <c r="I427" s="36"/>
    </row>
    <row r="428" spans="1:9" x14ac:dyDescent="0.3">
      <c r="A428" s="42"/>
      <c r="B428" s="36"/>
      <c r="C428" s="36"/>
      <c r="D428" s="36"/>
      <c r="E428" s="36"/>
      <c r="F428" s="36"/>
      <c r="G428" s="37"/>
      <c r="H428" s="36"/>
      <c r="I428" s="36"/>
    </row>
    <row r="429" spans="1:9" x14ac:dyDescent="0.3">
      <c r="A429" s="42"/>
      <c r="B429" s="36"/>
      <c r="C429" s="36"/>
      <c r="D429" s="36"/>
      <c r="E429" s="36"/>
      <c r="F429" s="36"/>
      <c r="G429" s="37"/>
      <c r="H429" s="36"/>
      <c r="I429" s="36"/>
    </row>
    <row r="430" spans="1:9" x14ac:dyDescent="0.3">
      <c r="A430" s="42"/>
      <c r="B430" s="36"/>
      <c r="C430" s="36"/>
      <c r="D430" s="36"/>
      <c r="E430" s="36"/>
      <c r="F430" s="36"/>
      <c r="G430" s="37"/>
      <c r="H430" s="36"/>
      <c r="I430" s="36"/>
    </row>
    <row r="431" spans="1:9" x14ac:dyDescent="0.3">
      <c r="A431" s="42"/>
      <c r="B431" s="36"/>
      <c r="C431" s="36"/>
      <c r="D431" s="36"/>
      <c r="E431" s="36"/>
      <c r="F431" s="36"/>
      <c r="G431" s="37"/>
      <c r="H431" s="36"/>
      <c r="I431" s="36"/>
    </row>
    <row r="432" spans="1:9" x14ac:dyDescent="0.3">
      <c r="A432" s="42"/>
      <c r="B432" s="36"/>
      <c r="C432" s="36"/>
      <c r="D432" s="36"/>
      <c r="E432" s="36"/>
      <c r="F432" s="36"/>
      <c r="G432" s="37"/>
      <c r="H432" s="36"/>
      <c r="I432" s="36"/>
    </row>
    <row r="433" spans="1:9" x14ac:dyDescent="0.3">
      <c r="A433" s="42"/>
      <c r="B433" s="36"/>
      <c r="C433" s="36"/>
      <c r="D433" s="36"/>
      <c r="E433" s="36"/>
      <c r="F433" s="36"/>
      <c r="G433" s="37"/>
      <c r="H433" s="36"/>
      <c r="I433" s="36"/>
    </row>
    <row r="434" spans="1:9" x14ac:dyDescent="0.3">
      <c r="A434" s="42"/>
      <c r="B434" s="36"/>
      <c r="C434" s="36"/>
      <c r="D434" s="36"/>
      <c r="E434" s="36"/>
      <c r="F434" s="36"/>
      <c r="G434" s="37"/>
      <c r="H434" s="36"/>
      <c r="I434" s="36"/>
    </row>
    <row r="435" spans="1:9" x14ac:dyDescent="0.3">
      <c r="A435" s="42"/>
      <c r="B435" s="36"/>
      <c r="C435" s="36"/>
      <c r="D435" s="36"/>
      <c r="E435" s="36"/>
      <c r="F435" s="36"/>
      <c r="G435" s="37"/>
      <c r="H435" s="36"/>
      <c r="I435" s="36"/>
    </row>
    <row r="436" spans="1:9" x14ac:dyDescent="0.3">
      <c r="A436" s="42"/>
      <c r="B436" s="36"/>
      <c r="C436" s="36"/>
      <c r="D436" s="36"/>
      <c r="E436" s="36"/>
      <c r="F436" s="36"/>
      <c r="G436" s="37"/>
      <c r="H436" s="36"/>
      <c r="I436" s="36"/>
    </row>
    <row r="437" spans="1:9" x14ac:dyDescent="0.3">
      <c r="A437" s="42"/>
      <c r="B437" s="36"/>
      <c r="C437" s="36"/>
      <c r="D437" s="36"/>
      <c r="E437" s="36"/>
      <c r="F437" s="36"/>
      <c r="G437" s="37"/>
      <c r="H437" s="36"/>
      <c r="I437" s="36"/>
    </row>
    <row r="438" spans="1:9" x14ac:dyDescent="0.3">
      <c r="A438" s="42"/>
      <c r="B438" s="36"/>
      <c r="C438" s="36"/>
      <c r="D438" s="36"/>
      <c r="E438" s="36"/>
      <c r="F438" s="36"/>
      <c r="G438" s="37"/>
      <c r="H438" s="36"/>
      <c r="I438" s="36"/>
    </row>
    <row r="439" spans="1:9" x14ac:dyDescent="0.3">
      <c r="A439" s="42"/>
      <c r="B439" s="36"/>
      <c r="C439" s="36"/>
      <c r="D439" s="36"/>
      <c r="E439" s="36"/>
      <c r="F439" s="36"/>
      <c r="G439" s="37"/>
      <c r="H439" s="36"/>
      <c r="I439" s="36"/>
    </row>
    <row r="440" spans="1:9" x14ac:dyDescent="0.3">
      <c r="A440" s="42"/>
      <c r="B440" s="36"/>
      <c r="C440" s="36"/>
      <c r="D440" s="36"/>
      <c r="E440" s="36"/>
      <c r="F440" s="36"/>
      <c r="G440" s="37"/>
      <c r="H440" s="36"/>
      <c r="I440" s="36"/>
    </row>
    <row r="441" spans="1:9" x14ac:dyDescent="0.3">
      <c r="A441" s="42"/>
      <c r="B441" s="36"/>
      <c r="C441" s="36"/>
      <c r="D441" s="36"/>
      <c r="E441" s="36"/>
      <c r="F441" s="36"/>
      <c r="G441" s="37"/>
      <c r="H441" s="36"/>
      <c r="I441" s="36"/>
    </row>
    <row r="442" spans="1:9" x14ac:dyDescent="0.3">
      <c r="A442" s="42"/>
      <c r="B442" s="36"/>
      <c r="C442" s="36"/>
      <c r="D442" s="36"/>
      <c r="E442" s="36"/>
      <c r="F442" s="36"/>
      <c r="G442" s="37"/>
      <c r="H442" s="36"/>
      <c r="I442" s="36"/>
    </row>
    <row r="443" spans="1:9" x14ac:dyDescent="0.3">
      <c r="A443" s="42"/>
      <c r="B443" s="36"/>
      <c r="C443" s="36"/>
      <c r="D443" s="36"/>
      <c r="E443" s="36"/>
      <c r="F443" s="36"/>
      <c r="G443" s="37"/>
      <c r="H443" s="36"/>
      <c r="I443" s="36"/>
    </row>
    <row r="444" spans="1:9" x14ac:dyDescent="0.3">
      <c r="A444" s="42"/>
      <c r="B444" s="36"/>
      <c r="C444" s="36"/>
      <c r="D444" s="36"/>
      <c r="E444" s="36"/>
      <c r="F444" s="36"/>
      <c r="G444" s="37"/>
      <c r="H444" s="36"/>
      <c r="I444" s="36"/>
    </row>
    <row r="445" spans="1:9" x14ac:dyDescent="0.3">
      <c r="A445" s="42"/>
      <c r="B445" s="36"/>
      <c r="C445" s="36"/>
      <c r="D445" s="36"/>
      <c r="E445" s="36"/>
      <c r="F445" s="36"/>
      <c r="G445" s="37"/>
      <c r="H445" s="36"/>
      <c r="I445" s="36"/>
    </row>
    <row r="446" spans="1:9" x14ac:dyDescent="0.3">
      <c r="A446" s="42"/>
      <c r="B446" s="36"/>
      <c r="C446" s="36"/>
      <c r="D446" s="36"/>
      <c r="E446" s="36"/>
      <c r="F446" s="36"/>
      <c r="G446" s="37"/>
      <c r="H446" s="36"/>
      <c r="I446" s="36"/>
    </row>
    <row r="447" spans="1:9" x14ac:dyDescent="0.3">
      <c r="A447" s="42"/>
      <c r="B447" s="36"/>
      <c r="C447" s="36"/>
      <c r="D447" s="36"/>
      <c r="E447" s="36"/>
      <c r="F447" s="36"/>
      <c r="G447" s="37"/>
      <c r="H447" s="36"/>
      <c r="I447" s="36"/>
    </row>
    <row r="448" spans="1:9" x14ac:dyDescent="0.3">
      <c r="A448" s="42"/>
      <c r="B448" s="36"/>
      <c r="C448" s="36"/>
      <c r="D448" s="36"/>
      <c r="E448" s="36"/>
      <c r="F448" s="36"/>
      <c r="G448" s="37"/>
      <c r="H448" s="36"/>
      <c r="I448" s="36"/>
    </row>
    <row r="449" spans="1:9" x14ac:dyDescent="0.3">
      <c r="A449" s="42"/>
      <c r="B449" s="36"/>
      <c r="C449" s="36"/>
      <c r="D449" s="36"/>
      <c r="E449" s="36"/>
      <c r="F449" s="36"/>
      <c r="G449" s="37"/>
      <c r="H449" s="36"/>
      <c r="I449" s="36"/>
    </row>
    <row r="450" spans="1:9" x14ac:dyDescent="0.3">
      <c r="A450" s="42"/>
      <c r="B450" s="36"/>
      <c r="C450" s="36"/>
      <c r="D450" s="36"/>
      <c r="E450" s="36"/>
      <c r="F450" s="36"/>
      <c r="G450" s="37"/>
      <c r="H450" s="36"/>
      <c r="I450" s="36"/>
    </row>
    <row r="451" spans="1:9" x14ac:dyDescent="0.3">
      <c r="A451" s="42"/>
      <c r="B451" s="36"/>
      <c r="C451" s="36"/>
      <c r="D451" s="36"/>
      <c r="E451" s="36"/>
      <c r="F451" s="36"/>
      <c r="G451" s="37"/>
      <c r="H451" s="36"/>
      <c r="I451" s="36"/>
    </row>
    <row r="452" spans="1:9" x14ac:dyDescent="0.3">
      <c r="A452" s="42"/>
      <c r="B452" s="36"/>
      <c r="C452" s="36"/>
      <c r="D452" s="36"/>
      <c r="E452" s="36"/>
      <c r="F452" s="36"/>
      <c r="G452" s="37"/>
      <c r="H452" s="36"/>
      <c r="I452" s="36"/>
    </row>
    <row r="453" spans="1:9" x14ac:dyDescent="0.3">
      <c r="A453" s="42"/>
      <c r="B453" s="36"/>
      <c r="C453" s="36"/>
      <c r="D453" s="36"/>
      <c r="E453" s="36"/>
      <c r="F453" s="36"/>
      <c r="G453" s="37"/>
      <c r="H453" s="36"/>
      <c r="I453" s="36"/>
    </row>
    <row r="454" spans="1:9" x14ac:dyDescent="0.3">
      <c r="A454" s="42"/>
      <c r="B454" s="36"/>
      <c r="C454" s="36"/>
      <c r="D454" s="36"/>
      <c r="E454" s="36"/>
      <c r="F454" s="36"/>
      <c r="G454" s="37"/>
      <c r="H454" s="36"/>
      <c r="I454" s="36"/>
    </row>
    <row r="455" spans="1:9" x14ac:dyDescent="0.3">
      <c r="A455" s="42"/>
      <c r="B455" s="36"/>
      <c r="C455" s="36"/>
      <c r="D455" s="36"/>
      <c r="E455" s="36"/>
      <c r="F455" s="36"/>
      <c r="G455" s="37"/>
      <c r="H455" s="36"/>
      <c r="I455" s="36"/>
    </row>
    <row r="456" spans="1:9" x14ac:dyDescent="0.3">
      <c r="A456" s="42"/>
      <c r="B456" s="36"/>
      <c r="C456" s="36"/>
      <c r="D456" s="36"/>
      <c r="E456" s="36"/>
      <c r="F456" s="36"/>
      <c r="G456" s="37"/>
      <c r="H456" s="36"/>
      <c r="I456" s="36"/>
    </row>
    <row r="457" spans="1:9" x14ac:dyDescent="0.3">
      <c r="A457" s="42"/>
      <c r="B457" s="36"/>
      <c r="C457" s="36"/>
      <c r="D457" s="36"/>
      <c r="E457" s="36"/>
      <c r="F457" s="36"/>
      <c r="G457" s="37"/>
      <c r="H457" s="36"/>
      <c r="I457" s="36"/>
    </row>
    <row r="458" spans="1:9" x14ac:dyDescent="0.3">
      <c r="A458" s="42"/>
      <c r="B458" s="36"/>
      <c r="C458" s="36"/>
      <c r="D458" s="36"/>
      <c r="E458" s="36"/>
      <c r="F458" s="36"/>
      <c r="G458" s="37"/>
      <c r="H458" s="36"/>
      <c r="I458" s="36"/>
    </row>
    <row r="459" spans="1:9" x14ac:dyDescent="0.3">
      <c r="A459" s="42"/>
      <c r="B459" s="36"/>
      <c r="C459" s="36"/>
      <c r="D459" s="36"/>
      <c r="E459" s="36"/>
      <c r="F459" s="36"/>
      <c r="G459" s="37"/>
      <c r="H459" s="36"/>
      <c r="I459" s="36"/>
    </row>
    <row r="460" spans="1:9" x14ac:dyDescent="0.3">
      <c r="A460" s="42"/>
      <c r="B460" s="36"/>
      <c r="C460" s="36"/>
      <c r="D460" s="36"/>
      <c r="E460" s="36"/>
      <c r="F460" s="36"/>
      <c r="G460" s="37"/>
      <c r="H460" s="36"/>
      <c r="I460" s="36"/>
    </row>
    <row r="461" spans="1:9" x14ac:dyDescent="0.3">
      <c r="A461" s="42"/>
      <c r="B461" s="36"/>
      <c r="C461" s="36"/>
      <c r="D461" s="36"/>
      <c r="E461" s="36"/>
      <c r="F461" s="36"/>
      <c r="G461" s="37"/>
      <c r="H461" s="36"/>
      <c r="I461" s="36"/>
    </row>
    <row r="462" spans="1:9" x14ac:dyDescent="0.3">
      <c r="A462" s="42"/>
      <c r="B462" s="36"/>
      <c r="C462" s="36"/>
      <c r="D462" s="36"/>
      <c r="E462" s="36"/>
      <c r="F462" s="36"/>
      <c r="G462" s="37"/>
      <c r="H462" s="36"/>
      <c r="I462" s="36"/>
    </row>
    <row r="463" spans="1:9" x14ac:dyDescent="0.3">
      <c r="A463" s="42"/>
      <c r="B463" s="36"/>
      <c r="C463" s="36"/>
      <c r="D463" s="36"/>
      <c r="E463" s="36"/>
      <c r="F463" s="36"/>
      <c r="G463" s="37"/>
      <c r="H463" s="36"/>
      <c r="I463" s="36"/>
    </row>
    <row r="464" spans="1:9" x14ac:dyDescent="0.3">
      <c r="A464" s="42"/>
      <c r="B464" s="36"/>
      <c r="C464" s="36"/>
      <c r="D464" s="36"/>
      <c r="E464" s="36"/>
      <c r="F464" s="36"/>
      <c r="G464" s="37"/>
      <c r="H464" s="36"/>
      <c r="I464" s="36"/>
    </row>
    <row r="465" spans="1:9" x14ac:dyDescent="0.3">
      <c r="A465" s="42"/>
      <c r="B465" s="36"/>
      <c r="C465" s="36"/>
      <c r="D465" s="36"/>
      <c r="E465" s="36"/>
      <c r="F465" s="36"/>
      <c r="G465" s="37"/>
      <c r="H465" s="36"/>
      <c r="I465" s="36"/>
    </row>
    <row r="466" spans="1:9" x14ac:dyDescent="0.3">
      <c r="A466" s="42"/>
      <c r="B466" s="36"/>
      <c r="C466" s="36"/>
      <c r="D466" s="36"/>
      <c r="E466" s="36"/>
      <c r="F466" s="36"/>
      <c r="G466" s="37"/>
      <c r="H466" s="36"/>
      <c r="I466" s="36"/>
    </row>
    <row r="467" spans="1:9" x14ac:dyDescent="0.3">
      <c r="A467" s="42"/>
      <c r="B467" s="36"/>
      <c r="C467" s="36"/>
      <c r="D467" s="36"/>
      <c r="E467" s="36"/>
      <c r="F467" s="36"/>
      <c r="G467" s="37"/>
      <c r="H467" s="36"/>
      <c r="I467" s="36"/>
    </row>
    <row r="468" spans="1:9" x14ac:dyDescent="0.3">
      <c r="A468" s="42"/>
      <c r="B468" s="36"/>
      <c r="C468" s="36"/>
      <c r="D468" s="36"/>
      <c r="E468" s="36"/>
      <c r="F468" s="36"/>
      <c r="G468" s="37"/>
      <c r="H468" s="36"/>
      <c r="I468" s="36"/>
    </row>
    <row r="469" spans="1:9" x14ac:dyDescent="0.3">
      <c r="A469" s="42"/>
      <c r="B469" s="36"/>
      <c r="C469" s="36"/>
      <c r="D469" s="36"/>
      <c r="E469" s="36"/>
      <c r="F469" s="36"/>
      <c r="G469" s="37"/>
      <c r="H469" s="36"/>
      <c r="I469" s="36"/>
    </row>
    <row r="470" spans="1:9" x14ac:dyDescent="0.3">
      <c r="A470" s="42"/>
      <c r="B470" s="36"/>
      <c r="C470" s="36"/>
      <c r="D470" s="36"/>
      <c r="E470" s="36"/>
      <c r="F470" s="36"/>
      <c r="G470" s="37"/>
      <c r="H470" s="36"/>
      <c r="I470" s="36"/>
    </row>
    <row r="471" spans="1:9" x14ac:dyDescent="0.3">
      <c r="A471" s="42"/>
      <c r="B471" s="36"/>
      <c r="C471" s="36"/>
      <c r="D471" s="36"/>
      <c r="E471" s="36"/>
      <c r="F471" s="36"/>
      <c r="G471" s="37"/>
      <c r="H471" s="36"/>
      <c r="I471" s="36"/>
    </row>
    <row r="472" spans="1:9" x14ac:dyDescent="0.3">
      <c r="A472" s="42"/>
      <c r="B472" s="36"/>
      <c r="C472" s="36"/>
      <c r="D472" s="36"/>
      <c r="E472" s="36"/>
      <c r="F472" s="36"/>
      <c r="G472" s="37"/>
      <c r="H472" s="36"/>
      <c r="I472" s="36"/>
    </row>
    <row r="473" spans="1:9" x14ac:dyDescent="0.3">
      <c r="A473" s="42"/>
      <c r="B473" s="36"/>
      <c r="C473" s="36"/>
      <c r="D473" s="36"/>
      <c r="E473" s="36"/>
      <c r="F473" s="36"/>
      <c r="G473" s="37"/>
      <c r="H473" s="36"/>
      <c r="I473" s="36"/>
    </row>
    <row r="474" spans="1:9" x14ac:dyDescent="0.3">
      <c r="A474" s="42"/>
      <c r="B474" s="36"/>
      <c r="C474" s="36"/>
      <c r="D474" s="36"/>
      <c r="E474" s="36"/>
      <c r="F474" s="36"/>
      <c r="G474" s="37"/>
      <c r="H474" s="36"/>
      <c r="I474" s="36"/>
    </row>
    <row r="475" spans="1:9" x14ac:dyDescent="0.3">
      <c r="A475" s="42"/>
      <c r="B475" s="36"/>
      <c r="C475" s="36"/>
      <c r="D475" s="36"/>
      <c r="E475" s="36"/>
      <c r="F475" s="36"/>
      <c r="G475" s="37"/>
      <c r="H475" s="36"/>
      <c r="I475" s="36"/>
    </row>
    <row r="476" spans="1:9" x14ac:dyDescent="0.3">
      <c r="A476" s="42"/>
      <c r="B476" s="36"/>
      <c r="C476" s="36"/>
      <c r="D476" s="36"/>
      <c r="E476" s="36"/>
      <c r="F476" s="36"/>
      <c r="G476" s="37"/>
      <c r="H476" s="36"/>
      <c r="I476" s="36"/>
    </row>
    <row r="477" spans="1:9" x14ac:dyDescent="0.3">
      <c r="A477" s="42"/>
      <c r="B477" s="36"/>
      <c r="C477" s="36"/>
      <c r="D477" s="36"/>
      <c r="E477" s="36"/>
      <c r="F477" s="36"/>
      <c r="G477" s="37"/>
      <c r="H477" s="36"/>
      <c r="I477" s="36"/>
    </row>
    <row r="478" spans="1:9" x14ac:dyDescent="0.3">
      <c r="A478" s="42"/>
      <c r="B478" s="36"/>
      <c r="C478" s="36"/>
      <c r="D478" s="36"/>
      <c r="E478" s="36"/>
      <c r="F478" s="36"/>
      <c r="G478" s="37"/>
      <c r="H478" s="36"/>
      <c r="I478" s="36"/>
    </row>
    <row r="479" spans="1:9" x14ac:dyDescent="0.3">
      <c r="A479" s="42"/>
      <c r="B479" s="36"/>
      <c r="C479" s="36"/>
      <c r="D479" s="36"/>
      <c r="E479" s="36"/>
      <c r="F479" s="36"/>
      <c r="G479" s="37"/>
      <c r="H479" s="36"/>
      <c r="I479" s="36"/>
    </row>
    <row r="480" spans="1:9" x14ac:dyDescent="0.3">
      <c r="A480" s="42"/>
      <c r="B480" s="36"/>
      <c r="C480" s="36"/>
      <c r="D480" s="36"/>
      <c r="E480" s="36"/>
      <c r="F480" s="36"/>
      <c r="G480" s="37"/>
      <c r="H480" s="36"/>
      <c r="I480" s="36"/>
    </row>
    <row r="481" spans="1:9" x14ac:dyDescent="0.3">
      <c r="A481" s="42"/>
      <c r="B481" s="36"/>
      <c r="C481" s="36"/>
      <c r="D481" s="36"/>
      <c r="E481" s="36"/>
      <c r="F481" s="36"/>
      <c r="G481" s="37"/>
      <c r="H481" s="36"/>
      <c r="I481" s="36"/>
    </row>
    <row r="482" spans="1:9" x14ac:dyDescent="0.3">
      <c r="A482" s="42"/>
      <c r="B482" s="36"/>
      <c r="C482" s="36"/>
      <c r="D482" s="36"/>
      <c r="E482" s="36"/>
      <c r="F482" s="36"/>
      <c r="G482" s="37"/>
      <c r="H482" s="36"/>
      <c r="I482" s="36"/>
    </row>
    <row r="483" spans="1:9" x14ac:dyDescent="0.3">
      <c r="A483" s="42"/>
      <c r="B483" s="36"/>
      <c r="C483" s="36"/>
      <c r="D483" s="36"/>
      <c r="E483" s="36"/>
      <c r="F483" s="36"/>
      <c r="G483" s="37"/>
      <c r="H483" s="36"/>
      <c r="I483" s="36"/>
    </row>
    <row r="484" spans="1:9" x14ac:dyDescent="0.3">
      <c r="A484" s="42"/>
      <c r="B484" s="36"/>
      <c r="C484" s="36"/>
      <c r="D484" s="36"/>
      <c r="E484" s="36"/>
      <c r="F484" s="36"/>
      <c r="G484" s="37"/>
      <c r="H484" s="36"/>
      <c r="I484" s="36"/>
    </row>
    <row r="485" spans="1:9" x14ac:dyDescent="0.3">
      <c r="A485" s="42"/>
      <c r="B485" s="36"/>
      <c r="C485" s="36"/>
      <c r="D485" s="36"/>
      <c r="E485" s="36"/>
      <c r="F485" s="36"/>
      <c r="G485" s="37"/>
      <c r="H485" s="36"/>
      <c r="I485" s="36"/>
    </row>
    <row r="486" spans="1:9" x14ac:dyDescent="0.3">
      <c r="A486" s="42"/>
      <c r="B486" s="36"/>
      <c r="C486" s="36"/>
      <c r="D486" s="36"/>
      <c r="E486" s="36"/>
      <c r="F486" s="36"/>
      <c r="G486" s="37"/>
      <c r="H486" s="36"/>
      <c r="I486" s="36"/>
    </row>
    <row r="487" spans="1:9" x14ac:dyDescent="0.3">
      <c r="A487" s="42"/>
      <c r="B487" s="36"/>
      <c r="C487" s="36"/>
      <c r="D487" s="36"/>
      <c r="E487" s="36"/>
      <c r="F487" s="36"/>
      <c r="G487" s="37"/>
      <c r="H487" s="36"/>
      <c r="I487" s="36"/>
    </row>
    <row r="488" spans="1:9" x14ac:dyDescent="0.3">
      <c r="A488" s="42"/>
      <c r="B488" s="36"/>
      <c r="C488" s="36"/>
      <c r="D488" s="36"/>
      <c r="E488" s="36"/>
      <c r="F488" s="36"/>
      <c r="G488" s="37"/>
      <c r="H488" s="36"/>
      <c r="I488" s="36"/>
    </row>
    <row r="489" spans="1:9" x14ac:dyDescent="0.3">
      <c r="A489" s="42"/>
      <c r="B489" s="36"/>
      <c r="C489" s="36"/>
      <c r="D489" s="36"/>
      <c r="E489" s="36"/>
      <c r="F489" s="36"/>
      <c r="G489" s="37"/>
      <c r="H489" s="36"/>
      <c r="I489" s="36"/>
    </row>
    <row r="490" spans="1:9" x14ac:dyDescent="0.3">
      <c r="A490" s="42"/>
      <c r="B490" s="36"/>
      <c r="C490" s="36"/>
      <c r="D490" s="36"/>
      <c r="E490" s="36"/>
      <c r="F490" s="36"/>
      <c r="G490" s="37"/>
      <c r="H490" s="36"/>
      <c r="I490" s="36"/>
    </row>
    <row r="491" spans="1:9" x14ac:dyDescent="0.3">
      <c r="A491" s="42"/>
      <c r="B491" s="36"/>
      <c r="C491" s="36"/>
      <c r="D491" s="36"/>
      <c r="E491" s="36"/>
      <c r="F491" s="36"/>
      <c r="G491" s="37"/>
      <c r="H491" s="36"/>
      <c r="I491" s="36"/>
    </row>
    <row r="492" spans="1:9" x14ac:dyDescent="0.3">
      <c r="A492" s="42"/>
      <c r="B492" s="36"/>
      <c r="C492" s="36"/>
      <c r="D492" s="36"/>
      <c r="E492" s="36"/>
      <c r="F492" s="36"/>
      <c r="G492" s="37"/>
      <c r="H492" s="36"/>
      <c r="I492" s="36"/>
    </row>
    <row r="493" spans="1:9" x14ac:dyDescent="0.3">
      <c r="A493" s="42"/>
      <c r="B493" s="36"/>
      <c r="C493" s="36"/>
      <c r="D493" s="36"/>
      <c r="E493" s="36"/>
      <c r="F493" s="36"/>
      <c r="G493" s="37"/>
      <c r="H493" s="36"/>
      <c r="I493" s="36"/>
    </row>
    <row r="494" spans="1:9" x14ac:dyDescent="0.3">
      <c r="A494" s="42"/>
      <c r="B494" s="36"/>
      <c r="C494" s="36"/>
      <c r="D494" s="36"/>
      <c r="E494" s="36"/>
      <c r="F494" s="36"/>
      <c r="G494" s="37"/>
      <c r="H494" s="36"/>
      <c r="I494" s="36"/>
    </row>
    <row r="495" spans="1:9" x14ac:dyDescent="0.3">
      <c r="A495" s="42"/>
      <c r="B495" s="36"/>
      <c r="C495" s="36"/>
      <c r="D495" s="36"/>
      <c r="E495" s="36"/>
      <c r="F495" s="36"/>
      <c r="G495" s="37"/>
      <c r="H495" s="36"/>
      <c r="I495" s="36"/>
    </row>
    <row r="496" spans="1:9" x14ac:dyDescent="0.3">
      <c r="A496" s="42"/>
      <c r="B496" s="36"/>
      <c r="C496" s="36"/>
      <c r="D496" s="36"/>
      <c r="E496" s="36"/>
      <c r="F496" s="36"/>
      <c r="G496" s="37"/>
      <c r="H496" s="36"/>
      <c r="I496" s="36"/>
    </row>
    <row r="497" spans="1:9" x14ac:dyDescent="0.3">
      <c r="A497" s="42"/>
      <c r="B497" s="36"/>
      <c r="C497" s="36"/>
      <c r="D497" s="36"/>
      <c r="E497" s="36"/>
      <c r="F497" s="36"/>
      <c r="G497" s="37"/>
      <c r="H497" s="36"/>
      <c r="I497" s="36"/>
    </row>
    <row r="498" spans="1:9" x14ac:dyDescent="0.3">
      <c r="A498" s="42"/>
      <c r="B498" s="36"/>
      <c r="C498" s="36"/>
      <c r="D498" s="36"/>
      <c r="E498" s="36"/>
      <c r="F498" s="36"/>
      <c r="G498" s="37"/>
      <c r="H498" s="36"/>
      <c r="I498" s="36"/>
    </row>
    <row r="499" spans="1:9" x14ac:dyDescent="0.3">
      <c r="A499" s="42"/>
      <c r="B499" s="36"/>
      <c r="C499" s="36"/>
      <c r="D499" s="36"/>
      <c r="E499" s="36"/>
      <c r="F499" s="36"/>
      <c r="G499" s="37"/>
      <c r="H499" s="36"/>
      <c r="I499" s="36"/>
    </row>
    <row r="500" spans="1:9" x14ac:dyDescent="0.3">
      <c r="A500" s="42"/>
      <c r="B500" s="36"/>
      <c r="C500" s="36"/>
      <c r="D500" s="36"/>
      <c r="E500" s="36"/>
      <c r="F500" s="36"/>
      <c r="G500" s="37"/>
      <c r="H500" s="36"/>
      <c r="I500" s="36"/>
    </row>
    <row r="501" spans="1:9" x14ac:dyDescent="0.3">
      <c r="A501" s="42"/>
      <c r="B501" s="36"/>
      <c r="C501" s="36"/>
      <c r="D501" s="36"/>
      <c r="E501" s="36"/>
      <c r="F501" s="36"/>
      <c r="G501" s="37"/>
      <c r="H501" s="36"/>
      <c r="I501" s="36"/>
    </row>
    <row r="502" spans="1:9" x14ac:dyDescent="0.3">
      <c r="A502" s="42"/>
      <c r="B502" s="36"/>
      <c r="C502" s="36"/>
      <c r="D502" s="36"/>
      <c r="E502" s="36"/>
      <c r="F502" s="36"/>
      <c r="G502" s="37"/>
      <c r="H502" s="36"/>
      <c r="I502" s="36"/>
    </row>
    <row r="503" spans="1:9" x14ac:dyDescent="0.3">
      <c r="A503" s="42"/>
      <c r="B503" s="36"/>
      <c r="C503" s="36"/>
      <c r="D503" s="36"/>
      <c r="E503" s="36"/>
      <c r="F503" s="36"/>
      <c r="G503" s="37"/>
      <c r="H503" s="36"/>
      <c r="I503" s="36"/>
    </row>
    <row r="504" spans="1:9" x14ac:dyDescent="0.3">
      <c r="A504" s="42"/>
      <c r="B504" s="36"/>
      <c r="C504" s="36"/>
      <c r="D504" s="36"/>
      <c r="E504" s="36"/>
      <c r="F504" s="36"/>
      <c r="G504" s="37"/>
      <c r="H504" s="36"/>
      <c r="I504" s="36"/>
    </row>
    <row r="505" spans="1:9" x14ac:dyDescent="0.3">
      <c r="A505" s="42"/>
      <c r="B505" s="36"/>
      <c r="C505" s="36"/>
      <c r="D505" s="36"/>
      <c r="E505" s="36"/>
      <c r="F505" s="36"/>
      <c r="G505" s="37"/>
      <c r="H505" s="36"/>
      <c r="I505" s="36"/>
    </row>
    <row r="506" spans="1:9" x14ac:dyDescent="0.3">
      <c r="A506" s="42"/>
      <c r="B506" s="36"/>
      <c r="C506" s="36"/>
      <c r="D506" s="36"/>
      <c r="E506" s="36"/>
      <c r="F506" s="36"/>
      <c r="G506" s="37"/>
      <c r="H506" s="36"/>
      <c r="I506" s="36"/>
    </row>
    <row r="507" spans="1:9" x14ac:dyDescent="0.3">
      <c r="A507" s="42"/>
      <c r="B507" s="36"/>
      <c r="C507" s="36"/>
      <c r="D507" s="36"/>
      <c r="E507" s="36"/>
      <c r="F507" s="36"/>
      <c r="G507" s="37"/>
      <c r="H507" s="36"/>
      <c r="I507" s="36"/>
    </row>
    <row r="508" spans="1:9" x14ac:dyDescent="0.3">
      <c r="A508" s="42"/>
      <c r="B508" s="36"/>
      <c r="C508" s="36"/>
      <c r="D508" s="36"/>
      <c r="E508" s="36"/>
      <c r="F508" s="36"/>
      <c r="G508" s="37"/>
      <c r="H508" s="36"/>
      <c r="I508" s="36"/>
    </row>
    <row r="509" spans="1:9" x14ac:dyDescent="0.3">
      <c r="A509" s="42"/>
      <c r="B509" s="36"/>
      <c r="C509" s="36"/>
      <c r="D509" s="36"/>
      <c r="E509" s="36"/>
      <c r="F509" s="36"/>
      <c r="G509" s="37"/>
      <c r="H509" s="36"/>
      <c r="I509" s="36"/>
    </row>
    <row r="510" spans="1:9" x14ac:dyDescent="0.3">
      <c r="A510" s="42"/>
      <c r="B510" s="36"/>
      <c r="C510" s="36"/>
      <c r="D510" s="36"/>
      <c r="E510" s="36"/>
      <c r="F510" s="36"/>
      <c r="G510" s="37"/>
      <c r="H510" s="36"/>
      <c r="I510" s="36"/>
    </row>
    <row r="511" spans="1:9" x14ac:dyDescent="0.3">
      <c r="A511" s="42"/>
      <c r="B511" s="36"/>
      <c r="C511" s="36"/>
      <c r="D511" s="36"/>
      <c r="E511" s="36"/>
      <c r="F511" s="36"/>
      <c r="G511" s="37"/>
      <c r="H511" s="36"/>
      <c r="I511" s="36"/>
    </row>
    <row r="512" spans="1:9" x14ac:dyDescent="0.3">
      <c r="A512" s="42"/>
      <c r="B512" s="36"/>
      <c r="C512" s="36"/>
      <c r="D512" s="36"/>
      <c r="E512" s="36"/>
      <c r="F512" s="36"/>
      <c r="G512" s="37"/>
      <c r="H512" s="36"/>
      <c r="I512" s="36"/>
    </row>
    <row r="513" spans="1:9" x14ac:dyDescent="0.3">
      <c r="A513" s="42"/>
      <c r="B513" s="36"/>
      <c r="C513" s="36"/>
      <c r="D513" s="36"/>
      <c r="E513" s="36"/>
      <c r="F513" s="36"/>
      <c r="G513" s="37"/>
      <c r="H513" s="36"/>
      <c r="I513" s="36"/>
    </row>
    <row r="514" spans="1:9" x14ac:dyDescent="0.3">
      <c r="A514" s="42"/>
      <c r="B514" s="36"/>
      <c r="C514" s="36"/>
      <c r="D514" s="36"/>
      <c r="E514" s="36"/>
      <c r="F514" s="36"/>
      <c r="G514" s="37"/>
      <c r="H514" s="36"/>
      <c r="I514" s="36"/>
    </row>
    <row r="515" spans="1:9" x14ac:dyDescent="0.3">
      <c r="A515" s="42"/>
      <c r="B515" s="36"/>
      <c r="C515" s="36"/>
      <c r="D515" s="36"/>
      <c r="E515" s="36"/>
      <c r="F515" s="36"/>
      <c r="G515" s="37"/>
      <c r="H515" s="36"/>
      <c r="I515" s="36"/>
    </row>
    <row r="516" spans="1:9" x14ac:dyDescent="0.3">
      <c r="A516" s="42"/>
      <c r="B516" s="36"/>
      <c r="C516" s="36"/>
      <c r="D516" s="36"/>
      <c r="E516" s="36"/>
      <c r="F516" s="36"/>
      <c r="G516" s="37"/>
      <c r="H516" s="36"/>
      <c r="I516" s="36"/>
    </row>
    <row r="517" spans="1:9" x14ac:dyDescent="0.3">
      <c r="A517" s="42"/>
      <c r="B517" s="36"/>
      <c r="C517" s="36"/>
      <c r="D517" s="36"/>
      <c r="E517" s="36"/>
      <c r="F517" s="36"/>
      <c r="G517" s="37"/>
      <c r="H517" s="36"/>
      <c r="I517" s="36"/>
    </row>
    <row r="518" spans="1:9" x14ac:dyDescent="0.3">
      <c r="A518" s="42"/>
      <c r="B518" s="36"/>
      <c r="C518" s="36"/>
      <c r="D518" s="36"/>
      <c r="E518" s="36"/>
      <c r="F518" s="36"/>
      <c r="G518" s="37"/>
      <c r="H518" s="36"/>
      <c r="I518" s="36"/>
    </row>
    <row r="519" spans="1:9" x14ac:dyDescent="0.3">
      <c r="A519" s="42"/>
      <c r="B519" s="36"/>
      <c r="C519" s="36"/>
      <c r="D519" s="36"/>
      <c r="E519" s="36"/>
      <c r="F519" s="36"/>
      <c r="G519" s="37"/>
      <c r="H519" s="36"/>
      <c r="I519" s="36"/>
    </row>
    <row r="520" spans="1:9" x14ac:dyDescent="0.3">
      <c r="A520" s="42"/>
      <c r="B520" s="36"/>
      <c r="C520" s="36"/>
      <c r="D520" s="36"/>
      <c r="E520" s="36"/>
      <c r="F520" s="36"/>
      <c r="G520" s="37"/>
      <c r="H520" s="36"/>
      <c r="I520" s="36"/>
    </row>
    <row r="521" spans="1:9" x14ac:dyDescent="0.3">
      <c r="A521" s="42"/>
      <c r="B521" s="36"/>
      <c r="C521" s="36"/>
      <c r="D521" s="36"/>
      <c r="E521" s="36"/>
      <c r="F521" s="36"/>
      <c r="G521" s="37"/>
      <c r="H521" s="36"/>
      <c r="I521" s="36"/>
    </row>
    <row r="522" spans="1:9" x14ac:dyDescent="0.3">
      <c r="A522" s="42"/>
      <c r="B522" s="36"/>
      <c r="C522" s="36"/>
      <c r="D522" s="36"/>
      <c r="E522" s="36"/>
      <c r="F522" s="36"/>
      <c r="G522" s="37"/>
      <c r="H522" s="36"/>
      <c r="I522" s="36"/>
    </row>
    <row r="523" spans="1:9" x14ac:dyDescent="0.3">
      <c r="A523" s="42"/>
      <c r="B523" s="36"/>
      <c r="C523" s="36"/>
      <c r="D523" s="36"/>
      <c r="E523" s="36"/>
      <c r="F523" s="36"/>
      <c r="G523" s="37"/>
      <c r="H523" s="36"/>
      <c r="I523" s="36"/>
    </row>
    <row r="524" spans="1:9" x14ac:dyDescent="0.3">
      <c r="A524" s="42"/>
      <c r="B524" s="36"/>
      <c r="C524" s="36"/>
      <c r="D524" s="36"/>
      <c r="E524" s="36"/>
      <c r="F524" s="36"/>
      <c r="G524" s="37"/>
      <c r="H524" s="36"/>
      <c r="I524" s="36"/>
    </row>
    <row r="525" spans="1:9" x14ac:dyDescent="0.3">
      <c r="A525" s="42"/>
      <c r="B525" s="36"/>
      <c r="C525" s="36"/>
      <c r="D525" s="36"/>
      <c r="E525" s="36"/>
      <c r="F525" s="36"/>
      <c r="G525" s="37"/>
      <c r="H525" s="36"/>
      <c r="I525" s="36"/>
    </row>
    <row r="526" spans="1:9" x14ac:dyDescent="0.3">
      <c r="A526" s="42"/>
      <c r="B526" s="36"/>
      <c r="C526" s="36"/>
      <c r="D526" s="36"/>
      <c r="E526" s="36"/>
      <c r="F526" s="36"/>
      <c r="G526" s="37"/>
      <c r="H526" s="36"/>
      <c r="I526" s="36"/>
    </row>
    <row r="527" spans="1:9" x14ac:dyDescent="0.3">
      <c r="A527" s="42"/>
      <c r="B527" s="36"/>
      <c r="C527" s="36"/>
      <c r="D527" s="36"/>
      <c r="E527" s="36"/>
      <c r="F527" s="36"/>
      <c r="G527" s="37"/>
      <c r="H527" s="36"/>
      <c r="I527" s="36"/>
    </row>
    <row r="528" spans="1:9" x14ac:dyDescent="0.3">
      <c r="A528" s="42"/>
      <c r="B528" s="36"/>
      <c r="C528" s="36"/>
      <c r="D528" s="36"/>
      <c r="E528" s="36"/>
      <c r="F528" s="36"/>
      <c r="G528" s="37"/>
      <c r="H528" s="36"/>
      <c r="I528" s="36"/>
    </row>
    <row r="529" spans="1:9" x14ac:dyDescent="0.3">
      <c r="A529" s="42"/>
      <c r="B529" s="36"/>
      <c r="C529" s="36"/>
      <c r="D529" s="36"/>
      <c r="E529" s="36"/>
      <c r="F529" s="36"/>
      <c r="G529" s="37"/>
      <c r="H529" s="36"/>
      <c r="I529" s="36"/>
    </row>
    <row r="530" spans="1:9" x14ac:dyDescent="0.3">
      <c r="A530" s="42"/>
      <c r="B530" s="36"/>
      <c r="C530" s="36"/>
      <c r="D530" s="36"/>
      <c r="E530" s="36"/>
      <c r="F530" s="36"/>
      <c r="G530" s="37"/>
      <c r="H530" s="36"/>
      <c r="I530" s="36"/>
    </row>
    <row r="531" spans="1:9" x14ac:dyDescent="0.3">
      <c r="A531" s="42"/>
      <c r="B531" s="36"/>
      <c r="C531" s="36"/>
      <c r="D531" s="36"/>
      <c r="E531" s="36"/>
      <c r="F531" s="36"/>
      <c r="G531" s="37"/>
      <c r="H531" s="36"/>
      <c r="I531" s="36"/>
    </row>
    <row r="532" spans="1:9" x14ac:dyDescent="0.3">
      <c r="A532" s="42"/>
      <c r="B532" s="36"/>
      <c r="C532" s="36"/>
      <c r="D532" s="36"/>
      <c r="E532" s="36"/>
      <c r="F532" s="36"/>
      <c r="G532" s="37"/>
      <c r="H532" s="36"/>
      <c r="I532" s="36"/>
    </row>
    <row r="533" spans="1:9" x14ac:dyDescent="0.3">
      <c r="A533" s="42"/>
      <c r="B533" s="36"/>
      <c r="C533" s="36"/>
      <c r="D533" s="36"/>
      <c r="E533" s="36"/>
      <c r="F533" s="36"/>
      <c r="G533" s="37"/>
      <c r="H533" s="36"/>
      <c r="I533" s="36"/>
    </row>
    <row r="534" spans="1:9" x14ac:dyDescent="0.3">
      <c r="A534" s="42"/>
      <c r="B534" s="36"/>
      <c r="C534" s="36"/>
      <c r="D534" s="36"/>
      <c r="E534" s="36"/>
      <c r="F534" s="36"/>
      <c r="G534" s="37"/>
      <c r="H534" s="36"/>
      <c r="I534" s="36"/>
    </row>
    <row r="535" spans="1:9" x14ac:dyDescent="0.3">
      <c r="A535" s="42"/>
      <c r="B535" s="36"/>
      <c r="C535" s="36"/>
      <c r="D535" s="36"/>
      <c r="E535" s="36"/>
      <c r="F535" s="36"/>
      <c r="G535" s="37"/>
      <c r="H535" s="36"/>
      <c r="I535" s="36"/>
    </row>
    <row r="536" spans="1:9" x14ac:dyDescent="0.3">
      <c r="A536" s="42"/>
      <c r="B536" s="36"/>
      <c r="C536" s="36"/>
      <c r="D536" s="36"/>
      <c r="E536" s="36"/>
      <c r="F536" s="36"/>
      <c r="G536" s="37"/>
      <c r="H536" s="36"/>
      <c r="I536" s="36"/>
    </row>
    <row r="537" spans="1:9" x14ac:dyDescent="0.3">
      <c r="A537" s="42"/>
      <c r="B537" s="36"/>
      <c r="C537" s="36"/>
      <c r="D537" s="36"/>
      <c r="E537" s="36"/>
      <c r="F537" s="36"/>
      <c r="G537" s="37"/>
      <c r="H537" s="36"/>
      <c r="I537" s="36"/>
    </row>
    <row r="538" spans="1:9" x14ac:dyDescent="0.3">
      <c r="A538" s="42"/>
      <c r="B538" s="36"/>
      <c r="C538" s="36"/>
      <c r="D538" s="36"/>
      <c r="E538" s="36"/>
      <c r="F538" s="36"/>
      <c r="G538" s="37"/>
      <c r="H538" s="36"/>
      <c r="I538" s="36"/>
    </row>
    <row r="539" spans="1:9" x14ac:dyDescent="0.3">
      <c r="A539" s="42"/>
      <c r="B539" s="36"/>
      <c r="C539" s="36"/>
      <c r="D539" s="36"/>
      <c r="E539" s="36"/>
      <c r="F539" s="36"/>
      <c r="G539" s="37"/>
      <c r="H539" s="36"/>
      <c r="I539" s="36"/>
    </row>
    <row r="540" spans="1:9" x14ac:dyDescent="0.3">
      <c r="A540" s="42"/>
      <c r="B540" s="36"/>
      <c r="C540" s="36"/>
      <c r="D540" s="36"/>
      <c r="E540" s="36"/>
      <c r="F540" s="36"/>
      <c r="G540" s="37"/>
      <c r="H540" s="36"/>
      <c r="I540" s="36"/>
    </row>
    <row r="541" spans="1:9" x14ac:dyDescent="0.3">
      <c r="A541" s="42"/>
      <c r="B541" s="36"/>
      <c r="C541" s="36"/>
      <c r="D541" s="36"/>
      <c r="E541" s="36"/>
      <c r="F541" s="36"/>
      <c r="G541" s="37"/>
      <c r="H541" s="36"/>
      <c r="I541" s="36"/>
    </row>
    <row r="542" spans="1:9" x14ac:dyDescent="0.3">
      <c r="A542" s="42"/>
      <c r="B542" s="36"/>
      <c r="C542" s="36"/>
      <c r="D542" s="36"/>
      <c r="E542" s="36"/>
      <c r="F542" s="36"/>
      <c r="G542" s="37"/>
      <c r="H542" s="36"/>
      <c r="I542" s="36"/>
    </row>
    <row r="543" spans="1:9" x14ac:dyDescent="0.3">
      <c r="A543" s="42"/>
      <c r="B543" s="36"/>
      <c r="C543" s="36"/>
      <c r="D543" s="36"/>
      <c r="E543" s="36"/>
      <c r="F543" s="36"/>
      <c r="G543" s="37"/>
      <c r="H543" s="36"/>
      <c r="I543" s="36"/>
    </row>
    <row r="544" spans="1:9" x14ac:dyDescent="0.3">
      <c r="A544" s="42"/>
      <c r="B544" s="36"/>
      <c r="C544" s="36"/>
      <c r="D544" s="36"/>
      <c r="E544" s="36"/>
      <c r="F544" s="36"/>
      <c r="G544" s="37"/>
      <c r="H544" s="36"/>
      <c r="I544" s="36"/>
    </row>
    <row r="545" spans="1:9" x14ac:dyDescent="0.3">
      <c r="A545" s="42"/>
      <c r="B545" s="36"/>
      <c r="C545" s="36"/>
      <c r="D545" s="36"/>
      <c r="E545" s="36"/>
      <c r="F545" s="36"/>
      <c r="G545" s="37"/>
      <c r="H545" s="36"/>
      <c r="I545" s="36"/>
    </row>
    <row r="546" spans="1:9" x14ac:dyDescent="0.3">
      <c r="A546" s="42"/>
      <c r="B546" s="36"/>
      <c r="C546" s="36"/>
      <c r="D546" s="36"/>
      <c r="E546" s="36"/>
      <c r="F546" s="36"/>
      <c r="G546" s="37"/>
      <c r="H546" s="36"/>
      <c r="I546" s="36"/>
    </row>
    <row r="547" spans="1:9" x14ac:dyDescent="0.3">
      <c r="A547" s="42"/>
      <c r="B547" s="36"/>
      <c r="C547" s="36"/>
      <c r="D547" s="36"/>
      <c r="E547" s="36"/>
      <c r="F547" s="36"/>
      <c r="G547" s="37"/>
      <c r="H547" s="36"/>
      <c r="I547" s="36"/>
    </row>
    <row r="548" spans="1:9" x14ac:dyDescent="0.3">
      <c r="A548" s="42"/>
      <c r="B548" s="36"/>
      <c r="C548" s="36"/>
      <c r="D548" s="36"/>
      <c r="E548" s="36"/>
      <c r="F548" s="36"/>
      <c r="G548" s="37"/>
      <c r="H548" s="36"/>
      <c r="I548" s="36"/>
    </row>
    <row r="549" spans="1:9" x14ac:dyDescent="0.3">
      <c r="A549" s="42"/>
      <c r="B549" s="36"/>
      <c r="C549" s="36"/>
      <c r="D549" s="36"/>
      <c r="E549" s="36"/>
      <c r="F549" s="36"/>
      <c r="G549" s="37"/>
      <c r="H549" s="36"/>
      <c r="I549" s="36"/>
    </row>
    <row r="550" spans="1:9" x14ac:dyDescent="0.3">
      <c r="A550" s="42"/>
      <c r="B550" s="36"/>
      <c r="C550" s="36"/>
      <c r="D550" s="36"/>
      <c r="E550" s="36"/>
      <c r="F550" s="36"/>
      <c r="G550" s="37"/>
      <c r="H550" s="36"/>
      <c r="I550" s="36"/>
    </row>
    <row r="551" spans="1:9" x14ac:dyDescent="0.3">
      <c r="A551" s="42"/>
      <c r="B551" s="36"/>
      <c r="C551" s="36"/>
      <c r="D551" s="36"/>
      <c r="E551" s="36"/>
      <c r="F551" s="36"/>
      <c r="G551" s="37"/>
      <c r="H551" s="36"/>
      <c r="I551" s="36"/>
    </row>
    <row r="552" spans="1:9" x14ac:dyDescent="0.3">
      <c r="A552" s="42"/>
      <c r="B552" s="36"/>
      <c r="C552" s="36"/>
      <c r="D552" s="36"/>
      <c r="E552" s="36"/>
      <c r="F552" s="36"/>
      <c r="G552" s="37"/>
      <c r="H552" s="36"/>
      <c r="I552" s="36"/>
    </row>
    <row r="553" spans="1:9" x14ac:dyDescent="0.3">
      <c r="A553" s="42"/>
      <c r="B553" s="36"/>
      <c r="C553" s="36"/>
      <c r="D553" s="36"/>
      <c r="E553" s="36"/>
      <c r="F553" s="36"/>
      <c r="G553" s="37"/>
      <c r="H553" s="36"/>
      <c r="I553" s="36"/>
    </row>
    <row r="554" spans="1:9" x14ac:dyDescent="0.3">
      <c r="A554" s="42"/>
      <c r="B554" s="36"/>
      <c r="C554" s="36"/>
      <c r="D554" s="36"/>
      <c r="E554" s="36"/>
      <c r="F554" s="36"/>
      <c r="G554" s="37"/>
      <c r="H554" s="36"/>
      <c r="I554" s="36"/>
    </row>
    <row r="555" spans="1:9" x14ac:dyDescent="0.3">
      <c r="A555" s="42"/>
      <c r="B555" s="36"/>
      <c r="C555" s="36"/>
      <c r="D555" s="36"/>
      <c r="E555" s="36"/>
      <c r="F555" s="36"/>
      <c r="G555" s="37"/>
      <c r="H555" s="36"/>
      <c r="I555" s="36"/>
    </row>
    <row r="556" spans="1:9" x14ac:dyDescent="0.3">
      <c r="A556" s="42"/>
      <c r="B556" s="36"/>
      <c r="C556" s="36"/>
      <c r="D556" s="36"/>
      <c r="E556" s="36"/>
      <c r="F556" s="36"/>
      <c r="G556" s="37"/>
      <c r="H556" s="36"/>
      <c r="I556" s="36"/>
    </row>
    <row r="557" spans="1:9" x14ac:dyDescent="0.3">
      <c r="A557" s="42"/>
      <c r="B557" s="36"/>
      <c r="C557" s="36"/>
      <c r="D557" s="36"/>
      <c r="E557" s="36"/>
      <c r="F557" s="36"/>
      <c r="G557" s="37"/>
      <c r="H557" s="36"/>
      <c r="I557" s="36"/>
    </row>
    <row r="558" spans="1:9" x14ac:dyDescent="0.3">
      <c r="A558" s="42"/>
      <c r="B558" s="36"/>
      <c r="C558" s="36"/>
      <c r="D558" s="36"/>
      <c r="E558" s="36"/>
      <c r="F558" s="36"/>
      <c r="G558" s="37"/>
      <c r="H558" s="36"/>
      <c r="I558" s="36"/>
    </row>
    <row r="559" spans="1:9" x14ac:dyDescent="0.3">
      <c r="A559" s="42"/>
      <c r="B559" s="36"/>
      <c r="C559" s="36"/>
      <c r="D559" s="36"/>
      <c r="E559" s="36"/>
      <c r="F559" s="36"/>
      <c r="G559" s="37"/>
      <c r="H559" s="36"/>
      <c r="I559" s="36"/>
    </row>
    <row r="560" spans="1:9" x14ac:dyDescent="0.3">
      <c r="A560" s="42"/>
      <c r="B560" s="36"/>
      <c r="C560" s="36"/>
      <c r="D560" s="36"/>
      <c r="E560" s="36"/>
      <c r="F560" s="36"/>
      <c r="G560" s="37"/>
      <c r="H560" s="36"/>
      <c r="I560" s="36"/>
    </row>
    <row r="561" spans="1:9" x14ac:dyDescent="0.3">
      <c r="A561" s="42"/>
      <c r="B561" s="36"/>
      <c r="C561" s="36"/>
      <c r="D561" s="36"/>
      <c r="E561" s="36"/>
      <c r="F561" s="36"/>
      <c r="G561" s="37"/>
      <c r="H561" s="36"/>
      <c r="I561" s="36"/>
    </row>
    <row r="562" spans="1:9" x14ac:dyDescent="0.3">
      <c r="A562" s="42"/>
      <c r="B562" s="36"/>
      <c r="C562" s="36"/>
      <c r="D562" s="36"/>
      <c r="E562" s="36"/>
      <c r="F562" s="36"/>
      <c r="G562" s="37"/>
      <c r="H562" s="36"/>
      <c r="I562" s="36"/>
    </row>
    <row r="563" spans="1:9" x14ac:dyDescent="0.3">
      <c r="A563" s="42"/>
      <c r="B563" s="36"/>
      <c r="C563" s="36"/>
      <c r="D563" s="36"/>
      <c r="E563" s="36"/>
      <c r="F563" s="36"/>
      <c r="G563" s="37"/>
      <c r="H563" s="36"/>
      <c r="I563" s="36"/>
    </row>
    <row r="564" spans="1:9" x14ac:dyDescent="0.3">
      <c r="A564" s="42"/>
      <c r="B564" s="36"/>
      <c r="C564" s="36"/>
      <c r="D564" s="36"/>
      <c r="E564" s="36"/>
      <c r="F564" s="36"/>
      <c r="G564" s="37"/>
      <c r="H564" s="36"/>
      <c r="I564" s="36"/>
    </row>
    <row r="565" spans="1:9" x14ac:dyDescent="0.3">
      <c r="A565" s="42"/>
      <c r="B565" s="36"/>
      <c r="C565" s="36"/>
      <c r="D565" s="36"/>
      <c r="E565" s="36"/>
      <c r="F565" s="36"/>
      <c r="G565" s="37"/>
      <c r="H565" s="36"/>
      <c r="I565" s="36"/>
    </row>
    <row r="566" spans="1:9" x14ac:dyDescent="0.3">
      <c r="A566" s="42"/>
      <c r="B566" s="36"/>
      <c r="C566" s="36"/>
      <c r="D566" s="36"/>
      <c r="E566" s="36"/>
      <c r="F566" s="36"/>
      <c r="G566" s="37"/>
      <c r="H566" s="36"/>
      <c r="I566" s="36"/>
    </row>
    <row r="567" spans="1:9" x14ac:dyDescent="0.3">
      <c r="A567" s="42"/>
      <c r="B567" s="36"/>
      <c r="C567" s="36"/>
      <c r="D567" s="36"/>
      <c r="E567" s="36"/>
      <c r="F567" s="36"/>
      <c r="G567" s="37"/>
      <c r="H567" s="36"/>
      <c r="I567" s="36"/>
    </row>
    <row r="568" spans="1:9" x14ac:dyDescent="0.3">
      <c r="A568" s="42"/>
      <c r="B568" s="36"/>
      <c r="C568" s="36"/>
      <c r="D568" s="36"/>
      <c r="E568" s="36"/>
      <c r="F568" s="36"/>
      <c r="G568" s="37"/>
      <c r="H568" s="36"/>
      <c r="I568" s="36"/>
    </row>
    <row r="569" spans="1:9" x14ac:dyDescent="0.3">
      <c r="A569" s="42"/>
      <c r="B569" s="36"/>
      <c r="C569" s="36"/>
      <c r="D569" s="36"/>
      <c r="E569" s="36"/>
      <c r="F569" s="36"/>
      <c r="G569" s="37"/>
      <c r="H569" s="36"/>
      <c r="I569" s="36"/>
    </row>
    <row r="570" spans="1:9" x14ac:dyDescent="0.3">
      <c r="A570" s="42"/>
      <c r="B570" s="36"/>
      <c r="C570" s="36"/>
      <c r="D570" s="36"/>
      <c r="E570" s="36"/>
      <c r="F570" s="36"/>
      <c r="G570" s="37"/>
      <c r="H570" s="36"/>
      <c r="I570" s="36"/>
    </row>
    <row r="571" spans="1:9" x14ac:dyDescent="0.3">
      <c r="A571" s="42"/>
      <c r="B571" s="36"/>
      <c r="C571" s="36"/>
      <c r="D571" s="36"/>
      <c r="E571" s="36"/>
      <c r="F571" s="36"/>
      <c r="G571" s="37"/>
      <c r="H571" s="36"/>
      <c r="I571" s="36"/>
    </row>
    <row r="572" spans="1:9" x14ac:dyDescent="0.3">
      <c r="A572" s="42"/>
      <c r="B572" s="36"/>
      <c r="C572" s="36"/>
      <c r="D572" s="36"/>
      <c r="E572" s="36"/>
      <c r="F572" s="36"/>
      <c r="G572" s="37"/>
      <c r="H572" s="36"/>
      <c r="I572" s="36"/>
    </row>
    <row r="573" spans="1:9" x14ac:dyDescent="0.3">
      <c r="A573" s="42"/>
      <c r="B573" s="36"/>
      <c r="C573" s="36"/>
      <c r="D573" s="36"/>
      <c r="E573" s="36"/>
      <c r="F573" s="36"/>
      <c r="G573" s="37"/>
      <c r="H573" s="36"/>
      <c r="I573" s="36"/>
    </row>
    <row r="574" spans="1:9" x14ac:dyDescent="0.3">
      <c r="A574" s="42"/>
      <c r="B574" s="36"/>
      <c r="C574" s="36"/>
      <c r="D574" s="36"/>
      <c r="E574" s="36"/>
      <c r="F574" s="36"/>
      <c r="G574" s="37"/>
      <c r="H574" s="36"/>
      <c r="I574" s="36"/>
    </row>
    <row r="575" spans="1:9" x14ac:dyDescent="0.3">
      <c r="A575" s="42"/>
      <c r="B575" s="36"/>
      <c r="C575" s="36"/>
      <c r="D575" s="36"/>
      <c r="E575" s="36"/>
      <c r="F575" s="36"/>
      <c r="G575" s="37"/>
      <c r="H575" s="36"/>
      <c r="I575" s="36"/>
    </row>
    <row r="576" spans="1:9" x14ac:dyDescent="0.3">
      <c r="A576" s="42"/>
      <c r="B576" s="36"/>
      <c r="C576" s="36"/>
      <c r="D576" s="36"/>
      <c r="E576" s="36"/>
      <c r="F576" s="36"/>
      <c r="G576" s="37"/>
      <c r="H576" s="36"/>
      <c r="I576" s="36"/>
    </row>
    <row r="577" spans="1:9" x14ac:dyDescent="0.3">
      <c r="A577" s="42"/>
      <c r="B577" s="36"/>
      <c r="C577" s="36"/>
      <c r="D577" s="36"/>
      <c r="E577" s="36"/>
      <c r="F577" s="36"/>
      <c r="G577" s="37"/>
      <c r="H577" s="36"/>
      <c r="I577" s="36"/>
    </row>
    <row r="578" spans="1:9" x14ac:dyDescent="0.3">
      <c r="A578" s="42"/>
      <c r="B578" s="36"/>
      <c r="C578" s="36"/>
      <c r="D578" s="36"/>
      <c r="E578" s="36"/>
      <c r="F578" s="36"/>
      <c r="G578" s="37"/>
      <c r="H578" s="36"/>
      <c r="I578" s="36"/>
    </row>
    <row r="579" spans="1:9" x14ac:dyDescent="0.3">
      <c r="A579" s="42"/>
      <c r="B579" s="36"/>
      <c r="C579" s="36"/>
      <c r="D579" s="36"/>
      <c r="E579" s="36"/>
      <c r="F579" s="36"/>
      <c r="G579" s="37"/>
      <c r="H579" s="36"/>
      <c r="I579" s="36"/>
    </row>
    <row r="580" spans="1:9" x14ac:dyDescent="0.3">
      <c r="A580" s="42"/>
      <c r="B580" s="36"/>
      <c r="C580" s="36"/>
      <c r="D580" s="36"/>
      <c r="E580" s="36"/>
      <c r="F580" s="36"/>
      <c r="G580" s="37"/>
      <c r="H580" s="36"/>
      <c r="I580" s="36"/>
    </row>
    <row r="581" spans="1:9" x14ac:dyDescent="0.3">
      <c r="A581" s="42"/>
      <c r="B581" s="36"/>
      <c r="C581" s="36"/>
      <c r="D581" s="36"/>
      <c r="E581" s="36"/>
      <c r="F581" s="36"/>
      <c r="G581" s="37"/>
      <c r="H581" s="36"/>
      <c r="I581" s="36"/>
    </row>
    <row r="582" spans="1:9" x14ac:dyDescent="0.3">
      <c r="A582" s="42"/>
      <c r="B582" s="36"/>
      <c r="C582" s="36"/>
      <c r="D582" s="36"/>
      <c r="E582" s="36"/>
      <c r="F582" s="36"/>
      <c r="G582" s="37"/>
      <c r="H582" s="36"/>
      <c r="I582" s="36"/>
    </row>
    <row r="583" spans="1:9" x14ac:dyDescent="0.3">
      <c r="A583" s="42"/>
      <c r="B583" s="36"/>
      <c r="C583" s="36"/>
      <c r="D583" s="36"/>
      <c r="E583" s="36"/>
      <c r="F583" s="36"/>
      <c r="G583" s="37"/>
      <c r="H583" s="36"/>
      <c r="I583" s="36"/>
    </row>
    <row r="584" spans="1:9" x14ac:dyDescent="0.3">
      <c r="A584" s="42"/>
      <c r="B584" s="36"/>
      <c r="C584" s="36"/>
      <c r="D584" s="36"/>
      <c r="E584" s="36"/>
      <c r="F584" s="36"/>
      <c r="G584" s="37"/>
      <c r="H584" s="36"/>
      <c r="I584" s="36"/>
    </row>
    <row r="585" spans="1:9" x14ac:dyDescent="0.3">
      <c r="A585" s="42"/>
      <c r="B585" s="36"/>
      <c r="C585" s="36"/>
      <c r="D585" s="36"/>
      <c r="E585" s="36"/>
      <c r="F585" s="36"/>
      <c r="G585" s="37"/>
      <c r="H585" s="36"/>
      <c r="I585" s="36"/>
    </row>
    <row r="586" spans="1:9" x14ac:dyDescent="0.3">
      <c r="A586" s="42"/>
      <c r="B586" s="36"/>
      <c r="C586" s="36"/>
      <c r="D586" s="36"/>
      <c r="E586" s="36"/>
      <c r="F586" s="36"/>
      <c r="G586" s="37"/>
      <c r="H586" s="36"/>
      <c r="I586" s="36"/>
    </row>
    <row r="587" spans="1:9" x14ac:dyDescent="0.3">
      <c r="A587" s="42"/>
      <c r="B587" s="36"/>
      <c r="C587" s="36"/>
      <c r="D587" s="36"/>
      <c r="E587" s="36"/>
      <c r="F587" s="36"/>
      <c r="G587" s="37"/>
      <c r="H587" s="36"/>
      <c r="I587" s="36"/>
    </row>
    <row r="588" spans="1:9" x14ac:dyDescent="0.3">
      <c r="A588" s="42"/>
      <c r="B588" s="36"/>
      <c r="C588" s="36"/>
      <c r="D588" s="36"/>
      <c r="E588" s="36"/>
      <c r="F588" s="36"/>
      <c r="G588" s="37"/>
      <c r="H588" s="36"/>
      <c r="I588" s="36"/>
    </row>
    <row r="589" spans="1:9" x14ac:dyDescent="0.3">
      <c r="A589" s="42"/>
      <c r="B589" s="36"/>
      <c r="C589" s="36"/>
      <c r="D589" s="36"/>
      <c r="E589" s="36"/>
      <c r="F589" s="36"/>
      <c r="G589" s="37"/>
      <c r="H589" s="36"/>
      <c r="I589" s="36"/>
    </row>
    <row r="590" spans="1:9" x14ac:dyDescent="0.3">
      <c r="A590" s="42"/>
      <c r="B590" s="36"/>
      <c r="C590" s="36"/>
      <c r="D590" s="36"/>
      <c r="E590" s="36"/>
      <c r="F590" s="36"/>
      <c r="G590" s="37"/>
      <c r="H590" s="36"/>
      <c r="I590" s="36"/>
    </row>
    <row r="591" spans="1:9" x14ac:dyDescent="0.3">
      <c r="A591" s="42"/>
      <c r="B591" s="36"/>
      <c r="C591" s="36"/>
      <c r="D591" s="36"/>
      <c r="E591" s="36"/>
      <c r="F591" s="36"/>
      <c r="G591" s="37"/>
      <c r="H591" s="36"/>
      <c r="I591" s="36"/>
    </row>
    <row r="592" spans="1:9" x14ac:dyDescent="0.3">
      <c r="A592" s="42"/>
      <c r="B592" s="36"/>
      <c r="C592" s="36"/>
      <c r="D592" s="36"/>
      <c r="E592" s="36"/>
      <c r="F592" s="36"/>
      <c r="G592" s="37"/>
      <c r="H592" s="36"/>
      <c r="I592" s="36"/>
    </row>
    <row r="593" spans="1:9" x14ac:dyDescent="0.3">
      <c r="A593" s="42"/>
      <c r="B593" s="36"/>
      <c r="C593" s="36"/>
      <c r="D593" s="36"/>
      <c r="E593" s="36"/>
      <c r="F593" s="36"/>
      <c r="G593" s="37"/>
      <c r="H593" s="36"/>
      <c r="I593" s="36"/>
    </row>
    <row r="594" spans="1:9" x14ac:dyDescent="0.3">
      <c r="A594" s="42"/>
      <c r="B594" s="36"/>
      <c r="C594" s="36"/>
      <c r="D594" s="36"/>
      <c r="E594" s="36"/>
      <c r="F594" s="36"/>
      <c r="G594" s="37"/>
      <c r="H594" s="36"/>
      <c r="I594" s="36"/>
    </row>
    <row r="595" spans="1:9" x14ac:dyDescent="0.3">
      <c r="A595" s="42"/>
      <c r="B595" s="36"/>
      <c r="C595" s="36"/>
      <c r="D595" s="36"/>
      <c r="E595" s="36"/>
      <c r="F595" s="36"/>
      <c r="G595" s="37"/>
      <c r="H595" s="36"/>
      <c r="I595" s="36"/>
    </row>
    <row r="596" spans="1:9" x14ac:dyDescent="0.3">
      <c r="A596" s="42"/>
      <c r="B596" s="36"/>
      <c r="C596" s="36"/>
      <c r="D596" s="36"/>
      <c r="E596" s="36"/>
      <c r="F596" s="36"/>
      <c r="G596" s="37"/>
      <c r="H596" s="36"/>
      <c r="I596" s="36"/>
    </row>
    <row r="597" spans="1:9" x14ac:dyDescent="0.3">
      <c r="A597" s="42"/>
      <c r="B597" s="36"/>
      <c r="C597" s="36"/>
      <c r="D597" s="36"/>
      <c r="E597" s="36"/>
      <c r="F597" s="36"/>
      <c r="G597" s="37"/>
      <c r="H597" s="36"/>
      <c r="I597" s="36"/>
    </row>
    <row r="598" spans="1:9" x14ac:dyDescent="0.3">
      <c r="A598" s="42"/>
      <c r="B598" s="36"/>
      <c r="C598" s="36"/>
      <c r="D598" s="36"/>
      <c r="E598" s="36"/>
      <c r="F598" s="36"/>
      <c r="G598" s="37"/>
      <c r="H598" s="36"/>
      <c r="I598" s="36"/>
    </row>
    <row r="599" spans="1:9" x14ac:dyDescent="0.3">
      <c r="A599" s="42"/>
      <c r="B599" s="36"/>
      <c r="C599" s="36"/>
      <c r="D599" s="36"/>
      <c r="E599" s="36"/>
      <c r="F599" s="36"/>
      <c r="G599" s="37"/>
      <c r="H599" s="36"/>
      <c r="I599" s="36"/>
    </row>
    <row r="600" spans="1:9" x14ac:dyDescent="0.3">
      <c r="A600" s="42"/>
      <c r="B600" s="36"/>
      <c r="C600" s="36"/>
      <c r="D600" s="36"/>
      <c r="E600" s="36"/>
      <c r="F600" s="36"/>
      <c r="G600" s="37"/>
      <c r="H600" s="36"/>
      <c r="I600" s="36"/>
    </row>
    <row r="601" spans="1:9" x14ac:dyDescent="0.3">
      <c r="A601" s="42"/>
      <c r="B601" s="36"/>
      <c r="C601" s="36"/>
      <c r="D601" s="36"/>
      <c r="E601" s="36"/>
      <c r="F601" s="36"/>
      <c r="G601" s="37"/>
      <c r="H601" s="36"/>
      <c r="I601" s="36"/>
    </row>
    <row r="602" spans="1:9" x14ac:dyDescent="0.3">
      <c r="A602" s="42"/>
      <c r="B602" s="36"/>
      <c r="C602" s="36"/>
      <c r="D602" s="36"/>
      <c r="E602" s="36"/>
      <c r="F602" s="36"/>
      <c r="G602" s="37"/>
      <c r="H602" s="36"/>
      <c r="I602" s="36"/>
    </row>
    <row r="603" spans="1:9" x14ac:dyDescent="0.3">
      <c r="A603" s="42"/>
      <c r="B603" s="36"/>
      <c r="C603" s="36"/>
      <c r="D603" s="36"/>
      <c r="E603" s="36"/>
      <c r="F603" s="36"/>
      <c r="G603" s="37"/>
      <c r="H603" s="36"/>
      <c r="I603" s="36"/>
    </row>
    <row r="604" spans="1:9" x14ac:dyDescent="0.3">
      <c r="A604" s="42"/>
      <c r="B604" s="36"/>
      <c r="C604" s="36"/>
      <c r="D604" s="36"/>
      <c r="E604" s="36"/>
      <c r="F604" s="36"/>
      <c r="G604" s="37"/>
      <c r="H604" s="36"/>
      <c r="I604" s="36"/>
    </row>
    <row r="605" spans="1:9" x14ac:dyDescent="0.3">
      <c r="A605" s="42"/>
      <c r="B605" s="36"/>
      <c r="C605" s="36"/>
      <c r="D605" s="36"/>
      <c r="E605" s="36"/>
      <c r="F605" s="36"/>
      <c r="G605" s="37"/>
      <c r="H605" s="36"/>
      <c r="I605" s="36"/>
    </row>
    <row r="606" spans="1:9" x14ac:dyDescent="0.3">
      <c r="A606" s="42"/>
      <c r="B606" s="36"/>
      <c r="C606" s="36"/>
      <c r="D606" s="36"/>
      <c r="E606" s="36"/>
      <c r="F606" s="36"/>
      <c r="G606" s="37"/>
      <c r="H606" s="36"/>
      <c r="I606" s="36"/>
    </row>
    <row r="607" spans="1:9" x14ac:dyDescent="0.3">
      <c r="A607" s="42"/>
      <c r="B607" s="36"/>
      <c r="C607" s="36"/>
      <c r="D607" s="36"/>
      <c r="E607" s="36"/>
      <c r="F607" s="36"/>
      <c r="G607" s="37"/>
      <c r="H607" s="36"/>
      <c r="I607" s="36"/>
    </row>
    <row r="608" spans="1:9" x14ac:dyDescent="0.3">
      <c r="A608" s="42"/>
      <c r="B608" s="36"/>
      <c r="C608" s="36"/>
      <c r="D608" s="36"/>
      <c r="E608" s="36"/>
      <c r="F608" s="36"/>
      <c r="G608" s="37"/>
      <c r="H608" s="36"/>
      <c r="I608" s="36"/>
    </row>
    <row r="609" spans="1:9" x14ac:dyDescent="0.3">
      <c r="A609" s="42"/>
      <c r="B609" s="36"/>
      <c r="C609" s="36"/>
      <c r="D609" s="36"/>
      <c r="E609" s="36"/>
      <c r="F609" s="36"/>
      <c r="G609" s="37"/>
      <c r="H609" s="36"/>
      <c r="I609" s="36"/>
    </row>
    <row r="610" spans="1:9" x14ac:dyDescent="0.3">
      <c r="A610" s="42"/>
      <c r="B610" s="36"/>
      <c r="C610" s="36"/>
      <c r="D610" s="36"/>
      <c r="E610" s="36"/>
      <c r="F610" s="36"/>
      <c r="G610" s="37"/>
      <c r="H610" s="36"/>
      <c r="I610" s="36"/>
    </row>
    <row r="611" spans="1:9" x14ac:dyDescent="0.3">
      <c r="A611" s="42"/>
      <c r="B611" s="36"/>
      <c r="C611" s="36"/>
      <c r="D611" s="36"/>
      <c r="E611" s="36"/>
      <c r="F611" s="36"/>
      <c r="G611" s="37"/>
      <c r="H611" s="36"/>
      <c r="I611" s="36"/>
    </row>
    <row r="612" spans="1:9" x14ac:dyDescent="0.3">
      <c r="A612" s="42"/>
      <c r="B612" s="36"/>
      <c r="C612" s="36"/>
      <c r="D612" s="36"/>
      <c r="E612" s="36"/>
      <c r="F612" s="36"/>
      <c r="G612" s="37"/>
      <c r="H612" s="36"/>
      <c r="I612" s="36"/>
    </row>
    <row r="613" spans="1:9" x14ac:dyDescent="0.3">
      <c r="A613" s="42"/>
      <c r="B613" s="36"/>
      <c r="C613" s="36"/>
      <c r="D613" s="36"/>
      <c r="E613" s="36"/>
      <c r="F613" s="36"/>
      <c r="G613" s="37"/>
      <c r="H613" s="36"/>
      <c r="I613" s="36"/>
    </row>
    <row r="614" spans="1:9" x14ac:dyDescent="0.3">
      <c r="A614" s="42"/>
      <c r="B614" s="36"/>
      <c r="C614" s="36"/>
      <c r="D614" s="36"/>
      <c r="E614" s="36"/>
      <c r="F614" s="36"/>
      <c r="G614" s="37"/>
      <c r="H614" s="36"/>
      <c r="I614" s="36"/>
    </row>
    <row r="615" spans="1:9" x14ac:dyDescent="0.3">
      <c r="A615" s="42"/>
      <c r="B615" s="36"/>
      <c r="C615" s="36"/>
      <c r="D615" s="36"/>
      <c r="E615" s="36"/>
      <c r="F615" s="36"/>
      <c r="G615" s="37"/>
      <c r="H615" s="36"/>
      <c r="I615" s="36"/>
    </row>
    <row r="616" spans="1:9" x14ac:dyDescent="0.3">
      <c r="A616" s="42"/>
      <c r="B616" s="36"/>
      <c r="C616" s="36"/>
      <c r="D616" s="36"/>
      <c r="E616" s="36"/>
      <c r="F616" s="36"/>
      <c r="G616" s="37"/>
      <c r="H616" s="36"/>
      <c r="I616" s="36"/>
    </row>
    <row r="617" spans="1:9" x14ac:dyDescent="0.3">
      <c r="A617" s="42"/>
      <c r="B617" s="36"/>
      <c r="C617" s="36"/>
      <c r="D617" s="36"/>
      <c r="E617" s="36"/>
      <c r="F617" s="36"/>
      <c r="G617" s="37"/>
      <c r="H617" s="36"/>
      <c r="I617" s="36"/>
    </row>
    <row r="618" spans="1:9" x14ac:dyDescent="0.3">
      <c r="A618" s="42"/>
      <c r="B618" s="36"/>
      <c r="C618" s="36"/>
      <c r="D618" s="36"/>
      <c r="E618" s="36"/>
      <c r="F618" s="36"/>
      <c r="G618" s="37"/>
      <c r="H618" s="36"/>
      <c r="I618" s="36"/>
    </row>
    <row r="619" spans="1:9" x14ac:dyDescent="0.3">
      <c r="A619" s="42"/>
      <c r="B619" s="36"/>
      <c r="C619" s="36"/>
      <c r="D619" s="36"/>
      <c r="E619" s="36"/>
      <c r="F619" s="36"/>
      <c r="G619" s="37"/>
      <c r="H619" s="36"/>
      <c r="I619" s="36"/>
    </row>
    <row r="620" spans="1:9" x14ac:dyDescent="0.3">
      <c r="A620" s="42"/>
      <c r="B620" s="36"/>
      <c r="C620" s="36"/>
      <c r="D620" s="36"/>
      <c r="E620" s="36"/>
      <c r="F620" s="36"/>
      <c r="G620" s="37"/>
      <c r="H620" s="36"/>
      <c r="I620" s="36"/>
    </row>
    <row r="621" spans="1:9" x14ac:dyDescent="0.3">
      <c r="A621" s="42"/>
      <c r="B621" s="36"/>
      <c r="C621" s="36"/>
      <c r="D621" s="36"/>
      <c r="E621" s="36"/>
      <c r="F621" s="36"/>
      <c r="G621" s="37"/>
      <c r="H621" s="36"/>
      <c r="I621" s="36"/>
    </row>
    <row r="622" spans="1:9" x14ac:dyDescent="0.3">
      <c r="A622" s="42"/>
      <c r="B622" s="36"/>
      <c r="C622" s="36"/>
      <c r="D622" s="36"/>
      <c r="E622" s="36"/>
      <c r="F622" s="36"/>
      <c r="G622" s="37"/>
      <c r="H622" s="36"/>
      <c r="I622" s="36"/>
    </row>
    <row r="623" spans="1:9" x14ac:dyDescent="0.3">
      <c r="A623" s="42"/>
      <c r="B623" s="36"/>
      <c r="C623" s="36"/>
      <c r="D623" s="36"/>
      <c r="E623" s="36"/>
      <c r="F623" s="36"/>
      <c r="G623" s="37"/>
      <c r="H623" s="36"/>
      <c r="I623" s="36"/>
    </row>
    <row r="624" spans="1:9" x14ac:dyDescent="0.3">
      <c r="A624" s="42"/>
      <c r="B624" s="36"/>
      <c r="C624" s="36"/>
      <c r="D624" s="36"/>
      <c r="E624" s="36"/>
      <c r="F624" s="36"/>
      <c r="G624" s="37"/>
      <c r="H624" s="36"/>
      <c r="I624" s="36"/>
    </row>
    <row r="625" spans="1:9" x14ac:dyDescent="0.3">
      <c r="A625" s="42"/>
      <c r="B625" s="36"/>
      <c r="C625" s="36"/>
      <c r="D625" s="36"/>
      <c r="E625" s="36"/>
      <c r="F625" s="36"/>
      <c r="G625" s="37"/>
      <c r="H625" s="36"/>
      <c r="I625" s="36"/>
    </row>
    <row r="626" spans="1:9" x14ac:dyDescent="0.3">
      <c r="A626" s="42"/>
      <c r="B626" s="36"/>
      <c r="C626" s="36"/>
      <c r="D626" s="36"/>
      <c r="E626" s="36"/>
      <c r="F626" s="36"/>
      <c r="G626" s="37"/>
      <c r="H626" s="36"/>
      <c r="I626" s="36"/>
    </row>
    <row r="627" spans="1:9" x14ac:dyDescent="0.3">
      <c r="A627" s="42"/>
      <c r="B627" s="36"/>
      <c r="C627" s="36"/>
      <c r="D627" s="36"/>
      <c r="E627" s="36"/>
      <c r="F627" s="36"/>
      <c r="G627" s="37"/>
      <c r="H627" s="36"/>
      <c r="I627" s="36"/>
    </row>
    <row r="628" spans="1:9" x14ac:dyDescent="0.3">
      <c r="A628" s="42"/>
      <c r="B628" s="36"/>
      <c r="C628" s="36"/>
      <c r="D628" s="36"/>
      <c r="E628" s="36"/>
      <c r="F628" s="36"/>
      <c r="G628" s="37"/>
      <c r="H628" s="36"/>
      <c r="I628" s="36"/>
    </row>
    <row r="629" spans="1:9" x14ac:dyDescent="0.3">
      <c r="A629" s="42"/>
      <c r="B629" s="36"/>
      <c r="C629" s="36"/>
      <c r="D629" s="36"/>
      <c r="E629" s="36"/>
      <c r="F629" s="36"/>
      <c r="G629" s="37"/>
      <c r="H629" s="36"/>
      <c r="I629" s="36"/>
    </row>
    <row r="630" spans="1:9" x14ac:dyDescent="0.3">
      <c r="A630" s="42"/>
      <c r="B630" s="36"/>
      <c r="C630" s="36"/>
      <c r="D630" s="36"/>
      <c r="E630" s="36"/>
      <c r="F630" s="36"/>
      <c r="G630" s="37"/>
      <c r="H630" s="36"/>
      <c r="I630" s="36"/>
    </row>
    <row r="631" spans="1:9" x14ac:dyDescent="0.3">
      <c r="A631" s="42"/>
      <c r="B631" s="36"/>
      <c r="C631" s="36"/>
      <c r="D631" s="36"/>
      <c r="E631" s="36"/>
      <c r="F631" s="36"/>
      <c r="G631" s="37"/>
      <c r="H631" s="36"/>
      <c r="I631" s="36"/>
    </row>
    <row r="632" spans="1:9" x14ac:dyDescent="0.3">
      <c r="A632" s="42"/>
      <c r="B632" s="36"/>
      <c r="C632" s="36"/>
      <c r="D632" s="36"/>
      <c r="E632" s="36"/>
      <c r="F632" s="36"/>
      <c r="G632" s="37"/>
      <c r="H632" s="36"/>
      <c r="I632" s="36"/>
    </row>
    <row r="633" spans="1:9" x14ac:dyDescent="0.3">
      <c r="A633" s="42"/>
      <c r="B633" s="36"/>
      <c r="C633" s="36"/>
      <c r="D633" s="36"/>
      <c r="E633" s="36"/>
      <c r="F633" s="36"/>
      <c r="G633" s="37"/>
      <c r="H633" s="36"/>
      <c r="I633" s="36"/>
    </row>
    <row r="634" spans="1:9" x14ac:dyDescent="0.3">
      <c r="A634" s="42"/>
      <c r="B634" s="36"/>
      <c r="C634" s="36"/>
      <c r="D634" s="36"/>
      <c r="E634" s="36"/>
      <c r="F634" s="36"/>
      <c r="G634" s="37"/>
      <c r="H634" s="36"/>
      <c r="I634" s="36"/>
    </row>
    <row r="635" spans="1:9" x14ac:dyDescent="0.3">
      <c r="A635" s="42"/>
      <c r="B635" s="36"/>
      <c r="C635" s="36"/>
      <c r="D635" s="36"/>
      <c r="E635" s="36"/>
      <c r="F635" s="36"/>
      <c r="G635" s="37"/>
      <c r="H635" s="36"/>
      <c r="I635" s="36"/>
    </row>
    <row r="636" spans="1:9" x14ac:dyDescent="0.3">
      <c r="A636" s="42"/>
      <c r="B636" s="36"/>
      <c r="C636" s="36"/>
      <c r="D636" s="36"/>
      <c r="E636" s="36"/>
      <c r="F636" s="36"/>
      <c r="G636" s="37"/>
      <c r="H636" s="36"/>
      <c r="I636" s="36"/>
    </row>
    <row r="637" spans="1:9" x14ac:dyDescent="0.3">
      <c r="A637" s="42"/>
      <c r="B637" s="36"/>
      <c r="C637" s="36"/>
      <c r="D637" s="36"/>
      <c r="E637" s="36"/>
      <c r="F637" s="36"/>
      <c r="G637" s="37"/>
      <c r="H637" s="36"/>
      <c r="I637" s="36"/>
    </row>
    <row r="638" spans="1:9" x14ac:dyDescent="0.3">
      <c r="A638" s="42"/>
      <c r="B638" s="36"/>
      <c r="C638" s="36"/>
      <c r="D638" s="36"/>
      <c r="E638" s="36"/>
      <c r="F638" s="36"/>
      <c r="G638" s="37"/>
      <c r="H638" s="36"/>
      <c r="I638" s="36"/>
    </row>
    <row r="639" spans="1:9" x14ac:dyDescent="0.3">
      <c r="A639" s="42"/>
      <c r="B639" s="36"/>
      <c r="C639" s="36"/>
      <c r="D639" s="36"/>
      <c r="E639" s="36"/>
      <c r="F639" s="36"/>
      <c r="G639" s="37"/>
      <c r="H639" s="36"/>
      <c r="I639" s="36"/>
    </row>
    <row r="640" spans="1:9" x14ac:dyDescent="0.3">
      <c r="A640" s="42"/>
      <c r="B640" s="36"/>
      <c r="C640" s="36"/>
      <c r="D640" s="36"/>
      <c r="E640" s="36"/>
      <c r="F640" s="36"/>
      <c r="G640" s="37"/>
      <c r="H640" s="36"/>
      <c r="I640" s="36"/>
    </row>
    <row r="641" spans="1:9" x14ac:dyDescent="0.3">
      <c r="A641" s="42"/>
      <c r="B641" s="36"/>
      <c r="C641" s="36"/>
      <c r="D641" s="36"/>
      <c r="E641" s="36"/>
      <c r="F641" s="36"/>
      <c r="G641" s="37"/>
      <c r="H641" s="36"/>
      <c r="I641" s="36"/>
    </row>
    <row r="642" spans="1:9" x14ac:dyDescent="0.3">
      <c r="A642" s="42"/>
      <c r="B642" s="36"/>
      <c r="C642" s="36"/>
      <c r="D642" s="36"/>
      <c r="E642" s="36"/>
      <c r="F642" s="36"/>
      <c r="G642" s="37"/>
      <c r="H642" s="36"/>
      <c r="I642" s="36"/>
    </row>
    <row r="643" spans="1:9" x14ac:dyDescent="0.3">
      <c r="A643" s="42"/>
      <c r="B643" s="36"/>
      <c r="C643" s="36"/>
      <c r="D643" s="36"/>
      <c r="E643" s="36"/>
      <c r="F643" s="36"/>
      <c r="G643" s="37"/>
      <c r="H643" s="36"/>
      <c r="I643" s="36"/>
    </row>
    <row r="644" spans="1:9" x14ac:dyDescent="0.3">
      <c r="A644" s="42"/>
      <c r="B644" s="36"/>
      <c r="C644" s="36"/>
      <c r="D644" s="36"/>
      <c r="E644" s="36"/>
      <c r="F644" s="36"/>
      <c r="G644" s="37"/>
      <c r="H644" s="36"/>
      <c r="I644" s="36"/>
    </row>
    <row r="645" spans="1:9" x14ac:dyDescent="0.3">
      <c r="A645" s="42"/>
      <c r="B645" s="36"/>
      <c r="C645" s="36"/>
      <c r="D645" s="36"/>
      <c r="E645" s="36"/>
      <c r="F645" s="36"/>
      <c r="G645" s="37"/>
      <c r="H645" s="36"/>
      <c r="I645" s="36"/>
    </row>
    <row r="646" spans="1:9" x14ac:dyDescent="0.3">
      <c r="A646" s="42"/>
      <c r="B646" s="36"/>
      <c r="C646" s="36"/>
      <c r="D646" s="36"/>
      <c r="E646" s="36"/>
      <c r="F646" s="36"/>
      <c r="G646" s="37"/>
      <c r="H646" s="36"/>
      <c r="I646" s="36"/>
    </row>
    <row r="647" spans="1:9" x14ac:dyDescent="0.3">
      <c r="A647" s="42"/>
      <c r="B647" s="36"/>
      <c r="C647" s="36"/>
      <c r="D647" s="36"/>
      <c r="E647" s="36"/>
      <c r="F647" s="36"/>
      <c r="G647" s="37"/>
      <c r="H647" s="36"/>
      <c r="I647" s="36"/>
    </row>
    <row r="648" spans="1:9" x14ac:dyDescent="0.3">
      <c r="A648" s="42"/>
      <c r="B648" s="36"/>
      <c r="C648" s="36"/>
      <c r="D648" s="36"/>
      <c r="E648" s="36"/>
      <c r="F648" s="36"/>
      <c r="G648" s="37"/>
      <c r="H648" s="36"/>
      <c r="I648" s="36"/>
    </row>
    <row r="649" spans="1:9" x14ac:dyDescent="0.3">
      <c r="A649" s="42"/>
      <c r="B649" s="36"/>
      <c r="C649" s="36"/>
      <c r="D649" s="36"/>
      <c r="E649" s="36"/>
      <c r="F649" s="36"/>
      <c r="G649" s="37"/>
      <c r="H649" s="36"/>
      <c r="I649" s="36"/>
    </row>
    <row r="650" spans="1:9" x14ac:dyDescent="0.3">
      <c r="A650" s="42"/>
      <c r="B650" s="36"/>
      <c r="C650" s="36"/>
      <c r="D650" s="36"/>
      <c r="E650" s="36"/>
      <c r="F650" s="36"/>
      <c r="G650" s="37"/>
      <c r="H650" s="36"/>
      <c r="I650" s="36"/>
    </row>
    <row r="651" spans="1:9" x14ac:dyDescent="0.3">
      <c r="A651" s="42"/>
      <c r="B651" s="36"/>
      <c r="C651" s="36"/>
      <c r="D651" s="36"/>
      <c r="E651" s="36"/>
      <c r="F651" s="36"/>
      <c r="G651" s="37"/>
      <c r="H651" s="36"/>
      <c r="I651" s="36"/>
    </row>
    <row r="652" spans="1:9" x14ac:dyDescent="0.3">
      <c r="A652" s="42"/>
      <c r="B652" s="36"/>
      <c r="C652" s="36"/>
      <c r="D652" s="36"/>
      <c r="E652" s="36"/>
      <c r="F652" s="36"/>
      <c r="G652" s="37"/>
      <c r="H652" s="36"/>
      <c r="I652" s="36"/>
    </row>
    <row r="653" spans="1:9" x14ac:dyDescent="0.3">
      <c r="A653" s="42"/>
      <c r="B653" s="36"/>
      <c r="C653" s="36"/>
      <c r="D653" s="36"/>
      <c r="E653" s="36"/>
      <c r="F653" s="36"/>
      <c r="G653" s="37"/>
      <c r="H653" s="36"/>
      <c r="I653" s="36"/>
    </row>
    <row r="654" spans="1:9" x14ac:dyDescent="0.3">
      <c r="A654" s="42"/>
      <c r="B654" s="36"/>
      <c r="C654" s="36"/>
      <c r="D654" s="36"/>
      <c r="E654" s="36"/>
      <c r="F654" s="36"/>
      <c r="G654" s="37"/>
      <c r="H654" s="36"/>
      <c r="I654" s="36"/>
    </row>
    <row r="655" spans="1:9" x14ac:dyDescent="0.3">
      <c r="A655" s="42"/>
      <c r="B655" s="36"/>
      <c r="C655" s="36"/>
      <c r="D655" s="36"/>
      <c r="E655" s="36"/>
      <c r="F655" s="36"/>
      <c r="G655" s="37"/>
      <c r="H655" s="36"/>
      <c r="I655" s="36"/>
    </row>
    <row r="656" spans="1:9" x14ac:dyDescent="0.3">
      <c r="A656" s="42"/>
      <c r="B656" s="36"/>
      <c r="C656" s="36"/>
      <c r="D656" s="36"/>
      <c r="E656" s="36"/>
      <c r="F656" s="36"/>
      <c r="G656" s="37"/>
      <c r="H656" s="36"/>
      <c r="I656" s="36"/>
    </row>
    <row r="657" spans="1:9" x14ac:dyDescent="0.3">
      <c r="A657" s="42"/>
      <c r="B657" s="36"/>
      <c r="C657" s="36"/>
      <c r="D657" s="36"/>
      <c r="E657" s="36"/>
      <c r="F657" s="36"/>
      <c r="G657" s="37"/>
      <c r="H657" s="36"/>
      <c r="I657" s="36"/>
    </row>
    <row r="658" spans="1:9" x14ac:dyDescent="0.3">
      <c r="A658" s="42"/>
      <c r="B658" s="36"/>
      <c r="C658" s="36"/>
      <c r="D658" s="36"/>
      <c r="E658" s="36"/>
      <c r="F658" s="36"/>
      <c r="G658" s="37"/>
      <c r="H658" s="36"/>
      <c r="I658" s="36"/>
    </row>
    <row r="659" spans="1:9" x14ac:dyDescent="0.3">
      <c r="A659" s="42"/>
      <c r="B659" s="36"/>
      <c r="C659" s="36"/>
      <c r="D659" s="36"/>
      <c r="E659" s="36"/>
      <c r="F659" s="36"/>
      <c r="G659" s="37"/>
      <c r="H659" s="36"/>
      <c r="I659" s="36"/>
    </row>
    <row r="660" spans="1:9" x14ac:dyDescent="0.3">
      <c r="A660" s="42"/>
      <c r="B660" s="36"/>
      <c r="C660" s="36"/>
      <c r="D660" s="36"/>
      <c r="E660" s="36"/>
      <c r="F660" s="36"/>
      <c r="G660" s="37"/>
      <c r="H660" s="36"/>
      <c r="I660" s="36"/>
    </row>
    <row r="661" spans="1:9" x14ac:dyDescent="0.3">
      <c r="A661" s="42"/>
      <c r="B661" s="36"/>
      <c r="C661" s="36"/>
      <c r="D661" s="36"/>
      <c r="E661" s="36"/>
      <c r="F661" s="36"/>
      <c r="G661" s="37"/>
      <c r="H661" s="36"/>
      <c r="I661" s="36"/>
    </row>
    <row r="662" spans="1:9" x14ac:dyDescent="0.3">
      <c r="A662" s="42"/>
      <c r="B662" s="36"/>
      <c r="C662" s="36"/>
      <c r="D662" s="36"/>
      <c r="E662" s="36"/>
      <c r="F662" s="36"/>
      <c r="G662" s="37"/>
      <c r="H662" s="36"/>
      <c r="I662" s="36"/>
    </row>
    <row r="663" spans="1:9" x14ac:dyDescent="0.3">
      <c r="A663" s="42"/>
      <c r="B663" s="36"/>
      <c r="C663" s="36"/>
      <c r="D663" s="36"/>
      <c r="E663" s="36"/>
      <c r="F663" s="36"/>
      <c r="G663" s="37"/>
      <c r="H663" s="36"/>
      <c r="I663" s="36"/>
    </row>
    <row r="664" spans="1:9" x14ac:dyDescent="0.3">
      <c r="A664" s="42"/>
      <c r="B664" s="36"/>
      <c r="C664" s="36"/>
      <c r="D664" s="36"/>
      <c r="E664" s="36"/>
      <c r="F664" s="36"/>
      <c r="G664" s="37"/>
      <c r="H664" s="36"/>
      <c r="I664" s="36"/>
    </row>
    <row r="665" spans="1:9" x14ac:dyDescent="0.3">
      <c r="A665" s="42"/>
      <c r="B665" s="36"/>
      <c r="C665" s="36"/>
      <c r="D665" s="36"/>
      <c r="E665" s="36"/>
      <c r="F665" s="36"/>
      <c r="G665" s="37"/>
      <c r="H665" s="36"/>
      <c r="I665" s="36"/>
    </row>
    <row r="666" spans="1:9" x14ac:dyDescent="0.3">
      <c r="A666" s="42"/>
      <c r="B666" s="36"/>
      <c r="C666" s="36"/>
      <c r="D666" s="36"/>
      <c r="E666" s="36"/>
      <c r="F666" s="36"/>
      <c r="G666" s="37"/>
      <c r="H666" s="36"/>
      <c r="I666" s="36"/>
    </row>
    <row r="667" spans="1:9" x14ac:dyDescent="0.3">
      <c r="A667" s="42"/>
      <c r="B667" s="36"/>
      <c r="C667" s="36"/>
      <c r="D667" s="36"/>
      <c r="E667" s="36"/>
      <c r="F667" s="36"/>
      <c r="G667" s="37"/>
      <c r="H667" s="36"/>
      <c r="I667" s="36"/>
    </row>
    <row r="668" spans="1:9" x14ac:dyDescent="0.3">
      <c r="A668" s="42"/>
      <c r="B668" s="36"/>
      <c r="C668" s="36"/>
      <c r="D668" s="36"/>
      <c r="E668" s="36"/>
      <c r="F668" s="36"/>
      <c r="G668" s="37"/>
      <c r="H668" s="36"/>
      <c r="I668" s="36"/>
    </row>
    <row r="669" spans="1:9" x14ac:dyDescent="0.3">
      <c r="A669" s="42"/>
      <c r="B669" s="36"/>
      <c r="C669" s="36"/>
      <c r="D669" s="36"/>
      <c r="E669" s="36"/>
      <c r="F669" s="36"/>
      <c r="G669" s="37"/>
      <c r="H669" s="36"/>
      <c r="I669" s="36"/>
    </row>
    <row r="670" spans="1:9" x14ac:dyDescent="0.3">
      <c r="A670" s="42"/>
      <c r="B670" s="36"/>
      <c r="C670" s="36"/>
      <c r="D670" s="36"/>
      <c r="E670" s="36"/>
      <c r="F670" s="36"/>
      <c r="G670" s="37"/>
      <c r="H670" s="36"/>
      <c r="I670" s="36"/>
    </row>
    <row r="671" spans="1:9" x14ac:dyDescent="0.3">
      <c r="A671" s="42"/>
      <c r="B671" s="36"/>
      <c r="C671" s="36"/>
      <c r="D671" s="36"/>
      <c r="E671" s="36"/>
      <c r="F671" s="36"/>
      <c r="G671" s="37"/>
      <c r="H671" s="36"/>
      <c r="I671" s="36"/>
    </row>
    <row r="672" spans="1:9" x14ac:dyDescent="0.3">
      <c r="A672" s="42"/>
      <c r="B672" s="36"/>
      <c r="C672" s="36"/>
      <c r="D672" s="36"/>
      <c r="E672" s="36"/>
      <c r="F672" s="36"/>
      <c r="G672" s="37"/>
      <c r="H672" s="36"/>
      <c r="I672" s="36"/>
    </row>
    <row r="673" spans="1:9" x14ac:dyDescent="0.3">
      <c r="A673" s="42"/>
      <c r="B673" s="36"/>
      <c r="C673" s="36"/>
      <c r="D673" s="36"/>
      <c r="E673" s="36"/>
      <c r="F673" s="36"/>
      <c r="G673" s="37"/>
      <c r="H673" s="36"/>
      <c r="I673" s="36"/>
    </row>
    <row r="674" spans="1:9" x14ac:dyDescent="0.3">
      <c r="A674" s="42"/>
      <c r="B674" s="36"/>
      <c r="C674" s="36"/>
      <c r="D674" s="36"/>
      <c r="E674" s="36"/>
      <c r="F674" s="36"/>
      <c r="G674" s="37"/>
      <c r="H674" s="36"/>
      <c r="I674" s="36"/>
    </row>
    <row r="675" spans="1:9" x14ac:dyDescent="0.3">
      <c r="A675" s="42"/>
      <c r="B675" s="36"/>
      <c r="C675" s="36"/>
      <c r="D675" s="36"/>
      <c r="E675" s="36"/>
      <c r="F675" s="36"/>
      <c r="G675" s="37"/>
      <c r="H675" s="36"/>
      <c r="I675" s="36"/>
    </row>
    <row r="676" spans="1:9" x14ac:dyDescent="0.3">
      <c r="A676" s="42"/>
      <c r="B676" s="36"/>
      <c r="C676" s="36"/>
      <c r="D676" s="36"/>
      <c r="E676" s="36"/>
      <c r="F676" s="36"/>
      <c r="G676" s="37"/>
      <c r="H676" s="36"/>
      <c r="I676" s="36"/>
    </row>
    <row r="677" spans="1:9" x14ac:dyDescent="0.3">
      <c r="A677" s="42"/>
      <c r="B677" s="36"/>
      <c r="C677" s="36"/>
      <c r="D677" s="36"/>
      <c r="E677" s="36"/>
      <c r="F677" s="36"/>
      <c r="G677" s="37"/>
      <c r="H677" s="36"/>
      <c r="I677" s="36"/>
    </row>
    <row r="678" spans="1:9" x14ac:dyDescent="0.3">
      <c r="A678" s="42"/>
      <c r="B678" s="36"/>
      <c r="C678" s="36"/>
      <c r="D678" s="36"/>
      <c r="E678" s="36"/>
      <c r="F678" s="36"/>
      <c r="G678" s="37"/>
      <c r="H678" s="36"/>
      <c r="I678" s="36"/>
    </row>
    <row r="679" spans="1:9" x14ac:dyDescent="0.3">
      <c r="A679" s="42"/>
      <c r="B679" s="36"/>
      <c r="C679" s="36"/>
      <c r="D679" s="36"/>
      <c r="E679" s="36"/>
      <c r="F679" s="36"/>
      <c r="G679" s="37"/>
      <c r="H679" s="36"/>
      <c r="I679" s="36"/>
    </row>
    <row r="680" spans="1:9" x14ac:dyDescent="0.3">
      <c r="A680" s="42"/>
      <c r="B680" s="36"/>
      <c r="C680" s="36"/>
      <c r="D680" s="36"/>
      <c r="E680" s="36"/>
      <c r="F680" s="36"/>
      <c r="G680" s="37"/>
      <c r="H680" s="36"/>
      <c r="I680" s="36"/>
    </row>
    <row r="681" spans="1:9" x14ac:dyDescent="0.3">
      <c r="A681" s="42"/>
      <c r="B681" s="36"/>
      <c r="C681" s="36"/>
      <c r="D681" s="36"/>
      <c r="E681" s="36"/>
      <c r="F681" s="36"/>
      <c r="G681" s="37"/>
      <c r="H681" s="36"/>
      <c r="I681" s="36"/>
    </row>
    <row r="682" spans="1:9" x14ac:dyDescent="0.3">
      <c r="A682" s="42"/>
      <c r="B682" s="36"/>
      <c r="C682" s="36"/>
      <c r="D682" s="36"/>
      <c r="E682" s="36"/>
      <c r="F682" s="36"/>
      <c r="G682" s="37"/>
      <c r="H682" s="36"/>
      <c r="I682" s="36"/>
    </row>
    <row r="683" spans="1:9" x14ac:dyDescent="0.3">
      <c r="A683" s="42"/>
      <c r="B683" s="36"/>
      <c r="C683" s="36"/>
      <c r="D683" s="36"/>
      <c r="E683" s="36"/>
      <c r="F683" s="36"/>
      <c r="G683" s="37"/>
      <c r="H683" s="36"/>
      <c r="I683" s="36"/>
    </row>
    <row r="684" spans="1:9" x14ac:dyDescent="0.3">
      <c r="A684" s="42"/>
      <c r="B684" s="36"/>
      <c r="C684" s="36"/>
      <c r="D684" s="36"/>
      <c r="E684" s="36"/>
      <c r="F684" s="36"/>
      <c r="G684" s="37"/>
      <c r="H684" s="36"/>
      <c r="I684" s="36"/>
    </row>
    <row r="685" spans="1:9" x14ac:dyDescent="0.3">
      <c r="A685" s="42"/>
      <c r="B685" s="36"/>
      <c r="C685" s="36"/>
      <c r="D685" s="36"/>
      <c r="E685" s="36"/>
      <c r="F685" s="36"/>
      <c r="G685" s="37"/>
      <c r="H685" s="36"/>
      <c r="I685" s="36"/>
    </row>
    <row r="686" spans="1:9" x14ac:dyDescent="0.3">
      <c r="A686" s="42"/>
      <c r="B686" s="36"/>
      <c r="C686" s="36"/>
      <c r="D686" s="36"/>
      <c r="E686" s="36"/>
      <c r="F686" s="36"/>
      <c r="G686" s="37"/>
      <c r="H686" s="36"/>
      <c r="I686" s="36"/>
    </row>
    <row r="687" spans="1:9" x14ac:dyDescent="0.3">
      <c r="A687" s="42"/>
      <c r="B687" s="36"/>
      <c r="C687" s="36"/>
      <c r="D687" s="36"/>
      <c r="E687" s="36"/>
      <c r="F687" s="36"/>
      <c r="G687" s="37"/>
      <c r="H687" s="36"/>
      <c r="I687" s="36"/>
    </row>
    <row r="688" spans="1:9" x14ac:dyDescent="0.3">
      <c r="A688" s="42"/>
      <c r="B688" s="36"/>
      <c r="C688" s="36"/>
      <c r="D688" s="36"/>
      <c r="E688" s="36"/>
      <c r="F688" s="36"/>
      <c r="G688" s="37"/>
      <c r="H688" s="36"/>
      <c r="I688" s="36"/>
    </row>
    <row r="689" spans="1:9" x14ac:dyDescent="0.3">
      <c r="A689" s="42"/>
      <c r="B689" s="36"/>
      <c r="C689" s="36"/>
      <c r="D689" s="36"/>
      <c r="E689" s="36"/>
      <c r="F689" s="36"/>
      <c r="G689" s="37"/>
      <c r="H689" s="36"/>
      <c r="I689" s="36"/>
    </row>
    <row r="690" spans="1:9" x14ac:dyDescent="0.3">
      <c r="A690" s="42"/>
      <c r="B690" s="36"/>
      <c r="C690" s="36"/>
      <c r="D690" s="36"/>
      <c r="E690" s="36"/>
      <c r="F690" s="36"/>
      <c r="G690" s="37"/>
      <c r="H690" s="36"/>
      <c r="I690" s="36"/>
    </row>
    <row r="691" spans="1:9" x14ac:dyDescent="0.3">
      <c r="A691" s="42"/>
      <c r="B691" s="36"/>
      <c r="C691" s="36"/>
      <c r="D691" s="36"/>
      <c r="E691" s="36"/>
      <c r="F691" s="36"/>
      <c r="G691" s="37"/>
      <c r="H691" s="36"/>
      <c r="I691" s="36"/>
    </row>
    <row r="692" spans="1:9" x14ac:dyDescent="0.3">
      <c r="A692" s="42"/>
      <c r="B692" s="36"/>
      <c r="C692" s="36"/>
      <c r="D692" s="36"/>
      <c r="E692" s="36"/>
      <c r="F692" s="36"/>
      <c r="G692" s="37"/>
      <c r="H692" s="36"/>
      <c r="I692" s="36"/>
    </row>
    <row r="693" spans="1:9" x14ac:dyDescent="0.3">
      <c r="A693" s="42"/>
      <c r="B693" s="36"/>
      <c r="C693" s="36"/>
      <c r="D693" s="36"/>
      <c r="E693" s="36"/>
      <c r="F693" s="36"/>
      <c r="G693" s="37"/>
      <c r="H693" s="36"/>
      <c r="I693" s="36"/>
    </row>
    <row r="694" spans="1:9" x14ac:dyDescent="0.3">
      <c r="A694" s="42"/>
      <c r="B694" s="36"/>
      <c r="C694" s="36"/>
      <c r="D694" s="36"/>
      <c r="E694" s="36"/>
      <c r="F694" s="36"/>
      <c r="G694" s="37"/>
      <c r="H694" s="36"/>
      <c r="I694" s="36"/>
    </row>
    <row r="695" spans="1:9" x14ac:dyDescent="0.3">
      <c r="A695" s="42"/>
      <c r="B695" s="36"/>
      <c r="C695" s="36"/>
      <c r="D695" s="36"/>
      <c r="E695" s="36"/>
      <c r="F695" s="36"/>
      <c r="G695" s="37"/>
      <c r="H695" s="36"/>
      <c r="I695" s="36"/>
    </row>
    <row r="696" spans="1:9" x14ac:dyDescent="0.3">
      <c r="A696" s="42"/>
      <c r="B696" s="36"/>
      <c r="C696" s="36"/>
      <c r="D696" s="36"/>
      <c r="E696" s="36"/>
      <c r="F696" s="36"/>
      <c r="G696" s="37"/>
      <c r="H696" s="36"/>
      <c r="I696" s="36"/>
    </row>
    <row r="697" spans="1:9" x14ac:dyDescent="0.3">
      <c r="A697" s="42"/>
      <c r="B697" s="36"/>
      <c r="C697" s="36"/>
      <c r="D697" s="36"/>
      <c r="E697" s="36"/>
      <c r="F697" s="36"/>
      <c r="G697" s="37"/>
      <c r="H697" s="36"/>
      <c r="I697" s="36"/>
    </row>
    <row r="698" spans="1:9" x14ac:dyDescent="0.3">
      <c r="A698" s="42"/>
      <c r="B698" s="36"/>
      <c r="C698" s="36"/>
      <c r="D698" s="36"/>
      <c r="E698" s="36"/>
      <c r="F698" s="36"/>
      <c r="G698" s="37"/>
      <c r="H698" s="36"/>
      <c r="I698" s="36"/>
    </row>
    <row r="699" spans="1:9" x14ac:dyDescent="0.3">
      <c r="A699" s="42"/>
      <c r="B699" s="36"/>
      <c r="C699" s="36"/>
      <c r="D699" s="36"/>
      <c r="E699" s="36"/>
      <c r="F699" s="36"/>
      <c r="G699" s="37"/>
      <c r="H699" s="36"/>
      <c r="I699" s="36"/>
    </row>
    <row r="700" spans="1:9" x14ac:dyDescent="0.3">
      <c r="A700" s="42"/>
      <c r="B700" s="36"/>
      <c r="C700" s="36"/>
      <c r="D700" s="36"/>
      <c r="E700" s="36"/>
      <c r="F700" s="36"/>
      <c r="G700" s="37"/>
      <c r="H700" s="36"/>
      <c r="I700" s="36"/>
    </row>
    <row r="701" spans="1:9" x14ac:dyDescent="0.3">
      <c r="A701" s="42"/>
      <c r="B701" s="36"/>
      <c r="C701" s="36"/>
      <c r="D701" s="36"/>
      <c r="E701" s="36"/>
      <c r="F701" s="36"/>
      <c r="G701" s="37"/>
      <c r="H701" s="36"/>
      <c r="I701" s="36"/>
    </row>
    <row r="702" spans="1:9" x14ac:dyDescent="0.3">
      <c r="A702" s="42"/>
      <c r="B702" s="36"/>
      <c r="C702" s="36"/>
      <c r="D702" s="36"/>
      <c r="E702" s="36"/>
      <c r="F702" s="36"/>
      <c r="G702" s="37"/>
      <c r="H702" s="36"/>
      <c r="I702" s="36"/>
    </row>
    <row r="703" spans="1:9" x14ac:dyDescent="0.3">
      <c r="A703" s="42"/>
      <c r="B703" s="36"/>
      <c r="C703" s="36"/>
      <c r="D703" s="36"/>
      <c r="E703" s="36"/>
      <c r="F703" s="36"/>
      <c r="G703" s="37"/>
      <c r="H703" s="36"/>
      <c r="I703" s="36"/>
    </row>
    <row r="704" spans="1:9" x14ac:dyDescent="0.3">
      <c r="A704" s="42"/>
      <c r="B704" s="36"/>
      <c r="C704" s="36"/>
      <c r="D704" s="36"/>
      <c r="E704" s="36"/>
      <c r="F704" s="36"/>
      <c r="G704" s="37"/>
      <c r="H704" s="36"/>
      <c r="I704" s="36"/>
    </row>
    <row r="705" spans="1:9" x14ac:dyDescent="0.3">
      <c r="A705" s="42"/>
      <c r="B705" s="36"/>
      <c r="C705" s="36"/>
      <c r="D705" s="36"/>
      <c r="E705" s="36"/>
      <c r="F705" s="36"/>
      <c r="G705" s="37"/>
      <c r="H705" s="36"/>
      <c r="I705" s="36"/>
    </row>
    <row r="706" spans="1:9" x14ac:dyDescent="0.3">
      <c r="A706" s="42"/>
      <c r="B706" s="36"/>
      <c r="C706" s="36"/>
      <c r="D706" s="36"/>
      <c r="E706" s="36"/>
      <c r="F706" s="36"/>
      <c r="G706" s="37"/>
      <c r="H706" s="36"/>
      <c r="I706" s="36"/>
    </row>
    <row r="707" spans="1:9" x14ac:dyDescent="0.3">
      <c r="A707" s="42"/>
      <c r="B707" s="36"/>
      <c r="C707" s="36"/>
      <c r="D707" s="36"/>
      <c r="E707" s="36"/>
      <c r="F707" s="36"/>
      <c r="G707" s="37"/>
      <c r="H707" s="36"/>
      <c r="I707" s="36"/>
    </row>
    <row r="708" spans="1:9" x14ac:dyDescent="0.3">
      <c r="A708" s="42"/>
      <c r="B708" s="36"/>
      <c r="C708" s="36"/>
      <c r="D708" s="36"/>
      <c r="E708" s="36"/>
      <c r="F708" s="36"/>
      <c r="G708" s="37"/>
      <c r="H708" s="36"/>
      <c r="I708" s="36"/>
    </row>
    <row r="709" spans="1:9" x14ac:dyDescent="0.3">
      <c r="A709" s="42"/>
      <c r="B709" s="36"/>
      <c r="C709" s="36"/>
      <c r="D709" s="36"/>
      <c r="E709" s="36"/>
      <c r="F709" s="36"/>
      <c r="G709" s="37"/>
      <c r="H709" s="36"/>
      <c r="I709" s="36"/>
    </row>
    <row r="710" spans="1:9" x14ac:dyDescent="0.3">
      <c r="A710" s="42"/>
      <c r="B710" s="36"/>
      <c r="C710" s="36"/>
      <c r="D710" s="36"/>
      <c r="E710" s="36"/>
      <c r="F710" s="36"/>
      <c r="G710" s="37"/>
      <c r="H710" s="36"/>
      <c r="I710" s="36"/>
    </row>
    <row r="711" spans="1:9" x14ac:dyDescent="0.3">
      <c r="A711" s="42"/>
      <c r="B711" s="36"/>
      <c r="C711" s="36"/>
      <c r="D711" s="36"/>
      <c r="E711" s="36"/>
      <c r="F711" s="36"/>
      <c r="G711" s="37"/>
      <c r="H711" s="36"/>
      <c r="I711" s="36"/>
    </row>
    <row r="712" spans="1:9" x14ac:dyDescent="0.3">
      <c r="A712" s="42"/>
      <c r="B712" s="36"/>
      <c r="C712" s="36"/>
      <c r="D712" s="36"/>
      <c r="E712" s="36"/>
      <c r="F712" s="36"/>
      <c r="G712" s="37"/>
      <c r="H712" s="36"/>
      <c r="I712" s="36"/>
    </row>
    <row r="713" spans="1:9" x14ac:dyDescent="0.3">
      <c r="A713" s="42"/>
      <c r="B713" s="36"/>
      <c r="C713" s="36"/>
      <c r="D713" s="36"/>
      <c r="E713" s="36"/>
      <c r="F713" s="36"/>
      <c r="G713" s="37"/>
      <c r="H713" s="36"/>
      <c r="I713" s="36"/>
    </row>
    <row r="714" spans="1:9" x14ac:dyDescent="0.3">
      <c r="A714" s="42"/>
      <c r="B714" s="36"/>
      <c r="C714" s="36"/>
      <c r="D714" s="36"/>
      <c r="E714" s="36"/>
      <c r="F714" s="36"/>
      <c r="G714" s="37"/>
      <c r="H714" s="36"/>
      <c r="I714" s="36"/>
    </row>
    <row r="715" spans="1:9" x14ac:dyDescent="0.3">
      <c r="A715" s="42"/>
      <c r="B715" s="36"/>
      <c r="C715" s="36"/>
      <c r="D715" s="36"/>
      <c r="E715" s="36"/>
      <c r="F715" s="36"/>
      <c r="G715" s="37"/>
      <c r="H715" s="36"/>
      <c r="I715" s="36"/>
    </row>
    <row r="716" spans="1:9" x14ac:dyDescent="0.3">
      <c r="A716" s="42"/>
      <c r="B716" s="36"/>
      <c r="C716" s="36"/>
      <c r="D716" s="36"/>
      <c r="E716" s="36"/>
      <c r="F716" s="36"/>
      <c r="G716" s="37"/>
      <c r="H716" s="36"/>
      <c r="I716" s="36"/>
    </row>
    <row r="717" spans="1:9" x14ac:dyDescent="0.3">
      <c r="A717" s="42"/>
      <c r="B717" s="36"/>
      <c r="C717" s="36"/>
      <c r="D717" s="36"/>
      <c r="E717" s="36"/>
      <c r="F717" s="36"/>
      <c r="G717" s="37"/>
      <c r="H717" s="36"/>
      <c r="I717" s="36"/>
    </row>
    <row r="718" spans="1:9" x14ac:dyDescent="0.3">
      <c r="A718" s="42"/>
      <c r="B718" s="36"/>
      <c r="C718" s="36"/>
      <c r="D718" s="36"/>
      <c r="E718" s="36"/>
      <c r="F718" s="36"/>
      <c r="G718" s="37"/>
      <c r="H718" s="36"/>
      <c r="I718" s="36"/>
    </row>
    <row r="719" spans="1:9" x14ac:dyDescent="0.3">
      <c r="A719" s="42"/>
      <c r="B719" s="36"/>
      <c r="C719" s="36"/>
      <c r="D719" s="36"/>
      <c r="E719" s="36"/>
      <c r="F719" s="36"/>
      <c r="G719" s="37"/>
      <c r="H719" s="36"/>
      <c r="I719" s="36"/>
    </row>
    <row r="720" spans="1:9" x14ac:dyDescent="0.3">
      <c r="A720" s="42"/>
      <c r="B720" s="36"/>
      <c r="C720" s="36"/>
      <c r="D720" s="36"/>
      <c r="E720" s="36"/>
      <c r="F720" s="36"/>
      <c r="G720" s="37"/>
      <c r="H720" s="36"/>
      <c r="I720" s="36"/>
    </row>
    <row r="721" spans="1:9" x14ac:dyDescent="0.3">
      <c r="A721" s="42"/>
      <c r="B721" s="36"/>
      <c r="C721" s="36"/>
      <c r="D721" s="36"/>
      <c r="E721" s="36"/>
      <c r="F721" s="36"/>
      <c r="G721" s="37"/>
      <c r="H721" s="36"/>
      <c r="I721" s="36"/>
    </row>
    <row r="722" spans="1:9" x14ac:dyDescent="0.3">
      <c r="A722" s="42"/>
      <c r="B722" s="36"/>
      <c r="C722" s="36"/>
      <c r="D722" s="36"/>
      <c r="E722" s="36"/>
      <c r="F722" s="36"/>
      <c r="G722" s="37"/>
      <c r="H722" s="36"/>
      <c r="I722" s="36"/>
    </row>
    <row r="723" spans="1:9" x14ac:dyDescent="0.3">
      <c r="A723" s="42"/>
      <c r="B723" s="36"/>
      <c r="C723" s="36"/>
      <c r="D723" s="36"/>
      <c r="E723" s="36"/>
      <c r="F723" s="36"/>
      <c r="G723" s="37"/>
      <c r="H723" s="36"/>
      <c r="I723" s="36"/>
    </row>
    <row r="724" spans="1:9" x14ac:dyDescent="0.3">
      <c r="A724" s="42"/>
      <c r="B724" s="36"/>
      <c r="C724" s="36"/>
      <c r="D724" s="36"/>
      <c r="E724" s="36"/>
      <c r="F724" s="36"/>
      <c r="G724" s="37"/>
      <c r="H724" s="36"/>
      <c r="I724" s="36"/>
    </row>
    <row r="725" spans="1:9" x14ac:dyDescent="0.3">
      <c r="A725" s="42"/>
      <c r="B725" s="36"/>
      <c r="C725" s="36"/>
      <c r="D725" s="36"/>
      <c r="E725" s="36"/>
      <c r="F725" s="36"/>
      <c r="G725" s="37"/>
      <c r="H725" s="36"/>
      <c r="I725" s="36"/>
    </row>
    <row r="726" spans="1:9" x14ac:dyDescent="0.3">
      <c r="A726" s="42"/>
      <c r="B726" s="36"/>
      <c r="C726" s="36"/>
      <c r="D726" s="36"/>
      <c r="E726" s="36"/>
      <c r="F726" s="36"/>
      <c r="G726" s="37"/>
      <c r="H726" s="36"/>
      <c r="I726" s="36"/>
    </row>
    <row r="727" spans="1:9" x14ac:dyDescent="0.3">
      <c r="A727" s="42"/>
      <c r="B727" s="36"/>
      <c r="C727" s="36"/>
      <c r="D727" s="36"/>
      <c r="E727" s="36"/>
      <c r="F727" s="36"/>
      <c r="G727" s="37"/>
      <c r="H727" s="36"/>
      <c r="I727" s="36"/>
    </row>
    <row r="728" spans="1:9" x14ac:dyDescent="0.3">
      <c r="A728" s="42"/>
      <c r="B728" s="36"/>
      <c r="C728" s="36"/>
      <c r="D728" s="36"/>
      <c r="E728" s="36"/>
      <c r="F728" s="36"/>
      <c r="G728" s="37"/>
      <c r="H728" s="36"/>
      <c r="I728" s="36"/>
    </row>
    <row r="729" spans="1:9" x14ac:dyDescent="0.3">
      <c r="A729" s="42"/>
      <c r="B729" s="36"/>
      <c r="C729" s="36"/>
      <c r="D729" s="36"/>
      <c r="E729" s="36"/>
      <c r="F729" s="36"/>
      <c r="G729" s="37"/>
      <c r="H729" s="36"/>
      <c r="I729" s="36"/>
    </row>
    <row r="730" spans="1:9" x14ac:dyDescent="0.3">
      <c r="A730" s="42"/>
      <c r="B730" s="36"/>
      <c r="C730" s="36"/>
      <c r="D730" s="36"/>
      <c r="E730" s="36"/>
      <c r="F730" s="36"/>
      <c r="G730" s="37"/>
      <c r="H730" s="36"/>
      <c r="I730" s="36"/>
    </row>
    <row r="731" spans="1:9" x14ac:dyDescent="0.3">
      <c r="A731" s="42"/>
      <c r="B731" s="36"/>
      <c r="C731" s="36"/>
      <c r="D731" s="36"/>
      <c r="E731" s="36"/>
      <c r="F731" s="36"/>
      <c r="G731" s="37"/>
      <c r="H731" s="36"/>
      <c r="I731" s="36"/>
    </row>
    <row r="732" spans="1:9" x14ac:dyDescent="0.3">
      <c r="A732" s="42"/>
      <c r="B732" s="36"/>
      <c r="C732" s="36"/>
      <c r="D732" s="36"/>
      <c r="E732" s="36"/>
      <c r="F732" s="36"/>
      <c r="G732" s="37"/>
      <c r="H732" s="36"/>
      <c r="I732" s="36"/>
    </row>
    <row r="733" spans="1:9" x14ac:dyDescent="0.3">
      <c r="A733" s="42"/>
      <c r="B733" s="36"/>
      <c r="C733" s="36"/>
      <c r="D733" s="36"/>
      <c r="E733" s="36"/>
      <c r="F733" s="36"/>
      <c r="G733" s="37"/>
      <c r="H733" s="36"/>
      <c r="I733" s="36"/>
    </row>
    <row r="734" spans="1:9" x14ac:dyDescent="0.3">
      <c r="A734" s="42"/>
      <c r="B734" s="36"/>
      <c r="C734" s="36"/>
      <c r="D734" s="36"/>
      <c r="E734" s="36"/>
      <c r="F734" s="36"/>
      <c r="G734" s="37"/>
      <c r="H734" s="36"/>
      <c r="I734" s="36"/>
    </row>
    <row r="735" spans="1:9" x14ac:dyDescent="0.3">
      <c r="A735" s="42"/>
      <c r="B735" s="36"/>
      <c r="C735" s="36"/>
      <c r="D735" s="36"/>
      <c r="E735" s="36"/>
      <c r="F735" s="36"/>
      <c r="G735" s="37"/>
      <c r="H735" s="36"/>
      <c r="I735" s="36"/>
    </row>
    <row r="736" spans="1:9" x14ac:dyDescent="0.3">
      <c r="A736" s="42"/>
      <c r="B736" s="36"/>
      <c r="C736" s="36"/>
      <c r="D736" s="36"/>
      <c r="E736" s="36"/>
      <c r="F736" s="36"/>
      <c r="G736" s="37"/>
      <c r="H736" s="36"/>
      <c r="I736" s="36"/>
    </row>
    <row r="737" spans="1:9" x14ac:dyDescent="0.3">
      <c r="A737" s="42"/>
      <c r="B737" s="36"/>
      <c r="C737" s="36"/>
      <c r="D737" s="36"/>
      <c r="E737" s="36"/>
      <c r="F737" s="36"/>
      <c r="G737" s="37"/>
      <c r="H737" s="36"/>
      <c r="I737" s="36"/>
    </row>
    <row r="738" spans="1:9" x14ac:dyDescent="0.3">
      <c r="A738" s="42"/>
      <c r="B738" s="36"/>
      <c r="C738" s="36"/>
      <c r="D738" s="36"/>
      <c r="E738" s="36"/>
      <c r="F738" s="36"/>
      <c r="G738" s="37"/>
      <c r="H738" s="36"/>
      <c r="I738" s="36"/>
    </row>
    <row r="739" spans="1:9" x14ac:dyDescent="0.3">
      <c r="A739" s="42"/>
      <c r="B739" s="36"/>
      <c r="C739" s="36"/>
      <c r="D739" s="36"/>
      <c r="E739" s="36"/>
      <c r="F739" s="36"/>
      <c r="G739" s="37"/>
      <c r="H739" s="36"/>
      <c r="I739" s="36"/>
    </row>
    <row r="740" spans="1:9" x14ac:dyDescent="0.3">
      <c r="A740" s="42"/>
      <c r="B740" s="36"/>
      <c r="C740" s="36"/>
      <c r="D740" s="36"/>
      <c r="E740" s="36"/>
      <c r="F740" s="36"/>
      <c r="G740" s="37"/>
      <c r="H740" s="36"/>
      <c r="I740" s="36"/>
    </row>
    <row r="741" spans="1:9" x14ac:dyDescent="0.3">
      <c r="A741" s="42"/>
      <c r="B741" s="36"/>
      <c r="C741" s="36"/>
      <c r="D741" s="36"/>
      <c r="E741" s="36"/>
      <c r="F741" s="36"/>
      <c r="G741" s="37"/>
      <c r="H741" s="36"/>
      <c r="I741" s="36"/>
    </row>
    <row r="742" spans="1:9" x14ac:dyDescent="0.3">
      <c r="A742" s="42"/>
      <c r="B742" s="36"/>
      <c r="C742" s="36"/>
      <c r="D742" s="36"/>
      <c r="E742" s="36"/>
      <c r="F742" s="36"/>
      <c r="G742" s="37"/>
      <c r="H742" s="36"/>
      <c r="I742" s="36"/>
    </row>
    <row r="743" spans="1:9" x14ac:dyDescent="0.3">
      <c r="A743" s="42"/>
      <c r="B743" s="36"/>
      <c r="C743" s="36"/>
      <c r="D743" s="36"/>
      <c r="E743" s="36"/>
      <c r="F743" s="36"/>
      <c r="G743" s="37"/>
      <c r="H743" s="36"/>
      <c r="I743" s="36"/>
    </row>
    <row r="744" spans="1:9" x14ac:dyDescent="0.3">
      <c r="A744" s="42"/>
      <c r="B744" s="36"/>
      <c r="C744" s="36"/>
      <c r="D744" s="36"/>
      <c r="E744" s="36"/>
      <c r="F744" s="36"/>
      <c r="G744" s="37"/>
      <c r="H744" s="36"/>
      <c r="I744" s="36"/>
    </row>
    <row r="745" spans="1:9" x14ac:dyDescent="0.3">
      <c r="A745" s="42"/>
      <c r="B745" s="36"/>
      <c r="C745" s="36"/>
      <c r="D745" s="36"/>
      <c r="E745" s="36"/>
      <c r="F745" s="36"/>
      <c r="G745" s="37"/>
      <c r="H745" s="36"/>
      <c r="I745" s="36"/>
    </row>
    <row r="746" spans="1:9" x14ac:dyDescent="0.3">
      <c r="A746" s="42"/>
      <c r="B746" s="36"/>
      <c r="C746" s="36"/>
      <c r="D746" s="36"/>
      <c r="E746" s="36"/>
      <c r="F746" s="36"/>
      <c r="G746" s="37"/>
      <c r="H746" s="36"/>
      <c r="I746" s="36"/>
    </row>
    <row r="747" spans="1:9" x14ac:dyDescent="0.3">
      <c r="A747" s="42"/>
      <c r="B747" s="36"/>
      <c r="C747" s="36"/>
      <c r="D747" s="36"/>
      <c r="E747" s="36"/>
      <c r="F747" s="36"/>
      <c r="G747" s="37"/>
      <c r="H747" s="36"/>
      <c r="I747" s="36"/>
    </row>
    <row r="748" spans="1:9" x14ac:dyDescent="0.3">
      <c r="A748" s="42"/>
      <c r="B748" s="36"/>
      <c r="C748" s="36"/>
      <c r="D748" s="36"/>
      <c r="E748" s="36"/>
      <c r="F748" s="36"/>
      <c r="G748" s="37"/>
      <c r="H748" s="36"/>
      <c r="I748" s="36"/>
    </row>
    <row r="749" spans="1:9" x14ac:dyDescent="0.3">
      <c r="A749" s="42"/>
      <c r="B749" s="36"/>
      <c r="C749" s="36"/>
      <c r="D749" s="36"/>
      <c r="E749" s="36"/>
      <c r="F749" s="36"/>
      <c r="G749" s="37"/>
      <c r="H749" s="36"/>
      <c r="I749" s="36"/>
    </row>
    <row r="750" spans="1:9" x14ac:dyDescent="0.3">
      <c r="A750" s="42"/>
      <c r="B750" s="36"/>
      <c r="C750" s="36"/>
      <c r="D750" s="36"/>
      <c r="E750" s="36"/>
      <c r="F750" s="36"/>
      <c r="G750" s="37"/>
      <c r="H750" s="36"/>
      <c r="I750" s="36"/>
    </row>
    <row r="751" spans="1:9" x14ac:dyDescent="0.3">
      <c r="A751" s="42"/>
      <c r="B751" s="36"/>
      <c r="C751" s="36"/>
      <c r="D751" s="36"/>
      <c r="E751" s="36"/>
      <c r="F751" s="36"/>
      <c r="G751" s="37"/>
      <c r="H751" s="36"/>
      <c r="I751" s="36"/>
    </row>
    <row r="752" spans="1:9" x14ac:dyDescent="0.3">
      <c r="A752" s="42"/>
      <c r="B752" s="36"/>
      <c r="C752" s="36"/>
      <c r="D752" s="36"/>
      <c r="E752" s="36"/>
      <c r="F752" s="36"/>
      <c r="G752" s="37"/>
      <c r="H752" s="36"/>
      <c r="I752" s="36"/>
    </row>
    <row r="753" spans="1:9" x14ac:dyDescent="0.3">
      <c r="A753" s="42"/>
      <c r="B753" s="36"/>
      <c r="C753" s="36"/>
      <c r="D753" s="36"/>
      <c r="E753" s="36"/>
      <c r="F753" s="36"/>
      <c r="G753" s="37"/>
      <c r="H753" s="36"/>
      <c r="I753" s="36"/>
    </row>
    <row r="754" spans="1:9" x14ac:dyDescent="0.3">
      <c r="A754" s="42"/>
      <c r="B754" s="36"/>
      <c r="C754" s="36"/>
      <c r="D754" s="36"/>
      <c r="E754" s="36"/>
      <c r="F754" s="36"/>
      <c r="G754" s="37"/>
      <c r="H754" s="36"/>
      <c r="I754" s="36"/>
    </row>
    <row r="755" spans="1:9" x14ac:dyDescent="0.3">
      <c r="A755" s="42"/>
      <c r="B755" s="36"/>
      <c r="C755" s="36"/>
      <c r="D755" s="36"/>
      <c r="E755" s="36"/>
      <c r="F755" s="36"/>
      <c r="G755" s="37"/>
      <c r="H755" s="36"/>
      <c r="I755" s="36"/>
    </row>
    <row r="756" spans="1:9" x14ac:dyDescent="0.3">
      <c r="A756" s="42"/>
      <c r="B756" s="36"/>
      <c r="C756" s="36"/>
      <c r="D756" s="36"/>
      <c r="E756" s="36"/>
      <c r="F756" s="36"/>
      <c r="G756" s="37"/>
      <c r="H756" s="36"/>
      <c r="I756" s="36"/>
    </row>
    <row r="757" spans="1:9" x14ac:dyDescent="0.3">
      <c r="A757" s="42"/>
      <c r="B757" s="36"/>
      <c r="C757" s="36"/>
      <c r="D757" s="36"/>
      <c r="E757" s="36"/>
      <c r="F757" s="36"/>
      <c r="G757" s="37"/>
      <c r="H757" s="36"/>
      <c r="I757" s="36"/>
    </row>
    <row r="758" spans="1:9" x14ac:dyDescent="0.3">
      <c r="A758" s="42"/>
      <c r="B758" s="36"/>
      <c r="C758" s="36"/>
      <c r="D758" s="36"/>
      <c r="E758" s="36"/>
      <c r="F758" s="36"/>
      <c r="G758" s="37"/>
      <c r="H758" s="36"/>
      <c r="I758" s="36"/>
    </row>
    <row r="759" spans="1:9" x14ac:dyDescent="0.3">
      <c r="A759" s="42"/>
      <c r="B759" s="36"/>
      <c r="C759" s="36"/>
      <c r="D759" s="36"/>
      <c r="E759" s="36"/>
      <c r="F759" s="36"/>
      <c r="G759" s="37"/>
      <c r="H759" s="36"/>
      <c r="I759" s="36"/>
    </row>
    <row r="760" spans="1:9" x14ac:dyDescent="0.3">
      <c r="A760" s="42"/>
      <c r="B760" s="36"/>
      <c r="C760" s="36"/>
      <c r="D760" s="36"/>
      <c r="E760" s="36"/>
      <c r="F760" s="36"/>
      <c r="G760" s="37"/>
      <c r="H760" s="36"/>
      <c r="I760" s="36"/>
    </row>
    <row r="761" spans="1:9" x14ac:dyDescent="0.3">
      <c r="A761" s="42"/>
      <c r="B761" s="36"/>
      <c r="C761" s="36"/>
      <c r="D761" s="36"/>
      <c r="E761" s="36"/>
      <c r="F761" s="36"/>
      <c r="G761" s="37"/>
      <c r="H761" s="36"/>
      <c r="I761" s="36"/>
    </row>
    <row r="762" spans="1:9" x14ac:dyDescent="0.3">
      <c r="A762" s="42"/>
      <c r="B762" s="36"/>
      <c r="C762" s="36"/>
      <c r="D762" s="36"/>
      <c r="E762" s="36"/>
      <c r="F762" s="36"/>
      <c r="G762" s="37"/>
      <c r="H762" s="36"/>
      <c r="I762" s="36"/>
    </row>
    <row r="763" spans="1:9" x14ac:dyDescent="0.3">
      <c r="A763" s="42"/>
      <c r="B763" s="36"/>
      <c r="C763" s="36"/>
      <c r="D763" s="36"/>
      <c r="E763" s="36"/>
      <c r="F763" s="36"/>
      <c r="G763" s="37"/>
      <c r="H763" s="36"/>
      <c r="I763" s="36"/>
    </row>
    <row r="764" spans="1:9" x14ac:dyDescent="0.3">
      <c r="A764" s="42"/>
      <c r="B764" s="36"/>
      <c r="C764" s="36"/>
      <c r="D764" s="36"/>
      <c r="E764" s="36"/>
      <c r="F764" s="36"/>
      <c r="G764" s="37"/>
      <c r="H764" s="36"/>
      <c r="I764" s="36"/>
    </row>
    <row r="765" spans="1:9" x14ac:dyDescent="0.3">
      <c r="A765" s="42"/>
      <c r="B765" s="36"/>
      <c r="C765" s="36"/>
      <c r="D765" s="36"/>
      <c r="E765" s="36"/>
      <c r="F765" s="36"/>
      <c r="G765" s="37"/>
      <c r="H765" s="36"/>
      <c r="I765" s="36"/>
    </row>
    <row r="766" spans="1:9" x14ac:dyDescent="0.3">
      <c r="A766" s="42"/>
      <c r="B766" s="36"/>
      <c r="C766" s="36"/>
      <c r="D766" s="36"/>
      <c r="E766" s="36"/>
      <c r="F766" s="36"/>
      <c r="G766" s="37"/>
      <c r="H766" s="36"/>
      <c r="I766" s="36"/>
    </row>
    <row r="767" spans="1:9" x14ac:dyDescent="0.3">
      <c r="A767" s="42"/>
      <c r="B767" s="36"/>
      <c r="C767" s="36"/>
      <c r="D767" s="36"/>
      <c r="E767" s="36"/>
      <c r="F767" s="36"/>
      <c r="G767" s="37"/>
      <c r="H767" s="36"/>
      <c r="I767" s="36"/>
    </row>
    <row r="768" spans="1:9" x14ac:dyDescent="0.3">
      <c r="A768" s="42"/>
      <c r="B768" s="36"/>
      <c r="C768" s="36"/>
      <c r="D768" s="36"/>
      <c r="E768" s="36"/>
      <c r="F768" s="36"/>
      <c r="G768" s="37"/>
      <c r="H768" s="36"/>
      <c r="I768" s="36"/>
    </row>
    <row r="769" spans="1:9" x14ac:dyDescent="0.3">
      <c r="A769" s="42"/>
      <c r="B769" s="36"/>
      <c r="C769" s="36"/>
      <c r="D769" s="36"/>
      <c r="E769" s="36"/>
      <c r="F769" s="36"/>
      <c r="G769" s="37"/>
      <c r="H769" s="36"/>
      <c r="I769" s="36"/>
    </row>
    <row r="770" spans="1:9" x14ac:dyDescent="0.3">
      <c r="A770" s="42"/>
      <c r="B770" s="36"/>
      <c r="C770" s="36"/>
      <c r="D770" s="36"/>
      <c r="E770" s="36"/>
      <c r="F770" s="36"/>
      <c r="G770" s="37"/>
      <c r="H770" s="36"/>
      <c r="I770" s="36"/>
    </row>
    <row r="771" spans="1:9" x14ac:dyDescent="0.3">
      <c r="A771" s="42"/>
      <c r="B771" s="36"/>
      <c r="C771" s="36"/>
      <c r="D771" s="36"/>
      <c r="E771" s="36"/>
      <c r="F771" s="36"/>
      <c r="G771" s="37"/>
      <c r="H771" s="36"/>
      <c r="I771" s="36"/>
    </row>
    <row r="772" spans="1:9" x14ac:dyDescent="0.3">
      <c r="A772" s="42"/>
      <c r="B772" s="36"/>
      <c r="C772" s="36"/>
      <c r="D772" s="36"/>
      <c r="E772" s="36"/>
      <c r="F772" s="36"/>
      <c r="G772" s="37"/>
      <c r="H772" s="36"/>
      <c r="I772" s="36"/>
    </row>
    <row r="773" spans="1:9" x14ac:dyDescent="0.3">
      <c r="A773" s="42"/>
      <c r="B773" s="36"/>
      <c r="C773" s="36"/>
      <c r="D773" s="36"/>
      <c r="E773" s="36"/>
      <c r="F773" s="36"/>
      <c r="G773" s="37"/>
      <c r="H773" s="36"/>
      <c r="I773" s="36"/>
    </row>
    <row r="774" spans="1:9" x14ac:dyDescent="0.3">
      <c r="A774" s="42"/>
      <c r="B774" s="36"/>
      <c r="C774" s="36"/>
      <c r="D774" s="36"/>
      <c r="E774" s="36"/>
      <c r="F774" s="36"/>
      <c r="G774" s="37"/>
      <c r="H774" s="36"/>
      <c r="I774" s="36"/>
    </row>
    <row r="775" spans="1:9" x14ac:dyDescent="0.3">
      <c r="A775" s="42"/>
      <c r="B775" s="36"/>
      <c r="C775" s="36"/>
      <c r="D775" s="36"/>
      <c r="E775" s="36"/>
      <c r="F775" s="36"/>
      <c r="G775" s="37"/>
      <c r="H775" s="36"/>
      <c r="I775" s="36"/>
    </row>
    <row r="776" spans="1:9" x14ac:dyDescent="0.3">
      <c r="A776" s="42"/>
      <c r="B776" s="36"/>
      <c r="C776" s="36"/>
      <c r="D776" s="36"/>
      <c r="E776" s="36"/>
      <c r="F776" s="36"/>
      <c r="G776" s="37"/>
      <c r="H776" s="36"/>
      <c r="I776" s="36"/>
    </row>
    <row r="777" spans="1:9" x14ac:dyDescent="0.3">
      <c r="A777" s="42"/>
      <c r="B777" s="36"/>
      <c r="C777" s="36"/>
      <c r="D777" s="36"/>
      <c r="E777" s="36"/>
      <c r="F777" s="36"/>
      <c r="G777" s="37"/>
      <c r="H777" s="36"/>
      <c r="I777" s="36"/>
    </row>
    <row r="778" spans="1:9" x14ac:dyDescent="0.3">
      <c r="A778" s="42"/>
      <c r="B778" s="36"/>
      <c r="C778" s="36"/>
      <c r="D778" s="36"/>
      <c r="E778" s="36"/>
      <c r="F778" s="36"/>
      <c r="G778" s="37"/>
      <c r="H778" s="36"/>
      <c r="I778" s="36"/>
    </row>
    <row r="779" spans="1:9" x14ac:dyDescent="0.3">
      <c r="A779" s="42"/>
      <c r="B779" s="36"/>
      <c r="C779" s="36"/>
      <c r="D779" s="36"/>
      <c r="E779" s="36"/>
      <c r="F779" s="36"/>
      <c r="G779" s="37"/>
      <c r="H779" s="36"/>
      <c r="I779" s="36"/>
    </row>
    <row r="780" spans="1:9" x14ac:dyDescent="0.3">
      <c r="A780" s="42"/>
      <c r="B780" s="36"/>
      <c r="C780" s="36"/>
      <c r="D780" s="36"/>
      <c r="E780" s="36"/>
      <c r="F780" s="36"/>
      <c r="G780" s="37"/>
      <c r="H780" s="36"/>
      <c r="I780" s="36"/>
    </row>
    <row r="781" spans="1:9" x14ac:dyDescent="0.3">
      <c r="A781" s="42"/>
      <c r="B781" s="36"/>
      <c r="C781" s="36"/>
      <c r="D781" s="36"/>
      <c r="E781" s="36"/>
      <c r="F781" s="36"/>
      <c r="G781" s="37"/>
      <c r="H781" s="36"/>
      <c r="I781" s="36"/>
    </row>
    <row r="782" spans="1:9" x14ac:dyDescent="0.3">
      <c r="A782" s="42"/>
      <c r="B782" s="36"/>
      <c r="C782" s="36"/>
      <c r="D782" s="36"/>
      <c r="E782" s="36"/>
      <c r="F782" s="36"/>
      <c r="G782" s="37"/>
      <c r="H782" s="36"/>
      <c r="I782" s="36"/>
    </row>
    <row r="783" spans="1:9" x14ac:dyDescent="0.3">
      <c r="A783" s="42"/>
      <c r="B783" s="36"/>
      <c r="C783" s="36"/>
      <c r="D783" s="36"/>
      <c r="E783" s="36"/>
      <c r="F783" s="36"/>
      <c r="G783" s="37"/>
      <c r="H783" s="36"/>
      <c r="I783" s="36"/>
    </row>
    <row r="784" spans="1:9" x14ac:dyDescent="0.3">
      <c r="A784" s="42"/>
      <c r="B784" s="36"/>
      <c r="C784" s="36"/>
      <c r="D784" s="36"/>
      <c r="E784" s="36"/>
      <c r="F784" s="36"/>
      <c r="G784" s="37"/>
      <c r="H784" s="36"/>
      <c r="I784" s="36"/>
    </row>
    <row r="785" spans="1:9" x14ac:dyDescent="0.3">
      <c r="A785" s="42"/>
      <c r="B785" s="36"/>
      <c r="C785" s="36"/>
      <c r="D785" s="36"/>
      <c r="E785" s="36"/>
      <c r="F785" s="36"/>
      <c r="G785" s="37"/>
      <c r="H785" s="36"/>
      <c r="I785" s="36"/>
    </row>
    <row r="786" spans="1:9" x14ac:dyDescent="0.3">
      <c r="A786" s="42"/>
      <c r="B786" s="36"/>
      <c r="C786" s="36"/>
      <c r="D786" s="36"/>
      <c r="E786" s="36"/>
      <c r="F786" s="36"/>
      <c r="G786" s="37"/>
      <c r="H786" s="36"/>
      <c r="I786" s="36"/>
    </row>
    <row r="787" spans="1:9" x14ac:dyDescent="0.3">
      <c r="A787" s="42"/>
      <c r="B787" s="36"/>
      <c r="C787" s="36"/>
      <c r="D787" s="36"/>
      <c r="E787" s="36"/>
      <c r="F787" s="36"/>
      <c r="G787" s="37"/>
      <c r="H787" s="36"/>
      <c r="I787" s="36"/>
    </row>
    <row r="788" spans="1:9" x14ac:dyDescent="0.3">
      <c r="A788" s="42"/>
      <c r="B788" s="36"/>
      <c r="C788" s="36"/>
      <c r="D788" s="36"/>
      <c r="E788" s="36"/>
      <c r="F788" s="36"/>
      <c r="G788" s="37"/>
      <c r="H788" s="36"/>
      <c r="I788" s="36"/>
    </row>
    <row r="789" spans="1:9" x14ac:dyDescent="0.3">
      <c r="A789" s="42"/>
      <c r="B789" s="36"/>
      <c r="C789" s="36"/>
      <c r="D789" s="36"/>
      <c r="E789" s="36"/>
      <c r="F789" s="36"/>
      <c r="G789" s="37"/>
      <c r="H789" s="36"/>
      <c r="I789" s="36"/>
    </row>
    <row r="790" spans="1:9" x14ac:dyDescent="0.3">
      <c r="A790" s="42"/>
      <c r="B790" s="36"/>
      <c r="C790" s="36"/>
      <c r="D790" s="36"/>
      <c r="E790" s="36"/>
      <c r="F790" s="36"/>
      <c r="G790" s="37"/>
      <c r="H790" s="36"/>
      <c r="I790" s="36"/>
    </row>
    <row r="791" spans="1:9" x14ac:dyDescent="0.3">
      <c r="A791" s="42"/>
      <c r="B791" s="36"/>
      <c r="C791" s="36"/>
      <c r="D791" s="36"/>
      <c r="E791" s="36"/>
      <c r="F791" s="36"/>
      <c r="G791" s="37"/>
      <c r="H791" s="36"/>
      <c r="I791" s="36"/>
    </row>
    <row r="792" spans="1:9" x14ac:dyDescent="0.3">
      <c r="A792" s="42"/>
      <c r="B792" s="36"/>
      <c r="C792" s="36"/>
      <c r="D792" s="36"/>
      <c r="E792" s="36"/>
      <c r="F792" s="36"/>
      <c r="G792" s="37"/>
      <c r="H792" s="36"/>
      <c r="I792" s="36"/>
    </row>
    <row r="793" spans="1:9" x14ac:dyDescent="0.3">
      <c r="A793" s="42"/>
      <c r="B793" s="36"/>
      <c r="C793" s="36"/>
      <c r="D793" s="36"/>
      <c r="E793" s="36"/>
      <c r="F793" s="36"/>
      <c r="G793" s="37"/>
      <c r="H793" s="36"/>
      <c r="I793" s="36"/>
    </row>
    <row r="794" spans="1:9" x14ac:dyDescent="0.3">
      <c r="A794" s="42"/>
      <c r="B794" s="36"/>
      <c r="C794" s="36"/>
      <c r="D794" s="36"/>
      <c r="E794" s="36"/>
      <c r="F794" s="36"/>
      <c r="G794" s="37"/>
      <c r="H794" s="36"/>
      <c r="I794" s="36"/>
    </row>
    <row r="795" spans="1:9" x14ac:dyDescent="0.3">
      <c r="A795" s="42"/>
      <c r="B795" s="36"/>
      <c r="C795" s="36"/>
      <c r="D795" s="36"/>
      <c r="E795" s="36"/>
      <c r="F795" s="36"/>
      <c r="G795" s="37"/>
      <c r="H795" s="36"/>
      <c r="I795" s="36"/>
    </row>
    <row r="796" spans="1:9" x14ac:dyDescent="0.3">
      <c r="A796" s="42"/>
      <c r="B796" s="36"/>
      <c r="C796" s="36"/>
      <c r="D796" s="36"/>
      <c r="E796" s="36"/>
      <c r="F796" s="36"/>
      <c r="G796" s="37"/>
      <c r="H796" s="36"/>
      <c r="I796" s="36"/>
    </row>
    <row r="797" spans="1:9" x14ac:dyDescent="0.3">
      <c r="A797" s="42"/>
      <c r="B797" s="36"/>
      <c r="C797" s="36"/>
      <c r="D797" s="36"/>
      <c r="E797" s="36"/>
      <c r="F797" s="36"/>
      <c r="G797" s="37"/>
      <c r="H797" s="36"/>
      <c r="I797" s="36"/>
    </row>
    <row r="798" spans="1:9" x14ac:dyDescent="0.3">
      <c r="A798" s="42"/>
      <c r="B798" s="36"/>
      <c r="C798" s="36"/>
      <c r="D798" s="36"/>
      <c r="E798" s="36"/>
      <c r="F798" s="36"/>
      <c r="G798" s="37"/>
      <c r="H798" s="36"/>
      <c r="I798" s="36"/>
    </row>
    <row r="799" spans="1:9" x14ac:dyDescent="0.3">
      <c r="A799" s="42"/>
      <c r="B799" s="36"/>
      <c r="C799" s="36"/>
      <c r="D799" s="36"/>
      <c r="E799" s="36"/>
      <c r="F799" s="36"/>
      <c r="G799" s="37"/>
      <c r="H799" s="36"/>
      <c r="I799" s="36"/>
    </row>
    <row r="800" spans="1:9" x14ac:dyDescent="0.3">
      <c r="A800" s="42"/>
      <c r="B800" s="36"/>
      <c r="C800" s="36"/>
      <c r="D800" s="36"/>
      <c r="E800" s="36"/>
      <c r="F800" s="36"/>
      <c r="G800" s="37"/>
      <c r="H800" s="36"/>
      <c r="I800" s="36"/>
    </row>
    <row r="801" spans="1:9" x14ac:dyDescent="0.3">
      <c r="A801" s="42"/>
      <c r="B801" s="36"/>
      <c r="C801" s="36"/>
      <c r="D801" s="36"/>
      <c r="E801" s="36"/>
      <c r="F801" s="36"/>
      <c r="G801" s="37"/>
      <c r="H801" s="36"/>
      <c r="I801" s="36"/>
    </row>
    <row r="802" spans="1:9" x14ac:dyDescent="0.3">
      <c r="A802" s="42"/>
      <c r="B802" s="36"/>
      <c r="C802" s="36"/>
      <c r="D802" s="36"/>
      <c r="E802" s="36"/>
      <c r="F802" s="36"/>
      <c r="G802" s="37"/>
      <c r="H802" s="36"/>
      <c r="I802" s="36"/>
    </row>
    <row r="803" spans="1:9" x14ac:dyDescent="0.3">
      <c r="A803" s="42"/>
      <c r="B803" s="36"/>
      <c r="C803" s="36"/>
      <c r="D803" s="36"/>
      <c r="E803" s="36"/>
      <c r="F803" s="36"/>
      <c r="G803" s="37"/>
      <c r="H803" s="36"/>
      <c r="I803" s="36"/>
    </row>
    <row r="804" spans="1:9" x14ac:dyDescent="0.3">
      <c r="A804" s="42"/>
      <c r="B804" s="36"/>
      <c r="C804" s="36"/>
      <c r="D804" s="36"/>
      <c r="E804" s="36"/>
      <c r="F804" s="36"/>
      <c r="G804" s="37"/>
      <c r="H804" s="36"/>
      <c r="I804" s="36"/>
    </row>
    <row r="805" spans="1:9" x14ac:dyDescent="0.3">
      <c r="A805" s="42"/>
      <c r="B805" s="36"/>
      <c r="C805" s="36"/>
      <c r="D805" s="36"/>
      <c r="E805" s="36"/>
      <c r="F805" s="36"/>
      <c r="G805" s="37"/>
      <c r="H805" s="36"/>
      <c r="I805" s="36"/>
    </row>
    <row r="806" spans="1:9" x14ac:dyDescent="0.3">
      <c r="A806" s="42"/>
      <c r="B806" s="36"/>
      <c r="C806" s="36"/>
      <c r="D806" s="36"/>
      <c r="E806" s="36"/>
      <c r="F806" s="36"/>
      <c r="G806" s="37"/>
      <c r="H806" s="36"/>
      <c r="I806" s="36"/>
    </row>
    <row r="807" spans="1:9" x14ac:dyDescent="0.3">
      <c r="A807" s="42"/>
      <c r="B807" s="36"/>
      <c r="C807" s="36"/>
      <c r="D807" s="36"/>
      <c r="E807" s="36"/>
      <c r="F807" s="36"/>
      <c r="G807" s="37"/>
      <c r="H807" s="36"/>
      <c r="I807" s="36"/>
    </row>
    <row r="808" spans="1:9" x14ac:dyDescent="0.3">
      <c r="A808" s="42"/>
      <c r="B808" s="36"/>
      <c r="C808" s="36"/>
      <c r="D808" s="36"/>
      <c r="E808" s="36"/>
      <c r="F808" s="36"/>
      <c r="G808" s="37"/>
      <c r="H808" s="36"/>
      <c r="I808" s="36"/>
    </row>
    <row r="809" spans="1:9" x14ac:dyDescent="0.3">
      <c r="A809" s="42"/>
      <c r="B809" s="36"/>
      <c r="C809" s="36"/>
      <c r="D809" s="36"/>
      <c r="E809" s="36"/>
      <c r="F809" s="36"/>
      <c r="G809" s="37"/>
      <c r="H809" s="36"/>
      <c r="I809" s="36"/>
    </row>
    <row r="810" spans="1:9" x14ac:dyDescent="0.3">
      <c r="A810" s="42"/>
      <c r="B810" s="36"/>
      <c r="C810" s="36"/>
      <c r="D810" s="36"/>
      <c r="E810" s="36"/>
      <c r="F810" s="36"/>
      <c r="G810" s="37"/>
      <c r="H810" s="36"/>
      <c r="I810" s="36"/>
    </row>
    <row r="811" spans="1:9" x14ac:dyDescent="0.3">
      <c r="A811" s="42"/>
      <c r="B811" s="36"/>
      <c r="C811" s="36"/>
      <c r="D811" s="36"/>
      <c r="E811" s="36"/>
      <c r="F811" s="36"/>
      <c r="G811" s="37"/>
      <c r="H811" s="36"/>
      <c r="I811" s="36"/>
    </row>
    <row r="812" spans="1:9" x14ac:dyDescent="0.3">
      <c r="A812" s="42"/>
      <c r="B812" s="36"/>
      <c r="C812" s="36"/>
      <c r="D812" s="36"/>
      <c r="E812" s="36"/>
      <c r="F812" s="36"/>
      <c r="G812" s="37"/>
      <c r="H812" s="36"/>
      <c r="I812" s="36"/>
    </row>
    <row r="813" spans="1:9" x14ac:dyDescent="0.3">
      <c r="A813" s="42"/>
      <c r="B813" s="36"/>
      <c r="C813" s="36"/>
      <c r="D813" s="36"/>
      <c r="E813" s="36"/>
      <c r="F813" s="36"/>
      <c r="G813" s="37"/>
      <c r="H813" s="36"/>
      <c r="I813" s="36"/>
    </row>
    <row r="814" spans="1:9" x14ac:dyDescent="0.3">
      <c r="A814" s="42"/>
      <c r="B814" s="36"/>
      <c r="C814" s="36"/>
      <c r="D814" s="36"/>
      <c r="E814" s="36"/>
      <c r="F814" s="36"/>
      <c r="G814" s="37"/>
      <c r="H814" s="36"/>
      <c r="I814" s="36"/>
    </row>
    <row r="815" spans="1:9" x14ac:dyDescent="0.3">
      <c r="A815" s="42"/>
      <c r="B815" s="36"/>
      <c r="C815" s="36"/>
      <c r="D815" s="36"/>
      <c r="E815" s="36"/>
      <c r="F815" s="36"/>
      <c r="G815" s="37"/>
      <c r="H815" s="36"/>
      <c r="I815" s="36"/>
    </row>
    <row r="816" spans="1:9" x14ac:dyDescent="0.3">
      <c r="A816" s="42"/>
      <c r="B816" s="36"/>
      <c r="C816" s="36"/>
      <c r="D816" s="36"/>
      <c r="E816" s="36"/>
      <c r="F816" s="36"/>
      <c r="G816" s="37"/>
      <c r="H816" s="36"/>
      <c r="I816" s="36"/>
    </row>
    <row r="817" spans="1:9" x14ac:dyDescent="0.3">
      <c r="A817" s="42"/>
      <c r="B817" s="36"/>
      <c r="C817" s="36"/>
      <c r="D817" s="36"/>
      <c r="E817" s="36"/>
      <c r="F817" s="36"/>
      <c r="G817" s="37"/>
      <c r="H817" s="36"/>
      <c r="I817" s="36"/>
    </row>
    <row r="818" spans="1:9" x14ac:dyDescent="0.3">
      <c r="A818" s="42"/>
      <c r="B818" s="36"/>
      <c r="C818" s="36"/>
      <c r="D818" s="36"/>
      <c r="E818" s="36"/>
      <c r="F818" s="36"/>
      <c r="G818" s="37"/>
      <c r="H818" s="36"/>
      <c r="I818" s="36"/>
    </row>
    <row r="819" spans="1:9" x14ac:dyDescent="0.3">
      <c r="A819" s="42"/>
      <c r="B819" s="36"/>
      <c r="C819" s="36"/>
      <c r="D819" s="36"/>
      <c r="E819" s="36"/>
      <c r="F819" s="36"/>
      <c r="G819" s="37"/>
      <c r="H819" s="36"/>
      <c r="I819" s="36"/>
    </row>
    <row r="820" spans="1:9" x14ac:dyDescent="0.3">
      <c r="A820" s="42"/>
      <c r="B820" s="36"/>
      <c r="C820" s="36"/>
      <c r="D820" s="36"/>
      <c r="E820" s="36"/>
      <c r="F820" s="36"/>
      <c r="G820" s="37"/>
      <c r="H820" s="36"/>
      <c r="I820" s="36"/>
    </row>
    <row r="821" spans="1:9" x14ac:dyDescent="0.3">
      <c r="A821" s="42"/>
      <c r="B821" s="36"/>
      <c r="C821" s="36"/>
      <c r="D821" s="36"/>
      <c r="E821" s="36"/>
      <c r="F821" s="36"/>
      <c r="G821" s="37"/>
      <c r="H821" s="36"/>
      <c r="I821" s="36"/>
    </row>
    <row r="822" spans="1:9" x14ac:dyDescent="0.3">
      <c r="A822" s="42"/>
      <c r="B822" s="36"/>
      <c r="C822" s="36"/>
      <c r="D822" s="36"/>
      <c r="E822" s="36"/>
      <c r="F822" s="36"/>
      <c r="G822" s="37"/>
      <c r="H822" s="36"/>
      <c r="I822" s="36"/>
    </row>
    <row r="823" spans="1:9" x14ac:dyDescent="0.3">
      <c r="A823" s="42"/>
      <c r="B823" s="36"/>
      <c r="C823" s="36"/>
      <c r="D823" s="36"/>
      <c r="E823" s="36"/>
      <c r="F823" s="36"/>
      <c r="G823" s="37"/>
      <c r="H823" s="36"/>
      <c r="I823" s="36"/>
    </row>
    <row r="824" spans="1:9" x14ac:dyDescent="0.3">
      <c r="A824" s="42"/>
      <c r="B824" s="36"/>
      <c r="C824" s="36"/>
      <c r="D824" s="36"/>
      <c r="E824" s="36"/>
      <c r="F824" s="36"/>
      <c r="G824" s="37"/>
      <c r="H824" s="36"/>
      <c r="I824" s="36"/>
    </row>
    <row r="825" spans="1:9" x14ac:dyDescent="0.3">
      <c r="A825" s="42"/>
      <c r="B825" s="36"/>
      <c r="C825" s="36"/>
      <c r="D825" s="36"/>
      <c r="E825" s="36"/>
      <c r="F825" s="36"/>
      <c r="G825" s="37"/>
      <c r="H825" s="36"/>
      <c r="I825" s="36"/>
    </row>
    <row r="826" spans="1:9" x14ac:dyDescent="0.3">
      <c r="A826" s="42"/>
      <c r="B826" s="36"/>
      <c r="C826" s="36"/>
      <c r="D826" s="36"/>
      <c r="E826" s="36"/>
      <c r="F826" s="36"/>
      <c r="G826" s="37"/>
      <c r="H826" s="36"/>
      <c r="I826" s="36"/>
    </row>
    <row r="827" spans="1:9" x14ac:dyDescent="0.3">
      <c r="A827" s="42"/>
      <c r="B827" s="36"/>
      <c r="C827" s="36"/>
      <c r="D827" s="36"/>
      <c r="E827" s="36"/>
      <c r="F827" s="36"/>
      <c r="G827" s="37"/>
      <c r="H827" s="36"/>
      <c r="I827" s="36"/>
    </row>
    <row r="828" spans="1:9" x14ac:dyDescent="0.3">
      <c r="A828" s="42"/>
      <c r="B828" s="36"/>
      <c r="C828" s="36"/>
      <c r="D828" s="36"/>
      <c r="E828" s="36"/>
      <c r="F828" s="36"/>
      <c r="G828" s="37"/>
      <c r="H828" s="36"/>
      <c r="I828" s="36"/>
    </row>
    <row r="829" spans="1:9" x14ac:dyDescent="0.3">
      <c r="A829" s="42"/>
      <c r="B829" s="36"/>
      <c r="C829" s="36"/>
      <c r="D829" s="36"/>
      <c r="E829" s="36"/>
      <c r="F829" s="36"/>
      <c r="G829" s="37"/>
      <c r="H829" s="36"/>
      <c r="I829" s="36"/>
    </row>
    <row r="830" spans="1:9" x14ac:dyDescent="0.3">
      <c r="A830" s="42"/>
      <c r="B830" s="36"/>
      <c r="C830" s="36"/>
      <c r="D830" s="36"/>
      <c r="E830" s="36"/>
      <c r="F830" s="36"/>
      <c r="G830" s="37"/>
      <c r="H830" s="36"/>
      <c r="I830" s="36"/>
    </row>
    <row r="831" spans="1:9" x14ac:dyDescent="0.3">
      <c r="A831" s="42"/>
      <c r="B831" s="36"/>
      <c r="C831" s="36"/>
      <c r="D831" s="36"/>
      <c r="E831" s="36"/>
      <c r="F831" s="36"/>
      <c r="G831" s="37"/>
      <c r="H831" s="36"/>
      <c r="I831" s="36"/>
    </row>
    <row r="832" spans="1:9" x14ac:dyDescent="0.3">
      <c r="A832" s="42"/>
      <c r="B832" s="36"/>
      <c r="C832" s="36"/>
      <c r="D832" s="36"/>
      <c r="E832" s="36"/>
      <c r="F832" s="36"/>
      <c r="G832" s="37"/>
      <c r="H832" s="36"/>
      <c r="I832" s="36"/>
    </row>
    <row r="833" spans="1:9" x14ac:dyDescent="0.3">
      <c r="A833" s="42"/>
      <c r="B833" s="36"/>
      <c r="C833" s="36"/>
      <c r="D833" s="36"/>
      <c r="E833" s="36"/>
      <c r="F833" s="36"/>
      <c r="G833" s="37"/>
      <c r="H833" s="36"/>
      <c r="I833" s="36"/>
    </row>
    <row r="834" spans="1:9" x14ac:dyDescent="0.3">
      <c r="A834" s="42"/>
      <c r="B834" s="36"/>
      <c r="C834" s="36"/>
      <c r="D834" s="36"/>
      <c r="E834" s="36"/>
      <c r="F834" s="36"/>
      <c r="G834" s="37"/>
      <c r="H834" s="36"/>
      <c r="I834" s="36"/>
    </row>
    <row r="835" spans="1:9" x14ac:dyDescent="0.3">
      <c r="A835" s="42"/>
      <c r="B835" s="36"/>
      <c r="C835" s="36"/>
      <c r="D835" s="36"/>
      <c r="E835" s="36"/>
      <c r="F835" s="36"/>
      <c r="G835" s="37"/>
      <c r="H835" s="36"/>
      <c r="I835" s="36"/>
    </row>
    <row r="836" spans="1:9" x14ac:dyDescent="0.3">
      <c r="A836" s="42"/>
      <c r="B836" s="36"/>
      <c r="C836" s="36"/>
      <c r="D836" s="36"/>
      <c r="E836" s="36"/>
      <c r="F836" s="36"/>
      <c r="G836" s="37"/>
      <c r="H836" s="36"/>
      <c r="I836" s="36"/>
    </row>
    <row r="837" spans="1:9" x14ac:dyDescent="0.3">
      <c r="A837" s="42"/>
      <c r="B837" s="36"/>
      <c r="C837" s="36"/>
      <c r="D837" s="36"/>
      <c r="E837" s="36"/>
      <c r="F837" s="36"/>
      <c r="G837" s="37"/>
      <c r="H837" s="36"/>
      <c r="I837" s="36"/>
    </row>
    <row r="838" spans="1:9" x14ac:dyDescent="0.3">
      <c r="A838" s="42"/>
      <c r="B838" s="36"/>
      <c r="C838" s="36"/>
      <c r="D838" s="36"/>
      <c r="E838" s="36"/>
      <c r="F838" s="36"/>
      <c r="G838" s="37"/>
      <c r="H838" s="36"/>
      <c r="I838" s="36"/>
    </row>
    <row r="839" spans="1:9" x14ac:dyDescent="0.3">
      <c r="A839" s="42"/>
      <c r="B839" s="36"/>
      <c r="C839" s="36"/>
      <c r="D839" s="36"/>
      <c r="E839" s="36"/>
      <c r="F839" s="36"/>
      <c r="G839" s="37"/>
      <c r="H839" s="36"/>
      <c r="I839" s="36"/>
    </row>
    <row r="840" spans="1:9" x14ac:dyDescent="0.3">
      <c r="A840" s="42"/>
      <c r="B840" s="36"/>
      <c r="C840" s="36"/>
      <c r="D840" s="36"/>
      <c r="E840" s="36"/>
      <c r="F840" s="36"/>
      <c r="G840" s="37"/>
      <c r="H840" s="36"/>
      <c r="I840" s="36"/>
    </row>
    <row r="841" spans="1:9" x14ac:dyDescent="0.3">
      <c r="A841" s="42"/>
      <c r="B841" s="36"/>
      <c r="C841" s="36"/>
      <c r="D841" s="36"/>
      <c r="E841" s="36"/>
      <c r="F841" s="36"/>
      <c r="G841" s="37"/>
      <c r="H841" s="36"/>
      <c r="I841" s="36"/>
    </row>
    <row r="842" spans="1:9" x14ac:dyDescent="0.3">
      <c r="A842" s="42"/>
      <c r="B842" s="36"/>
      <c r="C842" s="36"/>
      <c r="D842" s="36"/>
      <c r="E842" s="36"/>
      <c r="F842" s="36"/>
      <c r="G842" s="37"/>
      <c r="H842" s="36"/>
      <c r="I842" s="36"/>
    </row>
    <row r="843" spans="1:9" x14ac:dyDescent="0.3">
      <c r="A843" s="42"/>
      <c r="B843" s="36"/>
      <c r="C843" s="36"/>
      <c r="D843" s="36"/>
      <c r="E843" s="36"/>
      <c r="F843" s="36"/>
      <c r="G843" s="37"/>
      <c r="H843" s="36"/>
      <c r="I843" s="36"/>
    </row>
    <row r="844" spans="1:9" x14ac:dyDescent="0.3">
      <c r="A844" s="42"/>
      <c r="B844" s="36"/>
      <c r="C844" s="36"/>
      <c r="D844" s="36"/>
      <c r="E844" s="36"/>
      <c r="F844" s="36"/>
      <c r="G844" s="37"/>
      <c r="H844" s="36"/>
      <c r="I844" s="36"/>
    </row>
    <row r="845" spans="1:9" x14ac:dyDescent="0.3">
      <c r="A845" s="42"/>
      <c r="B845" s="36"/>
      <c r="C845" s="36"/>
      <c r="D845" s="36"/>
      <c r="E845" s="36"/>
      <c r="F845" s="36"/>
      <c r="G845" s="37"/>
      <c r="H845" s="36"/>
      <c r="I845" s="36"/>
    </row>
    <row r="846" spans="1:9" x14ac:dyDescent="0.3">
      <c r="A846" s="42"/>
      <c r="B846" s="36"/>
      <c r="C846" s="36"/>
      <c r="D846" s="36"/>
      <c r="E846" s="36"/>
      <c r="F846" s="36"/>
      <c r="G846" s="37"/>
      <c r="H846" s="36"/>
      <c r="I846" s="36"/>
    </row>
    <row r="847" spans="1:9" x14ac:dyDescent="0.3">
      <c r="A847" s="42"/>
      <c r="B847" s="36"/>
      <c r="C847" s="36"/>
      <c r="D847" s="36"/>
      <c r="E847" s="36"/>
      <c r="F847" s="36"/>
      <c r="G847" s="37"/>
      <c r="H847" s="36"/>
      <c r="I847" s="36"/>
    </row>
    <row r="848" spans="1:9" x14ac:dyDescent="0.3">
      <c r="A848" s="42"/>
      <c r="B848" s="36"/>
      <c r="C848" s="36"/>
      <c r="D848" s="36"/>
      <c r="E848" s="36"/>
      <c r="F848" s="36"/>
      <c r="G848" s="37"/>
      <c r="H848" s="36"/>
      <c r="I848" s="36"/>
    </row>
    <row r="849" spans="1:9" x14ac:dyDescent="0.3">
      <c r="A849" s="42"/>
      <c r="B849" s="36"/>
      <c r="C849" s="36"/>
      <c r="D849" s="36"/>
      <c r="E849" s="36"/>
      <c r="F849" s="36"/>
      <c r="G849" s="37"/>
      <c r="H849" s="36"/>
      <c r="I849" s="36"/>
    </row>
    <row r="850" spans="1:9" x14ac:dyDescent="0.3">
      <c r="A850" s="42"/>
      <c r="B850" s="36"/>
      <c r="C850" s="36"/>
      <c r="D850" s="36"/>
      <c r="E850" s="36"/>
      <c r="F850" s="36"/>
      <c r="G850" s="37"/>
      <c r="H850" s="36"/>
      <c r="I850" s="36"/>
    </row>
    <row r="851" spans="1:9" x14ac:dyDescent="0.3">
      <c r="A851" s="42"/>
      <c r="B851" s="36"/>
      <c r="C851" s="36"/>
      <c r="D851" s="36"/>
      <c r="E851" s="36"/>
      <c r="F851" s="36"/>
      <c r="G851" s="37"/>
      <c r="H851" s="36"/>
      <c r="I851" s="36"/>
    </row>
    <row r="852" spans="1:9" x14ac:dyDescent="0.3">
      <c r="A852" s="42"/>
      <c r="B852" s="36"/>
      <c r="C852" s="36"/>
      <c r="D852" s="36"/>
      <c r="E852" s="36"/>
      <c r="F852" s="36"/>
      <c r="G852" s="37"/>
      <c r="H852" s="36"/>
      <c r="I852" s="36"/>
    </row>
    <row r="853" spans="1:9" x14ac:dyDescent="0.3">
      <c r="A853" s="42"/>
      <c r="B853" s="36"/>
      <c r="C853" s="36"/>
      <c r="D853" s="36"/>
      <c r="E853" s="36"/>
      <c r="F853" s="36"/>
      <c r="G853" s="37"/>
      <c r="H853" s="36"/>
      <c r="I853" s="36"/>
    </row>
    <row r="854" spans="1:9" x14ac:dyDescent="0.3">
      <c r="A854" s="42"/>
      <c r="B854" s="36"/>
      <c r="C854" s="36"/>
      <c r="D854" s="36"/>
      <c r="E854" s="36"/>
      <c r="F854" s="36"/>
      <c r="G854" s="37"/>
      <c r="H854" s="36"/>
      <c r="I854" s="36"/>
    </row>
    <row r="855" spans="1:9" x14ac:dyDescent="0.3">
      <c r="A855" s="42"/>
      <c r="B855" s="36"/>
      <c r="C855" s="36"/>
      <c r="D855" s="36"/>
      <c r="E855" s="36"/>
      <c r="F855" s="36"/>
      <c r="G855" s="37"/>
      <c r="H855" s="36"/>
      <c r="I855" s="36"/>
    </row>
    <row r="856" spans="1:9" x14ac:dyDescent="0.3">
      <c r="A856" s="42"/>
      <c r="B856" s="36"/>
      <c r="C856" s="36"/>
      <c r="D856" s="36"/>
      <c r="E856" s="36"/>
      <c r="F856" s="36"/>
      <c r="G856" s="37"/>
      <c r="H856" s="36"/>
      <c r="I856" s="36"/>
    </row>
    <row r="857" spans="1:9" x14ac:dyDescent="0.3">
      <c r="A857" s="42"/>
      <c r="B857" s="36"/>
      <c r="C857" s="36"/>
      <c r="D857" s="36"/>
      <c r="E857" s="36"/>
      <c r="F857" s="36"/>
      <c r="G857" s="37"/>
      <c r="H857" s="36"/>
      <c r="I857" s="36"/>
    </row>
    <row r="858" spans="1:9" x14ac:dyDescent="0.3">
      <c r="A858" s="42"/>
      <c r="B858" s="36"/>
      <c r="C858" s="36"/>
      <c r="D858" s="36"/>
      <c r="E858" s="36"/>
      <c r="F858" s="36"/>
      <c r="G858" s="37"/>
      <c r="H858" s="36"/>
      <c r="I858" s="36"/>
    </row>
    <row r="859" spans="1:9" x14ac:dyDescent="0.3">
      <c r="A859" s="42"/>
      <c r="B859" s="36"/>
      <c r="C859" s="36"/>
      <c r="D859" s="36"/>
      <c r="E859" s="36"/>
      <c r="F859" s="36"/>
      <c r="G859" s="37"/>
      <c r="H859" s="36"/>
      <c r="I859" s="36"/>
    </row>
    <row r="860" spans="1:9" x14ac:dyDescent="0.3">
      <c r="A860" s="42"/>
      <c r="B860" s="36"/>
      <c r="C860" s="36"/>
      <c r="D860" s="36"/>
      <c r="E860" s="36"/>
      <c r="F860" s="36"/>
      <c r="G860" s="37"/>
      <c r="H860" s="36"/>
      <c r="I860" s="36"/>
    </row>
    <row r="861" spans="1:9" x14ac:dyDescent="0.3">
      <c r="A861" s="42"/>
      <c r="B861" s="36"/>
      <c r="C861" s="36"/>
      <c r="D861" s="36"/>
      <c r="E861" s="36"/>
      <c r="F861" s="36"/>
      <c r="G861" s="37"/>
      <c r="H861" s="36"/>
      <c r="I861" s="36"/>
    </row>
    <row r="862" spans="1:9" x14ac:dyDescent="0.3">
      <c r="A862" s="42"/>
      <c r="B862" s="36"/>
      <c r="C862" s="36"/>
      <c r="D862" s="36"/>
      <c r="E862" s="36"/>
      <c r="F862" s="36"/>
      <c r="G862" s="37"/>
      <c r="H862" s="36"/>
      <c r="I862" s="36"/>
    </row>
    <row r="863" spans="1:9" x14ac:dyDescent="0.3">
      <c r="A863" s="42"/>
      <c r="B863" s="36"/>
      <c r="C863" s="36"/>
      <c r="D863" s="36"/>
      <c r="E863" s="36"/>
      <c r="F863" s="36"/>
      <c r="G863" s="37"/>
      <c r="H863" s="36"/>
      <c r="I863" s="36"/>
    </row>
    <row r="864" spans="1:9" x14ac:dyDescent="0.3">
      <c r="A864" s="42"/>
      <c r="B864" s="36"/>
      <c r="C864" s="36"/>
      <c r="D864" s="36"/>
      <c r="E864" s="36"/>
      <c r="F864" s="36"/>
      <c r="G864" s="37"/>
      <c r="H864" s="36"/>
      <c r="I864" s="36"/>
    </row>
    <row r="865" spans="1:9" x14ac:dyDescent="0.3">
      <c r="A865" s="42"/>
      <c r="B865" s="36"/>
      <c r="C865" s="36"/>
      <c r="D865" s="36"/>
      <c r="E865" s="36"/>
      <c r="F865" s="36"/>
      <c r="G865" s="37"/>
      <c r="H865" s="36"/>
      <c r="I865" s="36"/>
    </row>
    <row r="866" spans="1:9" x14ac:dyDescent="0.3">
      <c r="A866" s="42"/>
      <c r="B866" s="36"/>
      <c r="C866" s="36"/>
      <c r="D866" s="36"/>
      <c r="E866" s="36"/>
      <c r="F866" s="36"/>
      <c r="G866" s="37"/>
      <c r="H866" s="36"/>
      <c r="I866" s="36"/>
    </row>
    <row r="867" spans="1:9" x14ac:dyDescent="0.3">
      <c r="A867" s="42"/>
      <c r="B867" s="36"/>
      <c r="C867" s="36"/>
      <c r="D867" s="36"/>
      <c r="E867" s="36"/>
      <c r="F867" s="36"/>
      <c r="G867" s="37"/>
      <c r="H867" s="36"/>
      <c r="I867" s="36"/>
    </row>
    <row r="868" spans="1:9" x14ac:dyDescent="0.3">
      <c r="A868" s="42"/>
      <c r="B868" s="36"/>
      <c r="C868" s="36"/>
      <c r="D868" s="36"/>
      <c r="E868" s="36"/>
      <c r="F868" s="36"/>
      <c r="G868" s="37"/>
      <c r="H868" s="36"/>
      <c r="I868" s="36"/>
    </row>
    <row r="869" spans="1:9" x14ac:dyDescent="0.3">
      <c r="A869" s="42"/>
      <c r="B869" s="36"/>
      <c r="C869" s="36"/>
      <c r="D869" s="36"/>
      <c r="E869" s="36"/>
      <c r="F869" s="36"/>
      <c r="G869" s="37"/>
      <c r="H869" s="36"/>
      <c r="I869" s="36"/>
    </row>
    <row r="870" spans="1:9" x14ac:dyDescent="0.3">
      <c r="A870" s="42"/>
      <c r="B870" s="36"/>
      <c r="C870" s="36"/>
      <c r="D870" s="36"/>
      <c r="E870" s="36"/>
      <c r="F870" s="36"/>
      <c r="G870" s="37"/>
      <c r="H870" s="36"/>
      <c r="I870" s="36"/>
    </row>
    <row r="871" spans="1:9" x14ac:dyDescent="0.3">
      <c r="A871" s="42"/>
      <c r="B871" s="36"/>
      <c r="C871" s="36"/>
      <c r="D871" s="36"/>
      <c r="E871" s="36"/>
      <c r="F871" s="36"/>
      <c r="G871" s="37"/>
      <c r="H871" s="36"/>
      <c r="I871" s="36"/>
    </row>
    <row r="872" spans="1:9" x14ac:dyDescent="0.3">
      <c r="A872" s="42"/>
      <c r="B872" s="36"/>
      <c r="C872" s="36"/>
      <c r="D872" s="36"/>
      <c r="E872" s="36"/>
      <c r="F872" s="36"/>
      <c r="G872" s="37"/>
      <c r="H872" s="36"/>
      <c r="I872" s="36"/>
    </row>
    <row r="873" spans="1:9" x14ac:dyDescent="0.3">
      <c r="A873" s="42"/>
      <c r="B873" s="36"/>
      <c r="C873" s="36"/>
      <c r="D873" s="36"/>
      <c r="E873" s="36"/>
      <c r="F873" s="36"/>
      <c r="G873" s="37"/>
      <c r="H873" s="36"/>
      <c r="I873" s="36"/>
    </row>
    <row r="874" spans="1:9" x14ac:dyDescent="0.3">
      <c r="A874" s="42"/>
      <c r="B874" s="36"/>
      <c r="C874" s="36"/>
      <c r="D874" s="36"/>
      <c r="E874" s="36"/>
      <c r="F874" s="36"/>
      <c r="G874" s="37"/>
      <c r="H874" s="36"/>
      <c r="I874" s="36"/>
    </row>
    <row r="875" spans="1:9" x14ac:dyDescent="0.3">
      <c r="A875" s="42"/>
      <c r="B875" s="36"/>
      <c r="C875" s="36"/>
      <c r="D875" s="36"/>
      <c r="E875" s="36"/>
      <c r="F875" s="36"/>
      <c r="G875" s="37"/>
      <c r="H875" s="36"/>
      <c r="I875" s="36"/>
    </row>
    <row r="876" spans="1:9" x14ac:dyDescent="0.3">
      <c r="A876" s="42"/>
      <c r="B876" s="36"/>
      <c r="C876" s="36"/>
      <c r="D876" s="36"/>
      <c r="E876" s="36"/>
      <c r="F876" s="36"/>
      <c r="G876" s="37"/>
      <c r="H876" s="36"/>
      <c r="I876" s="36"/>
    </row>
    <row r="877" spans="1:9" x14ac:dyDescent="0.3">
      <c r="A877" s="42"/>
      <c r="B877" s="36"/>
      <c r="C877" s="36"/>
      <c r="D877" s="36"/>
      <c r="E877" s="36"/>
      <c r="F877" s="36"/>
      <c r="G877" s="37"/>
      <c r="H877" s="36"/>
      <c r="I877" s="36"/>
    </row>
    <row r="878" spans="1:9" x14ac:dyDescent="0.3">
      <c r="A878" s="42"/>
      <c r="B878" s="36"/>
      <c r="C878" s="36"/>
      <c r="D878" s="36"/>
      <c r="E878" s="36"/>
      <c r="F878" s="36"/>
      <c r="G878" s="37"/>
      <c r="H878" s="36"/>
      <c r="I878" s="36"/>
    </row>
    <row r="879" spans="1:9" x14ac:dyDescent="0.3">
      <c r="A879" s="42"/>
      <c r="B879" s="36"/>
      <c r="C879" s="36"/>
      <c r="D879" s="36"/>
      <c r="E879" s="36"/>
      <c r="F879" s="36"/>
      <c r="G879" s="37"/>
      <c r="H879" s="36"/>
      <c r="I879" s="36"/>
    </row>
    <row r="880" spans="1:9" x14ac:dyDescent="0.3">
      <c r="A880" s="42"/>
      <c r="B880" s="36"/>
      <c r="C880" s="36"/>
      <c r="D880" s="36"/>
      <c r="E880" s="36"/>
      <c r="F880" s="36"/>
      <c r="G880" s="37"/>
      <c r="H880" s="36"/>
      <c r="I880" s="36"/>
    </row>
    <row r="881" spans="1:9" x14ac:dyDescent="0.3">
      <c r="A881" s="42"/>
      <c r="B881" s="36"/>
      <c r="C881" s="36"/>
      <c r="D881" s="36"/>
      <c r="E881" s="36"/>
      <c r="F881" s="36"/>
      <c r="G881" s="37"/>
      <c r="H881" s="36"/>
      <c r="I881" s="36"/>
    </row>
    <row r="882" spans="1:9" x14ac:dyDescent="0.3">
      <c r="A882" s="42"/>
      <c r="B882" s="36"/>
      <c r="C882" s="36"/>
      <c r="D882" s="36"/>
      <c r="E882" s="36"/>
      <c r="F882" s="36"/>
      <c r="G882" s="37"/>
      <c r="H882" s="36"/>
      <c r="I882" s="36"/>
    </row>
    <row r="883" spans="1:9" x14ac:dyDescent="0.3">
      <c r="A883" s="42"/>
      <c r="B883" s="36"/>
      <c r="C883" s="36"/>
      <c r="D883" s="36"/>
      <c r="E883" s="36"/>
      <c r="F883" s="36"/>
      <c r="G883" s="37"/>
      <c r="H883" s="36"/>
      <c r="I883" s="36"/>
    </row>
    <row r="884" spans="1:9" x14ac:dyDescent="0.3">
      <c r="A884" s="42"/>
      <c r="B884" s="36"/>
      <c r="C884" s="36"/>
      <c r="D884" s="36"/>
      <c r="E884" s="36"/>
      <c r="F884" s="36"/>
      <c r="G884" s="37"/>
      <c r="H884" s="36"/>
      <c r="I884" s="36"/>
    </row>
    <row r="885" spans="1:9" x14ac:dyDescent="0.3">
      <c r="A885" s="42"/>
      <c r="B885" s="36"/>
      <c r="C885" s="36"/>
      <c r="D885" s="36"/>
      <c r="E885" s="36"/>
      <c r="F885" s="36"/>
      <c r="G885" s="37"/>
      <c r="H885" s="36"/>
      <c r="I885" s="36"/>
    </row>
    <row r="886" spans="1:9" x14ac:dyDescent="0.3">
      <c r="A886" s="42"/>
      <c r="B886" s="36"/>
      <c r="C886" s="36"/>
      <c r="D886" s="36"/>
      <c r="E886" s="36"/>
      <c r="F886" s="36"/>
      <c r="G886" s="37"/>
      <c r="H886" s="36"/>
      <c r="I886" s="36"/>
    </row>
    <row r="887" spans="1:9" x14ac:dyDescent="0.3">
      <c r="A887" s="42"/>
      <c r="B887" s="36"/>
      <c r="C887" s="36"/>
      <c r="D887" s="36"/>
      <c r="E887" s="36"/>
      <c r="F887" s="36"/>
      <c r="G887" s="37"/>
      <c r="H887" s="36"/>
      <c r="I887" s="36"/>
    </row>
    <row r="888" spans="1:9" x14ac:dyDescent="0.3">
      <c r="A888" s="42"/>
      <c r="B888" s="36"/>
      <c r="C888" s="36"/>
      <c r="D888" s="36"/>
      <c r="E888" s="36"/>
      <c r="F888" s="36"/>
      <c r="G888" s="37"/>
      <c r="H888" s="36"/>
      <c r="I888" s="36"/>
    </row>
    <row r="889" spans="1:9" x14ac:dyDescent="0.3">
      <c r="A889" s="42"/>
      <c r="B889" s="36"/>
      <c r="C889" s="36"/>
      <c r="D889" s="36"/>
      <c r="E889" s="36"/>
      <c r="F889" s="36"/>
      <c r="G889" s="37"/>
      <c r="H889" s="36"/>
      <c r="I889" s="36"/>
    </row>
    <row r="890" spans="1:9" x14ac:dyDescent="0.3">
      <c r="A890" s="42"/>
      <c r="B890" s="36"/>
      <c r="C890" s="36"/>
      <c r="D890" s="36"/>
      <c r="E890" s="36"/>
      <c r="F890" s="36"/>
      <c r="G890" s="37"/>
      <c r="H890" s="36"/>
      <c r="I890" s="36"/>
    </row>
    <row r="891" spans="1:9" x14ac:dyDescent="0.3">
      <c r="A891" s="42"/>
      <c r="B891" s="36"/>
      <c r="C891" s="36"/>
      <c r="D891" s="36"/>
      <c r="E891" s="36"/>
      <c r="F891" s="36"/>
      <c r="G891" s="37"/>
      <c r="H891" s="36"/>
      <c r="I891" s="36"/>
    </row>
    <row r="892" spans="1:9" x14ac:dyDescent="0.3">
      <c r="A892" s="42"/>
      <c r="B892" s="36"/>
      <c r="C892" s="36"/>
      <c r="D892" s="36"/>
      <c r="E892" s="36"/>
      <c r="F892" s="36"/>
      <c r="G892" s="37"/>
      <c r="H892" s="36"/>
      <c r="I892" s="36"/>
    </row>
    <row r="893" spans="1:9" x14ac:dyDescent="0.3">
      <c r="A893" s="42"/>
      <c r="B893" s="36"/>
      <c r="C893" s="36"/>
      <c r="D893" s="36"/>
      <c r="E893" s="36"/>
      <c r="F893" s="36"/>
      <c r="G893" s="37"/>
      <c r="H893" s="36"/>
      <c r="I893" s="36"/>
    </row>
    <row r="894" spans="1:9" x14ac:dyDescent="0.3">
      <c r="A894" s="42"/>
      <c r="B894" s="36"/>
      <c r="C894" s="36"/>
      <c r="D894" s="36"/>
      <c r="E894" s="36"/>
      <c r="F894" s="36"/>
      <c r="G894" s="37"/>
      <c r="H894" s="36"/>
      <c r="I894" s="36"/>
    </row>
    <row r="895" spans="1:9" x14ac:dyDescent="0.3">
      <c r="A895" s="42"/>
      <c r="B895" s="36"/>
      <c r="C895" s="36"/>
      <c r="D895" s="36"/>
      <c r="E895" s="36"/>
      <c r="F895" s="36"/>
      <c r="G895" s="37"/>
      <c r="H895" s="36"/>
      <c r="I895" s="36"/>
    </row>
    <row r="896" spans="1:9" x14ac:dyDescent="0.3">
      <c r="A896" s="42"/>
      <c r="B896" s="36"/>
      <c r="C896" s="36"/>
      <c r="D896" s="36"/>
      <c r="E896" s="36"/>
      <c r="F896" s="36"/>
      <c r="G896" s="37"/>
      <c r="H896" s="36"/>
      <c r="I896" s="36"/>
    </row>
    <row r="897" spans="1:9" x14ac:dyDescent="0.3">
      <c r="A897" s="42"/>
      <c r="B897" s="36"/>
      <c r="C897" s="36"/>
      <c r="D897" s="36"/>
      <c r="E897" s="36"/>
      <c r="F897" s="36"/>
      <c r="G897" s="37"/>
      <c r="H897" s="36"/>
      <c r="I897" s="36"/>
    </row>
    <row r="898" spans="1:9" x14ac:dyDescent="0.3">
      <c r="A898" s="42"/>
      <c r="B898" s="36"/>
      <c r="C898" s="36"/>
      <c r="D898" s="36"/>
      <c r="E898" s="36"/>
      <c r="F898" s="36"/>
      <c r="G898" s="37"/>
      <c r="H898" s="36"/>
      <c r="I898" s="36"/>
    </row>
    <row r="899" spans="1:9" x14ac:dyDescent="0.3">
      <c r="A899" s="42"/>
      <c r="B899" s="36"/>
      <c r="C899" s="36"/>
      <c r="D899" s="36"/>
      <c r="E899" s="36"/>
      <c r="F899" s="36"/>
      <c r="G899" s="37"/>
      <c r="H899" s="36"/>
      <c r="I899" s="36"/>
    </row>
    <row r="900" spans="1:9" x14ac:dyDescent="0.3">
      <c r="A900" s="42"/>
      <c r="B900" s="36"/>
      <c r="C900" s="36"/>
      <c r="D900" s="36"/>
      <c r="E900" s="36"/>
      <c r="F900" s="36"/>
      <c r="G900" s="37"/>
      <c r="H900" s="36"/>
      <c r="I900" s="36"/>
    </row>
    <row r="901" spans="1:9" x14ac:dyDescent="0.3">
      <c r="A901" s="42"/>
      <c r="B901" s="36"/>
      <c r="C901" s="36"/>
      <c r="D901" s="36"/>
      <c r="E901" s="36"/>
      <c r="F901" s="36"/>
      <c r="G901" s="37"/>
      <c r="H901" s="36"/>
      <c r="I901" s="36"/>
    </row>
    <row r="902" spans="1:9" x14ac:dyDescent="0.3">
      <c r="A902" s="42"/>
      <c r="B902" s="36"/>
      <c r="C902" s="36"/>
      <c r="D902" s="36"/>
      <c r="E902" s="36"/>
      <c r="F902" s="36"/>
      <c r="G902" s="37"/>
      <c r="H902" s="36"/>
      <c r="I902" s="36"/>
    </row>
    <row r="903" spans="1:9" x14ac:dyDescent="0.3">
      <c r="A903" s="42"/>
      <c r="B903" s="36"/>
      <c r="C903" s="36"/>
      <c r="D903" s="36"/>
      <c r="E903" s="36"/>
      <c r="F903" s="36"/>
      <c r="G903" s="37"/>
      <c r="H903" s="36"/>
      <c r="I903" s="36"/>
    </row>
    <row r="904" spans="1:9" x14ac:dyDescent="0.3">
      <c r="A904" s="42"/>
      <c r="B904" s="36"/>
      <c r="C904" s="36"/>
      <c r="D904" s="36"/>
      <c r="E904" s="36"/>
      <c r="F904" s="36"/>
      <c r="G904" s="37"/>
      <c r="H904" s="36"/>
      <c r="I904" s="36"/>
    </row>
    <row r="905" spans="1:9" x14ac:dyDescent="0.3">
      <c r="A905" s="42"/>
      <c r="B905" s="36"/>
      <c r="C905" s="36"/>
      <c r="D905" s="36"/>
      <c r="E905" s="36"/>
      <c r="F905" s="36"/>
      <c r="G905" s="37"/>
      <c r="H905" s="36"/>
      <c r="I905" s="36"/>
    </row>
    <row r="906" spans="1:9" x14ac:dyDescent="0.3">
      <c r="A906" s="42"/>
      <c r="B906" s="36"/>
      <c r="C906" s="36"/>
      <c r="D906" s="36"/>
      <c r="E906" s="36"/>
      <c r="F906" s="36"/>
      <c r="G906" s="37"/>
      <c r="H906" s="36"/>
      <c r="I906" s="36"/>
    </row>
    <row r="907" spans="1:9" x14ac:dyDescent="0.3">
      <c r="A907" s="42"/>
      <c r="B907" s="36"/>
      <c r="C907" s="36"/>
      <c r="D907" s="36"/>
      <c r="E907" s="36"/>
      <c r="F907" s="36"/>
      <c r="G907" s="37"/>
      <c r="H907" s="36"/>
      <c r="I907" s="36"/>
    </row>
    <row r="908" spans="1:9" x14ac:dyDescent="0.3">
      <c r="A908" s="42"/>
      <c r="B908" s="36"/>
      <c r="C908" s="36"/>
      <c r="D908" s="36"/>
      <c r="E908" s="36"/>
      <c r="F908" s="36"/>
      <c r="G908" s="37"/>
      <c r="H908" s="36"/>
      <c r="I908" s="36"/>
    </row>
    <row r="909" spans="1:9" x14ac:dyDescent="0.3">
      <c r="A909" s="42"/>
      <c r="B909" s="36"/>
      <c r="C909" s="36"/>
      <c r="D909" s="36"/>
      <c r="E909" s="36"/>
      <c r="F909" s="36"/>
      <c r="G909" s="37"/>
      <c r="H909" s="36"/>
      <c r="I909" s="36"/>
    </row>
    <row r="910" spans="1:9" x14ac:dyDescent="0.3">
      <c r="A910" s="42"/>
      <c r="B910" s="36"/>
      <c r="C910" s="36"/>
      <c r="D910" s="36"/>
      <c r="E910" s="36"/>
      <c r="F910" s="36"/>
      <c r="G910" s="37"/>
      <c r="H910" s="36"/>
      <c r="I910" s="36"/>
    </row>
    <row r="911" spans="1:9" x14ac:dyDescent="0.3">
      <c r="A911" s="42"/>
      <c r="B911" s="36"/>
      <c r="C911" s="36"/>
      <c r="D911" s="36"/>
      <c r="E911" s="36"/>
      <c r="F911" s="36"/>
      <c r="G911" s="37"/>
      <c r="H911" s="36"/>
      <c r="I911" s="36"/>
    </row>
    <row r="912" spans="1:9" x14ac:dyDescent="0.3">
      <c r="A912" s="42"/>
      <c r="B912" s="36"/>
      <c r="C912" s="36"/>
      <c r="D912" s="36"/>
      <c r="E912" s="36"/>
      <c r="F912" s="36"/>
      <c r="G912" s="37"/>
      <c r="H912" s="36"/>
      <c r="I912" s="36"/>
    </row>
    <row r="913" spans="1:9" x14ac:dyDescent="0.3">
      <c r="A913" s="42"/>
      <c r="B913" s="36"/>
      <c r="C913" s="36"/>
      <c r="D913" s="36"/>
      <c r="E913" s="36"/>
      <c r="F913" s="36"/>
      <c r="G913" s="37"/>
      <c r="H913" s="36"/>
      <c r="I913" s="36"/>
    </row>
    <row r="914" spans="1:9" x14ac:dyDescent="0.3">
      <c r="A914" s="42"/>
      <c r="B914" s="36"/>
      <c r="C914" s="36"/>
      <c r="D914" s="36"/>
      <c r="E914" s="36"/>
      <c r="F914" s="36"/>
      <c r="G914" s="37"/>
      <c r="H914" s="36"/>
      <c r="I914" s="36"/>
    </row>
    <row r="915" spans="1:9" x14ac:dyDescent="0.3">
      <c r="A915" s="42"/>
      <c r="B915" s="36"/>
      <c r="C915" s="36"/>
      <c r="D915" s="36"/>
      <c r="E915" s="36"/>
      <c r="F915" s="36"/>
      <c r="G915" s="37"/>
      <c r="H915" s="36"/>
      <c r="I915" s="36"/>
    </row>
    <row r="916" spans="1:9" x14ac:dyDescent="0.3">
      <c r="A916" s="42"/>
      <c r="B916" s="36"/>
      <c r="C916" s="36"/>
      <c r="D916" s="36"/>
      <c r="E916" s="36"/>
      <c r="F916" s="36"/>
      <c r="G916" s="37"/>
      <c r="H916" s="36"/>
      <c r="I916" s="36"/>
    </row>
    <row r="917" spans="1:9" x14ac:dyDescent="0.3">
      <c r="A917" s="42"/>
      <c r="B917" s="36"/>
      <c r="C917" s="36"/>
      <c r="D917" s="36"/>
      <c r="E917" s="36"/>
      <c r="F917" s="36"/>
      <c r="G917" s="37"/>
      <c r="H917" s="36"/>
      <c r="I917" s="36"/>
    </row>
    <row r="918" spans="1:9" x14ac:dyDescent="0.3">
      <c r="A918" s="42"/>
      <c r="B918" s="36"/>
      <c r="C918" s="36"/>
      <c r="D918" s="36"/>
      <c r="E918" s="36"/>
      <c r="F918" s="36"/>
      <c r="G918" s="37"/>
      <c r="H918" s="36"/>
      <c r="I918" s="36"/>
    </row>
    <row r="919" spans="1:9" x14ac:dyDescent="0.3">
      <c r="A919" s="42"/>
      <c r="B919" s="36"/>
      <c r="C919" s="36"/>
      <c r="D919" s="36"/>
      <c r="E919" s="36"/>
      <c r="F919" s="36"/>
      <c r="G919" s="37"/>
      <c r="H919" s="36"/>
      <c r="I919" s="36"/>
    </row>
    <row r="920" spans="1:9" x14ac:dyDescent="0.3">
      <c r="A920" s="42"/>
      <c r="B920" s="36"/>
      <c r="C920" s="36"/>
      <c r="D920" s="36"/>
      <c r="E920" s="36"/>
      <c r="F920" s="36"/>
      <c r="G920" s="37"/>
      <c r="H920" s="36"/>
      <c r="I920" s="36"/>
    </row>
    <row r="921" spans="1:9" x14ac:dyDescent="0.3">
      <c r="A921" s="42"/>
      <c r="B921" s="36"/>
      <c r="C921" s="36"/>
      <c r="D921" s="36"/>
      <c r="E921" s="36"/>
      <c r="F921" s="36"/>
      <c r="G921" s="37"/>
      <c r="H921" s="36"/>
      <c r="I921" s="36"/>
    </row>
    <row r="922" spans="1:9" x14ac:dyDescent="0.3">
      <c r="A922" s="42"/>
      <c r="B922" s="36"/>
      <c r="C922" s="36"/>
      <c r="D922" s="36"/>
      <c r="E922" s="36"/>
      <c r="F922" s="36"/>
      <c r="G922" s="37"/>
      <c r="H922" s="36"/>
      <c r="I922" s="36"/>
    </row>
    <row r="923" spans="1:9" x14ac:dyDescent="0.3">
      <c r="A923" s="42"/>
      <c r="B923" s="36"/>
      <c r="C923" s="36"/>
      <c r="D923" s="36"/>
      <c r="E923" s="36"/>
      <c r="F923" s="36"/>
      <c r="G923" s="37"/>
      <c r="H923" s="36"/>
      <c r="I923" s="36"/>
    </row>
    <row r="924" spans="1:9" x14ac:dyDescent="0.3">
      <c r="A924" s="42"/>
      <c r="B924" s="36"/>
      <c r="C924" s="36"/>
      <c r="D924" s="36"/>
      <c r="E924" s="36"/>
      <c r="F924" s="36"/>
      <c r="G924" s="37"/>
      <c r="H924" s="36"/>
      <c r="I924" s="36"/>
    </row>
    <row r="925" spans="1:9" x14ac:dyDescent="0.3">
      <c r="A925" s="42"/>
      <c r="B925" s="36"/>
      <c r="C925" s="36"/>
      <c r="D925" s="36"/>
      <c r="E925" s="36"/>
      <c r="F925" s="36"/>
      <c r="G925" s="37"/>
      <c r="H925" s="36"/>
      <c r="I925" s="36"/>
    </row>
    <row r="926" spans="1:9" x14ac:dyDescent="0.3">
      <c r="A926" s="42"/>
      <c r="B926" s="36"/>
      <c r="C926" s="36"/>
      <c r="D926" s="36"/>
      <c r="E926" s="36"/>
      <c r="F926" s="36"/>
      <c r="G926" s="37"/>
      <c r="H926" s="36"/>
      <c r="I926" s="36"/>
    </row>
    <row r="927" spans="1:9" x14ac:dyDescent="0.3">
      <c r="A927" s="42"/>
      <c r="B927" s="36"/>
      <c r="C927" s="36"/>
      <c r="D927" s="36"/>
      <c r="E927" s="36"/>
      <c r="F927" s="36"/>
      <c r="G927" s="37"/>
      <c r="H927" s="36"/>
      <c r="I927" s="36"/>
    </row>
    <row r="928" spans="1:9" x14ac:dyDescent="0.3">
      <c r="A928" s="42"/>
      <c r="B928" s="36"/>
      <c r="C928" s="36"/>
      <c r="D928" s="36"/>
      <c r="E928" s="36"/>
      <c r="F928" s="36"/>
      <c r="G928" s="37"/>
      <c r="H928" s="36"/>
      <c r="I928" s="36"/>
    </row>
    <row r="929" spans="1:9" x14ac:dyDescent="0.3">
      <c r="A929" s="42"/>
      <c r="B929" s="36"/>
      <c r="C929" s="36"/>
      <c r="D929" s="36"/>
      <c r="E929" s="36"/>
      <c r="F929" s="36"/>
      <c r="G929" s="37"/>
      <c r="H929" s="36"/>
      <c r="I929" s="36"/>
    </row>
    <row r="930" spans="1:9" x14ac:dyDescent="0.3">
      <c r="A930" s="42"/>
      <c r="B930" s="36"/>
      <c r="C930" s="36"/>
      <c r="D930" s="36"/>
      <c r="E930" s="36"/>
      <c r="F930" s="36"/>
      <c r="G930" s="37"/>
      <c r="H930" s="36"/>
      <c r="I930" s="36"/>
    </row>
    <row r="931" spans="1:9" x14ac:dyDescent="0.3">
      <c r="A931" s="42"/>
      <c r="B931" s="36"/>
      <c r="C931" s="36"/>
      <c r="D931" s="36"/>
      <c r="E931" s="36"/>
      <c r="F931" s="36"/>
      <c r="G931" s="37"/>
      <c r="H931" s="36"/>
      <c r="I931" s="36"/>
    </row>
    <row r="932" spans="1:9" x14ac:dyDescent="0.3">
      <c r="A932" s="42"/>
      <c r="B932" s="36"/>
      <c r="C932" s="36"/>
      <c r="D932" s="36"/>
      <c r="E932" s="36"/>
      <c r="F932" s="36"/>
      <c r="G932" s="37"/>
      <c r="H932" s="36"/>
      <c r="I932" s="36"/>
    </row>
    <row r="933" spans="1:9" x14ac:dyDescent="0.3">
      <c r="A933" s="42"/>
      <c r="B933" s="36"/>
      <c r="C933" s="36"/>
      <c r="D933" s="36"/>
      <c r="E933" s="36"/>
      <c r="F933" s="36"/>
      <c r="G933" s="37"/>
      <c r="H933" s="36"/>
      <c r="I933" s="36"/>
    </row>
    <row r="934" spans="1:9" x14ac:dyDescent="0.3">
      <c r="A934" s="42"/>
      <c r="B934" s="36"/>
      <c r="C934" s="36"/>
      <c r="D934" s="36"/>
      <c r="E934" s="36"/>
      <c r="F934" s="36"/>
      <c r="G934" s="37"/>
      <c r="H934" s="36"/>
      <c r="I934" s="36"/>
    </row>
    <row r="935" spans="1:9" x14ac:dyDescent="0.3">
      <c r="A935" s="42"/>
      <c r="B935" s="36"/>
      <c r="C935" s="36"/>
      <c r="D935" s="36"/>
      <c r="E935" s="36"/>
      <c r="F935" s="36"/>
      <c r="G935" s="37"/>
      <c r="H935" s="36"/>
      <c r="I935" s="36"/>
    </row>
    <row r="936" spans="1:9" x14ac:dyDescent="0.3">
      <c r="A936" s="42"/>
      <c r="B936" s="36"/>
      <c r="C936" s="36"/>
      <c r="D936" s="36"/>
      <c r="E936" s="36"/>
      <c r="F936" s="36"/>
      <c r="G936" s="37"/>
      <c r="H936" s="36"/>
      <c r="I936" s="36"/>
    </row>
    <row r="937" spans="1:9" x14ac:dyDescent="0.3">
      <c r="A937" s="42"/>
      <c r="B937" s="36"/>
      <c r="C937" s="36"/>
      <c r="D937" s="36"/>
      <c r="E937" s="36"/>
      <c r="F937" s="36"/>
      <c r="G937" s="37"/>
      <c r="H937" s="36"/>
      <c r="I937" s="36"/>
    </row>
    <row r="938" spans="1:9" x14ac:dyDescent="0.3">
      <c r="A938" s="42"/>
      <c r="B938" s="36"/>
      <c r="C938" s="36"/>
      <c r="D938" s="36"/>
      <c r="E938" s="36"/>
      <c r="F938" s="36"/>
      <c r="G938" s="37"/>
      <c r="H938" s="36"/>
      <c r="I938" s="36"/>
    </row>
    <row r="939" spans="1:9" x14ac:dyDescent="0.3">
      <c r="A939" s="42"/>
      <c r="B939" s="36"/>
      <c r="C939" s="36"/>
      <c r="D939" s="36"/>
      <c r="E939" s="36"/>
      <c r="F939" s="36"/>
      <c r="G939" s="37"/>
      <c r="H939" s="36"/>
      <c r="I939" s="36"/>
    </row>
    <row r="940" spans="1:9" x14ac:dyDescent="0.3">
      <c r="A940" s="42"/>
      <c r="B940" s="36"/>
      <c r="C940" s="36"/>
      <c r="D940" s="36"/>
      <c r="E940" s="36"/>
      <c r="F940" s="36"/>
      <c r="G940" s="37"/>
      <c r="H940" s="36"/>
      <c r="I940" s="36"/>
    </row>
    <row r="941" spans="1:9" x14ac:dyDescent="0.3">
      <c r="A941" s="42"/>
      <c r="B941" s="36"/>
      <c r="C941" s="36"/>
      <c r="D941" s="36"/>
      <c r="E941" s="36"/>
      <c r="F941" s="36"/>
      <c r="G941" s="37"/>
      <c r="H941" s="36"/>
      <c r="I941" s="36"/>
    </row>
    <row r="942" spans="1:9" x14ac:dyDescent="0.3">
      <c r="A942" s="42"/>
      <c r="B942" s="36"/>
      <c r="C942" s="36"/>
      <c r="D942" s="36"/>
      <c r="E942" s="36"/>
      <c r="F942" s="36"/>
      <c r="G942" s="37"/>
      <c r="H942" s="36"/>
      <c r="I942" s="36"/>
    </row>
    <row r="943" spans="1:9" x14ac:dyDescent="0.3">
      <c r="A943" s="42"/>
      <c r="B943" s="36"/>
      <c r="C943" s="36"/>
      <c r="D943" s="36"/>
      <c r="E943" s="36"/>
      <c r="F943" s="36"/>
      <c r="G943" s="37"/>
      <c r="H943" s="36"/>
      <c r="I943" s="36"/>
    </row>
    <row r="944" spans="1:9" x14ac:dyDescent="0.3">
      <c r="A944" s="42"/>
      <c r="B944" s="36"/>
      <c r="C944" s="36"/>
      <c r="D944" s="36"/>
      <c r="E944" s="36"/>
      <c r="F944" s="36"/>
      <c r="G944" s="37"/>
      <c r="H944" s="36"/>
      <c r="I944" s="36"/>
    </row>
    <row r="945" spans="1:9" x14ac:dyDescent="0.3">
      <c r="A945" s="42"/>
      <c r="B945" s="36"/>
      <c r="C945" s="36"/>
      <c r="D945" s="36"/>
      <c r="E945" s="36"/>
      <c r="F945" s="36"/>
      <c r="G945" s="37"/>
      <c r="H945" s="36"/>
      <c r="I945" s="36"/>
    </row>
    <row r="946" spans="1:9" x14ac:dyDescent="0.3">
      <c r="A946" s="42"/>
      <c r="B946" s="36"/>
      <c r="C946" s="36"/>
      <c r="D946" s="36"/>
      <c r="E946" s="36"/>
      <c r="F946" s="36"/>
      <c r="G946" s="37"/>
      <c r="H946" s="36"/>
      <c r="I946" s="36"/>
    </row>
    <row r="947" spans="1:9" x14ac:dyDescent="0.3">
      <c r="A947" s="42"/>
      <c r="B947" s="36"/>
      <c r="C947" s="36"/>
      <c r="D947" s="36"/>
      <c r="E947" s="36"/>
      <c r="F947" s="36"/>
      <c r="G947" s="37"/>
      <c r="H947" s="36"/>
      <c r="I947" s="36"/>
    </row>
    <row r="948" spans="1:9" x14ac:dyDescent="0.3">
      <c r="A948" s="42"/>
      <c r="B948" s="36"/>
      <c r="C948" s="36"/>
      <c r="D948" s="36"/>
      <c r="E948" s="36"/>
      <c r="F948" s="36"/>
      <c r="G948" s="37"/>
      <c r="H948" s="36"/>
      <c r="I948" s="36"/>
    </row>
    <row r="949" spans="1:9" x14ac:dyDescent="0.3">
      <c r="A949" s="42"/>
      <c r="B949" s="36"/>
      <c r="C949" s="36"/>
      <c r="D949" s="36"/>
      <c r="E949" s="36"/>
      <c r="F949" s="36"/>
      <c r="G949" s="37"/>
      <c r="H949" s="36"/>
      <c r="I949" s="36"/>
    </row>
    <row r="950" spans="1:9" x14ac:dyDescent="0.3">
      <c r="A950" s="42"/>
      <c r="B950" s="36"/>
      <c r="C950" s="36"/>
      <c r="D950" s="36"/>
      <c r="E950" s="36"/>
      <c r="F950" s="36"/>
      <c r="G950" s="37"/>
      <c r="H950" s="36"/>
      <c r="I950" s="36"/>
    </row>
    <row r="951" spans="1:9" x14ac:dyDescent="0.3">
      <c r="A951" s="42"/>
      <c r="B951" s="36"/>
      <c r="C951" s="36"/>
      <c r="D951" s="36"/>
      <c r="E951" s="36"/>
      <c r="F951" s="36"/>
      <c r="G951" s="37"/>
      <c r="H951" s="36"/>
      <c r="I951" s="36"/>
    </row>
    <row r="952" spans="1:9" x14ac:dyDescent="0.3">
      <c r="A952" s="42"/>
      <c r="B952" s="36"/>
      <c r="C952" s="36"/>
      <c r="D952" s="36"/>
      <c r="E952" s="36"/>
      <c r="F952" s="36"/>
      <c r="G952" s="37"/>
      <c r="H952" s="36"/>
      <c r="I952" s="36"/>
    </row>
    <row r="953" spans="1:9" x14ac:dyDescent="0.3">
      <c r="A953" s="42"/>
      <c r="B953" s="36"/>
      <c r="C953" s="36"/>
      <c r="D953" s="36"/>
      <c r="E953" s="36"/>
      <c r="F953" s="36"/>
      <c r="G953" s="37"/>
      <c r="H953" s="36"/>
      <c r="I953" s="36"/>
    </row>
    <row r="954" spans="1:9" x14ac:dyDescent="0.3">
      <c r="A954" s="42"/>
      <c r="B954" s="36"/>
      <c r="C954" s="36"/>
      <c r="D954" s="36"/>
      <c r="E954" s="36"/>
      <c r="F954" s="36"/>
      <c r="G954" s="37"/>
      <c r="H954" s="36"/>
      <c r="I954" s="36"/>
    </row>
    <row r="955" spans="1:9" x14ac:dyDescent="0.3">
      <c r="A955" s="42"/>
      <c r="B955" s="36"/>
      <c r="C955" s="36"/>
      <c r="D955" s="36"/>
      <c r="E955" s="36"/>
      <c r="F955" s="36"/>
      <c r="G955" s="37"/>
      <c r="H955" s="36"/>
      <c r="I955" s="36"/>
    </row>
    <row r="956" spans="1:9" x14ac:dyDescent="0.3">
      <c r="A956" s="42"/>
      <c r="B956" s="36"/>
      <c r="C956" s="36"/>
      <c r="D956" s="36"/>
      <c r="E956" s="36"/>
      <c r="F956" s="36"/>
      <c r="G956" s="37"/>
      <c r="H956" s="36"/>
      <c r="I956" s="36"/>
    </row>
    <row r="957" spans="1:9" x14ac:dyDescent="0.3">
      <c r="A957" s="42"/>
      <c r="B957" s="36"/>
      <c r="C957" s="36"/>
      <c r="D957" s="36"/>
      <c r="E957" s="36"/>
      <c r="F957" s="36"/>
      <c r="G957" s="37"/>
      <c r="H957" s="36"/>
      <c r="I957" s="36"/>
    </row>
    <row r="958" spans="1:9" x14ac:dyDescent="0.3">
      <c r="A958" s="42"/>
      <c r="B958" s="36"/>
      <c r="C958" s="36"/>
      <c r="D958" s="36"/>
      <c r="E958" s="36"/>
      <c r="F958" s="36"/>
      <c r="G958" s="37"/>
      <c r="H958" s="36"/>
      <c r="I958" s="36"/>
    </row>
    <row r="959" spans="1:9" x14ac:dyDescent="0.3">
      <c r="A959" s="42"/>
      <c r="B959" s="36"/>
      <c r="C959" s="36"/>
      <c r="D959" s="36"/>
      <c r="E959" s="36"/>
      <c r="F959" s="36"/>
      <c r="G959" s="37"/>
      <c r="H959" s="36"/>
      <c r="I959" s="36"/>
    </row>
    <row r="960" spans="1:9" x14ac:dyDescent="0.3">
      <c r="A960" s="42"/>
      <c r="B960" s="36"/>
      <c r="C960" s="36"/>
      <c r="D960" s="36"/>
      <c r="E960" s="36"/>
      <c r="F960" s="36"/>
      <c r="G960" s="37"/>
      <c r="H960" s="36"/>
      <c r="I960" s="36"/>
    </row>
    <row r="961" spans="1:9" x14ac:dyDescent="0.3">
      <c r="A961" s="42"/>
      <c r="B961" s="36"/>
      <c r="C961" s="36"/>
      <c r="D961" s="36"/>
      <c r="E961" s="36"/>
      <c r="F961" s="36"/>
      <c r="G961" s="37"/>
      <c r="H961" s="36"/>
      <c r="I961" s="36"/>
    </row>
    <row r="962" spans="1:9" x14ac:dyDescent="0.3">
      <c r="A962" s="42"/>
      <c r="B962" s="36"/>
      <c r="C962" s="36"/>
      <c r="D962" s="36"/>
      <c r="E962" s="36"/>
      <c r="F962" s="36"/>
      <c r="G962" s="37"/>
      <c r="H962" s="36"/>
      <c r="I962" s="36"/>
    </row>
    <row r="963" spans="1:9" x14ac:dyDescent="0.3">
      <c r="A963" s="42"/>
      <c r="B963" s="36"/>
      <c r="C963" s="36"/>
      <c r="D963" s="36"/>
      <c r="E963" s="36"/>
      <c r="F963" s="36"/>
      <c r="G963" s="37"/>
      <c r="H963" s="36"/>
      <c r="I963" s="36"/>
    </row>
    <row r="964" spans="1:9" x14ac:dyDescent="0.3">
      <c r="A964" s="42"/>
      <c r="B964" s="36"/>
      <c r="C964" s="36"/>
      <c r="D964" s="36"/>
      <c r="E964" s="36"/>
      <c r="F964" s="36"/>
      <c r="G964" s="37"/>
      <c r="H964" s="36"/>
      <c r="I964" s="36"/>
    </row>
    <row r="965" spans="1:9" x14ac:dyDescent="0.3">
      <c r="A965" s="42"/>
      <c r="B965" s="36"/>
      <c r="C965" s="36"/>
      <c r="D965" s="36"/>
      <c r="E965" s="36"/>
      <c r="F965" s="36"/>
      <c r="G965" s="37"/>
      <c r="H965" s="36"/>
      <c r="I965" s="36"/>
    </row>
    <row r="966" spans="1:9" x14ac:dyDescent="0.3">
      <c r="A966" s="42"/>
      <c r="B966" s="36"/>
      <c r="C966" s="36"/>
      <c r="D966" s="36"/>
      <c r="E966" s="36"/>
      <c r="F966" s="36"/>
      <c r="G966" s="37"/>
      <c r="H966" s="36"/>
      <c r="I966" s="36"/>
    </row>
    <row r="967" spans="1:9" x14ac:dyDescent="0.3">
      <c r="A967" s="42"/>
      <c r="B967" s="36"/>
      <c r="C967" s="36"/>
      <c r="D967" s="36"/>
      <c r="E967" s="36"/>
      <c r="F967" s="36"/>
      <c r="G967" s="37"/>
      <c r="H967" s="36"/>
      <c r="I967" s="36"/>
    </row>
    <row r="968" spans="1:9" x14ac:dyDescent="0.3">
      <c r="A968" s="42"/>
      <c r="B968" s="36"/>
      <c r="C968" s="36"/>
      <c r="D968" s="36"/>
      <c r="E968" s="36"/>
      <c r="F968" s="36"/>
      <c r="G968" s="37"/>
      <c r="H968" s="36"/>
      <c r="I968" s="36"/>
    </row>
    <row r="969" spans="1:9" x14ac:dyDescent="0.3">
      <c r="A969" s="42"/>
      <c r="B969" s="36"/>
      <c r="C969" s="36"/>
      <c r="D969" s="36"/>
      <c r="E969" s="36"/>
      <c r="F969" s="36"/>
      <c r="G969" s="37"/>
      <c r="H969" s="36"/>
      <c r="I969" s="36"/>
    </row>
    <row r="970" spans="1:9" x14ac:dyDescent="0.3">
      <c r="A970" s="42"/>
      <c r="B970" s="36"/>
      <c r="C970" s="36"/>
      <c r="D970" s="36"/>
      <c r="E970" s="36"/>
      <c r="F970" s="36"/>
      <c r="G970" s="37"/>
      <c r="H970" s="36"/>
      <c r="I970" s="36"/>
    </row>
    <row r="971" spans="1:9" x14ac:dyDescent="0.3">
      <c r="A971" s="42"/>
      <c r="B971" s="36"/>
      <c r="C971" s="36"/>
      <c r="D971" s="36"/>
      <c r="E971" s="36"/>
      <c r="F971" s="36"/>
      <c r="G971" s="37"/>
      <c r="H971" s="36"/>
      <c r="I971" s="36"/>
    </row>
    <row r="972" spans="1:9" x14ac:dyDescent="0.3">
      <c r="A972" s="42"/>
      <c r="B972" s="36"/>
      <c r="C972" s="36"/>
      <c r="D972" s="36"/>
      <c r="E972" s="36"/>
      <c r="F972" s="36"/>
      <c r="G972" s="37"/>
      <c r="H972" s="36"/>
      <c r="I972" s="36"/>
    </row>
    <row r="973" spans="1:9" x14ac:dyDescent="0.3">
      <c r="A973" s="42"/>
      <c r="B973" s="36"/>
      <c r="C973" s="36"/>
      <c r="D973" s="36"/>
      <c r="E973" s="36"/>
      <c r="F973" s="36"/>
      <c r="G973" s="37"/>
      <c r="H973" s="36"/>
      <c r="I973" s="36"/>
    </row>
    <row r="974" spans="1:9" x14ac:dyDescent="0.3">
      <c r="A974" s="42"/>
      <c r="B974" s="36"/>
      <c r="C974" s="36"/>
      <c r="D974" s="36"/>
      <c r="E974" s="36"/>
      <c r="F974" s="36"/>
      <c r="G974" s="37"/>
      <c r="H974" s="36"/>
      <c r="I974" s="36"/>
    </row>
    <row r="975" spans="1:9" x14ac:dyDescent="0.3">
      <c r="A975" s="42"/>
      <c r="B975" s="36"/>
      <c r="C975" s="36"/>
      <c r="D975" s="36"/>
      <c r="E975" s="36"/>
      <c r="F975" s="36"/>
      <c r="G975" s="37"/>
      <c r="H975" s="36"/>
      <c r="I975" s="36"/>
    </row>
    <row r="976" spans="1:9" x14ac:dyDescent="0.3">
      <c r="A976" s="42"/>
      <c r="B976" s="36"/>
      <c r="C976" s="36"/>
      <c r="D976" s="36"/>
      <c r="E976" s="36"/>
      <c r="F976" s="36"/>
      <c r="G976" s="37"/>
      <c r="H976" s="36"/>
      <c r="I976" s="36"/>
    </row>
    <row r="977" spans="1:9" x14ac:dyDescent="0.3">
      <c r="A977" s="42"/>
      <c r="B977" s="36"/>
      <c r="C977" s="36"/>
      <c r="D977" s="36"/>
      <c r="E977" s="36"/>
      <c r="F977" s="36"/>
      <c r="G977" s="37"/>
      <c r="H977" s="36"/>
      <c r="I977" s="36"/>
    </row>
    <row r="978" spans="1:9" x14ac:dyDescent="0.3">
      <c r="A978" s="42"/>
      <c r="B978" s="36"/>
      <c r="C978" s="36"/>
      <c r="D978" s="36"/>
      <c r="E978" s="36"/>
      <c r="F978" s="36"/>
      <c r="G978" s="37"/>
      <c r="H978" s="36"/>
      <c r="I978" s="36"/>
    </row>
    <row r="979" spans="1:9" x14ac:dyDescent="0.3">
      <c r="A979" s="42"/>
      <c r="B979" s="36"/>
      <c r="C979" s="36"/>
      <c r="D979" s="36"/>
      <c r="E979" s="36"/>
      <c r="F979" s="36"/>
      <c r="G979" s="37"/>
      <c r="H979" s="36"/>
      <c r="I979" s="36"/>
    </row>
    <row r="980" spans="1:9" x14ac:dyDescent="0.3">
      <c r="A980" s="42"/>
      <c r="B980" s="36"/>
      <c r="C980" s="36"/>
      <c r="D980" s="36"/>
      <c r="E980" s="36"/>
      <c r="F980" s="36"/>
      <c r="G980" s="37"/>
      <c r="H980" s="36"/>
      <c r="I980" s="36"/>
    </row>
    <row r="981" spans="1:9" x14ac:dyDescent="0.3">
      <c r="A981" s="42"/>
      <c r="B981" s="36"/>
      <c r="C981" s="36"/>
      <c r="D981" s="36"/>
      <c r="E981" s="36"/>
      <c r="F981" s="36"/>
      <c r="G981" s="37"/>
      <c r="H981" s="36"/>
      <c r="I981" s="36"/>
    </row>
    <row r="982" spans="1:9" x14ac:dyDescent="0.3">
      <c r="A982" s="42"/>
      <c r="B982" s="36"/>
      <c r="C982" s="36"/>
      <c r="D982" s="36"/>
      <c r="E982" s="36"/>
      <c r="F982" s="36"/>
      <c r="G982" s="37"/>
      <c r="H982" s="36"/>
      <c r="I982" s="36"/>
    </row>
    <row r="983" spans="1:9" x14ac:dyDescent="0.3">
      <c r="A983" s="42"/>
      <c r="B983" s="36"/>
      <c r="C983" s="36"/>
      <c r="D983" s="36"/>
      <c r="E983" s="36"/>
      <c r="F983" s="36"/>
      <c r="G983" s="37"/>
      <c r="H983" s="36"/>
      <c r="I983" s="36"/>
    </row>
    <row r="984" spans="1:9" x14ac:dyDescent="0.3">
      <c r="A984" s="42"/>
      <c r="B984" s="36"/>
      <c r="C984" s="36"/>
      <c r="D984" s="36"/>
      <c r="E984" s="36"/>
      <c r="F984" s="36"/>
      <c r="G984" s="37"/>
      <c r="H984" s="36"/>
      <c r="I984" s="36"/>
    </row>
    <row r="985" spans="1:9" x14ac:dyDescent="0.3">
      <c r="A985" s="42"/>
      <c r="B985" s="36"/>
      <c r="C985" s="36"/>
      <c r="D985" s="36"/>
      <c r="E985" s="36"/>
      <c r="F985" s="36"/>
      <c r="G985" s="37"/>
      <c r="H985" s="36"/>
      <c r="I985" s="36"/>
    </row>
    <row r="986" spans="1:9" x14ac:dyDescent="0.3">
      <c r="A986" s="42"/>
      <c r="B986" s="36"/>
      <c r="C986" s="36"/>
      <c r="D986" s="36"/>
      <c r="E986" s="36"/>
      <c r="F986" s="36"/>
      <c r="G986" s="37"/>
      <c r="H986" s="36"/>
      <c r="I986" s="36"/>
    </row>
    <row r="987" spans="1:9" x14ac:dyDescent="0.3">
      <c r="A987" s="42"/>
      <c r="B987" s="36"/>
      <c r="C987" s="36"/>
      <c r="D987" s="36"/>
      <c r="E987" s="36"/>
      <c r="F987" s="36"/>
      <c r="G987" s="37"/>
      <c r="H987" s="36"/>
      <c r="I987" s="36"/>
    </row>
    <row r="988" spans="1:9" x14ac:dyDescent="0.3">
      <c r="A988" s="42"/>
      <c r="B988" s="36"/>
      <c r="C988" s="36"/>
      <c r="D988" s="36"/>
      <c r="E988" s="36"/>
      <c r="F988" s="36"/>
      <c r="G988" s="37"/>
      <c r="H988" s="36"/>
      <c r="I988" s="36"/>
    </row>
    <row r="989" spans="1:9" x14ac:dyDescent="0.3">
      <c r="A989" s="42"/>
      <c r="B989" s="36"/>
      <c r="C989" s="36"/>
      <c r="D989" s="36"/>
      <c r="E989" s="36"/>
      <c r="F989" s="36"/>
      <c r="G989" s="37"/>
      <c r="H989" s="36"/>
      <c r="I989" s="36"/>
    </row>
    <row r="990" spans="1:9" x14ac:dyDescent="0.3">
      <c r="A990" s="42"/>
      <c r="B990" s="36"/>
      <c r="C990" s="36"/>
      <c r="D990" s="36"/>
      <c r="E990" s="36"/>
      <c r="F990" s="36"/>
      <c r="G990" s="37"/>
      <c r="H990" s="36"/>
      <c r="I990" s="36"/>
    </row>
    <row r="991" spans="1:9" x14ac:dyDescent="0.3">
      <c r="A991" s="42"/>
      <c r="B991" s="36"/>
      <c r="C991" s="36"/>
      <c r="D991" s="36"/>
      <c r="E991" s="36"/>
      <c r="F991" s="36"/>
      <c r="G991" s="37"/>
      <c r="H991" s="36"/>
      <c r="I991" s="36"/>
    </row>
    <row r="992" spans="1:9" x14ac:dyDescent="0.3">
      <c r="A992" s="42"/>
      <c r="B992" s="36"/>
      <c r="C992" s="36"/>
      <c r="D992" s="36"/>
      <c r="E992" s="36"/>
      <c r="F992" s="36"/>
      <c r="G992" s="37"/>
      <c r="H992" s="36"/>
      <c r="I992" s="36"/>
    </row>
    <row r="993" spans="1:9" x14ac:dyDescent="0.3">
      <c r="A993" s="42"/>
      <c r="B993" s="36"/>
      <c r="C993" s="36"/>
      <c r="D993" s="36"/>
      <c r="E993" s="36"/>
      <c r="F993" s="36"/>
      <c r="G993" s="37"/>
      <c r="H993" s="36"/>
      <c r="I993" s="36"/>
    </row>
    <row r="994" spans="1:9" x14ac:dyDescent="0.3">
      <c r="A994" s="42"/>
      <c r="B994" s="36"/>
      <c r="C994" s="36"/>
      <c r="D994" s="36"/>
      <c r="E994" s="36"/>
      <c r="F994" s="36"/>
      <c r="G994" s="37"/>
      <c r="H994" s="36"/>
      <c r="I994" s="36"/>
    </row>
    <row r="995" spans="1:9" x14ac:dyDescent="0.3">
      <c r="A995" s="42"/>
      <c r="B995" s="36"/>
      <c r="C995" s="36"/>
      <c r="D995" s="36"/>
      <c r="E995" s="36"/>
      <c r="F995" s="36"/>
      <c r="G995" s="37"/>
      <c r="H995" s="36"/>
      <c r="I995" s="36"/>
    </row>
    <row r="996" spans="1:9" x14ac:dyDescent="0.3">
      <c r="A996" s="42"/>
      <c r="B996" s="36"/>
      <c r="C996" s="36"/>
      <c r="D996" s="36"/>
      <c r="E996" s="36"/>
      <c r="F996" s="36"/>
      <c r="G996" s="37"/>
      <c r="H996" s="36"/>
      <c r="I996" s="36"/>
    </row>
    <row r="997" spans="1:9" x14ac:dyDescent="0.3">
      <c r="A997" s="42"/>
      <c r="B997" s="36"/>
      <c r="C997" s="36"/>
      <c r="D997" s="36"/>
      <c r="E997" s="36"/>
      <c r="F997" s="36"/>
      <c r="G997" s="37"/>
      <c r="H997" s="36"/>
      <c r="I997" s="36"/>
    </row>
    <row r="998" spans="1:9" x14ac:dyDescent="0.3">
      <c r="A998" s="42"/>
      <c r="B998" s="36"/>
      <c r="C998" s="36"/>
      <c r="D998" s="36"/>
      <c r="E998" s="36"/>
      <c r="F998" s="36"/>
      <c r="G998" s="37"/>
      <c r="H998" s="36"/>
      <c r="I998" s="36"/>
    </row>
    <row r="999" spans="1:9" x14ac:dyDescent="0.3">
      <c r="A999" s="42"/>
      <c r="B999" s="36"/>
      <c r="C999" s="36"/>
      <c r="D999" s="36"/>
      <c r="E999" s="36"/>
      <c r="F999" s="36"/>
      <c r="G999" s="37"/>
      <c r="H999" s="36"/>
      <c r="I999" s="36"/>
    </row>
    <row r="1000" spans="1:9" x14ac:dyDescent="0.3">
      <c r="A1000" s="42"/>
      <c r="B1000" s="36"/>
      <c r="C1000" s="38">
        <f>SUBTOTAL(101,Таблица1[x2])</f>
        <v>1.713095353403492E-10</v>
      </c>
      <c r="D1000" s="38">
        <f>SUBTOTAL(101,Таблица1[x3])</f>
        <v>2.7380933499357309E-11</v>
      </c>
      <c r="E1000" s="38">
        <f>SUBTOTAL(101,Таблица1[x4])</f>
        <v>2.809523116798998E-11</v>
      </c>
      <c r="F1000" s="38"/>
      <c r="G1000" s="39"/>
      <c r="H1000" s="38">
        <f>SUBTOTAL(101,Таблица1[x7])</f>
        <v>7.0237737583750141E-12</v>
      </c>
      <c r="I1000" s="38">
        <f>SUBTOTAL(101,Таблица1[x8])</f>
        <v>1.2571423531800482E-10</v>
      </c>
    </row>
    <row r="1001" spans="1:9" x14ac:dyDescent="0.3">
      <c r="A1001" s="43"/>
      <c r="B1001" s="38"/>
    </row>
  </sheetData>
  <mergeCells count="1">
    <mergeCell ref="K1:K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834C4-82D1-47FB-BAF6-F46F29862DCB}">
  <dimension ref="A1:J85"/>
  <sheetViews>
    <sheetView workbookViewId="0">
      <selection activeCell="E8" sqref="E8"/>
    </sheetView>
  </sheetViews>
  <sheetFormatPr defaultRowHeight="14.4" x14ac:dyDescent="0.3"/>
  <cols>
    <col min="1" max="1" width="47.88671875" bestFit="1" customWidth="1"/>
    <col min="2" max="7" width="9" bestFit="1" customWidth="1"/>
    <col min="8" max="8" width="10.44140625" bestFit="1" customWidth="1"/>
    <col min="9" max="10" width="9" bestFit="1" customWidth="1"/>
  </cols>
  <sheetData>
    <row r="1" spans="1:10" ht="15.6" x14ac:dyDescent="0.3">
      <c r="A1" s="247" t="s">
        <v>185</v>
      </c>
      <c r="B1" s="248" t="s">
        <v>94</v>
      </c>
      <c r="C1" s="249" t="s">
        <v>2</v>
      </c>
      <c r="D1" s="249" t="s">
        <v>3</v>
      </c>
      <c r="E1" s="249" t="s">
        <v>4</v>
      </c>
      <c r="F1" s="249" t="s">
        <v>5</v>
      </c>
      <c r="G1" s="249" t="s">
        <v>6</v>
      </c>
      <c r="H1" s="249" t="s">
        <v>7</v>
      </c>
      <c r="I1" s="249" t="s">
        <v>8</v>
      </c>
      <c r="J1" s="250" t="s">
        <v>9</v>
      </c>
    </row>
    <row r="2" spans="1:10" ht="15.6" x14ac:dyDescent="0.3">
      <c r="A2" s="251" t="s">
        <v>10</v>
      </c>
      <c r="B2" s="53">
        <v>71.91</v>
      </c>
      <c r="C2" s="53">
        <v>110.6</v>
      </c>
      <c r="D2" s="252">
        <v>1.79084</v>
      </c>
      <c r="E2" s="253">
        <v>113.81844067469416</v>
      </c>
      <c r="F2" s="253">
        <v>1.2500000000000001E-2</v>
      </c>
      <c r="G2" s="254">
        <v>1.07E-3</v>
      </c>
      <c r="H2" s="56">
        <v>32729.066666666666</v>
      </c>
      <c r="I2" s="56">
        <v>9.3000000000000007</v>
      </c>
      <c r="J2" s="255">
        <v>8.319E-2</v>
      </c>
    </row>
    <row r="3" spans="1:10" ht="15.6" x14ac:dyDescent="0.3">
      <c r="A3" s="251" t="s">
        <v>11</v>
      </c>
      <c r="B3" s="53">
        <v>70.42</v>
      </c>
      <c r="C3" s="53">
        <v>101.8</v>
      </c>
      <c r="D3" s="252">
        <v>0.66851000000000005</v>
      </c>
      <c r="E3" s="253">
        <v>152.94995874641486</v>
      </c>
      <c r="F3" s="253">
        <v>4.7299999999999998E-3</v>
      </c>
      <c r="G3" s="254">
        <v>1.2E-4</v>
      </c>
      <c r="H3" s="56">
        <v>59187.474999999999</v>
      </c>
      <c r="I3" s="56">
        <v>16.5</v>
      </c>
      <c r="J3" s="255">
        <v>1.5720000000000001E-2</v>
      </c>
    </row>
    <row r="4" spans="1:10" ht="15.6" x14ac:dyDescent="0.3">
      <c r="A4" s="251" t="s">
        <v>12</v>
      </c>
      <c r="B4" s="53">
        <v>65.78</v>
      </c>
      <c r="C4" s="53">
        <v>120.5</v>
      </c>
      <c r="D4" s="252">
        <v>0.88161999999999996</v>
      </c>
      <c r="E4" s="253">
        <v>171.6492031635413</v>
      </c>
      <c r="F4" s="253">
        <v>8.7200000000000003E-3</v>
      </c>
      <c r="G4" s="254">
        <v>5.9000000000000003E-4</v>
      </c>
      <c r="H4" s="56">
        <v>57076.416666666657</v>
      </c>
      <c r="I4" s="56">
        <v>14.2</v>
      </c>
      <c r="J4" s="255">
        <v>1.5730000000000001E-2</v>
      </c>
    </row>
    <row r="5" spans="1:10" ht="15.6" x14ac:dyDescent="0.3">
      <c r="A5" s="251" t="s">
        <v>13</v>
      </c>
      <c r="B5" s="53">
        <v>86.7</v>
      </c>
      <c r="C5" s="53">
        <v>121</v>
      </c>
      <c r="D5" s="252">
        <v>0.47182000000000002</v>
      </c>
      <c r="E5" s="253">
        <v>119.9586122793316</v>
      </c>
      <c r="F5" s="253">
        <v>1.055E-2</v>
      </c>
      <c r="G5" s="254">
        <v>2.2000000000000001E-4</v>
      </c>
      <c r="H5" s="56">
        <v>41614.916666666664</v>
      </c>
      <c r="I5" s="56">
        <v>12.3</v>
      </c>
      <c r="J5" s="255">
        <v>1.7489999999999999E-2</v>
      </c>
    </row>
    <row r="6" spans="1:10" ht="15.6" x14ac:dyDescent="0.3">
      <c r="A6" s="251" t="s">
        <v>14</v>
      </c>
      <c r="B6" s="53">
        <v>81.760000000000005</v>
      </c>
      <c r="C6" s="53">
        <v>141</v>
      </c>
      <c r="D6" s="252">
        <v>1.9824900000000001</v>
      </c>
      <c r="E6" s="253">
        <v>109.31579351576931</v>
      </c>
      <c r="F6" s="253">
        <v>6.7400000000000003E-3</v>
      </c>
      <c r="G6" s="254">
        <v>2.5000000000000001E-4</v>
      </c>
      <c r="H6" s="56">
        <v>41348.641666666663</v>
      </c>
      <c r="I6" s="56">
        <v>11.7</v>
      </c>
      <c r="J6" s="255">
        <v>0.13678000000000001</v>
      </c>
    </row>
    <row r="7" spans="1:10" ht="15.6" x14ac:dyDescent="0.3">
      <c r="A7" s="251" t="s">
        <v>15</v>
      </c>
      <c r="B7" s="53">
        <v>87.55</v>
      </c>
      <c r="C7" s="53">
        <v>135.80000000000001</v>
      </c>
      <c r="D7" s="252">
        <v>1.0855699999999999</v>
      </c>
      <c r="E7" s="253">
        <v>97.883886367831977</v>
      </c>
      <c r="F7" s="253">
        <v>9.75E-3</v>
      </c>
      <c r="G7" s="254">
        <v>4.4999999999999999E-4</v>
      </c>
      <c r="H7" s="56">
        <v>35577.64166666667</v>
      </c>
      <c r="I7" s="56">
        <v>15.5</v>
      </c>
      <c r="J7" s="255">
        <v>3.6609999999999997E-2</v>
      </c>
    </row>
    <row r="8" spans="1:10" ht="15.6" x14ac:dyDescent="0.3">
      <c r="A8" s="251" t="s">
        <v>16</v>
      </c>
      <c r="B8" s="53">
        <v>71.180000000000007</v>
      </c>
      <c r="C8" s="53">
        <v>114.6</v>
      </c>
      <c r="D8" s="252">
        <v>1.24431</v>
      </c>
      <c r="E8" s="253">
        <v>104.87805786617098</v>
      </c>
      <c r="F8" s="253">
        <v>9.3799999999999994E-3</v>
      </c>
      <c r="G8" s="254">
        <v>0</v>
      </c>
      <c r="H8" s="56">
        <v>37707.816666666666</v>
      </c>
      <c r="I8" s="56">
        <v>7</v>
      </c>
      <c r="J8" s="255">
        <v>5.8439999999999999E-2</v>
      </c>
    </row>
    <row r="9" spans="1:10" ht="15.6" x14ac:dyDescent="0.3">
      <c r="A9" s="251" t="s">
        <v>17</v>
      </c>
      <c r="B9" s="53">
        <v>83.39</v>
      </c>
      <c r="C9" s="53">
        <v>114.1</v>
      </c>
      <c r="D9" s="252">
        <v>1.7648600000000001</v>
      </c>
      <c r="E9" s="253">
        <v>102.19840436969072</v>
      </c>
      <c r="F9" s="253">
        <v>2.1479999999999999E-2</v>
      </c>
      <c r="G9" s="254">
        <v>1.9499999999999999E-3</v>
      </c>
      <c r="H9" s="56">
        <v>38072.616666666669</v>
      </c>
      <c r="I9" s="56">
        <v>13</v>
      </c>
      <c r="J9" s="255">
        <v>9.5519999999999994E-2</v>
      </c>
    </row>
    <row r="10" spans="1:10" ht="15.6" x14ac:dyDescent="0.3">
      <c r="A10" s="251" t="s">
        <v>18</v>
      </c>
      <c r="B10" s="53">
        <v>71.16</v>
      </c>
      <c r="C10" s="53">
        <v>129.80000000000001</v>
      </c>
      <c r="D10" s="252">
        <v>0.96255000000000002</v>
      </c>
      <c r="E10" s="253">
        <v>128.55842814276579</v>
      </c>
      <c r="F10" s="253">
        <v>1.142E-2</v>
      </c>
      <c r="G10" s="254">
        <v>1.0000000000000001E-5</v>
      </c>
      <c r="H10" s="56">
        <v>45452.750000000007</v>
      </c>
      <c r="I10" s="56">
        <v>11.8</v>
      </c>
      <c r="J10" s="255">
        <v>1.154E-2</v>
      </c>
    </row>
    <row r="11" spans="1:10" ht="15.6" x14ac:dyDescent="0.3">
      <c r="A11" s="251" t="s">
        <v>19</v>
      </c>
      <c r="B11" s="53">
        <v>80.069999999999993</v>
      </c>
      <c r="C11" s="53">
        <v>127.5</v>
      </c>
      <c r="D11" s="252">
        <v>2.2043300000000001</v>
      </c>
      <c r="E11" s="253">
        <v>108.82921475868544</v>
      </c>
      <c r="F11" s="253">
        <v>1.4619999999999999E-2</v>
      </c>
      <c r="G11" s="254">
        <v>4.6999999999999999E-4</v>
      </c>
      <c r="H11" s="56">
        <v>40730.491666666676</v>
      </c>
      <c r="I11" s="56">
        <v>11.3</v>
      </c>
      <c r="J11" s="255">
        <v>0.14821000000000001</v>
      </c>
    </row>
    <row r="12" spans="1:10" ht="15.6" x14ac:dyDescent="0.3">
      <c r="A12" s="251" t="s">
        <v>20</v>
      </c>
      <c r="B12" s="53">
        <v>65.290000000000006</v>
      </c>
      <c r="C12" s="53">
        <v>157.5</v>
      </c>
      <c r="D12" s="252">
        <v>10.18773</v>
      </c>
      <c r="E12" s="253">
        <v>177.68679304372466</v>
      </c>
      <c r="F12" s="253">
        <v>0.11518</v>
      </c>
      <c r="G12" s="254">
        <v>2.31E-3</v>
      </c>
      <c r="H12" s="56">
        <v>111394.60833333332</v>
      </c>
      <c r="I12" s="56">
        <v>12.4</v>
      </c>
      <c r="J12" s="255">
        <v>0.21545</v>
      </c>
    </row>
    <row r="13" spans="1:10" ht="15.6" x14ac:dyDescent="0.3">
      <c r="A13" s="251" t="s">
        <v>21</v>
      </c>
      <c r="B13" s="53">
        <v>77.3</v>
      </c>
      <c r="C13" s="53">
        <v>77.8</v>
      </c>
      <c r="D13" s="252">
        <v>0.12998000000000001</v>
      </c>
      <c r="E13" s="253">
        <v>122.08851450728706</v>
      </c>
      <c r="F13" s="253">
        <v>9.7999999999999997E-4</v>
      </c>
      <c r="G13" s="254">
        <v>3.0000000000000001E-5</v>
      </c>
      <c r="H13" s="56">
        <v>50038.633333333331</v>
      </c>
      <c r="I13" s="56">
        <v>7.9</v>
      </c>
      <c r="J13" s="255">
        <v>4.0000000000000002E-4</v>
      </c>
    </row>
    <row r="14" spans="1:10" ht="15.6" x14ac:dyDescent="0.3">
      <c r="A14" s="251" t="s">
        <v>22</v>
      </c>
      <c r="B14" s="53">
        <v>72.92</v>
      </c>
      <c r="C14" s="53">
        <v>102.6</v>
      </c>
      <c r="D14" s="252">
        <v>0.81259999999999999</v>
      </c>
      <c r="E14" s="253">
        <v>132.38116179586615</v>
      </c>
      <c r="F14" s="253">
        <v>6.6600000000000001E-3</v>
      </c>
      <c r="G14" s="254">
        <v>3.8000000000000002E-4</v>
      </c>
      <c r="H14" s="56">
        <v>50192.558333333327</v>
      </c>
      <c r="I14" s="56">
        <v>5.5</v>
      </c>
      <c r="J14" s="255">
        <v>4.62E-3</v>
      </c>
    </row>
    <row r="15" spans="1:10" ht="15.6" x14ac:dyDescent="0.3">
      <c r="A15" s="251" t="s">
        <v>23</v>
      </c>
      <c r="B15" s="53">
        <v>76.23</v>
      </c>
      <c r="C15" s="53">
        <v>120.4</v>
      </c>
      <c r="D15" s="252">
        <v>0.79117999999999999</v>
      </c>
      <c r="E15" s="253">
        <v>94.034935083766712</v>
      </c>
      <c r="F15" s="253">
        <v>5.7099999999999998E-3</v>
      </c>
      <c r="G15" s="254">
        <v>2.9999999999999997E-4</v>
      </c>
      <c r="H15" s="56">
        <v>31880.516666666663</v>
      </c>
      <c r="I15" s="56">
        <v>22.4</v>
      </c>
      <c r="J15" s="255">
        <v>4.3650000000000001E-2</v>
      </c>
    </row>
    <row r="16" spans="1:10" ht="15.6" x14ac:dyDescent="0.3">
      <c r="A16" s="251" t="s">
        <v>24</v>
      </c>
      <c r="B16" s="53">
        <v>64.28</v>
      </c>
      <c r="C16" s="53">
        <v>110.8</v>
      </c>
      <c r="D16" s="252">
        <v>2.17123</v>
      </c>
      <c r="E16" s="253">
        <v>145.66943959394899</v>
      </c>
      <c r="F16" s="253">
        <v>1.4E-2</v>
      </c>
      <c r="G16" s="254">
        <v>3.6999999999999999E-4</v>
      </c>
      <c r="H16" s="56">
        <v>54318.025000000001</v>
      </c>
      <c r="I16" s="56">
        <v>19.3</v>
      </c>
      <c r="J16" s="255">
        <v>8.0890000000000004E-2</v>
      </c>
    </row>
    <row r="17" spans="1:10" ht="15.6" x14ac:dyDescent="0.3">
      <c r="A17" s="251" t="s">
        <v>25</v>
      </c>
      <c r="B17" s="53">
        <v>90.48</v>
      </c>
      <c r="C17" s="53">
        <v>137.9</v>
      </c>
      <c r="D17" s="252">
        <v>0.61240000000000006</v>
      </c>
      <c r="E17" s="253">
        <v>59.342856321419646</v>
      </c>
      <c r="F17" s="253">
        <v>6.3099999999999996E-3</v>
      </c>
      <c r="G17" s="254">
        <v>2.0000000000000001E-4</v>
      </c>
      <c r="H17" s="56">
        <v>31172.383333333335</v>
      </c>
      <c r="I17" s="56">
        <v>12.9</v>
      </c>
      <c r="J17" s="255">
        <v>2.2519999999999998E-2</v>
      </c>
    </row>
    <row r="18" spans="1:10" ht="15.6" x14ac:dyDescent="0.3">
      <c r="A18" s="251" t="s">
        <v>26</v>
      </c>
      <c r="B18" s="53">
        <v>72.5</v>
      </c>
      <c r="C18" s="53">
        <v>128.69999999999999</v>
      </c>
      <c r="D18" s="252">
        <v>0.70655999999999997</v>
      </c>
      <c r="E18" s="253">
        <v>132.23159734582373</v>
      </c>
      <c r="F18" s="253">
        <v>6.5900000000000004E-3</v>
      </c>
      <c r="G18" s="254">
        <v>3.6000000000000002E-4</v>
      </c>
      <c r="H18" s="56">
        <v>41298.475000000006</v>
      </c>
      <c r="I18" s="56">
        <v>16.399999999999999</v>
      </c>
      <c r="J18" s="255">
        <v>9.3829999999999997E-2</v>
      </c>
    </row>
    <row r="19" spans="1:10" ht="15.6" x14ac:dyDescent="0.3">
      <c r="A19" s="251" t="s">
        <v>27</v>
      </c>
      <c r="B19" s="53">
        <v>70.17</v>
      </c>
      <c r="C19" s="53">
        <v>130.4</v>
      </c>
      <c r="D19" s="252">
        <v>0.79274999999999995</v>
      </c>
      <c r="E19" s="253">
        <v>139.14066780215643</v>
      </c>
      <c r="F19" s="253">
        <v>7.26E-3</v>
      </c>
      <c r="G19" s="254">
        <v>8.0000000000000007E-5</v>
      </c>
      <c r="H19" s="56">
        <v>47853.625</v>
      </c>
      <c r="I19" s="56">
        <v>18.100000000000001</v>
      </c>
      <c r="J19" s="255">
        <v>0.2387</v>
      </c>
    </row>
    <row r="20" spans="1:10" ht="15.6" x14ac:dyDescent="0.3">
      <c r="A20" s="251" t="s">
        <v>28</v>
      </c>
      <c r="B20" s="53">
        <v>61.76</v>
      </c>
      <c r="C20" s="53">
        <v>92.5</v>
      </c>
      <c r="D20" s="252">
        <v>0.14502999999999999</v>
      </c>
      <c r="E20" s="253">
        <v>201.16278274897974</v>
      </c>
      <c r="F20" s="253">
        <v>3.0999999999999999E-3</v>
      </c>
      <c r="G20" s="254">
        <v>1.4999999999999999E-4</v>
      </c>
      <c r="H20" s="56">
        <v>92666.8</v>
      </c>
      <c r="I20" s="56">
        <v>13.4</v>
      </c>
      <c r="J20" s="255">
        <v>4.2549999999999998E-2</v>
      </c>
    </row>
    <row r="21" spans="1:10" ht="15.6" x14ac:dyDescent="0.3">
      <c r="A21" s="251" t="s">
        <v>29</v>
      </c>
      <c r="B21" s="53">
        <v>84.8</v>
      </c>
      <c r="C21" s="53">
        <v>134.80000000000001</v>
      </c>
      <c r="D21" s="252">
        <v>0.55445</v>
      </c>
      <c r="E21" s="253">
        <v>76.77319781025632</v>
      </c>
      <c r="F21" s="253">
        <v>4.0299999999999997E-3</v>
      </c>
      <c r="G21" s="254">
        <v>0</v>
      </c>
      <c r="H21" s="56">
        <v>32127.891666666666</v>
      </c>
      <c r="I21" s="56">
        <v>8.9</v>
      </c>
      <c r="J21" s="255">
        <v>8.2000000000000007E-3</v>
      </c>
    </row>
    <row r="22" spans="1:10" ht="15.6" x14ac:dyDescent="0.3">
      <c r="A22" s="251" t="s">
        <v>30</v>
      </c>
      <c r="B22" s="53">
        <v>87.29</v>
      </c>
      <c r="C22" s="53">
        <v>106.7</v>
      </c>
      <c r="D22" s="252">
        <v>2.2534800000000001</v>
      </c>
      <c r="E22" s="253">
        <v>122.58580493230551</v>
      </c>
      <c r="F22" s="253">
        <v>1.367E-2</v>
      </c>
      <c r="G22" s="254">
        <v>5.8E-4</v>
      </c>
      <c r="H22" s="56">
        <v>48410.883333333331</v>
      </c>
      <c r="I22" s="56">
        <v>13.9</v>
      </c>
      <c r="J22" s="255">
        <v>8.2309999999999994E-2</v>
      </c>
    </row>
    <row r="23" spans="1:10" ht="15.6" x14ac:dyDescent="0.3">
      <c r="A23" s="251" t="s">
        <v>31</v>
      </c>
      <c r="B23" s="53">
        <v>70.89</v>
      </c>
      <c r="C23" s="53">
        <v>111</v>
      </c>
      <c r="D23" s="252">
        <v>1.2211700000000001</v>
      </c>
      <c r="E23" s="253">
        <v>124.31603166094663</v>
      </c>
      <c r="F23" s="253">
        <v>8.6300000000000005E-3</v>
      </c>
      <c r="G23" s="254">
        <v>3.0000000000000001E-5</v>
      </c>
      <c r="H23" s="56">
        <v>35389.991666666661</v>
      </c>
      <c r="I23" s="56">
        <v>22.1</v>
      </c>
      <c r="J23" s="255">
        <v>1.251E-2</v>
      </c>
    </row>
    <row r="24" spans="1:10" ht="15.6" x14ac:dyDescent="0.3">
      <c r="A24" s="251" t="s">
        <v>32</v>
      </c>
      <c r="B24" s="53">
        <v>67.92</v>
      </c>
      <c r="C24" s="53">
        <v>106.8</v>
      </c>
      <c r="D24" s="252">
        <v>0.58935999999999999</v>
      </c>
      <c r="E24" s="253">
        <v>107.03880303669922</v>
      </c>
      <c r="F24" s="253">
        <v>4.81E-3</v>
      </c>
      <c r="G24" s="254">
        <v>1.0000000000000001E-5</v>
      </c>
      <c r="H24" s="56">
        <v>34988.92500000001</v>
      </c>
      <c r="I24" s="56">
        <v>12.5</v>
      </c>
      <c r="J24" s="255">
        <v>1.7219999999999999E-2</v>
      </c>
    </row>
    <row r="25" spans="1:10" ht="15.6" x14ac:dyDescent="0.3">
      <c r="A25" s="251" t="s">
        <v>33</v>
      </c>
      <c r="B25" s="53">
        <v>88.92</v>
      </c>
      <c r="C25" s="53">
        <v>133.80000000000001</v>
      </c>
      <c r="D25" s="252">
        <v>4.53247</v>
      </c>
      <c r="E25" s="253">
        <v>117.46383170765917</v>
      </c>
      <c r="F25" s="253">
        <v>4.9639999999999997E-2</v>
      </c>
      <c r="G25" s="254">
        <v>1.0300000000000001E-3</v>
      </c>
      <c r="H25" s="56">
        <v>40954.774999999994</v>
      </c>
      <c r="I25" s="56">
        <v>13.3</v>
      </c>
      <c r="J25" s="255">
        <v>0.28059000000000001</v>
      </c>
    </row>
    <row r="26" spans="1:10" ht="15.6" x14ac:dyDescent="0.3">
      <c r="A26" s="251" t="s">
        <v>34</v>
      </c>
      <c r="B26" s="53">
        <v>70.099999999999994</v>
      </c>
      <c r="C26" s="53">
        <v>124.5</v>
      </c>
      <c r="D26" s="252">
        <v>1.9330700000000001</v>
      </c>
      <c r="E26" s="253">
        <v>152.42832925933524</v>
      </c>
      <c r="F26" s="253">
        <v>1.7850000000000001E-2</v>
      </c>
      <c r="G26" s="254">
        <v>2.5000000000000001E-4</v>
      </c>
      <c r="H26" s="56">
        <v>60026.441666666658</v>
      </c>
      <c r="I26" s="56">
        <v>11.8</v>
      </c>
      <c r="J26" s="255">
        <v>0.19816</v>
      </c>
    </row>
    <row r="27" spans="1:10" ht="15.6" x14ac:dyDescent="0.3">
      <c r="A27" s="251" t="s">
        <v>35</v>
      </c>
      <c r="B27" s="53">
        <v>69.58</v>
      </c>
      <c r="C27" s="53">
        <v>102</v>
      </c>
      <c r="D27" s="252">
        <v>0.74695999999999996</v>
      </c>
      <c r="E27" s="253">
        <v>120.92597483983572</v>
      </c>
      <c r="F27" s="253">
        <v>6.3499999999999997E-3</v>
      </c>
      <c r="G27" s="254">
        <v>4.0000000000000002E-4</v>
      </c>
      <c r="H27" s="56">
        <v>35356.258333333331</v>
      </c>
      <c r="I27" s="56">
        <v>9.6999999999999993</v>
      </c>
      <c r="J27" s="255">
        <v>1.9709999999999998E-2</v>
      </c>
    </row>
    <row r="28" spans="1:10" ht="15.6" x14ac:dyDescent="0.3">
      <c r="A28" s="251" t="s">
        <v>36</v>
      </c>
      <c r="B28" s="53">
        <v>73.92</v>
      </c>
      <c r="C28" s="53">
        <v>113.5</v>
      </c>
      <c r="D28" s="252">
        <v>1.2331099999999999</v>
      </c>
      <c r="E28" s="253">
        <v>107.43250512912789</v>
      </c>
      <c r="F28" s="253">
        <v>7.9000000000000008E-3</v>
      </c>
      <c r="G28" s="254">
        <v>1.8000000000000001E-4</v>
      </c>
      <c r="H28" s="56">
        <v>40206.375</v>
      </c>
      <c r="I28" s="56">
        <v>15.9</v>
      </c>
      <c r="J28" s="255">
        <v>6.2429999999999999E-2</v>
      </c>
    </row>
    <row r="29" spans="1:10" ht="15.6" x14ac:dyDescent="0.3">
      <c r="A29" s="251" t="s">
        <v>37</v>
      </c>
      <c r="B29" s="53">
        <v>79.12</v>
      </c>
      <c r="C29" s="53">
        <v>163</v>
      </c>
      <c r="D29" s="252">
        <v>1.31142</v>
      </c>
      <c r="E29" s="253">
        <v>159.2096198346778</v>
      </c>
      <c r="F29" s="253">
        <v>8.9899999999999997E-3</v>
      </c>
      <c r="G29" s="254">
        <v>4.0000000000000002E-4</v>
      </c>
      <c r="H29" s="56">
        <v>52513.308333333342</v>
      </c>
      <c r="I29" s="56">
        <v>18.5</v>
      </c>
      <c r="J29" s="255">
        <v>0.12698000000000001</v>
      </c>
    </row>
    <row r="30" spans="1:10" ht="15.6" x14ac:dyDescent="0.3">
      <c r="A30" s="251" t="s">
        <v>38</v>
      </c>
      <c r="B30" s="53">
        <v>78.12</v>
      </c>
      <c r="C30" s="53">
        <v>119.9</v>
      </c>
      <c r="D30" s="252">
        <v>1.1667799999999999</v>
      </c>
      <c r="E30" s="253">
        <v>104.85529021034318</v>
      </c>
      <c r="F30" s="253">
        <v>6.2899999999999996E-3</v>
      </c>
      <c r="G30" s="254">
        <v>3.3E-4</v>
      </c>
      <c r="H30" s="56">
        <v>40184.625000000007</v>
      </c>
      <c r="I30" s="56">
        <v>9.1</v>
      </c>
      <c r="J30" s="255">
        <v>4.1430000000000002E-2</v>
      </c>
    </row>
    <row r="31" spans="1:10" ht="15.6" x14ac:dyDescent="0.3">
      <c r="A31" s="251" t="s">
        <v>39</v>
      </c>
      <c r="B31" s="53">
        <v>62.03</v>
      </c>
      <c r="C31" s="53">
        <v>96.9</v>
      </c>
      <c r="D31" s="252">
        <v>5.5649999999999998E-2</v>
      </c>
      <c r="E31" s="253">
        <v>242.45255947081458</v>
      </c>
      <c r="F31" s="253">
        <v>1.4499999999999999E-3</v>
      </c>
      <c r="G31" s="254">
        <v>1E-4</v>
      </c>
      <c r="H31" s="56">
        <v>108460.09999999999</v>
      </c>
      <c r="I31" s="56">
        <v>7.9</v>
      </c>
      <c r="J31" s="255">
        <v>1.086E-2</v>
      </c>
    </row>
    <row r="32" spans="1:10" ht="15.6" x14ac:dyDescent="0.3">
      <c r="A32" s="251" t="s">
        <v>40</v>
      </c>
      <c r="B32" s="53">
        <v>78.959999999999994</v>
      </c>
      <c r="C32" s="53">
        <v>138.80000000000001</v>
      </c>
      <c r="D32" s="252">
        <v>4.3277200000000002</v>
      </c>
      <c r="E32" s="253">
        <v>189.62377273359957</v>
      </c>
      <c r="F32" s="253">
        <v>4.0489999999999998E-2</v>
      </c>
      <c r="G32" s="254">
        <v>1.9599999999999999E-3</v>
      </c>
      <c r="H32" s="56">
        <v>63413.924999999988</v>
      </c>
      <c r="I32" s="56">
        <v>8.1</v>
      </c>
      <c r="J32" s="255">
        <v>0.70767000000000002</v>
      </c>
    </row>
    <row r="33" spans="1:10" ht="15.6" x14ac:dyDescent="0.3">
      <c r="A33" s="251" t="s">
        <v>41</v>
      </c>
      <c r="B33" s="53">
        <v>62.54</v>
      </c>
      <c r="C33" s="53">
        <v>99.6</v>
      </c>
      <c r="D33" s="252">
        <v>0.30786999999999998</v>
      </c>
      <c r="E33" s="253">
        <v>196.33365401960194</v>
      </c>
      <c r="F33" s="253">
        <v>4.4099999999999999E-3</v>
      </c>
      <c r="G33" s="254">
        <v>9.0000000000000006E-5</v>
      </c>
      <c r="H33" s="56">
        <v>75495.250000000015</v>
      </c>
      <c r="I33" s="56">
        <v>7.9</v>
      </c>
      <c r="J33" s="255">
        <v>2.5739999999999999E-2</v>
      </c>
    </row>
    <row r="34" spans="1:10" ht="15.6" x14ac:dyDescent="0.3">
      <c r="A34" s="251" t="s">
        <v>42</v>
      </c>
      <c r="B34" s="53">
        <v>79.31</v>
      </c>
      <c r="C34" s="53">
        <v>110.4</v>
      </c>
      <c r="D34" s="252">
        <v>2.87968</v>
      </c>
      <c r="E34" s="253">
        <v>116.40126886588838</v>
      </c>
      <c r="F34" s="253">
        <v>2.589E-2</v>
      </c>
      <c r="G34" s="254">
        <v>4.2000000000000002E-4</v>
      </c>
      <c r="H34" s="56">
        <v>41162.033333333333</v>
      </c>
      <c r="I34" s="56">
        <v>8.4</v>
      </c>
      <c r="J34" s="255">
        <v>8.5120000000000001E-2</v>
      </c>
    </row>
    <row r="35" spans="1:10" ht="15.6" x14ac:dyDescent="0.3">
      <c r="A35" s="251" t="s">
        <v>43</v>
      </c>
      <c r="B35" s="53">
        <v>71.44</v>
      </c>
      <c r="C35" s="53">
        <v>124.8</v>
      </c>
      <c r="D35" s="252">
        <v>0.57382</v>
      </c>
      <c r="E35" s="253">
        <v>117.79503351227179</v>
      </c>
      <c r="F35" s="253">
        <v>5.45E-3</v>
      </c>
      <c r="G35" s="254">
        <v>3.3E-4</v>
      </c>
      <c r="H35" s="56">
        <v>39472.791666666672</v>
      </c>
      <c r="I35" s="56">
        <v>12.9</v>
      </c>
      <c r="J35" s="255">
        <v>3.092E-2</v>
      </c>
    </row>
    <row r="36" spans="1:10" ht="15.6" x14ac:dyDescent="0.3">
      <c r="A36" s="251" t="s">
        <v>44</v>
      </c>
      <c r="B36" s="53">
        <v>67.59</v>
      </c>
      <c r="C36" s="53">
        <v>107.3</v>
      </c>
      <c r="D36" s="252">
        <v>1.9216</v>
      </c>
      <c r="E36" s="253">
        <v>155.1364579416134</v>
      </c>
      <c r="F36" s="253">
        <v>2.2190000000000001E-2</v>
      </c>
      <c r="G36" s="254">
        <v>1.8000000000000001E-4</v>
      </c>
      <c r="H36" s="56">
        <v>46444.408333333333</v>
      </c>
      <c r="I36" s="56">
        <v>12.9</v>
      </c>
      <c r="J36" s="255">
        <v>0.18609999999999999</v>
      </c>
    </row>
    <row r="37" spans="1:10" ht="15.6" x14ac:dyDescent="0.3">
      <c r="A37" s="251" t="s">
        <v>45</v>
      </c>
      <c r="B37" s="53">
        <v>62.09</v>
      </c>
      <c r="C37" s="53">
        <v>122.5</v>
      </c>
      <c r="D37" s="252">
        <v>1.31663</v>
      </c>
      <c r="E37" s="253">
        <v>123.79822817475427</v>
      </c>
      <c r="F37" s="253">
        <v>1.5879999999999998E-2</v>
      </c>
      <c r="G37" s="254">
        <v>3.4000000000000002E-4</v>
      </c>
      <c r="H37" s="56">
        <v>40654.566666666666</v>
      </c>
      <c r="I37" s="56">
        <v>12.8</v>
      </c>
      <c r="J37" s="255">
        <v>5.4600000000000003E-2</v>
      </c>
    </row>
    <row r="38" spans="1:10" ht="15.6" x14ac:dyDescent="0.3">
      <c r="A38" s="251" t="s">
        <v>46</v>
      </c>
      <c r="B38" s="53">
        <v>73.599999999999994</v>
      </c>
      <c r="C38" s="53">
        <v>131.19999999999999</v>
      </c>
      <c r="D38" s="252">
        <v>1.90639</v>
      </c>
      <c r="E38" s="253">
        <v>135.87756313918507</v>
      </c>
      <c r="F38" s="253">
        <v>1.1979999999999999E-2</v>
      </c>
      <c r="G38" s="254">
        <v>6.0999999999999997E-4</v>
      </c>
      <c r="H38" s="56">
        <v>38145.658333333333</v>
      </c>
      <c r="I38" s="56">
        <v>13.7</v>
      </c>
      <c r="J38" s="255">
        <v>9.4600000000000004E-2</v>
      </c>
    </row>
    <row r="39" spans="1:10" ht="15.6" x14ac:dyDescent="0.3">
      <c r="A39" s="251" t="s">
        <v>47</v>
      </c>
      <c r="B39" s="53">
        <v>79.739999999999995</v>
      </c>
      <c r="C39" s="53">
        <v>127.6</v>
      </c>
      <c r="D39" s="252">
        <v>0.61573999999999995</v>
      </c>
      <c r="E39" s="253">
        <v>114.70191810687822</v>
      </c>
      <c r="F39" s="253">
        <v>5.77E-3</v>
      </c>
      <c r="G39" s="254">
        <v>6.0000000000000002E-5</v>
      </c>
      <c r="H39" s="56">
        <v>35173.766666666699</v>
      </c>
      <c r="I39" s="56">
        <v>12.1</v>
      </c>
      <c r="J39" s="255">
        <v>2.1129999999999999E-2</v>
      </c>
    </row>
    <row r="40" spans="1:10" ht="15.6" x14ac:dyDescent="0.3">
      <c r="A40" s="251" t="s">
        <v>48</v>
      </c>
      <c r="B40" s="53">
        <v>85.25</v>
      </c>
      <c r="C40" s="53">
        <v>123.1</v>
      </c>
      <c r="D40" s="252">
        <v>0.98375999999999997</v>
      </c>
      <c r="E40" s="253">
        <v>108.11963812630688</v>
      </c>
      <c r="F40" s="253">
        <v>6.8799999999999998E-3</v>
      </c>
      <c r="G40" s="254">
        <v>2.5999999999999998E-4</v>
      </c>
      <c r="H40" s="56">
        <v>36057.550000000003</v>
      </c>
      <c r="I40" s="56">
        <v>12</v>
      </c>
      <c r="J40" s="255">
        <v>3.5720000000000002E-2</v>
      </c>
    </row>
    <row r="41" spans="1:10" ht="15.6" x14ac:dyDescent="0.3">
      <c r="A41" s="251" t="s">
        <v>49</v>
      </c>
      <c r="B41" s="53">
        <v>70.75</v>
      </c>
      <c r="C41" s="53">
        <v>132.6</v>
      </c>
      <c r="D41" s="252">
        <v>2.0307400000000002</v>
      </c>
      <c r="E41" s="253">
        <v>140.96871115328244</v>
      </c>
      <c r="F41" s="253">
        <v>1.8440000000000002E-2</v>
      </c>
      <c r="G41" s="254">
        <v>7.7999999999999999E-4</v>
      </c>
      <c r="H41" s="56">
        <v>45177.908333333326</v>
      </c>
      <c r="I41" s="56">
        <v>12.8</v>
      </c>
      <c r="J41" s="255">
        <v>4.5440000000000001E-2</v>
      </c>
    </row>
    <row r="42" spans="1:10" ht="15.6" x14ac:dyDescent="0.3">
      <c r="A42" s="251" t="s">
        <v>50</v>
      </c>
      <c r="B42" s="53">
        <v>78.86</v>
      </c>
      <c r="C42" s="53">
        <v>103.7</v>
      </c>
      <c r="D42" s="252">
        <v>1.1244400000000001</v>
      </c>
      <c r="E42" s="253">
        <v>144.15234633089409</v>
      </c>
      <c r="F42" s="253">
        <v>1.512E-2</v>
      </c>
      <c r="G42" s="254">
        <v>1.3600000000000001E-3</v>
      </c>
      <c r="H42" s="56">
        <v>55076.19999999999</v>
      </c>
      <c r="I42" s="56">
        <v>12.3</v>
      </c>
      <c r="J42" s="255">
        <v>8.3470000000000003E-2</v>
      </c>
    </row>
    <row r="43" spans="1:10" ht="15.6" x14ac:dyDescent="0.3">
      <c r="A43" s="251" t="s">
        <v>51</v>
      </c>
      <c r="B43" s="53">
        <v>78.739999999999995</v>
      </c>
      <c r="C43" s="53">
        <v>112.3</v>
      </c>
      <c r="D43" s="252">
        <v>0.49269000000000002</v>
      </c>
      <c r="E43" s="253">
        <v>108.35836548561817</v>
      </c>
      <c r="F43" s="253">
        <v>3.3E-3</v>
      </c>
      <c r="G43" s="254">
        <v>1.6000000000000001E-4</v>
      </c>
      <c r="H43" s="56">
        <v>34727.033333333326</v>
      </c>
      <c r="I43" s="56">
        <v>14.6</v>
      </c>
      <c r="J43" s="255">
        <v>4.2500000000000003E-2</v>
      </c>
    </row>
    <row r="44" spans="1:10" ht="15.6" x14ac:dyDescent="0.3">
      <c r="A44" s="251" t="s">
        <v>52</v>
      </c>
      <c r="B44" s="53">
        <v>84.55</v>
      </c>
      <c r="C44" s="53">
        <v>148.1</v>
      </c>
      <c r="D44" s="252">
        <v>0.34144999999999998</v>
      </c>
      <c r="E44" s="253">
        <v>95.45741894698817</v>
      </c>
      <c r="F44" s="253">
        <v>3.5999999999999999E-3</v>
      </c>
      <c r="G44" s="254">
        <v>1E-4</v>
      </c>
      <c r="H44" s="56">
        <v>35633.250000000007</v>
      </c>
      <c r="I44" s="56">
        <v>11.5</v>
      </c>
      <c r="J44" s="255">
        <v>5.475E-2</v>
      </c>
    </row>
    <row r="45" spans="1:10" ht="15.6" x14ac:dyDescent="0.3">
      <c r="A45" s="251" t="s">
        <v>53</v>
      </c>
      <c r="B45" s="53">
        <v>66.16</v>
      </c>
      <c r="C45" s="53">
        <v>137.4</v>
      </c>
      <c r="D45" s="252">
        <v>0.22069</v>
      </c>
      <c r="E45" s="253">
        <v>104.84896208872529</v>
      </c>
      <c r="F45" s="253">
        <v>3.3700000000000002E-3</v>
      </c>
      <c r="G45" s="254">
        <v>6.4000000000000005E-4</v>
      </c>
      <c r="H45" s="56">
        <v>38701.525000000001</v>
      </c>
      <c r="I45" s="56">
        <v>22.4</v>
      </c>
      <c r="J45" s="255">
        <v>4.5500000000000002E-3</v>
      </c>
    </row>
    <row r="46" spans="1:10" ht="15.6" x14ac:dyDescent="0.3">
      <c r="A46" s="251" t="s">
        <v>54</v>
      </c>
      <c r="B46" s="53">
        <v>88.68</v>
      </c>
      <c r="C46" s="53">
        <v>128.19999999999999</v>
      </c>
      <c r="D46" s="252">
        <v>2.5931700000000002</v>
      </c>
      <c r="E46" s="253">
        <v>133.91807305710867</v>
      </c>
      <c r="F46" s="253">
        <v>2.5440000000000001E-2</v>
      </c>
      <c r="G46" s="254">
        <v>3.3E-4</v>
      </c>
      <c r="H46" s="56">
        <v>41647.408333333333</v>
      </c>
      <c r="I46" s="56">
        <v>11.4</v>
      </c>
      <c r="J46" s="255">
        <v>0.12438</v>
      </c>
    </row>
    <row r="47" spans="1:10" ht="15.6" x14ac:dyDescent="0.3">
      <c r="A47" s="251" t="s">
        <v>55</v>
      </c>
      <c r="B47" s="53">
        <v>71.95</v>
      </c>
      <c r="C47" s="53">
        <v>126.4</v>
      </c>
      <c r="D47" s="252">
        <v>0.80147000000000002</v>
      </c>
      <c r="E47" s="253">
        <v>115.22867710140896</v>
      </c>
      <c r="F47" s="253">
        <v>8.8599999999999998E-3</v>
      </c>
      <c r="G47" s="254">
        <v>1.1E-4</v>
      </c>
      <c r="H47" s="56">
        <v>44709.133333333339</v>
      </c>
      <c r="I47" s="56">
        <v>19.5</v>
      </c>
      <c r="J47" s="255">
        <v>2.2009999999999998E-2</v>
      </c>
    </row>
    <row r="48" spans="1:10" ht="15.6" x14ac:dyDescent="0.3">
      <c r="A48" s="251" t="s">
        <v>56</v>
      </c>
      <c r="B48" s="53">
        <v>90.34</v>
      </c>
      <c r="C48" s="53">
        <v>153.80000000000001</v>
      </c>
      <c r="D48" s="252">
        <v>3.5058699999999998</v>
      </c>
      <c r="E48" s="253">
        <v>25.757616644628545</v>
      </c>
      <c r="F48" s="253">
        <v>2.2419999999999999E-2</v>
      </c>
      <c r="G48" s="254">
        <v>2.4000000000000001E-4</v>
      </c>
      <c r="H48" s="56">
        <v>32179.975000000002</v>
      </c>
      <c r="I48" s="56">
        <v>14.7</v>
      </c>
      <c r="J48" s="255">
        <v>3.2439999999999997E-2</v>
      </c>
    </row>
    <row r="49" spans="1:10" ht="15.6" x14ac:dyDescent="0.3">
      <c r="A49" s="251" t="s">
        <v>57</v>
      </c>
      <c r="B49" s="53">
        <v>85.89</v>
      </c>
      <c r="C49" s="53">
        <v>218.5</v>
      </c>
      <c r="D49" s="252">
        <v>0.74309000000000003</v>
      </c>
      <c r="E49" s="253">
        <v>16.265870811787622</v>
      </c>
      <c r="F49" s="253">
        <v>2.1900000000000001E-3</v>
      </c>
      <c r="G49" s="254">
        <v>8.0000000000000007E-5</v>
      </c>
      <c r="H49" s="56">
        <v>31230.141666666663</v>
      </c>
      <c r="I49" s="56">
        <v>29.3</v>
      </c>
      <c r="J49" s="255">
        <v>5.1000000000000004E-3</v>
      </c>
    </row>
    <row r="50" spans="1:10" ht="15.6" x14ac:dyDescent="0.3">
      <c r="A50" s="251" t="s">
        <v>58</v>
      </c>
      <c r="B50" s="53">
        <v>84</v>
      </c>
      <c r="C50" s="53">
        <v>125.9</v>
      </c>
      <c r="D50" s="252">
        <v>0.22672999999999999</v>
      </c>
      <c r="E50" s="253">
        <v>146.78792337256786</v>
      </c>
      <c r="F50" s="253">
        <v>1.74E-3</v>
      </c>
      <c r="G50" s="254">
        <v>1E-4</v>
      </c>
      <c r="H50" s="56">
        <v>33166.76666666667</v>
      </c>
      <c r="I50" s="56">
        <v>22.6</v>
      </c>
      <c r="J50" s="255">
        <v>5.4000000000000001E-4</v>
      </c>
    </row>
    <row r="51" spans="1:10" ht="15.6" x14ac:dyDescent="0.3">
      <c r="A51" s="251" t="s">
        <v>59</v>
      </c>
      <c r="B51" s="53">
        <v>70.459999999999994</v>
      </c>
      <c r="C51" s="53">
        <v>131.19999999999999</v>
      </c>
      <c r="D51" s="252">
        <v>0.61504000000000003</v>
      </c>
      <c r="E51" s="253">
        <v>168.93633167037325</v>
      </c>
      <c r="F51" s="253">
        <v>4.6699999999999997E-3</v>
      </c>
      <c r="G51" s="254">
        <v>2.4000000000000001E-4</v>
      </c>
      <c r="H51" s="56">
        <v>49303.458333333336</v>
      </c>
      <c r="I51" s="56">
        <v>14.4</v>
      </c>
      <c r="J51" s="255">
        <v>1.6809999999999999E-2</v>
      </c>
    </row>
    <row r="52" spans="1:10" ht="15.6" x14ac:dyDescent="0.3">
      <c r="A52" s="251" t="s">
        <v>60</v>
      </c>
      <c r="B52" s="53">
        <v>65.08</v>
      </c>
      <c r="C52" s="53">
        <v>110.2</v>
      </c>
      <c r="D52" s="252">
        <v>0.63782000000000005</v>
      </c>
      <c r="E52" s="253">
        <v>195.49868389338786</v>
      </c>
      <c r="F52" s="253">
        <v>6.79E-3</v>
      </c>
      <c r="G52" s="254">
        <v>3.4000000000000002E-4</v>
      </c>
      <c r="H52" s="56">
        <v>59720.691666666658</v>
      </c>
      <c r="I52" s="56">
        <v>15.3</v>
      </c>
      <c r="J52" s="255">
        <v>2.7210000000000002E-2</v>
      </c>
    </row>
    <row r="53" spans="1:10" ht="15.6" x14ac:dyDescent="0.3">
      <c r="A53" s="251" t="s">
        <v>61</v>
      </c>
      <c r="B53" s="53">
        <v>90.07</v>
      </c>
      <c r="C53" s="53">
        <v>117.8</v>
      </c>
      <c r="D53" s="252">
        <v>1.3063100000000001</v>
      </c>
      <c r="E53" s="253">
        <v>31.194283438740072</v>
      </c>
      <c r="F53" s="253">
        <v>1.022E-2</v>
      </c>
      <c r="G53" s="254">
        <v>5.0000000000000001E-4</v>
      </c>
      <c r="H53" s="56">
        <v>37993.283333333333</v>
      </c>
      <c r="I53" s="56">
        <v>16.2</v>
      </c>
      <c r="J53" s="255">
        <v>0.1389</v>
      </c>
    </row>
    <row r="54" spans="1:10" ht="15.6" x14ac:dyDescent="0.3">
      <c r="A54" s="251" t="s">
        <v>62</v>
      </c>
      <c r="B54" s="53">
        <v>75.760000000000005</v>
      </c>
      <c r="C54" s="53">
        <v>121.8</v>
      </c>
      <c r="D54" s="252">
        <v>0.63185000000000002</v>
      </c>
      <c r="E54" s="253">
        <v>104.1781560166245</v>
      </c>
      <c r="F54" s="253">
        <v>4.6299999999999996E-3</v>
      </c>
      <c r="G54" s="254">
        <v>2.0000000000000002E-5</v>
      </c>
      <c r="H54" s="56">
        <v>35201.9</v>
      </c>
      <c r="I54" s="56">
        <v>17.899999999999999</v>
      </c>
      <c r="J54" s="255">
        <v>2.2110000000000001E-2</v>
      </c>
    </row>
    <row r="55" spans="1:10" ht="15.6" x14ac:dyDescent="0.3">
      <c r="A55" s="251" t="s">
        <v>63</v>
      </c>
      <c r="B55" s="53">
        <v>85.6</v>
      </c>
      <c r="C55" s="53">
        <v>125.9</v>
      </c>
      <c r="D55" s="252">
        <v>0.68864999999999998</v>
      </c>
      <c r="E55" s="253">
        <v>101.38206388206387</v>
      </c>
      <c r="F55" s="253">
        <v>8.5199999999999998E-3</v>
      </c>
      <c r="G55" s="254">
        <v>4.2000000000000002E-4</v>
      </c>
      <c r="H55" s="56">
        <v>34441.416666666664</v>
      </c>
      <c r="I55" s="56">
        <v>16.5</v>
      </c>
      <c r="J55" s="255">
        <v>4.0660000000000002E-2</v>
      </c>
    </row>
    <row r="56" spans="1:10" ht="15.6" x14ac:dyDescent="0.3">
      <c r="A56" s="251" t="s">
        <v>64</v>
      </c>
      <c r="B56" s="53">
        <v>58.34</v>
      </c>
      <c r="C56" s="53">
        <v>117.4</v>
      </c>
      <c r="D56" s="252">
        <v>0.59196000000000004</v>
      </c>
      <c r="E56" s="253">
        <v>219.0075894463302</v>
      </c>
      <c r="F56" s="253">
        <v>8.6199999999999992E-3</v>
      </c>
      <c r="G56" s="254">
        <v>3.1E-4</v>
      </c>
      <c r="H56" s="56">
        <v>82554.925000000003</v>
      </c>
      <c r="I56" s="56">
        <v>16.3</v>
      </c>
      <c r="J56" s="255">
        <v>0.16671</v>
      </c>
    </row>
    <row r="57" spans="1:10" ht="15.6" x14ac:dyDescent="0.3">
      <c r="A57" s="251" t="s">
        <v>65</v>
      </c>
      <c r="B57" s="53">
        <v>82.83</v>
      </c>
      <c r="C57" s="53">
        <v>127.2</v>
      </c>
      <c r="D57" s="252">
        <v>0.58684000000000003</v>
      </c>
      <c r="E57" s="253">
        <v>87.066836107167703</v>
      </c>
      <c r="F57" s="253">
        <v>9.0900000000000009E-3</v>
      </c>
      <c r="G57" s="254">
        <v>9.0000000000000006E-5</v>
      </c>
      <c r="H57" s="56">
        <v>32602.524999999998</v>
      </c>
      <c r="I57" s="56">
        <v>13.4</v>
      </c>
      <c r="J57" s="255">
        <v>8.5500000000000003E-3</v>
      </c>
    </row>
    <row r="58" spans="1:10" ht="15.6" x14ac:dyDescent="0.3">
      <c r="A58" s="251" t="s">
        <v>66</v>
      </c>
      <c r="B58" s="53">
        <v>82.81</v>
      </c>
      <c r="C58" s="53">
        <v>156.30000000000001</v>
      </c>
      <c r="D58" s="252">
        <v>2.9184700000000001</v>
      </c>
      <c r="E58" s="253">
        <v>136.07639239575968</v>
      </c>
      <c r="F58" s="253">
        <v>2.9049999999999999E-2</v>
      </c>
      <c r="G58" s="254">
        <v>2.66E-3</v>
      </c>
      <c r="H58" s="56">
        <v>44854.008333333331</v>
      </c>
      <c r="I58" s="56">
        <v>6.2</v>
      </c>
      <c r="J58" s="255">
        <v>0.11168</v>
      </c>
    </row>
    <row r="59" spans="1:10" ht="15.6" x14ac:dyDescent="0.3">
      <c r="A59" s="251" t="s">
        <v>67</v>
      </c>
      <c r="B59" s="53">
        <v>96.79</v>
      </c>
      <c r="C59" s="53">
        <v>89</v>
      </c>
      <c r="D59" s="252">
        <v>0.23357</v>
      </c>
      <c r="E59" s="253">
        <v>128.78772107740946</v>
      </c>
      <c r="F59" s="253">
        <v>2.0500000000000002E-3</v>
      </c>
      <c r="G59" s="254">
        <v>6.9999999999999994E-5</v>
      </c>
      <c r="H59" s="56">
        <v>46091.92500000001</v>
      </c>
      <c r="I59" s="56">
        <v>28.2</v>
      </c>
      <c r="J59" s="255">
        <v>4.4900000000000001E-3</v>
      </c>
    </row>
    <row r="60" spans="1:10" ht="15.6" x14ac:dyDescent="0.3">
      <c r="A60" s="251" t="s">
        <v>68</v>
      </c>
      <c r="B60" s="53">
        <v>69.52</v>
      </c>
      <c r="C60" s="53">
        <v>140.1</v>
      </c>
      <c r="D60" s="252">
        <v>0.29210000000000003</v>
      </c>
      <c r="E60" s="253">
        <v>118.18652577543959</v>
      </c>
      <c r="F60" s="253">
        <v>3.5200000000000001E-3</v>
      </c>
      <c r="G60" s="254">
        <v>2.0000000000000002E-5</v>
      </c>
      <c r="H60" s="56">
        <v>47147.708333333336</v>
      </c>
      <c r="I60" s="56">
        <v>17.899999999999999</v>
      </c>
      <c r="J60" s="255">
        <v>1.0619999999999999E-2</v>
      </c>
    </row>
    <row r="61" spans="1:10" ht="15.6" x14ac:dyDescent="0.3">
      <c r="A61" s="251" t="s">
        <v>69</v>
      </c>
      <c r="B61" s="53">
        <v>83.54</v>
      </c>
      <c r="C61" s="53">
        <v>127.2</v>
      </c>
      <c r="D61" s="252">
        <v>3.5905300000000002</v>
      </c>
      <c r="E61" s="253">
        <v>113.25823732051116</v>
      </c>
      <c r="F61" s="253">
        <v>3.3959999999999997E-2</v>
      </c>
      <c r="G61" s="254">
        <v>2.9999999999999997E-4</v>
      </c>
      <c r="H61" s="56">
        <v>39045.375000000007</v>
      </c>
      <c r="I61" s="56">
        <v>12</v>
      </c>
      <c r="J61" s="255">
        <v>0.26678000000000002</v>
      </c>
    </row>
    <row r="62" spans="1:10" ht="15.6" x14ac:dyDescent="0.3">
      <c r="A62" s="251" t="s">
        <v>70</v>
      </c>
      <c r="B62" s="53">
        <v>79.099999999999994</v>
      </c>
      <c r="C62" s="53">
        <v>129.1</v>
      </c>
      <c r="D62" s="252">
        <v>1.3025199999999999</v>
      </c>
      <c r="E62" s="253">
        <v>121.6070942553972</v>
      </c>
      <c r="F62" s="253">
        <v>8.2699999999999996E-3</v>
      </c>
      <c r="G62" s="254">
        <v>2.5000000000000001E-4</v>
      </c>
      <c r="H62" s="56">
        <v>40282.46666666666</v>
      </c>
      <c r="I62" s="56">
        <v>12.4</v>
      </c>
      <c r="J62" s="255">
        <v>4.7169999999999997E-2</v>
      </c>
    </row>
    <row r="63" spans="1:10" ht="15.6" x14ac:dyDescent="0.3">
      <c r="A63" s="251" t="s">
        <v>71</v>
      </c>
      <c r="B63" s="53">
        <v>80.55</v>
      </c>
      <c r="C63" s="53">
        <v>134.5</v>
      </c>
      <c r="D63" s="252">
        <v>2.1654300000000002</v>
      </c>
      <c r="E63" s="253">
        <v>120.99764124708</v>
      </c>
      <c r="F63" s="253">
        <v>3.5119999999999998E-2</v>
      </c>
      <c r="G63" s="254">
        <v>3.8000000000000002E-4</v>
      </c>
      <c r="H63" s="56">
        <v>42728.741666666669</v>
      </c>
      <c r="I63" s="56">
        <v>11.7</v>
      </c>
      <c r="J63" s="255">
        <v>0.13256000000000001</v>
      </c>
    </row>
    <row r="64" spans="1:10" ht="15.6" x14ac:dyDescent="0.3">
      <c r="A64" s="251" t="s">
        <v>72</v>
      </c>
      <c r="B64" s="53">
        <v>77.66</v>
      </c>
      <c r="C64" s="53">
        <v>118.1</v>
      </c>
      <c r="D64" s="252">
        <v>5.69956</v>
      </c>
      <c r="E64" s="253">
        <v>194.92517362956221</v>
      </c>
      <c r="F64" s="253">
        <v>3.1009999999999999E-2</v>
      </c>
      <c r="G64" s="254">
        <v>7.1000000000000002E-4</v>
      </c>
      <c r="H64" s="56">
        <v>75920.241666666669</v>
      </c>
      <c r="I64" s="56">
        <v>5</v>
      </c>
      <c r="J64" s="255">
        <v>0.24307000000000001</v>
      </c>
    </row>
    <row r="65" spans="1:10" ht="15.6" x14ac:dyDescent="0.3">
      <c r="A65" s="251" t="s">
        <v>73</v>
      </c>
      <c r="B65" s="53">
        <v>82.24</v>
      </c>
      <c r="C65" s="53">
        <v>102</v>
      </c>
      <c r="D65" s="252">
        <v>1.4075299999999999</v>
      </c>
      <c r="E65" s="253">
        <v>103.71894503194554</v>
      </c>
      <c r="F65" s="253">
        <v>1.831E-2</v>
      </c>
      <c r="G65" s="254">
        <v>4.2000000000000002E-4</v>
      </c>
      <c r="H65" s="56">
        <v>37089.050000000003</v>
      </c>
      <c r="I65" s="56">
        <v>14</v>
      </c>
      <c r="J65" s="255">
        <v>7.7630000000000005E-2</v>
      </c>
    </row>
    <row r="66" spans="1:10" ht="15.6" x14ac:dyDescent="0.3">
      <c r="A66" s="251" t="s">
        <v>74</v>
      </c>
      <c r="B66" s="53">
        <v>74.84</v>
      </c>
      <c r="C66" s="53">
        <v>87.4</v>
      </c>
      <c r="D66" s="252">
        <v>0.23605999999999999</v>
      </c>
      <c r="E66" s="253">
        <v>211.53454117838925</v>
      </c>
      <c r="F66" s="253">
        <v>3.7799999999999999E-3</v>
      </c>
      <c r="G66" s="254">
        <v>3.1E-4</v>
      </c>
      <c r="H66" s="56">
        <v>94586.75</v>
      </c>
      <c r="I66" s="56">
        <v>7.4</v>
      </c>
      <c r="J66" s="255">
        <v>5.951E-2</v>
      </c>
    </row>
    <row r="67" spans="1:10" ht="15.6" x14ac:dyDescent="0.3">
      <c r="A67" s="251" t="s">
        <v>75</v>
      </c>
      <c r="B67" s="53">
        <v>65.97</v>
      </c>
      <c r="C67" s="53">
        <v>111.6</v>
      </c>
      <c r="D67" s="252">
        <v>2.8652799999999998</v>
      </c>
      <c r="E67" s="253">
        <v>145.62382686737854</v>
      </c>
      <c r="F67" s="253">
        <v>2.7439999999999999E-2</v>
      </c>
      <c r="G67" s="254">
        <v>8.8999999999999995E-4</v>
      </c>
      <c r="H67" s="56">
        <v>48346.816666666673</v>
      </c>
      <c r="I67" s="56">
        <v>8.6</v>
      </c>
      <c r="J67" s="255">
        <v>0.15586</v>
      </c>
    </row>
    <row r="68" spans="1:10" ht="15.6" x14ac:dyDescent="0.3">
      <c r="A68" s="251" t="s">
        <v>76</v>
      </c>
      <c r="B68" s="53">
        <v>84.6</v>
      </c>
      <c r="C68" s="53">
        <v>146.69999999999999</v>
      </c>
      <c r="D68" s="252">
        <v>0.22037999999999999</v>
      </c>
      <c r="E68" s="253">
        <v>34.218525094437503</v>
      </c>
      <c r="F68" s="253">
        <v>3.3E-3</v>
      </c>
      <c r="G68" s="254">
        <v>6.0000000000000002E-5</v>
      </c>
      <c r="H68" s="56">
        <v>39127</v>
      </c>
      <c r="I68" s="56">
        <v>10.5</v>
      </c>
      <c r="J68" s="255">
        <v>8.7160000000000001E-2</v>
      </c>
    </row>
    <row r="69" spans="1:10" ht="15.6" x14ac:dyDescent="0.3">
      <c r="A69" s="251" t="s">
        <v>77</v>
      </c>
      <c r="B69" s="53">
        <v>71.97</v>
      </c>
      <c r="C69" s="53">
        <v>106</v>
      </c>
      <c r="D69" s="252">
        <v>0.75100999999999996</v>
      </c>
      <c r="E69" s="253">
        <v>116.24647649114895</v>
      </c>
      <c r="F69" s="253">
        <v>7.6499999999999997E-3</v>
      </c>
      <c r="G69" s="254">
        <v>4.2000000000000002E-4</v>
      </c>
      <c r="H69" s="56">
        <v>36097.23333333333</v>
      </c>
      <c r="I69" s="56">
        <v>14.3</v>
      </c>
      <c r="J69" s="255">
        <v>8.1860000000000002E-2</v>
      </c>
    </row>
    <row r="70" spans="1:10" ht="15.6" x14ac:dyDescent="0.3">
      <c r="A70" s="251" t="s">
        <v>78</v>
      </c>
      <c r="B70" s="53">
        <v>84.85</v>
      </c>
      <c r="C70" s="53">
        <v>121.4</v>
      </c>
      <c r="D70" s="252">
        <v>2.2046899999999998</v>
      </c>
      <c r="E70" s="253">
        <v>96.457653951568588</v>
      </c>
      <c r="F70" s="253">
        <v>2.7040000000000002E-2</v>
      </c>
      <c r="G70" s="254">
        <v>9.3000000000000005E-4</v>
      </c>
      <c r="H70" s="56">
        <v>37090.316666666666</v>
      </c>
      <c r="I70" s="56">
        <v>13</v>
      </c>
      <c r="J70" s="255">
        <v>8.2479999999999998E-2</v>
      </c>
    </row>
    <row r="71" spans="1:10" ht="15.6" x14ac:dyDescent="0.3">
      <c r="A71" s="251" t="s">
        <v>79</v>
      </c>
      <c r="B71" s="53">
        <v>87.41</v>
      </c>
      <c r="C71" s="53">
        <v>133.4</v>
      </c>
      <c r="D71" s="252">
        <v>1.0933900000000001</v>
      </c>
      <c r="E71" s="253">
        <v>100.94048945485517</v>
      </c>
      <c r="F71" s="253">
        <v>6.7200000000000003E-3</v>
      </c>
      <c r="G71" s="254">
        <v>1.2E-4</v>
      </c>
      <c r="H71" s="56">
        <v>33689.125</v>
      </c>
      <c r="I71" s="56">
        <v>10.5</v>
      </c>
      <c r="J71" s="255">
        <v>5.713E-2</v>
      </c>
    </row>
    <row r="72" spans="1:10" ht="15.6" x14ac:dyDescent="0.3">
      <c r="A72" s="251" t="s">
        <v>80</v>
      </c>
      <c r="B72" s="53">
        <v>71.87</v>
      </c>
      <c r="C72" s="53">
        <v>106.7</v>
      </c>
      <c r="D72" s="252">
        <v>0.99085000000000001</v>
      </c>
      <c r="E72" s="253">
        <v>126.51810139653094</v>
      </c>
      <c r="F72" s="253">
        <v>7.1500000000000001E-3</v>
      </c>
      <c r="G72" s="254">
        <v>2.1000000000000001E-4</v>
      </c>
      <c r="H72" s="56">
        <v>39692.483333333337</v>
      </c>
      <c r="I72" s="56">
        <v>10.8</v>
      </c>
      <c r="J72" s="255">
        <v>6.8049999999999999E-2</v>
      </c>
    </row>
    <row r="73" spans="1:10" ht="15.6" x14ac:dyDescent="0.3">
      <c r="A73" s="251" t="s">
        <v>81</v>
      </c>
      <c r="B73" s="53">
        <v>64.86</v>
      </c>
      <c r="C73" s="53">
        <v>99.7</v>
      </c>
      <c r="D73" s="252">
        <v>0.69964000000000004</v>
      </c>
      <c r="E73" s="253">
        <v>131.13163694122471</v>
      </c>
      <c r="F73" s="253">
        <v>9.1299999999999992E-3</v>
      </c>
      <c r="G73" s="254">
        <v>3.8999999999999999E-4</v>
      </c>
      <c r="H73" s="56">
        <v>50481.1</v>
      </c>
      <c r="I73" s="56">
        <v>13.5</v>
      </c>
      <c r="J73" s="255">
        <v>0.10581</v>
      </c>
    </row>
    <row r="74" spans="1:10" ht="15.6" x14ac:dyDescent="0.3">
      <c r="A74" s="251" t="s">
        <v>82</v>
      </c>
      <c r="B74" s="53">
        <v>83.06</v>
      </c>
      <c r="C74" s="53">
        <v>114.6</v>
      </c>
      <c r="D74" s="252">
        <v>1.4757</v>
      </c>
      <c r="E74" s="253">
        <v>123.53794038845719</v>
      </c>
      <c r="F74" s="253">
        <v>1.021E-2</v>
      </c>
      <c r="G74" s="254">
        <v>6.2E-4</v>
      </c>
      <c r="H74" s="56">
        <v>43892.25</v>
      </c>
      <c r="I74" s="56">
        <v>9.6999999999999993</v>
      </c>
      <c r="J74" s="255">
        <v>0.10505</v>
      </c>
    </row>
    <row r="75" spans="1:10" ht="15.6" x14ac:dyDescent="0.3">
      <c r="A75" s="251" t="s">
        <v>83</v>
      </c>
      <c r="B75" s="53">
        <v>85.57</v>
      </c>
      <c r="C75" s="53">
        <v>132.5</v>
      </c>
      <c r="D75" s="252">
        <v>0.98404000000000003</v>
      </c>
      <c r="E75" s="253">
        <v>176.21447183204049</v>
      </c>
      <c r="F75" s="253">
        <v>1.3639999999999999E-2</v>
      </c>
      <c r="G75" s="254">
        <v>6.9999999999999999E-4</v>
      </c>
      <c r="H75" s="56">
        <v>55770.44999999999</v>
      </c>
      <c r="I75" s="56">
        <v>11.4</v>
      </c>
      <c r="J75" s="255">
        <v>0.29969000000000001</v>
      </c>
    </row>
    <row r="76" spans="1:10" ht="15.6" x14ac:dyDescent="0.3">
      <c r="A76" s="251" t="s">
        <v>84</v>
      </c>
      <c r="B76" s="53">
        <v>68.92</v>
      </c>
      <c r="C76" s="53">
        <v>128.19999999999999</v>
      </c>
      <c r="D76" s="252">
        <v>1.0716000000000001</v>
      </c>
      <c r="E76" s="253">
        <v>142.27859423332546</v>
      </c>
      <c r="F76" s="253">
        <v>1.269E-2</v>
      </c>
      <c r="G76" s="254">
        <v>1.4999999999999999E-4</v>
      </c>
      <c r="H76" s="56">
        <v>38563.85</v>
      </c>
      <c r="I76" s="56">
        <v>13.2</v>
      </c>
      <c r="J76" s="255">
        <v>2.426E-2</v>
      </c>
    </row>
    <row r="77" spans="1:10" ht="15.6" x14ac:dyDescent="0.3">
      <c r="A77" s="251" t="s">
        <v>85</v>
      </c>
      <c r="B77" s="53">
        <v>71.16</v>
      </c>
      <c r="C77" s="53">
        <v>123.2</v>
      </c>
      <c r="D77" s="252">
        <v>1.1350899999999999</v>
      </c>
      <c r="E77" s="253">
        <v>115.0939738734422</v>
      </c>
      <c r="F77" s="253">
        <v>8.8299999999999993E-3</v>
      </c>
      <c r="G77" s="254">
        <v>5.6999999999999998E-4</v>
      </c>
      <c r="H77" s="56">
        <v>35990.674999999996</v>
      </c>
      <c r="I77" s="56">
        <v>11.3</v>
      </c>
      <c r="J77" s="255">
        <v>2.8299999999999999E-2</v>
      </c>
    </row>
    <row r="78" spans="1:10" ht="15.6" x14ac:dyDescent="0.3">
      <c r="A78" s="251" t="s">
        <v>86</v>
      </c>
      <c r="B78" s="53">
        <v>62.28</v>
      </c>
      <c r="C78" s="53">
        <v>108.9</v>
      </c>
      <c r="D78" s="252">
        <v>0.69628000000000001</v>
      </c>
      <c r="E78" s="253">
        <v>158.16885371189173</v>
      </c>
      <c r="F78" s="253">
        <v>7.6400000000000001E-3</v>
      </c>
      <c r="G78" s="254">
        <v>3.2000000000000003E-4</v>
      </c>
      <c r="H78" s="56">
        <v>59247.075000000012</v>
      </c>
      <c r="I78" s="56">
        <v>13.8</v>
      </c>
      <c r="J78" s="255">
        <v>0.11831999999999999</v>
      </c>
    </row>
    <row r="79" spans="1:10" ht="15.6" x14ac:dyDescent="0.3">
      <c r="A79" s="251" t="s">
        <v>87</v>
      </c>
      <c r="B79" s="53">
        <v>69</v>
      </c>
      <c r="C79" s="53">
        <v>134.80000000000001</v>
      </c>
      <c r="D79" s="252">
        <v>0.59433999999999998</v>
      </c>
      <c r="E79" s="253">
        <v>270.7247151443928</v>
      </c>
      <c r="F79" s="253">
        <v>1.175E-2</v>
      </c>
      <c r="G79" s="254">
        <v>1.4999999999999999E-4</v>
      </c>
      <c r="H79" s="56">
        <v>85211.016666666677</v>
      </c>
      <c r="I79" s="56">
        <v>12</v>
      </c>
      <c r="J79" s="255">
        <v>0.18253</v>
      </c>
    </row>
    <row r="80" spans="1:10" ht="15.6" x14ac:dyDescent="0.3">
      <c r="A80" s="251" t="s">
        <v>88</v>
      </c>
      <c r="B80" s="53">
        <v>69.540000000000006</v>
      </c>
      <c r="C80" s="53">
        <v>125.9</v>
      </c>
      <c r="D80" s="252">
        <v>2.29976</v>
      </c>
      <c r="E80" s="253">
        <v>123.3789539028442</v>
      </c>
      <c r="F80" s="253">
        <v>2.86E-2</v>
      </c>
      <c r="G80" s="254">
        <v>7.1000000000000002E-4</v>
      </c>
      <c r="H80" s="56">
        <v>43476.708333333328</v>
      </c>
      <c r="I80" s="56">
        <v>12</v>
      </c>
      <c r="J80" s="255">
        <v>0.13453999999999999</v>
      </c>
    </row>
    <row r="81" spans="1:10" ht="15.6" x14ac:dyDescent="0.3">
      <c r="A81" s="251" t="s">
        <v>89</v>
      </c>
      <c r="B81" s="53">
        <v>97.92</v>
      </c>
      <c r="C81" s="53">
        <v>162.80000000000001</v>
      </c>
      <c r="D81" s="252">
        <v>2.3936799999999998</v>
      </c>
      <c r="E81" s="253">
        <v>25.406657718227152</v>
      </c>
      <c r="F81" s="253">
        <v>6.5399999999999998E-3</v>
      </c>
      <c r="G81" s="254">
        <v>5.2999999999999998E-4</v>
      </c>
      <c r="H81" s="56">
        <v>30942.166666666668</v>
      </c>
      <c r="I81" s="56">
        <v>19.8</v>
      </c>
      <c r="J81" s="255">
        <v>1.1339999999999999E-2</v>
      </c>
    </row>
    <row r="82" spans="1:10" ht="15.6" x14ac:dyDescent="0.3">
      <c r="A82" s="251" t="s">
        <v>90</v>
      </c>
      <c r="B82" s="53">
        <v>72.569999999999993</v>
      </c>
      <c r="C82" s="53">
        <v>122.8</v>
      </c>
      <c r="D82" s="252">
        <v>0.80030000000000001</v>
      </c>
      <c r="E82" s="253">
        <v>126.2099757751447</v>
      </c>
      <c r="F82" s="253">
        <v>9.2800000000000001E-3</v>
      </c>
      <c r="G82" s="254">
        <v>2.0000000000000001E-4</v>
      </c>
      <c r="H82" s="56">
        <v>35530.791666666664</v>
      </c>
      <c r="I82" s="56">
        <v>15.7</v>
      </c>
      <c r="J82" s="255">
        <v>2.8979999999999999E-2</v>
      </c>
    </row>
    <row r="83" spans="1:10" ht="15.6" x14ac:dyDescent="0.3">
      <c r="A83" s="251" t="s">
        <v>91</v>
      </c>
      <c r="B83" s="53">
        <v>80.3</v>
      </c>
      <c r="C83" s="53">
        <v>77.5</v>
      </c>
      <c r="D83" s="252">
        <v>1.874E-2</v>
      </c>
      <c r="E83" s="253">
        <v>230.76441364338496</v>
      </c>
      <c r="F83" s="253">
        <v>5.6999999999999998E-4</v>
      </c>
      <c r="G83" s="254">
        <v>1.0000000000000001E-5</v>
      </c>
      <c r="H83" s="56">
        <v>130482.90000000001</v>
      </c>
      <c r="I83" s="56">
        <v>7.3</v>
      </c>
      <c r="J83" s="255">
        <v>7.7799999999999996E-3</v>
      </c>
    </row>
    <row r="84" spans="1:10" ht="15.6" x14ac:dyDescent="0.3">
      <c r="A84" s="251" t="s">
        <v>92</v>
      </c>
      <c r="B84" s="53">
        <v>89.16</v>
      </c>
      <c r="C84" s="53">
        <v>130.19999999999999</v>
      </c>
      <c r="D84" s="252">
        <v>0.16178000000000001</v>
      </c>
      <c r="E84" s="253">
        <v>334.79903920632808</v>
      </c>
      <c r="F84" s="253">
        <v>3.7399999999999998E-3</v>
      </c>
      <c r="G84" s="254">
        <v>1.3999999999999999E-4</v>
      </c>
      <c r="H84" s="56">
        <v>115986.61666666665</v>
      </c>
      <c r="I84" s="56">
        <v>4.5999999999999996</v>
      </c>
      <c r="J84" s="255">
        <v>4.6219999999999997E-2</v>
      </c>
    </row>
    <row r="85" spans="1:10" ht="15.6" x14ac:dyDescent="0.3">
      <c r="A85" s="251" t="s">
        <v>93</v>
      </c>
      <c r="B85" s="53">
        <v>70.69</v>
      </c>
      <c r="C85" s="53">
        <v>103.8</v>
      </c>
      <c r="D85" s="252">
        <v>1.00553</v>
      </c>
      <c r="E85" s="253">
        <v>107.54812601139481</v>
      </c>
      <c r="F85" s="253">
        <v>7.0000000000000001E-3</v>
      </c>
      <c r="G85" s="254">
        <v>2.5999999999999998E-4</v>
      </c>
      <c r="H85" s="56">
        <v>41388.708333333336</v>
      </c>
      <c r="I85" s="56">
        <v>8.9</v>
      </c>
      <c r="J85" s="256">
        <v>-0.53680639399999996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6F89-DCA1-4E70-B197-7593D6F71C6C}">
  <dimension ref="A1:M86"/>
  <sheetViews>
    <sheetView zoomScale="74" zoomScaleNormal="85" workbookViewId="0">
      <selection activeCell="D4" sqref="D4"/>
    </sheetView>
  </sheetViews>
  <sheetFormatPr defaultRowHeight="14.4" x14ac:dyDescent="0.3"/>
  <cols>
    <col min="1" max="1" width="34.88671875" bestFit="1" customWidth="1"/>
    <col min="8" max="8" width="10.44140625" bestFit="1" customWidth="1"/>
    <col min="10" max="10" width="10.44140625" bestFit="1" customWidth="1"/>
    <col min="11" max="11" width="9.88671875" bestFit="1" customWidth="1"/>
    <col min="12" max="12" width="21.109375" bestFit="1" customWidth="1"/>
    <col min="13" max="13" width="13.77734375" bestFit="1" customWidth="1"/>
  </cols>
  <sheetData>
    <row r="1" spans="1:13" s="230" customFormat="1" ht="15.6" x14ac:dyDescent="0.3">
      <c r="A1" s="45" t="s">
        <v>185</v>
      </c>
      <c r="B1" s="45" t="s">
        <v>94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7" t="s">
        <v>9</v>
      </c>
      <c r="K1" s="226" t="s">
        <v>338</v>
      </c>
      <c r="L1" s="232" t="s">
        <v>347</v>
      </c>
      <c r="M1" s="232" t="s">
        <v>348</v>
      </c>
    </row>
    <row r="2" spans="1:13" ht="15.6" x14ac:dyDescent="0.3">
      <c r="A2" s="41" t="s">
        <v>35</v>
      </c>
      <c r="B2" s="53">
        <v>69.58</v>
      </c>
      <c r="C2" s="53">
        <v>102</v>
      </c>
      <c r="D2" s="34">
        <v>0.74695999999999996</v>
      </c>
      <c r="E2" s="54">
        <v>120.92597483983572</v>
      </c>
      <c r="F2" s="35">
        <v>6.3499999999999997E-3</v>
      </c>
      <c r="G2" s="55">
        <v>4.0000000000000002E-4</v>
      </c>
      <c r="H2" s="56">
        <v>35356.258333333331</v>
      </c>
      <c r="I2" s="49">
        <v>9.6999999999999993</v>
      </c>
      <c r="J2" s="50">
        <v>1.9709999999999998E-2</v>
      </c>
      <c r="K2" s="224" t="s">
        <v>341</v>
      </c>
      <c r="L2" s="233" t="s">
        <v>341</v>
      </c>
      <c r="M2" s="2">
        <f>IF(K2-L2=0, 1,0)</f>
        <v>1</v>
      </c>
    </row>
    <row r="3" spans="1:13" ht="15.6" x14ac:dyDescent="0.3">
      <c r="A3" s="41" t="s">
        <v>36</v>
      </c>
      <c r="B3" s="53">
        <v>73.92</v>
      </c>
      <c r="C3" s="53">
        <v>113.5</v>
      </c>
      <c r="D3" s="34">
        <v>1.2331099999999999</v>
      </c>
      <c r="E3" s="54">
        <v>107.43250512912789</v>
      </c>
      <c r="F3" s="35">
        <v>7.9000000000000008E-3</v>
      </c>
      <c r="G3" s="55">
        <v>1.8000000000000001E-4</v>
      </c>
      <c r="H3" s="56">
        <v>40206.375</v>
      </c>
      <c r="I3" s="49">
        <v>15.9</v>
      </c>
      <c r="J3" s="50">
        <v>6.2429999999999999E-2</v>
      </c>
      <c r="K3" s="224" t="s">
        <v>341</v>
      </c>
      <c r="L3" s="233" t="s">
        <v>341</v>
      </c>
      <c r="M3" s="2">
        <f t="shared" ref="M3:M31" si="0">IF(K3-L3=0, 1,0)</f>
        <v>1</v>
      </c>
    </row>
    <row r="4" spans="1:13" ht="15.6" x14ac:dyDescent="0.3">
      <c r="A4" s="41" t="s">
        <v>45</v>
      </c>
      <c r="B4" s="53">
        <v>62.09</v>
      </c>
      <c r="C4" s="53">
        <v>122.5</v>
      </c>
      <c r="D4" s="34">
        <v>1.31663</v>
      </c>
      <c r="E4" s="54">
        <v>123.79822817475427</v>
      </c>
      <c r="F4" s="35">
        <v>1.5879999999999998E-2</v>
      </c>
      <c r="G4" s="55">
        <v>3.4000000000000002E-4</v>
      </c>
      <c r="H4" s="56">
        <v>40654.566666666666</v>
      </c>
      <c r="I4" s="49">
        <v>12.8</v>
      </c>
      <c r="J4" s="50">
        <v>5.4600000000000003E-2</v>
      </c>
      <c r="K4" s="224" t="s">
        <v>341</v>
      </c>
      <c r="L4" s="233" t="s">
        <v>341</v>
      </c>
      <c r="M4" s="2">
        <f t="shared" si="0"/>
        <v>1</v>
      </c>
    </row>
    <row r="5" spans="1:13" ht="15.6" x14ac:dyDescent="0.3">
      <c r="A5" s="41" t="s">
        <v>46</v>
      </c>
      <c r="B5" s="53">
        <v>73.599999999999994</v>
      </c>
      <c r="C5" s="53">
        <v>131.19999999999999</v>
      </c>
      <c r="D5" s="34">
        <v>1.90639</v>
      </c>
      <c r="E5" s="54">
        <v>135.87756313918507</v>
      </c>
      <c r="F5" s="35">
        <v>1.1979999999999999E-2</v>
      </c>
      <c r="G5" s="55">
        <v>6.0999999999999997E-4</v>
      </c>
      <c r="H5" s="56">
        <v>38145.658333333333</v>
      </c>
      <c r="I5" s="49">
        <v>13.7</v>
      </c>
      <c r="J5" s="50">
        <v>9.4600000000000004E-2</v>
      </c>
      <c r="K5" s="224" t="s">
        <v>341</v>
      </c>
      <c r="L5" s="233" t="s">
        <v>341</v>
      </c>
      <c r="M5" s="2">
        <f t="shared" si="0"/>
        <v>1</v>
      </c>
    </row>
    <row r="6" spans="1:13" ht="15.6" x14ac:dyDescent="0.3">
      <c r="A6" s="41" t="s">
        <v>77</v>
      </c>
      <c r="B6" s="53">
        <v>71.97</v>
      </c>
      <c r="C6" s="53">
        <v>106</v>
      </c>
      <c r="D6" s="34">
        <v>0.75100999999999996</v>
      </c>
      <c r="E6" s="54">
        <v>116.24647649114895</v>
      </c>
      <c r="F6" s="35">
        <v>7.6499999999999997E-3</v>
      </c>
      <c r="G6" s="55">
        <v>4.2000000000000002E-4</v>
      </c>
      <c r="H6" s="56">
        <v>36097.23333333333</v>
      </c>
      <c r="I6" s="49">
        <v>14.3</v>
      </c>
      <c r="J6" s="50">
        <v>8.1860000000000002E-2</v>
      </c>
      <c r="K6" s="224" t="s">
        <v>341</v>
      </c>
      <c r="L6" s="233" t="s">
        <v>341</v>
      </c>
      <c r="M6" s="2">
        <f t="shared" si="0"/>
        <v>1</v>
      </c>
    </row>
    <row r="7" spans="1:13" ht="15.6" x14ac:dyDescent="0.3">
      <c r="A7" s="41" t="s">
        <v>80</v>
      </c>
      <c r="B7" s="53">
        <v>71.87</v>
      </c>
      <c r="C7" s="53">
        <v>106.7</v>
      </c>
      <c r="D7" s="34">
        <v>0.99085000000000001</v>
      </c>
      <c r="E7" s="54">
        <v>126.51810139653094</v>
      </c>
      <c r="F7" s="35">
        <v>7.1500000000000001E-3</v>
      </c>
      <c r="G7" s="55">
        <v>2.1000000000000001E-4</v>
      </c>
      <c r="H7" s="56">
        <v>39692.483333333337</v>
      </c>
      <c r="I7" s="49">
        <v>10.8</v>
      </c>
      <c r="J7" s="50">
        <v>6.8049999999999999E-2</v>
      </c>
      <c r="K7" s="224" t="s">
        <v>341</v>
      </c>
      <c r="L7" s="233" t="s">
        <v>341</v>
      </c>
      <c r="M7" s="2">
        <f t="shared" si="0"/>
        <v>1</v>
      </c>
    </row>
    <row r="8" spans="1:13" ht="15.6" x14ac:dyDescent="0.3">
      <c r="A8" s="41" t="s">
        <v>81</v>
      </c>
      <c r="B8" s="53">
        <v>64.86</v>
      </c>
      <c r="C8" s="53">
        <v>99.7</v>
      </c>
      <c r="D8" s="34">
        <v>0.69964000000000004</v>
      </c>
      <c r="E8" s="54">
        <v>131.13163694122471</v>
      </c>
      <c r="F8" s="35">
        <v>9.1299999999999992E-3</v>
      </c>
      <c r="G8" s="55">
        <v>3.8999999999999999E-4</v>
      </c>
      <c r="H8" s="56">
        <v>50481.1</v>
      </c>
      <c r="I8" s="49">
        <v>13.5</v>
      </c>
      <c r="J8" s="50">
        <v>0.10581</v>
      </c>
      <c r="K8" s="224" t="s">
        <v>341</v>
      </c>
      <c r="L8" s="233" t="s">
        <v>341</v>
      </c>
      <c r="M8" s="2">
        <f t="shared" si="0"/>
        <v>1</v>
      </c>
    </row>
    <row r="9" spans="1:13" ht="15.6" x14ac:dyDescent="0.3">
      <c r="A9" s="41" t="s">
        <v>84</v>
      </c>
      <c r="B9" s="53">
        <v>68.92</v>
      </c>
      <c r="C9" s="53">
        <v>128.19999999999999</v>
      </c>
      <c r="D9" s="34">
        <v>1.0716000000000001</v>
      </c>
      <c r="E9" s="54">
        <v>142.27859423332546</v>
      </c>
      <c r="F9" s="35">
        <v>1.269E-2</v>
      </c>
      <c r="G9" s="55">
        <v>1.4999999999999999E-4</v>
      </c>
      <c r="H9" s="56">
        <v>38563.85</v>
      </c>
      <c r="I9" s="49">
        <v>13.2</v>
      </c>
      <c r="J9" s="50">
        <v>2.426E-2</v>
      </c>
      <c r="K9" s="224" t="s">
        <v>341</v>
      </c>
      <c r="L9" s="233" t="s">
        <v>341</v>
      </c>
      <c r="M9" s="2">
        <f t="shared" si="0"/>
        <v>1</v>
      </c>
    </row>
    <row r="10" spans="1:13" ht="15.6" x14ac:dyDescent="0.3">
      <c r="A10" s="41" t="s">
        <v>85</v>
      </c>
      <c r="B10" s="53">
        <v>71.16</v>
      </c>
      <c r="C10" s="53">
        <v>123.2</v>
      </c>
      <c r="D10" s="34">
        <v>1.1350899999999999</v>
      </c>
      <c r="E10" s="54">
        <v>115.0939738734422</v>
      </c>
      <c r="F10" s="35">
        <v>8.8299999999999993E-3</v>
      </c>
      <c r="G10" s="55">
        <v>5.6999999999999998E-4</v>
      </c>
      <c r="H10" s="56">
        <v>35990.674999999996</v>
      </c>
      <c r="I10" s="49">
        <v>11.3</v>
      </c>
      <c r="J10" s="50">
        <v>2.8299999999999999E-2</v>
      </c>
      <c r="K10" s="224" t="s">
        <v>341</v>
      </c>
      <c r="L10" s="233" t="s">
        <v>341</v>
      </c>
      <c r="M10" s="2">
        <f t="shared" si="0"/>
        <v>1</v>
      </c>
    </row>
    <row r="11" spans="1:13" ht="15.6" x14ac:dyDescent="0.3">
      <c r="A11" s="41" t="s">
        <v>90</v>
      </c>
      <c r="B11" s="53">
        <v>72.569999999999993</v>
      </c>
      <c r="C11" s="53">
        <v>122.8</v>
      </c>
      <c r="D11" s="34">
        <v>0.80030000000000001</v>
      </c>
      <c r="E11" s="54">
        <v>126.2099757751447</v>
      </c>
      <c r="F11" s="35">
        <v>9.2800000000000001E-3</v>
      </c>
      <c r="G11" s="55">
        <v>2.0000000000000001E-4</v>
      </c>
      <c r="H11" s="56">
        <v>35530.791666666664</v>
      </c>
      <c r="I11" s="49">
        <v>15.7</v>
      </c>
      <c r="J11" s="50">
        <v>2.8979999999999999E-2</v>
      </c>
      <c r="K11" s="224" t="s">
        <v>341</v>
      </c>
      <c r="L11" s="233" t="s">
        <v>341</v>
      </c>
      <c r="M11" s="2">
        <f t="shared" si="0"/>
        <v>1</v>
      </c>
    </row>
    <row r="12" spans="1:13" ht="15.6" x14ac:dyDescent="0.3">
      <c r="A12" s="41" t="s">
        <v>13</v>
      </c>
      <c r="B12" s="53">
        <v>86.7</v>
      </c>
      <c r="C12" s="53">
        <v>121</v>
      </c>
      <c r="D12" s="34">
        <v>0.47182000000000002</v>
      </c>
      <c r="E12" s="54">
        <v>119.9586122793316</v>
      </c>
      <c r="F12" s="35">
        <v>1.055E-2</v>
      </c>
      <c r="G12" s="55">
        <v>2.2000000000000001E-4</v>
      </c>
      <c r="H12" s="56">
        <v>41614.916666666664</v>
      </c>
      <c r="I12" s="49">
        <v>12.3</v>
      </c>
      <c r="J12" s="50">
        <v>1.7489999999999999E-2</v>
      </c>
      <c r="K12" s="224" t="s">
        <v>339</v>
      </c>
      <c r="L12" s="233" t="s">
        <v>339</v>
      </c>
      <c r="M12" s="2">
        <f t="shared" si="0"/>
        <v>1</v>
      </c>
    </row>
    <row r="13" spans="1:13" ht="15.6" x14ac:dyDescent="0.3">
      <c r="A13" s="41" t="s">
        <v>14</v>
      </c>
      <c r="B13" s="53">
        <v>81.760000000000005</v>
      </c>
      <c r="C13" s="53">
        <v>141</v>
      </c>
      <c r="D13" s="34">
        <v>1.9824900000000001</v>
      </c>
      <c r="E13" s="54">
        <v>109.31579351576931</v>
      </c>
      <c r="F13" s="35">
        <v>6.7400000000000003E-3</v>
      </c>
      <c r="G13" s="55">
        <v>2.5000000000000001E-4</v>
      </c>
      <c r="H13" s="56">
        <v>41348.641666666663</v>
      </c>
      <c r="I13" s="49">
        <v>11.7</v>
      </c>
      <c r="J13" s="50">
        <v>0.13678000000000001</v>
      </c>
      <c r="K13" s="224" t="s">
        <v>339</v>
      </c>
      <c r="L13" s="233" t="s">
        <v>339</v>
      </c>
      <c r="M13" s="2">
        <f t="shared" si="0"/>
        <v>1</v>
      </c>
    </row>
    <row r="14" spans="1:13" ht="15.6" x14ac:dyDescent="0.3">
      <c r="A14" s="41" t="s">
        <v>15</v>
      </c>
      <c r="B14" s="53">
        <v>87.55</v>
      </c>
      <c r="C14" s="53">
        <v>135.80000000000001</v>
      </c>
      <c r="D14" s="34">
        <v>1.0855699999999999</v>
      </c>
      <c r="E14" s="54">
        <v>97.883886367831977</v>
      </c>
      <c r="F14" s="35">
        <v>9.75E-3</v>
      </c>
      <c r="G14" s="55">
        <v>4.4999999999999999E-4</v>
      </c>
      <c r="H14" s="56">
        <v>35577.64166666667</v>
      </c>
      <c r="I14" s="49">
        <v>15.5</v>
      </c>
      <c r="J14" s="50">
        <v>3.6609999999999997E-2</v>
      </c>
      <c r="K14" s="224" t="s">
        <v>339</v>
      </c>
      <c r="L14" s="233" t="s">
        <v>339</v>
      </c>
      <c r="M14" s="2">
        <f t="shared" si="0"/>
        <v>1</v>
      </c>
    </row>
    <row r="15" spans="1:13" ht="15.6" x14ac:dyDescent="0.3">
      <c r="A15" s="41" t="s">
        <v>19</v>
      </c>
      <c r="B15" s="53">
        <v>80.069999999999993</v>
      </c>
      <c r="C15" s="53">
        <v>127.5</v>
      </c>
      <c r="D15" s="34">
        <v>2.2043300000000001</v>
      </c>
      <c r="E15" s="54">
        <v>108.82921475868544</v>
      </c>
      <c r="F15" s="35">
        <v>1.4619999999999999E-2</v>
      </c>
      <c r="G15" s="55">
        <v>4.6999999999999999E-4</v>
      </c>
      <c r="H15" s="56">
        <v>40730.491666666676</v>
      </c>
      <c r="I15" s="49">
        <v>11.3</v>
      </c>
      <c r="J15" s="50">
        <v>0.14821000000000001</v>
      </c>
      <c r="K15" s="224" t="s">
        <v>339</v>
      </c>
      <c r="L15" s="233" t="s">
        <v>339</v>
      </c>
      <c r="M15" s="2">
        <f t="shared" si="0"/>
        <v>1</v>
      </c>
    </row>
    <row r="16" spans="1:13" ht="15.6" x14ac:dyDescent="0.3">
      <c r="A16" s="41" t="s">
        <v>48</v>
      </c>
      <c r="B16" s="53">
        <v>85.25</v>
      </c>
      <c r="C16" s="53">
        <v>123.1</v>
      </c>
      <c r="D16" s="34">
        <v>0.98375999999999997</v>
      </c>
      <c r="E16" s="54">
        <v>108.11963812630688</v>
      </c>
      <c r="F16" s="35">
        <v>6.8799999999999998E-3</v>
      </c>
      <c r="G16" s="55">
        <v>2.5999999999999998E-4</v>
      </c>
      <c r="H16" s="56">
        <v>36057.550000000003</v>
      </c>
      <c r="I16" s="49">
        <v>12</v>
      </c>
      <c r="J16" s="50">
        <v>3.5720000000000002E-2</v>
      </c>
      <c r="K16" s="224" t="s">
        <v>339</v>
      </c>
      <c r="L16" s="233" t="s">
        <v>339</v>
      </c>
      <c r="M16" s="2">
        <f t="shared" si="0"/>
        <v>1</v>
      </c>
    </row>
    <row r="17" spans="1:13" ht="15.6" x14ac:dyDescent="0.3">
      <c r="A17" s="41" t="s">
        <v>54</v>
      </c>
      <c r="B17" s="53">
        <v>88.68</v>
      </c>
      <c r="C17" s="53">
        <v>128.19999999999999</v>
      </c>
      <c r="D17" s="34">
        <v>2.5931700000000002</v>
      </c>
      <c r="E17" s="54">
        <v>133.91807305710867</v>
      </c>
      <c r="F17" s="35">
        <v>2.5440000000000001E-2</v>
      </c>
      <c r="G17" s="55">
        <v>3.3E-4</v>
      </c>
      <c r="H17" s="56">
        <v>41647.408333333333</v>
      </c>
      <c r="I17" s="49">
        <v>11.4</v>
      </c>
      <c r="J17" s="50">
        <v>0.12438</v>
      </c>
      <c r="K17" s="224" t="s">
        <v>339</v>
      </c>
      <c r="L17" s="233" t="s">
        <v>339</v>
      </c>
      <c r="M17" s="2">
        <f t="shared" si="0"/>
        <v>1</v>
      </c>
    </row>
    <row r="18" spans="1:13" ht="15.6" x14ac:dyDescent="0.3">
      <c r="A18" s="41" t="s">
        <v>63</v>
      </c>
      <c r="B18" s="53">
        <v>85.6</v>
      </c>
      <c r="C18" s="53">
        <v>125.9</v>
      </c>
      <c r="D18" s="34">
        <v>0.68864999999999998</v>
      </c>
      <c r="E18" s="54">
        <v>101.38206388206387</v>
      </c>
      <c r="F18" s="35">
        <v>8.5199999999999998E-3</v>
      </c>
      <c r="G18" s="55">
        <v>4.2000000000000002E-4</v>
      </c>
      <c r="H18" s="56">
        <v>34441.416666666664</v>
      </c>
      <c r="I18" s="49">
        <v>16.5</v>
      </c>
      <c r="J18" s="50">
        <v>4.0660000000000002E-2</v>
      </c>
      <c r="K18" s="224" t="s">
        <v>339</v>
      </c>
      <c r="L18" s="233" t="s">
        <v>339</v>
      </c>
      <c r="M18" s="2">
        <f t="shared" si="0"/>
        <v>1</v>
      </c>
    </row>
    <row r="19" spans="1:13" ht="15.6" x14ac:dyDescent="0.3">
      <c r="A19" s="41" t="s">
        <v>70</v>
      </c>
      <c r="B19" s="53">
        <v>79.099999999999994</v>
      </c>
      <c r="C19" s="53">
        <v>129.1</v>
      </c>
      <c r="D19" s="34">
        <v>1.3025199999999999</v>
      </c>
      <c r="E19" s="54">
        <v>121.6070942553972</v>
      </c>
      <c r="F19" s="35">
        <v>8.2699999999999996E-3</v>
      </c>
      <c r="G19" s="55">
        <v>2.5000000000000001E-4</v>
      </c>
      <c r="H19" s="56">
        <v>40282.46666666666</v>
      </c>
      <c r="I19" s="49">
        <v>12.4</v>
      </c>
      <c r="J19" s="50">
        <v>4.7169999999999997E-2</v>
      </c>
      <c r="K19" s="224" t="s">
        <v>339</v>
      </c>
      <c r="L19" s="233" t="s">
        <v>339</v>
      </c>
      <c r="M19" s="2">
        <f t="shared" si="0"/>
        <v>1</v>
      </c>
    </row>
    <row r="20" spans="1:13" ht="15.6" x14ac:dyDescent="0.3">
      <c r="A20" s="41" t="s">
        <v>18</v>
      </c>
      <c r="B20" s="53">
        <v>71.16</v>
      </c>
      <c r="C20" s="53">
        <v>129.80000000000001</v>
      </c>
      <c r="D20" s="34">
        <v>0.96255000000000002</v>
      </c>
      <c r="E20" s="54">
        <v>128.55842814276579</v>
      </c>
      <c r="F20" s="35">
        <v>1.142E-2</v>
      </c>
      <c r="G20" s="55">
        <v>1.0000000000000001E-5</v>
      </c>
      <c r="H20" s="56">
        <v>45452.750000000007</v>
      </c>
      <c r="I20" s="49">
        <v>11.8</v>
      </c>
      <c r="J20" s="50">
        <v>1.154E-2</v>
      </c>
      <c r="K20" s="224" t="s">
        <v>340</v>
      </c>
      <c r="L20" s="233" t="s">
        <v>340</v>
      </c>
      <c r="M20" s="2">
        <f t="shared" si="0"/>
        <v>1</v>
      </c>
    </row>
    <row r="21" spans="1:13" ht="15.6" x14ac:dyDescent="0.3">
      <c r="A21" s="41" t="s">
        <v>51</v>
      </c>
      <c r="B21" s="53">
        <v>78.739999999999995</v>
      </c>
      <c r="C21" s="53">
        <v>112.3</v>
      </c>
      <c r="D21" s="34">
        <v>0.49269000000000002</v>
      </c>
      <c r="E21" s="54">
        <v>108.35836548561817</v>
      </c>
      <c r="F21" s="35">
        <v>3.3E-3</v>
      </c>
      <c r="G21" s="55">
        <v>1.6000000000000001E-4</v>
      </c>
      <c r="H21" s="56">
        <v>34727.033333333326</v>
      </c>
      <c r="I21" s="49">
        <v>14.6</v>
      </c>
      <c r="J21" s="50">
        <v>4.2500000000000003E-2</v>
      </c>
      <c r="K21" s="224" t="s">
        <v>340</v>
      </c>
      <c r="L21" s="234" t="s">
        <v>339</v>
      </c>
      <c r="M21" s="2">
        <f t="shared" si="0"/>
        <v>0</v>
      </c>
    </row>
    <row r="22" spans="1:13" ht="15.6" x14ac:dyDescent="0.3">
      <c r="A22" s="41" t="s">
        <v>62</v>
      </c>
      <c r="B22" s="53">
        <v>75.760000000000005</v>
      </c>
      <c r="C22" s="53">
        <v>121.8</v>
      </c>
      <c r="D22" s="34">
        <v>0.63185000000000002</v>
      </c>
      <c r="E22" s="54">
        <v>104.1781560166245</v>
      </c>
      <c r="F22" s="35">
        <v>4.6299999999999996E-3</v>
      </c>
      <c r="G22" s="55">
        <v>2.0000000000000002E-5</v>
      </c>
      <c r="H22" s="56">
        <v>35201.9</v>
      </c>
      <c r="I22" s="49">
        <v>17.899999999999999</v>
      </c>
      <c r="J22" s="50">
        <v>2.2110000000000001E-2</v>
      </c>
      <c r="K22" s="224" t="s">
        <v>340</v>
      </c>
      <c r="L22" s="233" t="s">
        <v>340</v>
      </c>
      <c r="M22" s="2">
        <f t="shared" si="0"/>
        <v>1</v>
      </c>
    </row>
    <row r="23" spans="1:13" ht="15.6" x14ac:dyDescent="0.3">
      <c r="A23" s="41" t="s">
        <v>68</v>
      </c>
      <c r="B23" s="53">
        <v>69.52</v>
      </c>
      <c r="C23" s="53">
        <v>140.1</v>
      </c>
      <c r="D23" s="34">
        <v>0.29210000000000003</v>
      </c>
      <c r="E23" s="54">
        <v>118.18652577543959</v>
      </c>
      <c r="F23" s="35">
        <v>3.5200000000000001E-3</v>
      </c>
      <c r="G23" s="55">
        <v>2.0000000000000002E-5</v>
      </c>
      <c r="H23" s="56">
        <v>47147.708333333336</v>
      </c>
      <c r="I23" s="49">
        <v>17.899999999999999</v>
      </c>
      <c r="J23" s="50">
        <v>1.0619999999999999E-2</v>
      </c>
      <c r="K23" s="224" t="s">
        <v>340</v>
      </c>
      <c r="L23" s="233" t="s">
        <v>340</v>
      </c>
      <c r="M23" s="2">
        <f t="shared" si="0"/>
        <v>1</v>
      </c>
    </row>
    <row r="24" spans="1:13" ht="15.6" x14ac:dyDescent="0.3">
      <c r="A24" s="41" t="s">
        <v>82</v>
      </c>
      <c r="B24" s="53">
        <v>83.06</v>
      </c>
      <c r="C24" s="53">
        <v>114.6</v>
      </c>
      <c r="D24" s="34">
        <v>1.4757</v>
      </c>
      <c r="E24" s="54">
        <v>123.53794038845719</v>
      </c>
      <c r="F24" s="35">
        <v>1.021E-2</v>
      </c>
      <c r="G24" s="55">
        <v>6.2E-4</v>
      </c>
      <c r="H24" s="56">
        <v>43892.25</v>
      </c>
      <c r="I24" s="49">
        <v>9.6999999999999993</v>
      </c>
      <c r="J24" s="50">
        <v>0.10505</v>
      </c>
      <c r="K24" s="224" t="s">
        <v>340</v>
      </c>
      <c r="L24" s="234" t="s">
        <v>339</v>
      </c>
      <c r="M24" s="2">
        <f t="shared" si="0"/>
        <v>0</v>
      </c>
    </row>
    <row r="25" spans="1:13" ht="15.6" x14ac:dyDescent="0.3">
      <c r="A25" s="41" t="s">
        <v>40</v>
      </c>
      <c r="B25" s="53">
        <v>78.959999999999994</v>
      </c>
      <c r="C25" s="53">
        <v>138.80000000000001</v>
      </c>
      <c r="D25" s="34">
        <v>4.3277200000000002</v>
      </c>
      <c r="E25" s="54">
        <v>189.62377273359957</v>
      </c>
      <c r="F25" s="35">
        <v>4.0489999999999998E-2</v>
      </c>
      <c r="G25" s="55">
        <v>1.9599999999999999E-3</v>
      </c>
      <c r="H25" s="56">
        <v>63413.924999999988</v>
      </c>
      <c r="I25" s="49">
        <v>8.1</v>
      </c>
      <c r="J25" s="50">
        <v>0.70767000000000002</v>
      </c>
      <c r="K25" s="224" t="s">
        <v>343</v>
      </c>
      <c r="L25" s="233" t="s">
        <v>343</v>
      </c>
      <c r="M25" s="2">
        <f t="shared" si="0"/>
        <v>1</v>
      </c>
    </row>
    <row r="26" spans="1:13" ht="15.6" x14ac:dyDescent="0.3">
      <c r="A26" s="41" t="s">
        <v>66</v>
      </c>
      <c r="B26" s="53">
        <v>82.81</v>
      </c>
      <c r="C26" s="53">
        <v>156.30000000000001</v>
      </c>
      <c r="D26" s="34">
        <v>2.9184700000000001</v>
      </c>
      <c r="E26" s="54">
        <v>136.07639239575968</v>
      </c>
      <c r="F26" s="35">
        <v>2.9049999999999999E-2</v>
      </c>
      <c r="G26" s="55">
        <v>2.66E-3</v>
      </c>
      <c r="H26" s="56">
        <v>44854.008333333331</v>
      </c>
      <c r="I26" s="49">
        <v>6.2</v>
      </c>
      <c r="J26" s="50">
        <v>0.11168</v>
      </c>
      <c r="K26" s="224" t="s">
        <v>343</v>
      </c>
      <c r="L26" s="233" t="s">
        <v>343</v>
      </c>
      <c r="M26" s="2">
        <f t="shared" si="0"/>
        <v>1</v>
      </c>
    </row>
    <row r="27" spans="1:13" ht="15.6" x14ac:dyDescent="0.3">
      <c r="A27" s="41" t="s">
        <v>57</v>
      </c>
      <c r="B27" s="53">
        <v>85.89</v>
      </c>
      <c r="C27" s="53">
        <v>218.5</v>
      </c>
      <c r="D27" s="34">
        <v>0.74309000000000003</v>
      </c>
      <c r="E27" s="54">
        <v>16.265870811787622</v>
      </c>
      <c r="F27" s="35">
        <v>2.1900000000000001E-3</v>
      </c>
      <c r="G27" s="55">
        <v>8.0000000000000007E-5</v>
      </c>
      <c r="H27" s="56">
        <v>31230.141666666663</v>
      </c>
      <c r="I27" s="49">
        <v>29.3</v>
      </c>
      <c r="J27" s="50">
        <v>5.1000000000000004E-3</v>
      </c>
      <c r="K27" s="224" t="s">
        <v>344</v>
      </c>
      <c r="L27" s="233" t="s">
        <v>344</v>
      </c>
      <c r="M27" s="2">
        <f t="shared" si="0"/>
        <v>1</v>
      </c>
    </row>
    <row r="28" spans="1:13" ht="15.6" x14ac:dyDescent="0.3">
      <c r="A28" s="41" t="s">
        <v>89</v>
      </c>
      <c r="B28" s="53">
        <v>97.92</v>
      </c>
      <c r="C28" s="53">
        <v>162.80000000000001</v>
      </c>
      <c r="D28" s="34">
        <v>2.3936799999999998</v>
      </c>
      <c r="E28" s="54">
        <v>25.406657718227152</v>
      </c>
      <c r="F28" s="35">
        <v>6.5399999999999998E-3</v>
      </c>
      <c r="G28" s="55">
        <v>5.2999999999999998E-4</v>
      </c>
      <c r="H28" s="56">
        <v>30942.166666666668</v>
      </c>
      <c r="I28" s="49">
        <v>19.8</v>
      </c>
      <c r="J28" s="50">
        <v>1.1339999999999999E-2</v>
      </c>
      <c r="K28" s="224" t="s">
        <v>344</v>
      </c>
      <c r="L28" s="233" t="s">
        <v>344</v>
      </c>
      <c r="M28" s="2">
        <f t="shared" si="0"/>
        <v>1</v>
      </c>
    </row>
    <row r="29" spans="1:13" ht="15.6" x14ac:dyDescent="0.3">
      <c r="A29" s="41" t="s">
        <v>39</v>
      </c>
      <c r="B29" s="53">
        <v>62.03</v>
      </c>
      <c r="C29" s="53">
        <v>96.9</v>
      </c>
      <c r="D29" s="34">
        <v>5.5649999999999998E-2</v>
      </c>
      <c r="E29" s="54">
        <v>242.45255947081458</v>
      </c>
      <c r="F29" s="35">
        <v>1.4499999999999999E-3</v>
      </c>
      <c r="G29" s="55">
        <v>1E-4</v>
      </c>
      <c r="H29" s="56">
        <v>108460.09999999999</v>
      </c>
      <c r="I29" s="49">
        <v>7.9</v>
      </c>
      <c r="J29" s="50">
        <v>1.086E-2</v>
      </c>
      <c r="K29" s="224" t="s">
        <v>342</v>
      </c>
      <c r="L29" s="233" t="s">
        <v>342</v>
      </c>
      <c r="M29" s="2">
        <f t="shared" si="0"/>
        <v>1</v>
      </c>
    </row>
    <row r="30" spans="1:13" ht="15.6" x14ac:dyDescent="0.3">
      <c r="A30" s="41" t="s">
        <v>41</v>
      </c>
      <c r="B30" s="53">
        <v>62.54</v>
      </c>
      <c r="C30" s="53">
        <v>99.6</v>
      </c>
      <c r="D30" s="34">
        <v>0.30786999999999998</v>
      </c>
      <c r="E30" s="54">
        <v>196.33365401960194</v>
      </c>
      <c r="F30" s="35">
        <v>4.4099999999999999E-3</v>
      </c>
      <c r="G30" s="55">
        <v>9.0000000000000006E-5</v>
      </c>
      <c r="H30" s="56">
        <v>75495.250000000015</v>
      </c>
      <c r="I30" s="49">
        <v>7.9</v>
      </c>
      <c r="J30" s="50">
        <v>2.5739999999999999E-2</v>
      </c>
      <c r="K30" s="224" t="s">
        <v>342</v>
      </c>
      <c r="L30" s="233" t="s">
        <v>342</v>
      </c>
      <c r="M30" s="2">
        <f t="shared" si="0"/>
        <v>1</v>
      </c>
    </row>
    <row r="31" spans="1:13" ht="15.6" x14ac:dyDescent="0.3">
      <c r="A31" s="41" t="s">
        <v>74</v>
      </c>
      <c r="B31" s="53">
        <v>74.84</v>
      </c>
      <c r="C31" s="53">
        <v>87.4</v>
      </c>
      <c r="D31" s="34">
        <v>0.23605999999999999</v>
      </c>
      <c r="E31" s="54">
        <v>211.53454117838925</v>
      </c>
      <c r="F31" s="35">
        <v>3.7799999999999999E-3</v>
      </c>
      <c r="G31" s="55">
        <v>3.1E-4</v>
      </c>
      <c r="H31" s="56">
        <v>94586.75</v>
      </c>
      <c r="I31" s="49">
        <v>7.4</v>
      </c>
      <c r="J31" s="50">
        <v>5.951E-2</v>
      </c>
      <c r="K31" s="224" t="s">
        <v>342</v>
      </c>
      <c r="L31" s="233" t="s">
        <v>342</v>
      </c>
      <c r="M31" s="2">
        <f t="shared" si="0"/>
        <v>1</v>
      </c>
    </row>
    <row r="32" spans="1:13" ht="15.6" x14ac:dyDescent="0.3">
      <c r="A32" s="41"/>
      <c r="B32" s="53"/>
      <c r="C32" s="53"/>
      <c r="D32" s="34"/>
      <c r="E32" s="54"/>
      <c r="F32" s="35"/>
      <c r="G32" s="55"/>
      <c r="H32" s="56"/>
      <c r="I32" s="49"/>
      <c r="J32" s="50"/>
      <c r="K32" s="224"/>
      <c r="L32" s="2">
        <v>30</v>
      </c>
      <c r="M32" s="61">
        <f>SUM(M2:M31)</f>
        <v>28</v>
      </c>
    </row>
    <row r="33" spans="1:13" ht="15.6" x14ac:dyDescent="0.3">
      <c r="A33" s="41"/>
      <c r="B33" s="53"/>
      <c r="C33" s="53"/>
      <c r="D33" s="34"/>
      <c r="E33" s="54"/>
      <c r="F33" s="35"/>
      <c r="G33" s="55"/>
      <c r="H33" s="56"/>
      <c r="I33" s="49"/>
      <c r="J33" s="50"/>
      <c r="K33" s="224"/>
      <c r="L33" s="235" t="s">
        <v>349</v>
      </c>
      <c r="M33" s="236">
        <f>M32/L32</f>
        <v>0.93333333333333335</v>
      </c>
    </row>
    <row r="34" spans="1:13" ht="15.6" x14ac:dyDescent="0.3">
      <c r="A34" s="41"/>
      <c r="B34" s="53"/>
      <c r="C34" s="53"/>
      <c r="D34" s="34"/>
      <c r="E34" s="54"/>
      <c r="F34" s="35"/>
      <c r="G34" s="55"/>
      <c r="H34" s="56"/>
      <c r="I34" s="49"/>
      <c r="J34" s="50"/>
      <c r="K34" s="224"/>
    </row>
    <row r="35" spans="1:13" ht="15.6" x14ac:dyDescent="0.3">
      <c r="A35" s="41"/>
      <c r="B35" s="53"/>
      <c r="C35" s="53"/>
      <c r="D35" s="34"/>
      <c r="E35" s="54"/>
      <c r="F35" s="35"/>
      <c r="G35" s="55"/>
      <c r="H35" s="56"/>
      <c r="I35" s="49"/>
      <c r="J35" s="50"/>
      <c r="K35" s="224"/>
    </row>
    <row r="36" spans="1:13" ht="15.6" x14ac:dyDescent="0.3">
      <c r="A36" s="41"/>
      <c r="B36" s="53"/>
      <c r="C36" s="53"/>
      <c r="D36" s="34"/>
      <c r="E36" s="54"/>
      <c r="F36" s="35"/>
      <c r="G36" s="55"/>
      <c r="H36" s="56"/>
      <c r="I36" s="49"/>
      <c r="J36" s="50"/>
      <c r="K36" s="224"/>
    </row>
    <row r="37" spans="1:13" ht="15.6" x14ac:dyDescent="0.3">
      <c r="A37" s="41"/>
      <c r="B37" s="53"/>
      <c r="C37" s="53"/>
      <c r="D37" s="34"/>
      <c r="E37" s="54"/>
      <c r="F37" s="35"/>
      <c r="G37" s="55"/>
      <c r="H37" s="56"/>
      <c r="I37" s="49"/>
      <c r="J37" s="50"/>
      <c r="K37" s="115"/>
    </row>
    <row r="38" spans="1:13" ht="15.6" x14ac:dyDescent="0.3">
      <c r="A38" s="41"/>
      <c r="B38" s="53"/>
      <c r="C38" s="53"/>
      <c r="D38" s="34"/>
      <c r="E38" s="54"/>
      <c r="F38" s="35"/>
      <c r="G38" s="55"/>
      <c r="H38" s="56"/>
      <c r="I38" s="49"/>
      <c r="J38" s="50"/>
      <c r="K38" s="224"/>
    </row>
    <row r="39" spans="1:13" ht="15.6" x14ac:dyDescent="0.3">
      <c r="A39" s="41"/>
      <c r="B39" s="53"/>
      <c r="C39" s="53"/>
      <c r="D39" s="34"/>
      <c r="E39" s="54"/>
      <c r="F39" s="35"/>
      <c r="G39" s="55"/>
      <c r="H39" s="56"/>
      <c r="I39" s="49"/>
      <c r="J39" s="50"/>
      <c r="K39" s="224"/>
    </row>
    <row r="40" spans="1:13" ht="15.6" x14ac:dyDescent="0.3">
      <c r="A40" s="41"/>
      <c r="B40" s="53"/>
      <c r="C40" s="53"/>
      <c r="D40" s="34"/>
      <c r="E40" s="54"/>
      <c r="F40" s="35"/>
      <c r="G40" s="55"/>
      <c r="H40" s="56"/>
      <c r="I40" s="49"/>
      <c r="J40" s="50"/>
      <c r="K40" s="224"/>
    </row>
    <row r="41" spans="1:13" ht="15.6" x14ac:dyDescent="0.3">
      <c r="A41" s="41"/>
      <c r="B41" s="53"/>
      <c r="C41" s="53"/>
      <c r="D41" s="34"/>
      <c r="E41" s="54"/>
      <c r="F41" s="35"/>
      <c r="G41" s="55"/>
      <c r="H41" s="56"/>
      <c r="I41" s="49"/>
      <c r="J41" s="50"/>
      <c r="K41" s="224"/>
    </row>
    <row r="42" spans="1:13" ht="15.6" x14ac:dyDescent="0.3">
      <c r="A42" s="41"/>
      <c r="B42" s="53"/>
      <c r="C42" s="53"/>
      <c r="D42" s="34"/>
      <c r="E42" s="54"/>
      <c r="F42" s="35"/>
      <c r="G42" s="55"/>
      <c r="H42" s="56"/>
      <c r="I42" s="49"/>
      <c r="J42" s="50"/>
      <c r="K42" s="224"/>
    </row>
    <row r="43" spans="1:13" ht="15.6" x14ac:dyDescent="0.3">
      <c r="A43" s="41"/>
      <c r="B43" s="53"/>
      <c r="C43" s="53"/>
      <c r="D43" s="34"/>
      <c r="E43" s="54"/>
      <c r="F43" s="35"/>
      <c r="G43" s="55"/>
      <c r="H43" s="56"/>
      <c r="I43" s="49"/>
      <c r="J43" s="50"/>
      <c r="K43" s="115"/>
    </row>
    <row r="44" spans="1:13" ht="15.6" x14ac:dyDescent="0.3">
      <c r="A44" s="41"/>
      <c r="B44" s="53"/>
      <c r="C44" s="53"/>
      <c r="D44" s="34"/>
      <c r="E44" s="54"/>
      <c r="F44" s="35"/>
      <c r="G44" s="55"/>
      <c r="H44" s="56"/>
      <c r="I44" s="49"/>
      <c r="J44" s="50"/>
      <c r="K44" s="224"/>
    </row>
    <row r="45" spans="1:13" ht="15.6" x14ac:dyDescent="0.3">
      <c r="A45" s="41"/>
      <c r="B45" s="53"/>
      <c r="C45" s="53"/>
      <c r="D45" s="34"/>
      <c r="E45" s="54"/>
      <c r="F45" s="35"/>
      <c r="G45" s="55"/>
      <c r="H45" s="56"/>
      <c r="I45" s="49"/>
      <c r="J45" s="50"/>
      <c r="K45" s="224"/>
    </row>
    <row r="46" spans="1:13" ht="15.6" x14ac:dyDescent="0.3">
      <c r="A46" s="41"/>
      <c r="B46" s="53"/>
      <c r="C46" s="53"/>
      <c r="D46" s="34"/>
      <c r="E46" s="54"/>
      <c r="F46" s="35"/>
      <c r="G46" s="55"/>
      <c r="H46" s="56"/>
      <c r="I46" s="49"/>
      <c r="J46" s="50"/>
      <c r="K46" s="224"/>
    </row>
    <row r="47" spans="1:13" ht="15.6" x14ac:dyDescent="0.3">
      <c r="A47" s="41"/>
      <c r="B47" s="53"/>
      <c r="C47" s="53"/>
      <c r="D47" s="34"/>
      <c r="E47" s="54"/>
      <c r="F47" s="35"/>
      <c r="G47" s="55"/>
      <c r="H47" s="56"/>
      <c r="I47" s="49"/>
      <c r="J47" s="50"/>
      <c r="K47" s="224"/>
    </row>
    <row r="48" spans="1:13" ht="15.6" x14ac:dyDescent="0.3">
      <c r="A48" s="41"/>
      <c r="B48" s="53"/>
      <c r="C48" s="53"/>
      <c r="D48" s="34"/>
      <c r="E48" s="54"/>
      <c r="F48" s="35"/>
      <c r="G48" s="55"/>
      <c r="H48" s="56"/>
      <c r="I48" s="49"/>
      <c r="J48" s="50"/>
      <c r="K48" s="224"/>
    </row>
    <row r="49" spans="1:11" ht="15.6" x14ac:dyDescent="0.3">
      <c r="A49" s="41"/>
      <c r="B49" s="53"/>
      <c r="C49" s="53"/>
      <c r="D49" s="34"/>
      <c r="E49" s="54"/>
      <c r="F49" s="35"/>
      <c r="G49" s="55"/>
      <c r="H49" s="56"/>
      <c r="I49" s="49"/>
      <c r="J49" s="50"/>
      <c r="K49" s="224"/>
    </row>
    <row r="50" spans="1:11" ht="15.6" x14ac:dyDescent="0.3">
      <c r="A50" s="41"/>
      <c r="B50" s="53"/>
      <c r="C50" s="53"/>
      <c r="D50" s="34"/>
      <c r="E50" s="54"/>
      <c r="F50" s="35"/>
      <c r="G50" s="55"/>
      <c r="H50" s="56"/>
      <c r="I50" s="49"/>
      <c r="J50" s="50"/>
      <c r="K50" s="224"/>
    </row>
    <row r="51" spans="1:11" ht="15.6" x14ac:dyDescent="0.3">
      <c r="A51" s="41"/>
      <c r="B51" s="53"/>
      <c r="C51" s="53"/>
      <c r="D51" s="34"/>
      <c r="E51" s="54"/>
      <c r="F51" s="35"/>
      <c r="G51" s="55"/>
      <c r="H51" s="56"/>
      <c r="I51" s="49"/>
      <c r="J51" s="50"/>
      <c r="K51" s="224"/>
    </row>
    <row r="52" spans="1:11" ht="15.6" x14ac:dyDescent="0.3">
      <c r="A52" s="41"/>
      <c r="B52" s="53"/>
      <c r="C52" s="53"/>
      <c r="D52" s="34"/>
      <c r="E52" s="54"/>
      <c r="F52" s="35"/>
      <c r="G52" s="55"/>
      <c r="H52" s="56"/>
      <c r="I52" s="49"/>
      <c r="J52" s="50"/>
      <c r="K52" s="224"/>
    </row>
    <row r="53" spans="1:11" ht="15.6" x14ac:dyDescent="0.3">
      <c r="A53" s="41"/>
      <c r="B53" s="53"/>
      <c r="C53" s="53"/>
      <c r="D53" s="34"/>
      <c r="E53" s="54"/>
      <c r="F53" s="35"/>
      <c r="G53" s="55"/>
      <c r="H53" s="56"/>
      <c r="I53" s="49"/>
      <c r="J53" s="50"/>
      <c r="K53" s="224"/>
    </row>
    <row r="54" spans="1:11" ht="15.6" x14ac:dyDescent="0.3">
      <c r="A54" s="41"/>
      <c r="B54" s="53"/>
      <c r="C54" s="53"/>
      <c r="D54" s="34"/>
      <c r="E54" s="54"/>
      <c r="F54" s="35"/>
      <c r="G54" s="55"/>
      <c r="H54" s="56"/>
      <c r="I54" s="49"/>
      <c r="J54" s="50"/>
      <c r="K54" s="224"/>
    </row>
    <row r="55" spans="1:11" ht="15.6" x14ac:dyDescent="0.3">
      <c r="A55" s="41"/>
      <c r="B55" s="53"/>
      <c r="C55" s="53"/>
      <c r="D55" s="34"/>
      <c r="E55" s="54"/>
      <c r="F55" s="35"/>
      <c r="G55" s="55"/>
      <c r="H55" s="56"/>
      <c r="I55" s="49"/>
      <c r="J55" s="50"/>
      <c r="K55" s="224"/>
    </row>
    <row r="56" spans="1:11" ht="15.6" x14ac:dyDescent="0.3">
      <c r="A56" s="41"/>
      <c r="B56" s="53"/>
      <c r="C56" s="53"/>
      <c r="D56" s="34"/>
      <c r="E56" s="54"/>
      <c r="F56" s="35"/>
      <c r="G56" s="55"/>
      <c r="H56" s="56"/>
      <c r="I56" s="49"/>
      <c r="J56" s="50"/>
      <c r="K56" s="224"/>
    </row>
    <row r="57" spans="1:11" ht="15.6" x14ac:dyDescent="0.3">
      <c r="A57" s="41"/>
      <c r="B57" s="53"/>
      <c r="C57" s="53"/>
      <c r="D57" s="34"/>
      <c r="E57" s="54"/>
      <c r="F57" s="35"/>
      <c r="G57" s="55"/>
      <c r="H57" s="56"/>
      <c r="I57" s="49"/>
      <c r="J57" s="50"/>
      <c r="K57" s="224"/>
    </row>
    <row r="58" spans="1:11" ht="15.6" x14ac:dyDescent="0.3">
      <c r="A58" s="41"/>
      <c r="B58" s="53"/>
      <c r="C58" s="53"/>
      <c r="D58" s="34"/>
      <c r="E58" s="54"/>
      <c r="F58" s="35"/>
      <c r="G58" s="55"/>
      <c r="H58" s="56"/>
      <c r="I58" s="49"/>
      <c r="J58" s="50"/>
      <c r="K58" s="224"/>
    </row>
    <row r="59" spans="1:11" ht="15.6" x14ac:dyDescent="0.3">
      <c r="A59" s="41"/>
      <c r="B59" s="53"/>
      <c r="C59" s="53"/>
      <c r="D59" s="34"/>
      <c r="E59" s="54"/>
      <c r="F59" s="35"/>
      <c r="G59" s="55"/>
      <c r="H59" s="56"/>
      <c r="I59" s="49"/>
      <c r="J59" s="50"/>
      <c r="K59" s="224"/>
    </row>
    <row r="60" spans="1:11" ht="15.6" x14ac:dyDescent="0.3">
      <c r="A60" s="41"/>
      <c r="B60" s="53"/>
      <c r="C60" s="53"/>
      <c r="D60" s="34"/>
      <c r="E60" s="54"/>
      <c r="F60" s="35"/>
      <c r="G60" s="55"/>
      <c r="H60" s="56"/>
      <c r="I60" s="49"/>
      <c r="J60" s="50"/>
      <c r="K60" s="224"/>
    </row>
    <row r="61" spans="1:11" ht="15.6" x14ac:dyDescent="0.3">
      <c r="A61" s="41"/>
      <c r="B61" s="53"/>
      <c r="C61" s="53"/>
      <c r="D61" s="34"/>
      <c r="E61" s="54"/>
      <c r="F61" s="35"/>
      <c r="G61" s="55"/>
      <c r="H61" s="56"/>
      <c r="I61" s="49"/>
      <c r="J61" s="50"/>
      <c r="K61" s="224"/>
    </row>
    <row r="62" spans="1:11" ht="15.6" x14ac:dyDescent="0.3">
      <c r="A62" s="41"/>
      <c r="B62" s="53"/>
      <c r="C62" s="53"/>
      <c r="D62" s="34"/>
      <c r="E62" s="54"/>
      <c r="F62" s="35"/>
      <c r="G62" s="55"/>
      <c r="H62" s="56"/>
      <c r="I62" s="49"/>
      <c r="J62" s="50"/>
      <c r="K62" s="224"/>
    </row>
    <row r="63" spans="1:11" ht="15.6" x14ac:dyDescent="0.3">
      <c r="A63" s="41"/>
      <c r="B63" s="53"/>
      <c r="C63" s="53"/>
      <c r="D63" s="34"/>
      <c r="E63" s="54"/>
      <c r="F63" s="35"/>
      <c r="G63" s="55"/>
      <c r="H63" s="56"/>
      <c r="I63" s="49"/>
      <c r="J63" s="50"/>
      <c r="K63" s="224"/>
    </row>
    <row r="64" spans="1:11" ht="15.6" x14ac:dyDescent="0.3">
      <c r="A64" s="41"/>
      <c r="B64" s="53"/>
      <c r="C64" s="53"/>
      <c r="D64" s="34"/>
      <c r="E64" s="54"/>
      <c r="F64" s="35"/>
      <c r="G64" s="55"/>
      <c r="H64" s="56"/>
      <c r="I64" s="49"/>
      <c r="J64" s="50"/>
      <c r="K64" s="224"/>
    </row>
    <row r="65" spans="1:11" ht="15.6" x14ac:dyDescent="0.3">
      <c r="A65" s="41"/>
      <c r="B65" s="53"/>
      <c r="C65" s="53"/>
      <c r="D65" s="34"/>
      <c r="E65" s="54"/>
      <c r="F65" s="35"/>
      <c r="G65" s="55"/>
      <c r="H65" s="56"/>
      <c r="I65" s="49"/>
      <c r="J65" s="50"/>
      <c r="K65" s="224"/>
    </row>
    <row r="66" spans="1:11" ht="15.6" x14ac:dyDescent="0.3">
      <c r="A66" s="41"/>
      <c r="B66" s="53"/>
      <c r="C66" s="53"/>
      <c r="D66" s="34"/>
      <c r="E66" s="54"/>
      <c r="F66" s="35"/>
      <c r="G66" s="55"/>
      <c r="H66" s="56"/>
      <c r="I66" s="49"/>
      <c r="J66" s="50"/>
      <c r="K66" s="224"/>
    </row>
    <row r="67" spans="1:11" ht="15.6" x14ac:dyDescent="0.3">
      <c r="A67" s="41"/>
      <c r="B67" s="53"/>
      <c r="C67" s="53"/>
      <c r="D67" s="34"/>
      <c r="E67" s="54"/>
      <c r="F67" s="35"/>
      <c r="G67" s="55"/>
      <c r="H67" s="56"/>
      <c r="I67" s="49"/>
      <c r="J67" s="50"/>
      <c r="K67" s="224"/>
    </row>
    <row r="68" spans="1:11" ht="15.6" x14ac:dyDescent="0.3">
      <c r="A68" s="41"/>
      <c r="B68" s="53"/>
      <c r="C68" s="53"/>
      <c r="D68" s="34"/>
      <c r="E68" s="54"/>
      <c r="F68" s="35"/>
      <c r="G68" s="55"/>
      <c r="H68" s="56"/>
      <c r="I68" s="49"/>
      <c r="J68" s="50"/>
      <c r="K68" s="224"/>
    </row>
    <row r="69" spans="1:11" ht="15.6" x14ac:dyDescent="0.3">
      <c r="A69" s="41"/>
      <c r="B69" s="53"/>
      <c r="C69" s="53"/>
      <c r="D69" s="34"/>
      <c r="E69" s="54"/>
      <c r="F69" s="35"/>
      <c r="G69" s="55"/>
      <c r="H69" s="56"/>
      <c r="I69" s="49"/>
      <c r="J69" s="50"/>
      <c r="K69" s="224"/>
    </row>
    <row r="70" spans="1:11" ht="15.6" x14ac:dyDescent="0.3">
      <c r="A70" s="41"/>
      <c r="B70" s="53"/>
      <c r="C70" s="53"/>
      <c r="D70" s="34"/>
      <c r="E70" s="54"/>
      <c r="F70" s="35"/>
      <c r="G70" s="55"/>
      <c r="H70" s="56"/>
      <c r="I70" s="49"/>
      <c r="J70" s="50"/>
      <c r="K70" s="224"/>
    </row>
    <row r="71" spans="1:11" ht="15.6" x14ac:dyDescent="0.3">
      <c r="A71" s="41"/>
      <c r="B71" s="53"/>
      <c r="C71" s="53"/>
      <c r="D71" s="34"/>
      <c r="E71" s="54"/>
      <c r="F71" s="35"/>
      <c r="G71" s="55"/>
      <c r="H71" s="56"/>
      <c r="I71" s="49"/>
      <c r="J71" s="50"/>
      <c r="K71" s="224"/>
    </row>
    <row r="72" spans="1:11" ht="15.6" x14ac:dyDescent="0.3">
      <c r="A72" s="41"/>
      <c r="B72" s="53"/>
      <c r="C72" s="53"/>
      <c r="D72" s="34"/>
      <c r="E72" s="54"/>
      <c r="F72" s="35"/>
      <c r="G72" s="55"/>
      <c r="H72" s="56"/>
      <c r="I72" s="49"/>
      <c r="J72" s="50"/>
      <c r="K72" s="224"/>
    </row>
    <row r="73" spans="1:11" ht="15.6" x14ac:dyDescent="0.3">
      <c r="A73" s="41"/>
      <c r="B73" s="53"/>
      <c r="C73" s="53"/>
      <c r="D73" s="34"/>
      <c r="E73" s="54"/>
      <c r="F73" s="35"/>
      <c r="G73" s="55"/>
      <c r="H73" s="56"/>
      <c r="I73" s="49"/>
      <c r="J73" s="50"/>
      <c r="K73" s="224"/>
    </row>
    <row r="74" spans="1:11" ht="15.6" x14ac:dyDescent="0.3">
      <c r="A74" s="41"/>
      <c r="B74" s="53"/>
      <c r="C74" s="53"/>
      <c r="D74" s="34"/>
      <c r="E74" s="54"/>
      <c r="F74" s="35"/>
      <c r="G74" s="55"/>
      <c r="H74" s="56"/>
      <c r="I74" s="49"/>
      <c r="J74" s="50"/>
      <c r="K74" s="224"/>
    </row>
    <row r="75" spans="1:11" ht="15.6" x14ac:dyDescent="0.3">
      <c r="A75" s="41"/>
      <c r="B75" s="53"/>
      <c r="C75" s="53"/>
      <c r="D75" s="34"/>
      <c r="E75" s="54"/>
      <c r="F75" s="35"/>
      <c r="G75" s="55"/>
      <c r="H75" s="56"/>
      <c r="I75" s="49"/>
      <c r="J75" s="50"/>
      <c r="K75" s="224"/>
    </row>
    <row r="76" spans="1:11" ht="15.6" x14ac:dyDescent="0.3">
      <c r="A76" s="41"/>
      <c r="B76" s="53"/>
      <c r="C76" s="53"/>
      <c r="D76" s="34"/>
      <c r="E76" s="54"/>
      <c r="F76" s="35"/>
      <c r="G76" s="55"/>
      <c r="H76" s="56"/>
      <c r="I76" s="49"/>
      <c r="J76" s="50"/>
      <c r="K76" s="224"/>
    </row>
    <row r="77" spans="1:11" ht="15.6" x14ac:dyDescent="0.3">
      <c r="A77" s="41"/>
      <c r="B77" s="53"/>
      <c r="C77" s="53"/>
      <c r="D77" s="34"/>
      <c r="E77" s="54"/>
      <c r="F77" s="35"/>
      <c r="G77" s="55"/>
      <c r="H77" s="56"/>
      <c r="I77" s="49"/>
      <c r="J77" s="50"/>
      <c r="K77" s="224"/>
    </row>
    <row r="78" spans="1:11" ht="15.6" x14ac:dyDescent="0.3">
      <c r="A78" s="41"/>
      <c r="B78" s="53"/>
      <c r="C78" s="53"/>
      <c r="D78" s="34"/>
      <c r="E78" s="54"/>
      <c r="F78" s="35"/>
      <c r="G78" s="55"/>
      <c r="H78" s="56"/>
      <c r="I78" s="49"/>
      <c r="J78" s="50"/>
      <c r="K78" s="224"/>
    </row>
    <row r="79" spans="1:11" ht="15.6" x14ac:dyDescent="0.3">
      <c r="A79" s="41"/>
      <c r="B79" s="53"/>
      <c r="C79" s="53"/>
      <c r="D79" s="34"/>
      <c r="E79" s="54"/>
      <c r="F79" s="35"/>
      <c r="G79" s="55"/>
      <c r="H79" s="56"/>
      <c r="I79" s="49"/>
      <c r="J79" s="50"/>
      <c r="K79" s="224"/>
    </row>
    <row r="80" spans="1:11" ht="15.6" x14ac:dyDescent="0.3">
      <c r="A80" s="41"/>
      <c r="B80" s="53"/>
      <c r="C80" s="53"/>
      <c r="D80" s="34"/>
      <c r="E80" s="54"/>
      <c r="F80" s="35"/>
      <c r="G80" s="55"/>
      <c r="H80" s="56"/>
      <c r="I80" s="49"/>
      <c r="J80" s="50"/>
      <c r="K80" s="224"/>
    </row>
    <row r="81" spans="1:11" ht="15.6" x14ac:dyDescent="0.3">
      <c r="A81" s="41"/>
      <c r="B81" s="53"/>
      <c r="C81" s="53"/>
      <c r="D81" s="34"/>
      <c r="E81" s="54"/>
      <c r="F81" s="35"/>
      <c r="G81" s="55"/>
      <c r="H81" s="56"/>
      <c r="I81" s="49"/>
      <c r="J81" s="50"/>
      <c r="K81" s="224"/>
    </row>
    <row r="82" spans="1:11" ht="15.6" x14ac:dyDescent="0.3">
      <c r="A82" s="41"/>
      <c r="B82" s="53"/>
      <c r="C82" s="53"/>
      <c r="D82" s="34"/>
      <c r="E82" s="54"/>
      <c r="F82" s="35"/>
      <c r="G82" s="55"/>
      <c r="H82" s="56"/>
      <c r="I82" s="49"/>
      <c r="J82" s="50"/>
      <c r="K82" s="224"/>
    </row>
    <row r="83" spans="1:11" ht="15.6" x14ac:dyDescent="0.3">
      <c r="A83" s="41"/>
      <c r="B83" s="53"/>
      <c r="C83" s="53"/>
      <c r="D83" s="34"/>
      <c r="E83" s="54"/>
      <c r="F83" s="35"/>
      <c r="G83" s="55"/>
      <c r="H83" s="56"/>
      <c r="I83" s="49"/>
      <c r="J83" s="50"/>
      <c r="K83" s="115"/>
    </row>
    <row r="84" spans="1:11" ht="15.6" x14ac:dyDescent="0.3">
      <c r="A84" s="41"/>
      <c r="B84" s="53"/>
      <c r="C84" s="53"/>
      <c r="D84" s="34"/>
      <c r="E84" s="54"/>
      <c r="F84" s="35"/>
      <c r="G84" s="55"/>
      <c r="H84" s="56"/>
      <c r="I84" s="49"/>
      <c r="J84" s="50"/>
      <c r="K84" s="115"/>
    </row>
    <row r="85" spans="1:11" ht="15.6" x14ac:dyDescent="0.3">
      <c r="A85" s="41"/>
      <c r="B85" s="53"/>
      <c r="C85" s="53"/>
      <c r="D85" s="34"/>
      <c r="E85" s="54"/>
      <c r="F85" s="35"/>
      <c r="G85" s="55"/>
      <c r="H85" s="56"/>
      <c r="I85" s="49"/>
      <c r="J85" s="50"/>
      <c r="K85" s="128"/>
    </row>
    <row r="86" spans="1:11" x14ac:dyDescent="0.3">
      <c r="K86" s="225"/>
    </row>
  </sheetData>
  <sortState xmlns:xlrd2="http://schemas.microsoft.com/office/spreadsheetml/2017/richdata2" ref="A2:K85">
    <sortCondition ref="K2:K8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0FEF2-CAC1-4C5E-A66D-CF757B4A0185}">
  <dimension ref="A1:J87"/>
  <sheetViews>
    <sheetView workbookViewId="0">
      <selection activeCell="M1" sqref="M1"/>
    </sheetView>
  </sheetViews>
  <sheetFormatPr defaultRowHeight="14.4" x14ac:dyDescent="0.3"/>
  <cols>
    <col min="1" max="1" width="47.88671875" bestFit="1" customWidth="1"/>
    <col min="2" max="2" width="18.33203125" customWidth="1"/>
    <col min="3" max="3" width="19.77734375" customWidth="1"/>
    <col min="4" max="4" width="21" customWidth="1"/>
    <col min="5" max="5" width="17.44140625" customWidth="1"/>
    <col min="6" max="6" width="15.77734375" customWidth="1"/>
    <col min="7" max="7" width="15.6640625" customWidth="1"/>
    <col min="8" max="8" width="19.21875" customWidth="1"/>
    <col min="9" max="9" width="16.109375" customWidth="1"/>
    <col min="10" max="10" width="15.44140625" customWidth="1"/>
  </cols>
  <sheetData>
    <row r="1" spans="1:10" ht="15.6" x14ac:dyDescent="0.3">
      <c r="A1" s="44" t="s">
        <v>185</v>
      </c>
      <c r="B1" s="45" t="s">
        <v>94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7" t="s">
        <v>9</v>
      </c>
    </row>
    <row r="2" spans="1:10" ht="125.4" thickBot="1" x14ac:dyDescent="0.35">
      <c r="A2" s="44" t="s">
        <v>186</v>
      </c>
      <c r="B2" s="46" t="s">
        <v>191</v>
      </c>
      <c r="C2" s="46" t="s">
        <v>187</v>
      </c>
      <c r="D2" s="46" t="s">
        <v>192</v>
      </c>
      <c r="E2" s="46" t="s">
        <v>193</v>
      </c>
      <c r="F2" s="48" t="s">
        <v>194</v>
      </c>
      <c r="G2" s="48" t="s">
        <v>195</v>
      </c>
      <c r="H2" s="46" t="s">
        <v>351</v>
      </c>
      <c r="I2" s="46" t="s">
        <v>196</v>
      </c>
      <c r="J2" s="46" t="s">
        <v>197</v>
      </c>
    </row>
    <row r="3" spans="1:10" ht="16.2" thickBot="1" x14ac:dyDescent="0.35">
      <c r="A3" s="41" t="s">
        <v>10</v>
      </c>
      <c r="B3" s="240">
        <v>71.91</v>
      </c>
      <c r="C3" s="263">
        <v>106.4</v>
      </c>
      <c r="D3" s="241">
        <v>1.74377</v>
      </c>
      <c r="E3" s="264">
        <v>299070</v>
      </c>
      <c r="F3" s="263">
        <v>1.075</v>
      </c>
      <c r="G3" s="243">
        <v>0.11700000000000001</v>
      </c>
      <c r="H3" s="263">
        <v>26010</v>
      </c>
      <c r="I3" s="265">
        <v>16.5</v>
      </c>
      <c r="J3" s="245">
        <v>0.63551999999999997</v>
      </c>
    </row>
    <row r="4" spans="1:10" ht="16.2" thickBot="1" x14ac:dyDescent="0.35">
      <c r="A4" s="41" t="s">
        <v>11</v>
      </c>
      <c r="B4" s="240">
        <v>70.42</v>
      </c>
      <c r="C4" s="263">
        <v>103.3</v>
      </c>
      <c r="D4" s="241">
        <v>0.64107000000000003</v>
      </c>
      <c r="E4" s="264">
        <v>144837</v>
      </c>
      <c r="F4" s="263">
        <v>0.36899999999999999</v>
      </c>
      <c r="G4" s="243">
        <v>8.9999999999999993E-3</v>
      </c>
      <c r="H4" s="263">
        <v>39626</v>
      </c>
      <c r="I4" s="265">
        <v>14.2</v>
      </c>
      <c r="J4" s="245">
        <v>0.24593000000000001</v>
      </c>
    </row>
    <row r="5" spans="1:10" ht="16.2" thickBot="1" x14ac:dyDescent="0.35">
      <c r="A5" s="41" t="s">
        <v>12</v>
      </c>
      <c r="B5" s="240">
        <v>65.78</v>
      </c>
      <c r="C5" s="263">
        <v>107.1</v>
      </c>
      <c r="D5" s="241">
        <v>0.87977000000000005</v>
      </c>
      <c r="E5" s="264">
        <v>197143</v>
      </c>
      <c r="F5" s="263">
        <v>0.76900000000000002</v>
      </c>
      <c r="G5" s="243">
        <v>2.1000000000000001E-2</v>
      </c>
      <c r="H5" s="263">
        <v>37810</v>
      </c>
      <c r="I5" s="265">
        <v>12.3</v>
      </c>
      <c r="J5" s="245">
        <v>0.35515999999999998</v>
      </c>
    </row>
    <row r="6" spans="1:10" ht="16.2" thickBot="1" x14ac:dyDescent="0.35">
      <c r="A6" s="41" t="s">
        <v>13</v>
      </c>
      <c r="B6" s="240">
        <v>86.7</v>
      </c>
      <c r="C6" s="263">
        <v>117.8</v>
      </c>
      <c r="D6" s="241">
        <v>0.46672999999999998</v>
      </c>
      <c r="E6" s="264">
        <v>136828</v>
      </c>
      <c r="F6" s="263">
        <v>0.78200000000000003</v>
      </c>
      <c r="G6" s="243">
        <v>5.0000000000000001E-3</v>
      </c>
      <c r="H6" s="263">
        <v>26833</v>
      </c>
      <c r="I6" s="265">
        <v>11.7</v>
      </c>
      <c r="J6" s="245">
        <v>0.17988000000000001</v>
      </c>
    </row>
    <row r="7" spans="1:10" ht="16.2" thickBot="1" x14ac:dyDescent="0.35">
      <c r="A7" s="41" t="s">
        <v>14</v>
      </c>
      <c r="B7" s="240">
        <v>81.760000000000005</v>
      </c>
      <c r="C7" s="263">
        <v>144</v>
      </c>
      <c r="D7" s="241">
        <v>1.88907</v>
      </c>
      <c r="E7" s="264">
        <v>204209</v>
      </c>
      <c r="F7" s="263">
        <v>0.54800000000000004</v>
      </c>
      <c r="G7" s="243">
        <v>3.4000000000000002E-2</v>
      </c>
      <c r="H7" s="263">
        <v>35612</v>
      </c>
      <c r="I7" s="265">
        <v>15.5</v>
      </c>
      <c r="J7" s="245">
        <v>0.40833000000000003</v>
      </c>
    </row>
    <row r="8" spans="1:10" ht="16.2" thickBot="1" x14ac:dyDescent="0.35">
      <c r="A8" s="41" t="s">
        <v>15</v>
      </c>
      <c r="B8" s="240">
        <v>87.55</v>
      </c>
      <c r="C8" s="263">
        <v>134.4</v>
      </c>
      <c r="D8" s="241">
        <v>1.05148</v>
      </c>
      <c r="E8" s="264">
        <v>137370</v>
      </c>
      <c r="F8" s="263">
        <v>0.81399999999999995</v>
      </c>
      <c r="G8" s="243">
        <v>5.6000000000000001E-2</v>
      </c>
      <c r="H8" s="263">
        <v>31608</v>
      </c>
      <c r="I8" s="265">
        <v>7</v>
      </c>
      <c r="J8" s="245">
        <v>0.29410999999999998</v>
      </c>
    </row>
    <row r="9" spans="1:10" ht="16.2" thickBot="1" x14ac:dyDescent="0.35">
      <c r="A9" s="41" t="s">
        <v>16</v>
      </c>
      <c r="B9" s="240">
        <v>71.180000000000007</v>
      </c>
      <c r="C9" s="263">
        <v>119.4</v>
      </c>
      <c r="D9" s="241">
        <v>1.19787</v>
      </c>
      <c r="E9" s="264">
        <v>170451</v>
      </c>
      <c r="F9" s="263">
        <v>0.81599999999999995</v>
      </c>
      <c r="G9" s="243">
        <v>1.6E-2</v>
      </c>
      <c r="H9" s="263">
        <v>28489</v>
      </c>
      <c r="I9" s="265">
        <v>13</v>
      </c>
      <c r="J9" s="245">
        <v>0.30996000000000001</v>
      </c>
    </row>
    <row r="10" spans="1:10" ht="16.2" thickBot="1" x14ac:dyDescent="0.35">
      <c r="A10" s="41" t="s">
        <v>17</v>
      </c>
      <c r="B10" s="240">
        <v>83.39</v>
      </c>
      <c r="C10" s="263">
        <v>117.7</v>
      </c>
      <c r="D10" s="241">
        <v>1.6953199999999999</v>
      </c>
      <c r="E10" s="264">
        <v>303996</v>
      </c>
      <c r="F10" s="263">
        <v>2.64</v>
      </c>
      <c r="G10" s="243">
        <v>0.28199999999999997</v>
      </c>
      <c r="H10" s="263">
        <v>27677</v>
      </c>
      <c r="I10" s="265">
        <v>11.8</v>
      </c>
      <c r="J10" s="245">
        <v>0.56418000000000001</v>
      </c>
    </row>
    <row r="11" spans="1:10" ht="16.2" thickBot="1" x14ac:dyDescent="0.35">
      <c r="A11" s="41" t="s">
        <v>18</v>
      </c>
      <c r="B11" s="240">
        <v>71.16</v>
      </c>
      <c r="C11" s="263">
        <v>131</v>
      </c>
      <c r="D11" s="241">
        <v>0.92808000000000002</v>
      </c>
      <c r="E11" s="264">
        <v>174588</v>
      </c>
      <c r="F11" s="263">
        <v>0.74099999999999999</v>
      </c>
      <c r="G11" s="243">
        <v>4.0000000000000001E-3</v>
      </c>
      <c r="H11" s="263">
        <v>31851</v>
      </c>
      <c r="I11" s="265">
        <v>11.3</v>
      </c>
      <c r="J11" s="245">
        <v>0.1991</v>
      </c>
    </row>
    <row r="12" spans="1:10" ht="16.2" thickBot="1" x14ac:dyDescent="0.35">
      <c r="A12" s="41" t="s">
        <v>19</v>
      </c>
      <c r="B12" s="240">
        <v>80.069999999999993</v>
      </c>
      <c r="C12" s="263">
        <v>127.7</v>
      </c>
      <c r="D12" s="241">
        <v>2.1480700000000001</v>
      </c>
      <c r="E12" s="264">
        <v>304226</v>
      </c>
      <c r="F12" s="263">
        <v>1.431</v>
      </c>
      <c r="G12" s="243">
        <v>2.8000000000000001E-2</v>
      </c>
      <c r="H12" s="263">
        <v>35100</v>
      </c>
      <c r="I12" s="265">
        <v>12.4</v>
      </c>
      <c r="J12" s="245">
        <v>0.63704000000000005</v>
      </c>
    </row>
    <row r="13" spans="1:10" ht="16.2" thickBot="1" x14ac:dyDescent="0.35">
      <c r="A13" s="41" t="s">
        <v>20</v>
      </c>
      <c r="B13" s="240">
        <v>65.290000000000006</v>
      </c>
      <c r="C13" s="263">
        <v>175</v>
      </c>
      <c r="D13" s="241">
        <v>9.8040900000000004</v>
      </c>
      <c r="E13" s="264">
        <v>2989417</v>
      </c>
      <c r="F13" s="263">
        <v>10.709</v>
      </c>
      <c r="G13" s="243">
        <v>0.34599999999999997</v>
      </c>
      <c r="H13" s="263">
        <v>88831</v>
      </c>
      <c r="I13" s="265">
        <v>7.9</v>
      </c>
      <c r="J13" s="245">
        <v>3.1888200000000002</v>
      </c>
    </row>
    <row r="14" spans="1:10" ht="16.2" thickBot="1" x14ac:dyDescent="0.35">
      <c r="A14" s="41" t="s">
        <v>21</v>
      </c>
      <c r="B14" s="240">
        <v>77.3</v>
      </c>
      <c r="C14" s="263">
        <v>82</v>
      </c>
      <c r="D14" s="241">
        <v>5.4246100000000004</v>
      </c>
      <c r="E14" s="264">
        <v>21338</v>
      </c>
      <c r="F14" s="263">
        <v>0.10199999999999999</v>
      </c>
      <c r="G14" s="243">
        <v>6.0000000000000001E-3</v>
      </c>
      <c r="H14" s="263">
        <v>30297</v>
      </c>
      <c r="I14" s="265">
        <v>5.5</v>
      </c>
      <c r="J14" s="245">
        <v>1.82701</v>
      </c>
    </row>
    <row r="15" spans="1:10" ht="16.2" thickBot="1" x14ac:dyDescent="0.35">
      <c r="A15" s="41" t="s">
        <v>22</v>
      </c>
      <c r="B15" s="240">
        <v>72.92</v>
      </c>
      <c r="C15" s="263">
        <v>99.4</v>
      </c>
      <c r="D15" s="241">
        <v>0.22498000000000001</v>
      </c>
      <c r="E15" s="264">
        <v>163520</v>
      </c>
      <c r="F15" s="263">
        <v>0.5</v>
      </c>
      <c r="G15" s="243">
        <v>2.1000000000000001E-2</v>
      </c>
      <c r="H15" s="263">
        <v>29827</v>
      </c>
      <c r="I15" s="265">
        <v>5</v>
      </c>
      <c r="J15" s="245">
        <v>0.33876000000000001</v>
      </c>
    </row>
    <row r="16" spans="1:10" ht="16.2" thickBot="1" x14ac:dyDescent="0.35">
      <c r="A16" s="41" t="s">
        <v>23</v>
      </c>
      <c r="B16" s="240">
        <v>76.23</v>
      </c>
      <c r="C16" s="263">
        <v>112.7</v>
      </c>
      <c r="D16" s="241">
        <v>0.12656000000000001</v>
      </c>
      <c r="E16" s="264">
        <v>104587</v>
      </c>
      <c r="F16" s="263">
        <v>0.53100000000000003</v>
      </c>
      <c r="G16" s="243">
        <v>4.0000000000000001E-3</v>
      </c>
      <c r="H16" s="263">
        <v>28680</v>
      </c>
      <c r="I16" s="265">
        <v>10.5</v>
      </c>
      <c r="J16" s="245">
        <v>3.6499999999999998E-2</v>
      </c>
    </row>
    <row r="17" spans="1:10" ht="16.2" thickBot="1" x14ac:dyDescent="0.35">
      <c r="A17" s="41" t="s">
        <v>24</v>
      </c>
      <c r="B17" s="240">
        <v>64.28</v>
      </c>
      <c r="C17" s="263">
        <v>113</v>
      </c>
      <c r="D17" s="241">
        <v>0.79215000000000002</v>
      </c>
      <c r="E17" s="264">
        <v>423112</v>
      </c>
      <c r="F17" s="263">
        <v>1.6220000000000001</v>
      </c>
      <c r="G17" s="243">
        <v>6.9000000000000006E-2</v>
      </c>
      <c r="H17" s="263">
        <v>30346</v>
      </c>
      <c r="I17" s="265">
        <v>22.4</v>
      </c>
      <c r="J17" s="245">
        <v>0.23283000000000001</v>
      </c>
    </row>
    <row r="18" spans="1:10" ht="16.2" thickBot="1" x14ac:dyDescent="0.35">
      <c r="A18" s="41" t="s">
        <v>25</v>
      </c>
      <c r="B18" s="240">
        <v>90.48</v>
      </c>
      <c r="C18" s="263">
        <v>150.69999999999999</v>
      </c>
      <c r="D18" s="241">
        <v>0.77003999999999995</v>
      </c>
      <c r="E18" s="264">
        <v>66303</v>
      </c>
      <c r="F18" s="263">
        <v>0.627</v>
      </c>
      <c r="G18" s="243">
        <v>1.4999999999999999E-2</v>
      </c>
      <c r="H18" s="263">
        <v>25929</v>
      </c>
      <c r="I18" s="265">
        <v>19.3</v>
      </c>
      <c r="J18" s="245">
        <v>0.26404</v>
      </c>
    </row>
    <row r="19" spans="1:10" ht="16.2" thickBot="1" x14ac:dyDescent="0.35">
      <c r="A19" s="41" t="s">
        <v>26</v>
      </c>
      <c r="B19" s="240">
        <v>72.5</v>
      </c>
      <c r="C19" s="263">
        <v>125.2</v>
      </c>
      <c r="D19" s="241">
        <v>2.1122200000000002</v>
      </c>
      <c r="E19" s="264">
        <v>165824</v>
      </c>
      <c r="F19" s="263">
        <v>0.55200000000000005</v>
      </c>
      <c r="G19" s="243">
        <v>5.2999999999999999E-2</v>
      </c>
      <c r="H19" s="263">
        <v>32010</v>
      </c>
      <c r="I19" s="265">
        <v>12.9</v>
      </c>
      <c r="J19" s="245">
        <v>0.48709999999999998</v>
      </c>
    </row>
    <row r="20" spans="1:10" ht="16.2" thickBot="1" x14ac:dyDescent="0.35">
      <c r="A20" s="41" t="s">
        <v>27</v>
      </c>
      <c r="B20" s="240">
        <v>70.17</v>
      </c>
      <c r="C20" s="263">
        <v>151.6</v>
      </c>
      <c r="D20" s="241">
        <v>0.60287000000000002</v>
      </c>
      <c r="E20" s="264">
        <v>180773</v>
      </c>
      <c r="F20" s="263">
        <v>0.66600000000000004</v>
      </c>
      <c r="G20" s="243">
        <v>1.6E-2</v>
      </c>
      <c r="H20" s="263">
        <v>35028</v>
      </c>
      <c r="I20" s="265">
        <v>16.399999999999999</v>
      </c>
      <c r="J20" s="245">
        <v>0.10901</v>
      </c>
    </row>
    <row r="21" spans="1:10" ht="16.2" thickBot="1" x14ac:dyDescent="0.35">
      <c r="A21" s="41" t="s">
        <v>28</v>
      </c>
      <c r="B21" s="240">
        <v>61.76</v>
      </c>
      <c r="C21" s="263">
        <v>86.7</v>
      </c>
      <c r="D21" s="241">
        <v>0.68096000000000001</v>
      </c>
      <c r="E21" s="264">
        <v>72950</v>
      </c>
      <c r="F21" s="263">
        <v>0.25700000000000001</v>
      </c>
      <c r="G21" s="243">
        <v>8.0000000000000002E-3</v>
      </c>
      <c r="H21" s="263">
        <v>60794</v>
      </c>
      <c r="I21" s="265">
        <v>18.100000000000001</v>
      </c>
      <c r="J21" s="245">
        <v>0.46390999999999999</v>
      </c>
    </row>
    <row r="22" spans="1:10" ht="16.2" thickBot="1" x14ac:dyDescent="0.35">
      <c r="A22" s="41" t="s">
        <v>29</v>
      </c>
      <c r="B22" s="240">
        <v>84.8</v>
      </c>
      <c r="C22" s="263">
        <v>148.6</v>
      </c>
      <c r="D22" s="241">
        <v>0.77822000000000002</v>
      </c>
      <c r="E22" s="264">
        <v>46920</v>
      </c>
      <c r="F22" s="263">
        <v>0.38900000000000001</v>
      </c>
      <c r="G22" s="243">
        <v>1E-3</v>
      </c>
      <c r="H22" s="263">
        <v>20473</v>
      </c>
      <c r="I22" s="265">
        <v>13.4</v>
      </c>
      <c r="J22" s="245">
        <v>0.55781999999999998</v>
      </c>
    </row>
    <row r="23" spans="1:10" ht="16.2" thickBot="1" x14ac:dyDescent="0.35">
      <c r="A23" s="41" t="s">
        <v>30</v>
      </c>
      <c r="B23" s="240">
        <v>87.29</v>
      </c>
      <c r="C23" s="263">
        <v>107.5</v>
      </c>
      <c r="D23" s="241">
        <v>0.14107</v>
      </c>
      <c r="E23" s="264">
        <v>384703</v>
      </c>
      <c r="F23" s="263">
        <v>1.194</v>
      </c>
      <c r="G23" s="243">
        <v>3.7999999999999999E-2</v>
      </c>
      <c r="H23" s="263">
        <v>28048</v>
      </c>
      <c r="I23" s="265">
        <v>8.9</v>
      </c>
      <c r="J23" s="245">
        <v>0.1295</v>
      </c>
    </row>
    <row r="24" spans="1:10" ht="16.2" thickBot="1" x14ac:dyDescent="0.35">
      <c r="A24" s="41" t="s">
        <v>31</v>
      </c>
      <c r="B24" s="240">
        <v>70.89</v>
      </c>
      <c r="C24" s="263">
        <v>103.3</v>
      </c>
      <c r="D24" s="241">
        <v>0.55317000000000005</v>
      </c>
      <c r="E24" s="264">
        <v>167376</v>
      </c>
      <c r="F24" s="263">
        <v>0.93600000000000005</v>
      </c>
      <c r="G24" s="243">
        <v>8.9999999999999993E-3</v>
      </c>
      <c r="H24" s="263">
        <v>26649</v>
      </c>
      <c r="I24" s="265">
        <v>13.9</v>
      </c>
      <c r="J24" s="245">
        <v>0.11462</v>
      </c>
    </row>
    <row r="25" spans="1:10" ht="16.2" thickBot="1" x14ac:dyDescent="0.35">
      <c r="A25" s="41" t="s">
        <v>32</v>
      </c>
      <c r="B25" s="240">
        <v>67.92</v>
      </c>
      <c r="C25" s="263">
        <v>97</v>
      </c>
      <c r="D25" s="241">
        <v>2.1994600000000002</v>
      </c>
      <c r="E25" s="264">
        <v>75338</v>
      </c>
      <c r="F25" s="263">
        <v>0.40600000000000003</v>
      </c>
      <c r="G25" s="243">
        <v>4.0000000000000001E-3</v>
      </c>
      <c r="H25" s="263">
        <v>28560</v>
      </c>
      <c r="I25" s="265">
        <v>22.1</v>
      </c>
      <c r="J25" s="245">
        <v>0.59477999999999998</v>
      </c>
    </row>
    <row r="26" spans="1:10" ht="16.2" thickBot="1" x14ac:dyDescent="0.35">
      <c r="A26" s="41" t="s">
        <v>33</v>
      </c>
      <c r="B26" s="240">
        <v>88.92</v>
      </c>
      <c r="C26" s="263">
        <v>137</v>
      </c>
      <c r="D26" s="241">
        <v>1.1753499999999999</v>
      </c>
      <c r="E26" s="264">
        <v>876471</v>
      </c>
      <c r="F26" s="263">
        <v>4.53</v>
      </c>
      <c r="G26" s="243">
        <v>8.7999999999999995E-2</v>
      </c>
      <c r="H26" s="263">
        <v>43217</v>
      </c>
      <c r="I26" s="265">
        <v>12.5</v>
      </c>
      <c r="J26" s="245">
        <v>0.42399999999999999</v>
      </c>
    </row>
    <row r="27" spans="1:10" ht="16.2" thickBot="1" x14ac:dyDescent="0.35">
      <c r="A27" s="41" t="s">
        <v>34</v>
      </c>
      <c r="B27" s="240">
        <v>70.099999999999994</v>
      </c>
      <c r="C27" s="263">
        <v>127.7</v>
      </c>
      <c r="D27" s="241">
        <v>0.56238999999999995</v>
      </c>
      <c r="E27" s="264">
        <v>530900</v>
      </c>
      <c r="F27" s="263">
        <v>1.9359999999999999</v>
      </c>
      <c r="G27" s="243">
        <v>2.3E-2</v>
      </c>
      <c r="H27" s="263">
        <v>36090</v>
      </c>
      <c r="I27" s="265">
        <v>13.3</v>
      </c>
      <c r="J27" s="245">
        <v>0.17133999999999999</v>
      </c>
    </row>
    <row r="28" spans="1:10" ht="16.2" thickBot="1" x14ac:dyDescent="0.35">
      <c r="A28" s="41" t="s">
        <v>35</v>
      </c>
      <c r="B28" s="240">
        <v>69.58</v>
      </c>
      <c r="C28" s="263">
        <v>113.8</v>
      </c>
      <c r="D28" s="241">
        <v>4.4507199999999996</v>
      </c>
      <c r="E28" s="264">
        <v>111007</v>
      </c>
      <c r="F28" s="263">
        <v>0.71899999999999997</v>
      </c>
      <c r="G28" s="243">
        <v>7.9000000000000001E-2</v>
      </c>
      <c r="H28" s="263">
        <v>23747</v>
      </c>
      <c r="I28" s="265">
        <v>11.8</v>
      </c>
      <c r="J28" s="245">
        <v>1.5576700000000001</v>
      </c>
    </row>
    <row r="29" spans="1:10" ht="16.2" thickBot="1" x14ac:dyDescent="0.35">
      <c r="A29" s="41" t="s">
        <v>36</v>
      </c>
      <c r="B29" s="240">
        <v>73.92</v>
      </c>
      <c r="C29" s="263">
        <v>122.4</v>
      </c>
      <c r="D29" s="241">
        <v>1.9134899999999999</v>
      </c>
      <c r="E29" s="264">
        <v>139706</v>
      </c>
      <c r="F29" s="263">
        <v>0.9</v>
      </c>
      <c r="G29" s="243">
        <v>1.0999999999999999E-2</v>
      </c>
      <c r="H29" s="263">
        <v>32715</v>
      </c>
      <c r="I29" s="265">
        <v>9.6999999999999993</v>
      </c>
      <c r="J29" s="245">
        <v>1.2908299999999999</v>
      </c>
    </row>
    <row r="30" spans="1:10" ht="16.2" thickBot="1" x14ac:dyDescent="0.35">
      <c r="A30" s="41" t="s">
        <v>37</v>
      </c>
      <c r="B30" s="240">
        <v>79.12</v>
      </c>
      <c r="C30" s="263">
        <v>181.7</v>
      </c>
      <c r="D30" s="241">
        <v>0.72663</v>
      </c>
      <c r="E30" s="264">
        <v>398085</v>
      </c>
      <c r="F30" s="263">
        <v>0.74399999999999999</v>
      </c>
      <c r="G30" s="243">
        <v>2.1000000000000001E-2</v>
      </c>
      <c r="H30" s="263">
        <v>36847</v>
      </c>
      <c r="I30" s="265">
        <v>15.9</v>
      </c>
      <c r="J30" s="245">
        <v>0.25067</v>
      </c>
    </row>
    <row r="31" spans="1:10" ht="16.2" thickBot="1" x14ac:dyDescent="0.35">
      <c r="A31" s="41" t="s">
        <v>38</v>
      </c>
      <c r="B31" s="240">
        <v>78.12</v>
      </c>
      <c r="C31" s="263">
        <v>121.5</v>
      </c>
      <c r="D31" s="241">
        <v>1.19973</v>
      </c>
      <c r="E31" s="264">
        <v>144509</v>
      </c>
      <c r="F31" s="263">
        <v>0.90200000000000002</v>
      </c>
      <c r="G31" s="243">
        <v>3.3000000000000002E-2</v>
      </c>
      <c r="H31" s="263">
        <v>35124</v>
      </c>
      <c r="I31" s="265">
        <v>18.5</v>
      </c>
      <c r="J31" s="245">
        <v>0.31485000000000002</v>
      </c>
    </row>
    <row r="32" spans="1:10" ht="16.2" thickBot="1" x14ac:dyDescent="0.35">
      <c r="A32" s="41" t="s">
        <v>39</v>
      </c>
      <c r="B32" s="240">
        <v>62.03</v>
      </c>
      <c r="C32" s="263">
        <v>100.5</v>
      </c>
      <c r="D32" s="241">
        <v>1.2428600000000001</v>
      </c>
      <c r="E32" s="264">
        <v>41098</v>
      </c>
      <c r="F32" s="263">
        <v>0.13100000000000001</v>
      </c>
      <c r="G32" s="243">
        <v>1.7999999999999999E-2</v>
      </c>
      <c r="H32" s="263">
        <v>80979</v>
      </c>
      <c r="I32" s="265">
        <v>9.1</v>
      </c>
      <c r="J32" s="245">
        <v>1.05108</v>
      </c>
    </row>
    <row r="33" spans="1:10" ht="16.2" thickBot="1" x14ac:dyDescent="0.35">
      <c r="A33" s="41" t="s">
        <v>40</v>
      </c>
      <c r="B33" s="240">
        <v>78.959999999999994</v>
      </c>
      <c r="C33" s="263">
        <v>150.30000000000001</v>
      </c>
      <c r="D33" s="241">
        <v>1.1236900000000001</v>
      </c>
      <c r="E33" s="264">
        <v>2003952</v>
      </c>
      <c r="F33" s="263">
        <v>3.7970000000000002</v>
      </c>
      <c r="G33" s="243">
        <v>0.218</v>
      </c>
      <c r="H33" s="263">
        <v>53793</v>
      </c>
      <c r="I33" s="265">
        <v>7.9</v>
      </c>
      <c r="J33" s="245">
        <v>0.27313999999999999</v>
      </c>
    </row>
    <row r="34" spans="1:10" ht="16.2" thickBot="1" x14ac:dyDescent="0.35">
      <c r="A34" s="41" t="s">
        <v>41</v>
      </c>
      <c r="B34" s="240">
        <v>62.54</v>
      </c>
      <c r="C34" s="263">
        <v>95.7</v>
      </c>
      <c r="D34" s="241">
        <v>5.4260000000000003E-2</v>
      </c>
      <c r="E34" s="264">
        <v>155419</v>
      </c>
      <c r="F34" s="263">
        <v>0.35699999999999998</v>
      </c>
      <c r="G34" s="243">
        <v>6.0000000000000001E-3</v>
      </c>
      <c r="H34" s="263">
        <v>51183</v>
      </c>
      <c r="I34" s="265">
        <v>8.1</v>
      </c>
      <c r="J34" s="245">
        <v>6.6739999999999994E-2</v>
      </c>
    </row>
    <row r="35" spans="1:10" ht="16.2" thickBot="1" x14ac:dyDescent="0.35">
      <c r="A35" s="41" t="s">
        <v>42</v>
      </c>
      <c r="B35" s="240">
        <v>79.31</v>
      </c>
      <c r="C35" s="263">
        <v>133.9</v>
      </c>
      <c r="D35" s="241">
        <v>4.2288600000000001</v>
      </c>
      <c r="E35" s="264">
        <v>10645</v>
      </c>
      <c r="F35" s="263">
        <v>6.8000000000000005E-2</v>
      </c>
      <c r="G35" s="243">
        <v>1E-3</v>
      </c>
      <c r="H35" s="263">
        <v>86431</v>
      </c>
      <c r="I35" s="265">
        <v>7.9</v>
      </c>
      <c r="J35" s="245">
        <v>3.41723</v>
      </c>
    </row>
    <row r="36" spans="1:10" ht="16.2" thickBot="1" x14ac:dyDescent="0.35">
      <c r="A36" s="41" t="s">
        <v>43</v>
      </c>
      <c r="B36" s="240">
        <v>71.44</v>
      </c>
      <c r="C36" s="263">
        <v>109.1</v>
      </c>
      <c r="D36" s="241">
        <v>0.29792000000000002</v>
      </c>
      <c r="E36" s="264">
        <v>431964</v>
      </c>
      <c r="F36" s="263">
        <v>2.532</v>
      </c>
      <c r="G36" s="243">
        <v>4.4999999999999998E-2</v>
      </c>
      <c r="H36" s="263">
        <v>37524</v>
      </c>
      <c r="I36" s="265">
        <v>6</v>
      </c>
      <c r="J36" s="245">
        <v>0.28018999999999999</v>
      </c>
    </row>
    <row r="37" spans="1:10" ht="16.2" thickBot="1" x14ac:dyDescent="0.35">
      <c r="A37" s="41" t="s">
        <v>44</v>
      </c>
      <c r="B37" s="240">
        <v>67.59</v>
      </c>
      <c r="C37" s="263">
        <v>122.1</v>
      </c>
      <c r="D37" s="241">
        <v>2.7764099999999998</v>
      </c>
      <c r="E37" s="264">
        <v>79296</v>
      </c>
      <c r="F37" s="263">
        <v>0.41399999999999998</v>
      </c>
      <c r="G37" s="243">
        <v>1.9E-2</v>
      </c>
      <c r="H37" s="263">
        <v>29229</v>
      </c>
      <c r="I37" s="265">
        <v>9.3000000000000007</v>
      </c>
      <c r="J37" s="245">
        <v>0.63139000000000001</v>
      </c>
    </row>
    <row r="38" spans="1:10" ht="16.2" thickBot="1" x14ac:dyDescent="0.35">
      <c r="A38" s="41" t="s">
        <v>45</v>
      </c>
      <c r="B38" s="240">
        <v>62.09</v>
      </c>
      <c r="C38" s="263">
        <v>107.9</v>
      </c>
      <c r="D38" s="241">
        <v>0.54398000000000002</v>
      </c>
      <c r="E38" s="264">
        <v>540023</v>
      </c>
      <c r="F38" s="263">
        <v>2.242</v>
      </c>
      <c r="G38" s="243">
        <v>1.4999999999999999E-2</v>
      </c>
      <c r="H38" s="263">
        <v>35261</v>
      </c>
      <c r="I38" s="265">
        <v>8.4</v>
      </c>
      <c r="J38" s="245">
        <v>0.22073000000000001</v>
      </c>
    </row>
    <row r="39" spans="1:10" ht="16.2" thickBot="1" x14ac:dyDescent="0.35">
      <c r="A39" s="41" t="s">
        <v>46</v>
      </c>
      <c r="B39" s="240">
        <v>73.599999999999994</v>
      </c>
      <c r="C39" s="263">
        <v>119.9</v>
      </c>
      <c r="D39" s="241">
        <v>1.8983399999999999</v>
      </c>
      <c r="E39" s="264">
        <v>277781</v>
      </c>
      <c r="F39" s="263">
        <v>1.5669999999999999</v>
      </c>
      <c r="G39" s="243">
        <v>0.05</v>
      </c>
      <c r="H39" s="263">
        <v>29972</v>
      </c>
      <c r="I39" s="265">
        <v>12.9</v>
      </c>
      <c r="J39" s="245">
        <v>0.75036999999999998</v>
      </c>
    </row>
    <row r="40" spans="1:10" ht="16.2" thickBot="1" x14ac:dyDescent="0.35">
      <c r="A40" s="41" t="s">
        <v>47</v>
      </c>
      <c r="B40" s="240">
        <v>79.739999999999995</v>
      </c>
      <c r="C40" s="263">
        <v>128.69999999999999</v>
      </c>
      <c r="D40" s="241">
        <v>1.28016</v>
      </c>
      <c r="E40" s="264">
        <v>303505</v>
      </c>
      <c r="F40" s="263">
        <v>1.0589999999999999</v>
      </c>
      <c r="G40" s="243">
        <v>6.3E-2</v>
      </c>
      <c r="H40" s="263">
        <v>26518</v>
      </c>
      <c r="I40" s="265">
        <v>12.9</v>
      </c>
      <c r="J40" s="245">
        <v>0.39218999999999998</v>
      </c>
    </row>
    <row r="41" spans="1:10" ht="16.2" thickBot="1" x14ac:dyDescent="0.35">
      <c r="A41" s="41" t="s">
        <v>48</v>
      </c>
      <c r="B41" s="240">
        <v>85.25</v>
      </c>
      <c r="C41" s="263">
        <v>115.8</v>
      </c>
      <c r="D41" s="241">
        <v>1.84233</v>
      </c>
      <c r="E41" s="264">
        <v>97785</v>
      </c>
      <c r="F41" s="263">
        <v>0.58399999999999996</v>
      </c>
      <c r="G41" s="243">
        <v>5.0000000000000001E-3</v>
      </c>
      <c r="H41" s="263">
        <v>29846</v>
      </c>
      <c r="I41" s="265">
        <v>12.8</v>
      </c>
      <c r="J41" s="245">
        <v>0.46061000000000002</v>
      </c>
    </row>
    <row r="42" spans="1:10" ht="16.2" thickBot="1" x14ac:dyDescent="0.35">
      <c r="A42" s="41" t="s">
        <v>49</v>
      </c>
      <c r="B42" s="240">
        <v>70.75</v>
      </c>
      <c r="C42" s="263">
        <v>119.9</v>
      </c>
      <c r="D42" s="241">
        <v>0.58928999999999998</v>
      </c>
      <c r="E42" s="264">
        <v>167166</v>
      </c>
      <c r="F42" s="263">
        <v>0.78900000000000003</v>
      </c>
      <c r="G42" s="243">
        <v>0.02</v>
      </c>
      <c r="H42" s="263">
        <v>26415</v>
      </c>
      <c r="I42" s="265">
        <v>13.7</v>
      </c>
      <c r="J42" s="245">
        <v>0.12969</v>
      </c>
    </row>
    <row r="43" spans="1:10" ht="16.2" thickBot="1" x14ac:dyDescent="0.35">
      <c r="A43" s="41" t="s">
        <v>50</v>
      </c>
      <c r="B43" s="240">
        <v>78.86</v>
      </c>
      <c r="C43" s="263">
        <v>132.1</v>
      </c>
      <c r="D43" s="241">
        <v>0.96633000000000002</v>
      </c>
      <c r="E43" s="264">
        <v>421177</v>
      </c>
      <c r="F43" s="263">
        <v>1.8520000000000001</v>
      </c>
      <c r="G43" s="243">
        <v>7.2999999999999995E-2</v>
      </c>
      <c r="H43" s="263">
        <v>32747</v>
      </c>
      <c r="I43" s="265">
        <v>12.1</v>
      </c>
      <c r="J43" s="245">
        <v>0.23846999999999999</v>
      </c>
    </row>
    <row r="44" spans="1:10" ht="16.2" thickBot="1" x14ac:dyDescent="0.35">
      <c r="A44" s="41" t="s">
        <v>51</v>
      </c>
      <c r="B44" s="240">
        <v>78.739999999999995</v>
      </c>
      <c r="C44" s="263">
        <v>107.9</v>
      </c>
      <c r="D44" s="241">
        <v>1.97302</v>
      </c>
      <c r="E44" s="264">
        <v>343033</v>
      </c>
      <c r="F44" s="263">
        <v>1.1479999999999999</v>
      </c>
      <c r="G44" s="243">
        <v>0.125</v>
      </c>
      <c r="H44" s="263">
        <v>40843</v>
      </c>
      <c r="I44" s="265">
        <v>12</v>
      </c>
      <c r="J44" s="245">
        <v>0.63756000000000002</v>
      </c>
    </row>
    <row r="45" spans="1:10" ht="16.2" thickBot="1" x14ac:dyDescent="0.35">
      <c r="A45" s="41" t="s">
        <v>52</v>
      </c>
      <c r="B45" s="240">
        <v>84.55</v>
      </c>
      <c r="C45" s="263">
        <v>106.8</v>
      </c>
      <c r="D45" s="241">
        <v>1.0918699999999999</v>
      </c>
      <c r="E45" s="264">
        <v>76691</v>
      </c>
      <c r="F45" s="263">
        <v>0.28199999999999997</v>
      </c>
      <c r="G45" s="243">
        <v>8.0000000000000002E-3</v>
      </c>
      <c r="H45" s="263">
        <v>29332</v>
      </c>
      <c r="I45" s="265">
        <v>12.8</v>
      </c>
      <c r="J45" s="245">
        <v>0.64529000000000003</v>
      </c>
    </row>
    <row r="46" spans="1:10" ht="16.2" thickBot="1" x14ac:dyDescent="0.35">
      <c r="A46" s="41" t="s">
        <v>53</v>
      </c>
      <c r="B46" s="240">
        <v>66.16</v>
      </c>
      <c r="C46" s="263">
        <v>146.6</v>
      </c>
      <c r="D46" s="241">
        <v>0.47665000000000002</v>
      </c>
      <c r="E46" s="264">
        <v>58791</v>
      </c>
      <c r="F46" s="263">
        <v>0.23499999999999999</v>
      </c>
      <c r="G46" s="243">
        <v>3.0000000000000001E-3</v>
      </c>
      <c r="H46" s="263">
        <v>34901</v>
      </c>
      <c r="I46" s="265">
        <v>12.3</v>
      </c>
      <c r="J46" s="245">
        <v>0.21969</v>
      </c>
    </row>
    <row r="47" spans="1:10" ht="16.2" thickBot="1" x14ac:dyDescent="0.35">
      <c r="A47" s="41" t="s">
        <v>54</v>
      </c>
      <c r="B47" s="240">
        <v>88.68</v>
      </c>
      <c r="C47" s="263">
        <v>132.80000000000001</v>
      </c>
      <c r="D47" s="241">
        <v>0.33411000000000002</v>
      </c>
      <c r="E47" s="264">
        <v>28168</v>
      </c>
      <c r="F47" s="263">
        <v>0.27700000000000002</v>
      </c>
      <c r="G47" s="243">
        <v>4.4999999999999998E-2</v>
      </c>
      <c r="H47" s="263">
        <v>23798</v>
      </c>
      <c r="I47" s="265">
        <v>14.6</v>
      </c>
      <c r="J47" s="245">
        <v>0.21553</v>
      </c>
    </row>
    <row r="48" spans="1:10" ht="16.2" thickBot="1" x14ac:dyDescent="0.35">
      <c r="A48" s="41" t="s">
        <v>55</v>
      </c>
      <c r="B48" s="240">
        <v>71.95</v>
      </c>
      <c r="C48" s="263">
        <v>125.7</v>
      </c>
      <c r="D48" s="241">
        <v>0.21259</v>
      </c>
      <c r="E48" s="264">
        <v>677355</v>
      </c>
      <c r="F48" s="263">
        <v>2.827</v>
      </c>
      <c r="G48" s="243">
        <v>7.3999999999999996E-2</v>
      </c>
      <c r="H48" s="263">
        <v>32621</v>
      </c>
      <c r="I48" s="265">
        <v>11.5</v>
      </c>
      <c r="J48" s="245">
        <v>0.1147</v>
      </c>
    </row>
    <row r="49" spans="1:10" ht="16.2" thickBot="1" x14ac:dyDescent="0.35">
      <c r="A49" s="41" t="s">
        <v>56</v>
      </c>
      <c r="B49" s="240">
        <v>90.34</v>
      </c>
      <c r="C49" s="263">
        <v>125</v>
      </c>
      <c r="D49" s="241">
        <v>2.5172699999999999</v>
      </c>
      <c r="E49" s="264">
        <v>142224</v>
      </c>
      <c r="F49" s="263">
        <v>0.498</v>
      </c>
      <c r="G49" s="243">
        <v>1.9E-2</v>
      </c>
      <c r="H49" s="263">
        <v>28314</v>
      </c>
      <c r="I49" s="265">
        <v>22.4</v>
      </c>
      <c r="J49" s="245">
        <v>1.3668</v>
      </c>
    </row>
    <row r="50" spans="1:10" ht="16.2" thickBot="1" x14ac:dyDescent="0.35">
      <c r="A50" s="41" t="s">
        <v>57</v>
      </c>
      <c r="B50" s="240">
        <v>85.89</v>
      </c>
      <c r="C50" s="263">
        <v>157.80000000000001</v>
      </c>
      <c r="D50" s="241">
        <v>0.78849000000000002</v>
      </c>
      <c r="E50" s="264">
        <v>109436</v>
      </c>
      <c r="F50" s="263">
        <v>2.1720000000000002</v>
      </c>
      <c r="G50" s="243">
        <v>8.1000000000000003E-2</v>
      </c>
      <c r="H50" s="263">
        <v>30260</v>
      </c>
      <c r="I50" s="265">
        <v>11.4</v>
      </c>
      <c r="J50" s="245">
        <v>0.39480999999999999</v>
      </c>
    </row>
    <row r="51" spans="1:10" ht="16.2" thickBot="1" x14ac:dyDescent="0.35">
      <c r="A51" s="41" t="s">
        <v>58</v>
      </c>
      <c r="B51" s="240">
        <v>84</v>
      </c>
      <c r="C51" s="263">
        <v>229.8</v>
      </c>
      <c r="D51" s="241">
        <v>3.5441099999999999</v>
      </c>
      <c r="E51" s="264">
        <v>10148</v>
      </c>
      <c r="F51" s="263">
        <v>0.219</v>
      </c>
      <c r="G51" s="243">
        <v>8.9999999999999993E-3</v>
      </c>
      <c r="H51" s="263">
        <v>18139</v>
      </c>
      <c r="I51" s="265">
        <v>19.5</v>
      </c>
      <c r="J51" s="245">
        <v>0.43323</v>
      </c>
    </row>
    <row r="52" spans="1:10" ht="16.2" thickBot="1" x14ac:dyDescent="0.35">
      <c r="A52" s="41" t="s">
        <v>59</v>
      </c>
      <c r="B52" s="240">
        <v>70.459999999999994</v>
      </c>
      <c r="C52" s="263">
        <v>125.9</v>
      </c>
      <c r="D52" s="241">
        <v>0.75727999999999995</v>
      </c>
      <c r="E52" s="264">
        <v>48319</v>
      </c>
      <c r="F52" s="263">
        <v>0.218</v>
      </c>
      <c r="G52" s="243">
        <v>1.4E-2</v>
      </c>
      <c r="H52" s="263">
        <v>21319</v>
      </c>
      <c r="I52" s="265">
        <v>14.7</v>
      </c>
      <c r="J52" s="245">
        <v>8.2519999999999996E-2</v>
      </c>
    </row>
    <row r="53" spans="1:10" ht="16.2" thickBot="1" x14ac:dyDescent="0.35">
      <c r="A53" s="41" t="s">
        <v>60</v>
      </c>
      <c r="B53" s="240">
        <v>65.08</v>
      </c>
      <c r="C53" s="263">
        <v>121</v>
      </c>
      <c r="D53" s="241">
        <v>0.22409999999999999</v>
      </c>
      <c r="E53" s="264">
        <v>106076</v>
      </c>
      <c r="F53" s="263">
        <v>0.43099999999999999</v>
      </c>
      <c r="G53" s="243">
        <v>1.4999999999999999E-2</v>
      </c>
      <c r="H53" s="263">
        <v>35173</v>
      </c>
      <c r="I53" s="265">
        <v>29.3</v>
      </c>
      <c r="J53" s="245">
        <v>0.11330999999999999</v>
      </c>
    </row>
    <row r="54" spans="1:10" ht="16.2" thickBot="1" x14ac:dyDescent="0.35">
      <c r="A54" s="41" t="s">
        <v>61</v>
      </c>
      <c r="B54" s="240">
        <v>90.07</v>
      </c>
      <c r="C54" s="263">
        <v>95.8</v>
      </c>
      <c r="D54" s="241">
        <v>0.58565</v>
      </c>
      <c r="E54" s="264">
        <v>164486</v>
      </c>
      <c r="F54" s="263">
        <v>0.40899999999999997</v>
      </c>
      <c r="G54" s="243">
        <v>2.1999999999999999E-2</v>
      </c>
      <c r="H54" s="263">
        <v>38880</v>
      </c>
      <c r="I54" s="265">
        <v>22.6</v>
      </c>
      <c r="J54" s="245">
        <v>0.17645</v>
      </c>
    </row>
    <row r="55" spans="1:10" ht="16.2" thickBot="1" x14ac:dyDescent="0.35">
      <c r="A55" s="41" t="s">
        <v>62</v>
      </c>
      <c r="B55" s="240">
        <v>75.760000000000005</v>
      </c>
      <c r="C55" s="263">
        <v>120.4</v>
      </c>
      <c r="D55" s="241">
        <v>0.61980999999999997</v>
      </c>
      <c r="E55" s="264">
        <v>87765</v>
      </c>
      <c r="F55" s="263">
        <v>0.93799999999999994</v>
      </c>
      <c r="G55" s="243">
        <v>5.1999999999999998E-2</v>
      </c>
      <c r="H55" s="263">
        <v>26357</v>
      </c>
      <c r="I55" s="265">
        <v>14.4</v>
      </c>
      <c r="J55" s="245">
        <v>0.26278000000000001</v>
      </c>
    </row>
    <row r="56" spans="1:10" ht="16.2" thickBot="1" x14ac:dyDescent="0.35">
      <c r="A56" s="41" t="s">
        <v>63</v>
      </c>
      <c r="B56" s="240">
        <v>85.6</v>
      </c>
      <c r="C56" s="263">
        <v>124.2</v>
      </c>
      <c r="D56" s="241">
        <v>1.2902499999999999</v>
      </c>
      <c r="E56" s="264">
        <v>83529</v>
      </c>
      <c r="F56" s="263">
        <v>0.38900000000000001</v>
      </c>
      <c r="G56" s="243">
        <v>2E-3</v>
      </c>
      <c r="H56" s="263">
        <v>23185</v>
      </c>
      <c r="I56" s="265">
        <v>15.3</v>
      </c>
      <c r="J56" s="245">
        <v>0.48788999999999999</v>
      </c>
    </row>
    <row r="57" spans="1:10" ht="16.2" thickBot="1" x14ac:dyDescent="0.35">
      <c r="A57" s="41" t="s">
        <v>64</v>
      </c>
      <c r="B57" s="240">
        <v>58.34</v>
      </c>
      <c r="C57" s="263">
        <v>133</v>
      </c>
      <c r="D57" s="241">
        <v>0.60880999999999996</v>
      </c>
      <c r="E57" s="264">
        <v>89799</v>
      </c>
      <c r="F57" s="263">
        <v>0.82599999999999996</v>
      </c>
      <c r="G57" s="243">
        <v>3.2000000000000001E-2</v>
      </c>
      <c r="H57" s="263">
        <v>22906</v>
      </c>
      <c r="I57" s="265">
        <v>16.2</v>
      </c>
      <c r="J57" s="245">
        <v>0.20336000000000001</v>
      </c>
    </row>
    <row r="58" spans="1:10" ht="16.2" thickBot="1" x14ac:dyDescent="0.35">
      <c r="A58" s="41" t="s">
        <v>65</v>
      </c>
      <c r="B58" s="240">
        <v>82.83</v>
      </c>
      <c r="C58" s="263">
        <v>116.7</v>
      </c>
      <c r="D58" s="241">
        <v>0.6633</v>
      </c>
      <c r="E58" s="264">
        <v>262763</v>
      </c>
      <c r="F58" s="263">
        <v>0.69899999999999995</v>
      </c>
      <c r="G58" s="243">
        <v>6.7000000000000004E-2</v>
      </c>
      <c r="H58" s="263">
        <v>50369</v>
      </c>
      <c r="I58" s="265">
        <v>17.899999999999999</v>
      </c>
      <c r="J58" s="245">
        <v>0.19969000000000001</v>
      </c>
    </row>
    <row r="59" spans="1:10" ht="16.2" thickBot="1" x14ac:dyDescent="0.35">
      <c r="A59" s="41" t="s">
        <v>66</v>
      </c>
      <c r="B59" s="240">
        <v>82.81</v>
      </c>
      <c r="C59" s="263">
        <v>120.4</v>
      </c>
      <c r="D59" s="241">
        <v>0.58538999999999997</v>
      </c>
      <c r="E59" s="264">
        <v>73558</v>
      </c>
      <c r="F59" s="263">
        <v>0.75</v>
      </c>
      <c r="G59" s="243">
        <v>1.7999999999999999E-2</v>
      </c>
      <c r="H59" s="263">
        <v>25885</v>
      </c>
      <c r="I59" s="265">
        <v>16.5</v>
      </c>
      <c r="J59" s="245">
        <v>0.54135</v>
      </c>
    </row>
    <row r="60" spans="1:10" ht="16.2" thickBot="1" x14ac:dyDescent="0.35">
      <c r="A60" s="41" t="s">
        <v>67</v>
      </c>
      <c r="B60" s="240">
        <v>96.79</v>
      </c>
      <c r="C60" s="263">
        <v>161.80000000000001</v>
      </c>
      <c r="D60" s="241">
        <v>0.54508000000000001</v>
      </c>
      <c r="E60" s="264">
        <v>691559</v>
      </c>
      <c r="F60" s="263">
        <v>2.597</v>
      </c>
      <c r="G60" s="243">
        <v>0.28599999999999998</v>
      </c>
      <c r="H60" s="263">
        <v>39679</v>
      </c>
      <c r="I60" s="265">
        <v>16.3</v>
      </c>
      <c r="J60" s="245">
        <v>6.8599999999999994E-2</v>
      </c>
    </row>
    <row r="61" spans="1:10" ht="16.2" thickBot="1" x14ac:dyDescent="0.35">
      <c r="A61" s="41" t="s">
        <v>68</v>
      </c>
      <c r="B61" s="240">
        <v>69.52</v>
      </c>
      <c r="C61" s="263">
        <v>91.5</v>
      </c>
      <c r="D61" s="241">
        <v>2.8639399999999999</v>
      </c>
      <c r="E61" s="264">
        <v>56238</v>
      </c>
      <c r="F61" s="263">
        <v>0.188</v>
      </c>
      <c r="G61" s="243">
        <v>8.0000000000000002E-3</v>
      </c>
      <c r="H61" s="263">
        <v>20652</v>
      </c>
      <c r="I61" s="265">
        <v>13.4</v>
      </c>
      <c r="J61" s="245">
        <v>0.88773000000000002</v>
      </c>
    </row>
    <row r="62" spans="1:10" ht="16.2" thickBot="1" x14ac:dyDescent="0.35">
      <c r="A62" s="41" t="s">
        <v>69</v>
      </c>
      <c r="B62" s="240">
        <v>83.54</v>
      </c>
      <c r="C62" s="263">
        <v>156.5</v>
      </c>
      <c r="D62" s="241">
        <v>0.23558000000000001</v>
      </c>
      <c r="E62" s="264">
        <v>79040</v>
      </c>
      <c r="F62" s="263">
        <v>0.30299999999999999</v>
      </c>
      <c r="G62" s="243">
        <v>0</v>
      </c>
      <c r="H62" s="263">
        <v>26068</v>
      </c>
      <c r="I62" s="265">
        <v>6.2</v>
      </c>
      <c r="J62" s="245">
        <v>0.11847000000000001</v>
      </c>
    </row>
    <row r="63" spans="1:10" ht="16.2" thickBot="1" x14ac:dyDescent="0.35">
      <c r="A63" s="41" t="s">
        <v>70</v>
      </c>
      <c r="B63" s="240">
        <v>79.099999999999994</v>
      </c>
      <c r="C63" s="263">
        <v>126.3</v>
      </c>
      <c r="D63" s="241">
        <v>0.28514</v>
      </c>
      <c r="E63" s="264">
        <v>578548</v>
      </c>
      <c r="F63" s="263">
        <v>3.5089999999999999</v>
      </c>
      <c r="G63" s="243">
        <v>7.6999999999999999E-2</v>
      </c>
      <c r="H63" s="263">
        <v>35041</v>
      </c>
      <c r="I63" s="265">
        <v>28.2</v>
      </c>
      <c r="J63" s="245">
        <v>0.20254</v>
      </c>
    </row>
    <row r="64" spans="1:10" ht="16.2" thickBot="1" x14ac:dyDescent="0.35">
      <c r="A64" s="41" t="s">
        <v>71</v>
      </c>
      <c r="B64" s="240">
        <v>80.55</v>
      </c>
      <c r="C64" s="263">
        <v>129.6</v>
      </c>
      <c r="D64" s="241">
        <v>3.5135000000000001</v>
      </c>
      <c r="E64" s="264">
        <v>159783</v>
      </c>
      <c r="F64" s="263">
        <v>0.624</v>
      </c>
      <c r="G64" s="243">
        <v>4.1000000000000002E-2</v>
      </c>
      <c r="H64" s="263">
        <v>30495</v>
      </c>
      <c r="I64" s="265">
        <v>17.899999999999999</v>
      </c>
      <c r="J64" s="245">
        <v>1.1111899999999999</v>
      </c>
    </row>
    <row r="65" spans="1:10" ht="16.2" thickBot="1" x14ac:dyDescent="0.35">
      <c r="A65" s="41" t="s">
        <v>72</v>
      </c>
      <c r="B65" s="240">
        <v>77.66</v>
      </c>
      <c r="C65" s="263">
        <v>141.6</v>
      </c>
      <c r="D65" s="241">
        <v>1.2483</v>
      </c>
      <c r="E65" s="264">
        <v>454349</v>
      </c>
      <c r="F65" s="263">
        <v>3.6640000000000001</v>
      </c>
      <c r="G65" s="243">
        <v>0.04</v>
      </c>
      <c r="H65" s="263">
        <v>32663</v>
      </c>
      <c r="I65" s="265">
        <v>12</v>
      </c>
      <c r="J65" s="245">
        <v>0.32738</v>
      </c>
    </row>
    <row r="66" spans="1:10" ht="16.2" thickBot="1" x14ac:dyDescent="0.35">
      <c r="A66" s="41" t="s">
        <v>73</v>
      </c>
      <c r="B66" s="240">
        <v>82.24</v>
      </c>
      <c r="C66" s="263">
        <v>119.6</v>
      </c>
      <c r="D66" s="241">
        <v>2.1173899999999999</v>
      </c>
      <c r="E66" s="264">
        <v>1380145</v>
      </c>
      <c r="F66" s="263">
        <v>3.0390000000000001</v>
      </c>
      <c r="G66" s="243">
        <v>7.1999999999999995E-2</v>
      </c>
      <c r="H66" s="263">
        <v>57745</v>
      </c>
      <c r="I66" s="265">
        <v>12.4</v>
      </c>
      <c r="J66" s="245">
        <v>0.66090000000000004</v>
      </c>
    </row>
    <row r="67" spans="1:10" ht="16.2" thickBot="1" x14ac:dyDescent="0.35">
      <c r="A67" s="41" t="s">
        <v>74</v>
      </c>
      <c r="B67" s="240">
        <v>74.84</v>
      </c>
      <c r="C67" s="263">
        <v>104.3</v>
      </c>
      <c r="D67" s="241">
        <v>1.36402</v>
      </c>
      <c r="E67" s="264">
        <v>301960</v>
      </c>
      <c r="F67" s="263">
        <v>1.8740000000000001</v>
      </c>
      <c r="G67" s="243">
        <v>2.5999999999999999E-2</v>
      </c>
      <c r="H67" s="263">
        <v>26228</v>
      </c>
      <c r="I67" s="265">
        <v>11.7</v>
      </c>
      <c r="J67" s="245">
        <v>0.51168999999999998</v>
      </c>
    </row>
    <row r="68" spans="1:10" ht="16.2" thickBot="1" x14ac:dyDescent="0.35">
      <c r="A68" s="41" t="s">
        <v>75</v>
      </c>
      <c r="B68" s="240">
        <v>65.97</v>
      </c>
      <c r="C68" s="263">
        <v>85.5</v>
      </c>
      <c r="D68" s="241">
        <v>0.23347000000000001</v>
      </c>
      <c r="E68" s="264">
        <v>125536</v>
      </c>
      <c r="F68" s="263">
        <v>0.41099999999999998</v>
      </c>
      <c r="G68" s="243">
        <v>3.5000000000000003E-2</v>
      </c>
      <c r="H68" s="263">
        <v>63854</v>
      </c>
      <c r="I68" s="265">
        <v>14</v>
      </c>
      <c r="J68" s="245">
        <v>0.18081</v>
      </c>
    </row>
    <row r="69" spans="1:10" ht="16.2" thickBot="1" x14ac:dyDescent="0.35">
      <c r="A69" s="41" t="s">
        <v>76</v>
      </c>
      <c r="B69" s="240">
        <v>84.6</v>
      </c>
      <c r="C69" s="263">
        <v>114.1</v>
      </c>
      <c r="D69" s="241">
        <v>2.8090999999999999</v>
      </c>
      <c r="E69" s="264">
        <v>741049</v>
      </c>
      <c r="F69" s="263">
        <v>2.2050000000000001</v>
      </c>
      <c r="G69" s="243">
        <v>7.3999999999999996E-2</v>
      </c>
      <c r="H69" s="263">
        <v>40275</v>
      </c>
      <c r="I69" s="265">
        <v>7.4</v>
      </c>
      <c r="J69" s="245">
        <v>0.94416999999999995</v>
      </c>
    </row>
    <row r="70" spans="1:10" ht="16.2" thickBot="1" x14ac:dyDescent="0.35">
      <c r="A70" s="41" t="s">
        <v>77</v>
      </c>
      <c r="B70" s="240">
        <v>71.97</v>
      </c>
      <c r="C70" s="263">
        <v>166</v>
      </c>
      <c r="D70" s="241">
        <v>0.71841999999999995</v>
      </c>
      <c r="E70" s="264">
        <v>28173</v>
      </c>
      <c r="F70" s="263">
        <v>0.27900000000000003</v>
      </c>
      <c r="G70" s="243">
        <v>8.0000000000000002E-3</v>
      </c>
      <c r="H70" s="263">
        <v>33013</v>
      </c>
      <c r="I70" s="265">
        <v>8.6</v>
      </c>
      <c r="J70" s="245">
        <v>0.30620000000000003</v>
      </c>
    </row>
    <row r="71" spans="1:10" ht="16.2" thickBot="1" x14ac:dyDescent="0.35">
      <c r="A71" s="41" t="s">
        <v>78</v>
      </c>
      <c r="B71" s="240">
        <v>84.85</v>
      </c>
      <c r="C71" s="263">
        <v>104.1</v>
      </c>
      <c r="D71" s="241">
        <v>2.1693699999999998</v>
      </c>
      <c r="E71" s="264">
        <v>122286</v>
      </c>
      <c r="F71" s="263">
        <v>0.63400000000000001</v>
      </c>
      <c r="G71" s="243">
        <v>4.2000000000000003E-2</v>
      </c>
      <c r="H71" s="263">
        <v>30731</v>
      </c>
      <c r="I71" s="265">
        <v>14.3</v>
      </c>
      <c r="J71" s="245">
        <v>0.70286000000000004</v>
      </c>
    </row>
    <row r="72" spans="1:10" ht="16.2" thickBot="1" x14ac:dyDescent="0.35">
      <c r="A72" s="41" t="s">
        <v>79</v>
      </c>
      <c r="B72" s="240">
        <v>87.41</v>
      </c>
      <c r="C72" s="263">
        <v>128.1</v>
      </c>
      <c r="D72" s="241">
        <v>1.05436</v>
      </c>
      <c r="E72" s="264">
        <v>343334</v>
      </c>
      <c r="F72" s="263">
        <v>2.35</v>
      </c>
      <c r="G72" s="243">
        <v>9.5000000000000001E-2</v>
      </c>
      <c r="H72" s="263">
        <v>26190</v>
      </c>
      <c r="I72" s="265">
        <v>13</v>
      </c>
      <c r="J72" s="245">
        <v>0.24621999999999999</v>
      </c>
    </row>
    <row r="73" spans="1:10" ht="16.2" thickBot="1" x14ac:dyDescent="0.35">
      <c r="A73" s="41" t="s">
        <v>80</v>
      </c>
      <c r="B73" s="240">
        <v>71.87</v>
      </c>
      <c r="C73" s="263">
        <v>130.80000000000001</v>
      </c>
      <c r="D73" s="241">
        <v>0.95481000000000005</v>
      </c>
      <c r="E73" s="264">
        <v>117965</v>
      </c>
      <c r="F73" s="263">
        <v>0.66600000000000004</v>
      </c>
      <c r="G73" s="243">
        <v>1.6E-2</v>
      </c>
      <c r="H73" s="263">
        <v>30241</v>
      </c>
      <c r="I73" s="265">
        <v>10.5</v>
      </c>
      <c r="J73" s="245">
        <v>0.36264000000000002</v>
      </c>
    </row>
    <row r="74" spans="1:10" ht="16.2" thickBot="1" x14ac:dyDescent="0.35">
      <c r="A74" s="41" t="s">
        <v>81</v>
      </c>
      <c r="B74" s="240">
        <v>64.86</v>
      </c>
      <c r="C74" s="263">
        <v>107.6</v>
      </c>
      <c r="D74" s="241">
        <v>0.72433000000000003</v>
      </c>
      <c r="E74" s="264">
        <v>185542</v>
      </c>
      <c r="F74" s="263">
        <v>1.8620000000000001</v>
      </c>
      <c r="G74" s="243">
        <v>2.9000000000000001E-2</v>
      </c>
      <c r="H74" s="263">
        <v>30528</v>
      </c>
      <c r="I74" s="265">
        <v>10.8</v>
      </c>
      <c r="J74" s="245">
        <v>0.31283</v>
      </c>
    </row>
    <row r="75" spans="1:10" ht="16.2" thickBot="1" x14ac:dyDescent="0.35">
      <c r="A75" s="41" t="s">
        <v>82</v>
      </c>
      <c r="B75" s="240">
        <v>83.06</v>
      </c>
      <c r="C75" s="263">
        <v>96.8</v>
      </c>
      <c r="D75" s="241">
        <v>1.4346399999999999</v>
      </c>
      <c r="E75" s="264">
        <v>168661</v>
      </c>
      <c r="F75" s="263">
        <v>0.80900000000000005</v>
      </c>
      <c r="G75" s="243">
        <v>4.1000000000000002E-2</v>
      </c>
      <c r="H75" s="263">
        <v>30976</v>
      </c>
      <c r="I75" s="265">
        <v>13.5</v>
      </c>
      <c r="J75" s="245">
        <v>0.43357000000000001</v>
      </c>
    </row>
    <row r="76" spans="1:10" ht="16.2" thickBot="1" x14ac:dyDescent="0.35">
      <c r="A76" s="41" t="s">
        <v>83</v>
      </c>
      <c r="B76" s="240">
        <v>85.57</v>
      </c>
      <c r="C76" s="263">
        <v>123.5</v>
      </c>
      <c r="D76" s="241">
        <v>1.73309</v>
      </c>
      <c r="E76" s="264">
        <v>224118</v>
      </c>
      <c r="F76" s="263">
        <v>0.92600000000000005</v>
      </c>
      <c r="G76" s="243">
        <v>7.0999999999999994E-2</v>
      </c>
      <c r="H76" s="263">
        <v>32131</v>
      </c>
      <c r="I76" s="265">
        <v>9.6999999999999993</v>
      </c>
      <c r="J76" s="245">
        <v>1.5422</v>
      </c>
    </row>
    <row r="77" spans="1:10" ht="16.2" thickBot="1" x14ac:dyDescent="0.35">
      <c r="A77" s="41" t="s">
        <v>84</v>
      </c>
      <c r="B77" s="240">
        <v>68.92</v>
      </c>
      <c r="C77" s="263">
        <v>136.1</v>
      </c>
      <c r="D77" s="241">
        <v>1.04623</v>
      </c>
      <c r="E77" s="264">
        <v>334971</v>
      </c>
      <c r="F77" s="263">
        <v>1.2170000000000001</v>
      </c>
      <c r="G77" s="243">
        <v>7.9000000000000001E-2</v>
      </c>
      <c r="H77" s="263">
        <v>33983</v>
      </c>
      <c r="I77" s="265">
        <v>11.4</v>
      </c>
      <c r="J77" s="245">
        <v>0.51420999999999994</v>
      </c>
    </row>
    <row r="78" spans="1:10" ht="16.2" thickBot="1" x14ac:dyDescent="0.35">
      <c r="A78" s="41" t="s">
        <v>85</v>
      </c>
      <c r="B78" s="240">
        <v>71.16</v>
      </c>
      <c r="C78" s="263">
        <v>124.2</v>
      </c>
      <c r="D78" s="241">
        <v>1.0944700000000001</v>
      </c>
      <c r="E78" s="264">
        <v>251361</v>
      </c>
      <c r="F78" s="263">
        <v>1.3440000000000001</v>
      </c>
      <c r="G78" s="243">
        <v>1.4E-2</v>
      </c>
      <c r="H78" s="263">
        <v>27650</v>
      </c>
      <c r="I78" s="265">
        <v>13.2</v>
      </c>
      <c r="J78" s="245">
        <v>0.39589999999999997</v>
      </c>
    </row>
    <row r="79" spans="1:10" ht="16.2" thickBot="1" x14ac:dyDescent="0.35">
      <c r="A79" s="41" t="s">
        <v>86</v>
      </c>
      <c r="B79" s="240">
        <v>62.28</v>
      </c>
      <c r="C79" s="263">
        <v>120.9</v>
      </c>
      <c r="D79" s="241">
        <v>0.67810000000000004</v>
      </c>
      <c r="E79" s="264">
        <v>163779</v>
      </c>
      <c r="F79" s="263">
        <v>0.77300000000000002</v>
      </c>
      <c r="G79" s="243">
        <v>5.5E-2</v>
      </c>
      <c r="H79" s="263">
        <v>26849</v>
      </c>
      <c r="I79" s="265">
        <v>11.3</v>
      </c>
      <c r="J79" s="245">
        <v>0.22231999999999999</v>
      </c>
    </row>
    <row r="80" spans="1:10" ht="16.2" thickBot="1" x14ac:dyDescent="0.35">
      <c r="A80" s="41" t="s">
        <v>87</v>
      </c>
      <c r="B80" s="240">
        <v>69</v>
      </c>
      <c r="C80" s="263">
        <v>116.6</v>
      </c>
      <c r="D80" s="241">
        <v>0.60323000000000004</v>
      </c>
      <c r="E80" s="264">
        <v>252099</v>
      </c>
      <c r="F80" s="263">
        <v>0.58399999999999996</v>
      </c>
      <c r="G80" s="243">
        <v>4.1000000000000002E-2</v>
      </c>
      <c r="H80" s="263">
        <v>44108</v>
      </c>
      <c r="I80" s="265">
        <v>13.8</v>
      </c>
      <c r="J80" s="245">
        <v>0.50873000000000002</v>
      </c>
    </row>
    <row r="81" spans="1:10" ht="16.2" thickBot="1" x14ac:dyDescent="0.35">
      <c r="A81" s="41" t="s">
        <v>88</v>
      </c>
      <c r="B81" s="240">
        <v>69.540000000000006</v>
      </c>
      <c r="C81" s="263">
        <v>137.69999999999999</v>
      </c>
      <c r="D81" s="241">
        <v>2.25244</v>
      </c>
      <c r="E81" s="264">
        <v>540540</v>
      </c>
      <c r="F81" s="263">
        <v>1.087</v>
      </c>
      <c r="G81" s="243">
        <v>0.01</v>
      </c>
      <c r="H81" s="263">
        <v>57012</v>
      </c>
      <c r="I81" s="265">
        <v>12</v>
      </c>
      <c r="J81" s="245">
        <v>0.90051999999999999</v>
      </c>
    </row>
    <row r="82" spans="1:10" ht="16.2" thickBot="1" x14ac:dyDescent="0.35">
      <c r="A82" s="41" t="s">
        <v>89</v>
      </c>
      <c r="B82" s="240">
        <v>97.92</v>
      </c>
      <c r="C82" s="263">
        <v>134.4</v>
      </c>
      <c r="D82" s="241">
        <v>2.4628100000000002</v>
      </c>
      <c r="E82" s="264">
        <v>510121</v>
      </c>
      <c r="F82" s="263">
        <v>2.855</v>
      </c>
      <c r="G82" s="243">
        <v>7.8E-2</v>
      </c>
      <c r="H82" s="263">
        <v>29498</v>
      </c>
      <c r="I82" s="265">
        <v>12</v>
      </c>
      <c r="J82" s="245">
        <v>0.13220999999999999</v>
      </c>
    </row>
    <row r="83" spans="1:10" ht="16.2" thickBot="1" x14ac:dyDescent="0.35">
      <c r="A83" s="41" t="s">
        <v>90</v>
      </c>
      <c r="B83" s="240">
        <v>72.569999999999993</v>
      </c>
      <c r="C83" s="263">
        <v>174</v>
      </c>
      <c r="D83" s="241">
        <v>0.78168000000000004</v>
      </c>
      <c r="E83" s="264">
        <v>48586</v>
      </c>
      <c r="F83" s="263">
        <v>0.42599999999999999</v>
      </c>
      <c r="G83" s="243">
        <v>0.03</v>
      </c>
      <c r="H83" s="263">
        <v>26397</v>
      </c>
      <c r="I83" s="265">
        <v>19.8</v>
      </c>
      <c r="J83" s="245">
        <v>0.32558999999999999</v>
      </c>
    </row>
    <row r="84" spans="1:10" ht="16.2" thickBot="1" x14ac:dyDescent="0.35">
      <c r="A84" s="41" t="s">
        <v>91</v>
      </c>
      <c r="B84" s="240">
        <v>80.3</v>
      </c>
      <c r="C84" s="263">
        <v>123.9</v>
      </c>
      <c r="D84" s="241">
        <v>1.9120000000000002E-2</v>
      </c>
      <c r="E84" s="264">
        <v>177523</v>
      </c>
      <c r="F84" s="263">
        <v>0.94299999999999995</v>
      </c>
      <c r="G84" s="243">
        <v>2.1999999999999999E-2</v>
      </c>
      <c r="H84" s="263">
        <v>23619</v>
      </c>
      <c r="I84" s="265">
        <v>15.7</v>
      </c>
      <c r="J84" s="245">
        <v>5.534E-2</v>
      </c>
    </row>
    <row r="85" spans="1:10" ht="16.2" thickBot="1" x14ac:dyDescent="0.35">
      <c r="A85" s="41" t="s">
        <v>92</v>
      </c>
      <c r="B85" s="240">
        <v>89.16</v>
      </c>
      <c r="C85" s="263">
        <v>73.900000000000006</v>
      </c>
      <c r="D85" s="241">
        <v>0.16539000000000001</v>
      </c>
      <c r="E85" s="264">
        <v>13874</v>
      </c>
      <c r="F85" s="263">
        <v>5.0999999999999997E-2</v>
      </c>
      <c r="G85" s="243">
        <v>1E-3</v>
      </c>
      <c r="H85" s="263">
        <v>99905</v>
      </c>
      <c r="I85" s="265">
        <v>7.3</v>
      </c>
      <c r="J85" s="245">
        <v>0.25361</v>
      </c>
    </row>
    <row r="86" spans="1:10" ht="16.2" thickBot="1" x14ac:dyDescent="0.35">
      <c r="A86" s="41" t="s">
        <v>93</v>
      </c>
      <c r="B86" s="240">
        <v>70.69</v>
      </c>
      <c r="C86" s="263">
        <v>123.3</v>
      </c>
      <c r="D86" s="241">
        <v>0.95357999999999998</v>
      </c>
      <c r="E86" s="264">
        <v>197881</v>
      </c>
      <c r="F86" s="263">
        <v>0.29199999999999998</v>
      </c>
      <c r="G86" s="243">
        <v>1.7999999999999999E-2</v>
      </c>
      <c r="H86" s="263">
        <v>96814</v>
      </c>
      <c r="I86" s="265">
        <v>4.5999999999999996</v>
      </c>
      <c r="J86" s="246">
        <v>0.30512</v>
      </c>
    </row>
    <row r="87" spans="1:10" ht="16.2" thickBot="1" x14ac:dyDescent="0.35">
      <c r="C87" s="263">
        <v>107.7</v>
      </c>
      <c r="E87" s="264">
        <v>155801</v>
      </c>
      <c r="F87" s="263">
        <v>0.76400000000000001</v>
      </c>
      <c r="G87">
        <v>2.9000000000000001E-2</v>
      </c>
      <c r="H87" s="263">
        <v>33124</v>
      </c>
      <c r="I87" s="265">
        <v>8.9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BF644-1888-4467-92A1-463B0340374D}">
  <dimension ref="A1:L85"/>
  <sheetViews>
    <sheetView workbookViewId="0">
      <selection activeCell="L82" sqref="L82"/>
    </sheetView>
  </sheetViews>
  <sheetFormatPr defaultRowHeight="14.4" x14ac:dyDescent="0.3"/>
  <cols>
    <col min="1" max="1" width="47.88671875" bestFit="1" customWidth="1"/>
    <col min="8" max="8" width="10.44140625" bestFit="1" customWidth="1"/>
    <col min="10" max="10" width="12.6640625" style="230" bestFit="1" customWidth="1"/>
    <col min="11" max="11" width="8.88671875" style="6"/>
  </cols>
  <sheetData>
    <row r="1" spans="1:12" ht="15.6" x14ac:dyDescent="0.3">
      <c r="A1" s="44" t="s">
        <v>185</v>
      </c>
      <c r="B1" s="45" t="s">
        <v>94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228" t="s">
        <v>9</v>
      </c>
      <c r="K1" s="46" t="s">
        <v>345</v>
      </c>
      <c r="L1" s="227" t="s">
        <v>346</v>
      </c>
    </row>
    <row r="2" spans="1:12" ht="15.6" x14ac:dyDescent="0.3">
      <c r="A2" s="41" t="s">
        <v>35</v>
      </c>
      <c r="B2" s="53">
        <v>69.58</v>
      </c>
      <c r="C2" s="53">
        <v>102</v>
      </c>
      <c r="D2" s="34">
        <v>0.74695999999999996</v>
      </c>
      <c r="E2" s="54">
        <v>120.92597483983572</v>
      </c>
      <c r="F2" s="35">
        <v>6.3499999999999997E-3</v>
      </c>
      <c r="G2" s="55">
        <v>4.0000000000000002E-4</v>
      </c>
      <c r="H2" s="56">
        <v>35356.258333333331</v>
      </c>
      <c r="I2" s="49">
        <v>9.6999999999999993</v>
      </c>
      <c r="J2" s="229">
        <v>1.9709999999999998E-2</v>
      </c>
      <c r="K2" s="6" t="s">
        <v>341</v>
      </c>
      <c r="L2" s="231"/>
    </row>
    <row r="3" spans="1:12" ht="15.6" x14ac:dyDescent="0.3">
      <c r="A3" s="41" t="s">
        <v>36</v>
      </c>
      <c r="B3" s="53">
        <v>73.92</v>
      </c>
      <c r="C3" s="53">
        <v>113.5</v>
      </c>
      <c r="D3" s="34">
        <v>1.2331099999999999</v>
      </c>
      <c r="E3" s="54">
        <v>107.43250512912789</v>
      </c>
      <c r="F3" s="35">
        <v>7.9000000000000008E-3</v>
      </c>
      <c r="G3" s="55">
        <v>1.8000000000000001E-4</v>
      </c>
      <c r="H3" s="56">
        <v>40206.375</v>
      </c>
      <c r="I3" s="49">
        <v>15.9</v>
      </c>
      <c r="J3" s="229">
        <v>6.2429999999999999E-2</v>
      </c>
      <c r="K3" s="6" t="s">
        <v>341</v>
      </c>
      <c r="L3" s="231"/>
    </row>
    <row r="4" spans="1:12" ht="15.6" x14ac:dyDescent="0.3">
      <c r="A4" s="41" t="s">
        <v>45</v>
      </c>
      <c r="B4" s="53">
        <v>62.09</v>
      </c>
      <c r="C4" s="53">
        <v>122.5</v>
      </c>
      <c r="D4" s="34">
        <v>1.31663</v>
      </c>
      <c r="E4" s="54">
        <v>123.79822817475427</v>
      </c>
      <c r="F4" s="35">
        <v>1.5879999999999998E-2</v>
      </c>
      <c r="G4" s="55">
        <v>3.4000000000000002E-4</v>
      </c>
      <c r="H4" s="56">
        <v>40654.566666666666</v>
      </c>
      <c r="I4" s="49">
        <v>12.8</v>
      </c>
      <c r="J4" s="229">
        <v>5.4600000000000003E-2</v>
      </c>
      <c r="K4" s="6" t="s">
        <v>341</v>
      </c>
      <c r="L4" s="231"/>
    </row>
    <row r="5" spans="1:12" ht="15.6" x14ac:dyDescent="0.3">
      <c r="A5" s="41" t="s">
        <v>46</v>
      </c>
      <c r="B5" s="53">
        <v>73.599999999999994</v>
      </c>
      <c r="C5" s="53">
        <v>131.19999999999999</v>
      </c>
      <c r="D5" s="34">
        <v>1.90639</v>
      </c>
      <c r="E5" s="54">
        <v>135.87756313918507</v>
      </c>
      <c r="F5" s="35">
        <v>1.1979999999999999E-2</v>
      </c>
      <c r="G5" s="55">
        <v>6.0999999999999997E-4</v>
      </c>
      <c r="H5" s="56">
        <v>38145.658333333333</v>
      </c>
      <c r="I5" s="49">
        <v>13.7</v>
      </c>
      <c r="J5" s="229">
        <v>9.4600000000000004E-2</v>
      </c>
      <c r="K5" s="6" t="s">
        <v>341</v>
      </c>
      <c r="L5" s="231"/>
    </row>
    <row r="6" spans="1:12" ht="15.6" x14ac:dyDescent="0.3">
      <c r="A6" s="41" t="s">
        <v>77</v>
      </c>
      <c r="B6" s="53">
        <v>71.97</v>
      </c>
      <c r="C6" s="53">
        <v>106</v>
      </c>
      <c r="D6" s="34">
        <v>0.75100999999999996</v>
      </c>
      <c r="E6" s="54">
        <v>116.24647649114895</v>
      </c>
      <c r="F6" s="35">
        <v>7.6499999999999997E-3</v>
      </c>
      <c r="G6" s="55">
        <v>4.2000000000000002E-4</v>
      </c>
      <c r="H6" s="56">
        <v>36097.23333333333</v>
      </c>
      <c r="I6" s="49">
        <v>14.3</v>
      </c>
      <c r="J6" s="229">
        <v>8.1860000000000002E-2</v>
      </c>
      <c r="K6" s="6" t="s">
        <v>341</v>
      </c>
      <c r="L6" s="223"/>
    </row>
    <row r="7" spans="1:12" ht="15.6" x14ac:dyDescent="0.3">
      <c r="A7" s="41" t="s">
        <v>80</v>
      </c>
      <c r="B7" s="53">
        <v>71.87</v>
      </c>
      <c r="C7" s="53">
        <v>106.7</v>
      </c>
      <c r="D7" s="34">
        <v>0.99085000000000001</v>
      </c>
      <c r="E7" s="54">
        <v>126.51810139653094</v>
      </c>
      <c r="F7" s="35">
        <v>7.1500000000000001E-3</v>
      </c>
      <c r="G7" s="55">
        <v>2.1000000000000001E-4</v>
      </c>
      <c r="H7" s="56">
        <v>39692.483333333337</v>
      </c>
      <c r="I7" s="49">
        <v>10.8</v>
      </c>
      <c r="J7" s="229">
        <v>6.8049999999999999E-2</v>
      </c>
      <c r="K7" s="6" t="s">
        <v>341</v>
      </c>
      <c r="L7" s="223"/>
    </row>
    <row r="8" spans="1:12" ht="15.6" x14ac:dyDescent="0.3">
      <c r="A8" s="41" t="s">
        <v>81</v>
      </c>
      <c r="B8" s="53">
        <v>64.86</v>
      </c>
      <c r="C8" s="53">
        <v>99.7</v>
      </c>
      <c r="D8" s="34">
        <v>0.69964000000000004</v>
      </c>
      <c r="E8" s="54">
        <v>131.13163694122471</v>
      </c>
      <c r="F8" s="35">
        <v>9.1299999999999992E-3</v>
      </c>
      <c r="G8" s="55">
        <v>3.8999999999999999E-4</v>
      </c>
      <c r="H8" s="56">
        <v>50481.1</v>
      </c>
      <c r="I8" s="49">
        <v>13.5</v>
      </c>
      <c r="J8" s="229">
        <v>0.10581</v>
      </c>
      <c r="K8" s="6" t="s">
        <v>341</v>
      </c>
      <c r="L8" s="223"/>
    </row>
    <row r="9" spans="1:12" ht="15.6" x14ac:dyDescent="0.3">
      <c r="A9" s="41" t="s">
        <v>84</v>
      </c>
      <c r="B9" s="53">
        <v>68.92</v>
      </c>
      <c r="C9" s="53">
        <v>128.19999999999999</v>
      </c>
      <c r="D9" s="34">
        <v>1.0716000000000001</v>
      </c>
      <c r="E9" s="54">
        <v>142.27859423332546</v>
      </c>
      <c r="F9" s="35">
        <v>1.269E-2</v>
      </c>
      <c r="G9" s="55">
        <v>1.4999999999999999E-4</v>
      </c>
      <c r="H9" s="56">
        <v>38563.85</v>
      </c>
      <c r="I9" s="49">
        <v>13.2</v>
      </c>
      <c r="J9" s="229">
        <v>2.426E-2</v>
      </c>
      <c r="K9" s="6" t="s">
        <v>341</v>
      </c>
      <c r="L9" s="223"/>
    </row>
    <row r="10" spans="1:12" ht="15.6" x14ac:dyDescent="0.3">
      <c r="A10" s="41" t="s">
        <v>85</v>
      </c>
      <c r="B10" s="53">
        <v>71.16</v>
      </c>
      <c r="C10" s="53">
        <v>123.2</v>
      </c>
      <c r="D10" s="34">
        <v>1.1350899999999999</v>
      </c>
      <c r="E10" s="54">
        <v>115.0939738734422</v>
      </c>
      <c r="F10" s="35">
        <v>8.8299999999999993E-3</v>
      </c>
      <c r="G10" s="55">
        <v>5.6999999999999998E-4</v>
      </c>
      <c r="H10" s="56">
        <v>35990.674999999996</v>
      </c>
      <c r="I10" s="49">
        <v>11.3</v>
      </c>
      <c r="J10" s="229">
        <v>2.8299999999999999E-2</v>
      </c>
      <c r="K10" s="6" t="s">
        <v>341</v>
      </c>
      <c r="L10" s="223"/>
    </row>
    <row r="11" spans="1:12" ht="15.6" x14ac:dyDescent="0.3">
      <c r="A11" s="41" t="s">
        <v>90</v>
      </c>
      <c r="B11" s="53">
        <v>72.569999999999993</v>
      </c>
      <c r="C11" s="53">
        <v>122.8</v>
      </c>
      <c r="D11" s="34">
        <v>0.80030000000000001</v>
      </c>
      <c r="E11" s="54">
        <v>126.2099757751447</v>
      </c>
      <c r="F11" s="35">
        <v>9.2800000000000001E-3</v>
      </c>
      <c r="G11" s="55">
        <v>2.0000000000000001E-4</v>
      </c>
      <c r="H11" s="56">
        <v>35530.791666666664</v>
      </c>
      <c r="I11" s="49">
        <v>15.7</v>
      </c>
      <c r="J11" s="229">
        <v>2.8979999999999999E-2</v>
      </c>
      <c r="K11" s="6" t="s">
        <v>341</v>
      </c>
      <c r="L11" s="223"/>
    </row>
    <row r="12" spans="1:12" ht="15.6" x14ac:dyDescent="0.3">
      <c r="A12" s="41" t="s">
        <v>13</v>
      </c>
      <c r="B12" s="53">
        <v>86.7</v>
      </c>
      <c r="C12" s="53">
        <v>121</v>
      </c>
      <c r="D12" s="34">
        <v>0.47182000000000002</v>
      </c>
      <c r="E12" s="54">
        <v>119.9586122793316</v>
      </c>
      <c r="F12" s="35">
        <v>1.055E-2</v>
      </c>
      <c r="G12" s="55">
        <v>2.2000000000000001E-4</v>
      </c>
      <c r="H12" s="56">
        <v>41614.916666666664</v>
      </c>
      <c r="I12" s="49">
        <v>12.3</v>
      </c>
      <c r="J12" s="229">
        <v>1.7489999999999999E-2</v>
      </c>
      <c r="K12" s="6" t="s">
        <v>339</v>
      </c>
      <c r="L12" s="231"/>
    </row>
    <row r="13" spans="1:12" ht="15.6" x14ac:dyDescent="0.3">
      <c r="A13" s="41" t="s">
        <v>14</v>
      </c>
      <c r="B13" s="53">
        <v>81.760000000000005</v>
      </c>
      <c r="C13" s="53">
        <v>141</v>
      </c>
      <c r="D13" s="34">
        <v>1.9824900000000001</v>
      </c>
      <c r="E13" s="54">
        <v>109.31579351576931</v>
      </c>
      <c r="F13" s="35">
        <v>6.7400000000000003E-3</v>
      </c>
      <c r="G13" s="55">
        <v>2.5000000000000001E-4</v>
      </c>
      <c r="H13" s="56">
        <v>41348.641666666663</v>
      </c>
      <c r="I13" s="49">
        <v>11.7</v>
      </c>
      <c r="J13" s="229">
        <v>0.13678000000000001</v>
      </c>
      <c r="K13" s="6" t="s">
        <v>339</v>
      </c>
      <c r="L13" s="231"/>
    </row>
    <row r="14" spans="1:12" ht="15.6" x14ac:dyDescent="0.3">
      <c r="A14" s="41" t="s">
        <v>15</v>
      </c>
      <c r="B14" s="53">
        <v>87.55</v>
      </c>
      <c r="C14" s="53">
        <v>135.80000000000001</v>
      </c>
      <c r="D14" s="34">
        <v>1.0855699999999999</v>
      </c>
      <c r="E14" s="54">
        <v>97.883886367831977</v>
      </c>
      <c r="F14" s="35">
        <v>9.75E-3</v>
      </c>
      <c r="G14" s="55">
        <v>4.4999999999999999E-4</v>
      </c>
      <c r="H14" s="56">
        <v>35577.64166666667</v>
      </c>
      <c r="I14" s="49">
        <v>15.5</v>
      </c>
      <c r="J14" s="229">
        <v>3.6609999999999997E-2</v>
      </c>
      <c r="K14" s="6" t="s">
        <v>339</v>
      </c>
      <c r="L14" s="231"/>
    </row>
    <row r="15" spans="1:12" ht="15.6" x14ac:dyDescent="0.3">
      <c r="A15" s="41" t="s">
        <v>19</v>
      </c>
      <c r="B15" s="53">
        <v>80.069999999999993</v>
      </c>
      <c r="C15" s="53">
        <v>127.5</v>
      </c>
      <c r="D15" s="34">
        <v>2.2043300000000001</v>
      </c>
      <c r="E15" s="54">
        <v>108.82921475868544</v>
      </c>
      <c r="F15" s="35">
        <v>1.4619999999999999E-2</v>
      </c>
      <c r="G15" s="55">
        <v>4.6999999999999999E-4</v>
      </c>
      <c r="H15" s="56">
        <v>40730.491666666676</v>
      </c>
      <c r="I15" s="49">
        <v>11.3</v>
      </c>
      <c r="J15" s="229">
        <v>0.14821000000000001</v>
      </c>
      <c r="K15" s="6" t="s">
        <v>339</v>
      </c>
      <c r="L15" s="231"/>
    </row>
    <row r="16" spans="1:12" ht="15.6" x14ac:dyDescent="0.3">
      <c r="A16" s="41" t="s">
        <v>48</v>
      </c>
      <c r="B16" s="53">
        <v>85.25</v>
      </c>
      <c r="C16" s="53">
        <v>123.1</v>
      </c>
      <c r="D16" s="34">
        <v>0.98375999999999997</v>
      </c>
      <c r="E16" s="54">
        <v>108.11963812630688</v>
      </c>
      <c r="F16" s="35">
        <v>6.8799999999999998E-3</v>
      </c>
      <c r="G16" s="55">
        <v>2.5999999999999998E-4</v>
      </c>
      <c r="H16" s="56">
        <v>36057.550000000003</v>
      </c>
      <c r="I16" s="49">
        <v>12</v>
      </c>
      <c r="J16" s="229">
        <v>3.5720000000000002E-2</v>
      </c>
      <c r="K16" s="6" t="s">
        <v>339</v>
      </c>
      <c r="L16" s="231"/>
    </row>
    <row r="17" spans="1:12" ht="15.6" x14ac:dyDescent="0.3">
      <c r="A17" s="41" t="s">
        <v>54</v>
      </c>
      <c r="B17" s="53">
        <v>88.68</v>
      </c>
      <c r="C17" s="53">
        <v>128.19999999999999</v>
      </c>
      <c r="D17" s="34">
        <v>2.5931700000000002</v>
      </c>
      <c r="E17" s="54">
        <v>133.91807305710867</v>
      </c>
      <c r="F17" s="35">
        <v>2.5440000000000001E-2</v>
      </c>
      <c r="G17" s="55">
        <v>3.3E-4</v>
      </c>
      <c r="H17" s="56">
        <v>41647.408333333333</v>
      </c>
      <c r="I17" s="49">
        <v>11.4</v>
      </c>
      <c r="J17" s="229">
        <v>0.12438</v>
      </c>
      <c r="K17" s="6" t="s">
        <v>339</v>
      </c>
      <c r="L17" s="231"/>
    </row>
    <row r="18" spans="1:12" ht="15.6" x14ac:dyDescent="0.3">
      <c r="A18" s="41" t="s">
        <v>63</v>
      </c>
      <c r="B18" s="53">
        <v>85.6</v>
      </c>
      <c r="C18" s="53">
        <v>125.9</v>
      </c>
      <c r="D18" s="34">
        <v>0.68864999999999998</v>
      </c>
      <c r="E18" s="54">
        <v>101.38206388206387</v>
      </c>
      <c r="F18" s="35">
        <v>8.5199999999999998E-3</v>
      </c>
      <c r="G18" s="55">
        <v>4.2000000000000002E-4</v>
      </c>
      <c r="H18" s="56">
        <v>34441.416666666664</v>
      </c>
      <c r="I18" s="49">
        <v>16.5</v>
      </c>
      <c r="J18" s="229">
        <v>4.0660000000000002E-2</v>
      </c>
      <c r="K18" s="6" t="s">
        <v>339</v>
      </c>
      <c r="L18" s="231"/>
    </row>
    <row r="19" spans="1:12" ht="15.6" x14ac:dyDescent="0.3">
      <c r="A19" s="41" t="s">
        <v>70</v>
      </c>
      <c r="B19" s="53">
        <v>79.099999999999994</v>
      </c>
      <c r="C19" s="53">
        <v>129.1</v>
      </c>
      <c r="D19" s="34">
        <v>1.3025199999999999</v>
      </c>
      <c r="E19" s="54">
        <v>121.6070942553972</v>
      </c>
      <c r="F19" s="35">
        <v>8.2699999999999996E-3</v>
      </c>
      <c r="G19" s="55">
        <v>2.5000000000000001E-4</v>
      </c>
      <c r="H19" s="56">
        <v>40282.46666666666</v>
      </c>
      <c r="I19" s="49">
        <v>12.4</v>
      </c>
      <c r="J19" s="229">
        <v>4.7169999999999997E-2</v>
      </c>
      <c r="K19" s="6" t="s">
        <v>339</v>
      </c>
      <c r="L19" s="223"/>
    </row>
    <row r="20" spans="1:12" ht="15.6" x14ac:dyDescent="0.3">
      <c r="A20" s="41" t="s">
        <v>18</v>
      </c>
      <c r="B20" s="53">
        <v>71.16</v>
      </c>
      <c r="C20" s="53">
        <v>129.80000000000001</v>
      </c>
      <c r="D20" s="34">
        <v>0.96255000000000002</v>
      </c>
      <c r="E20" s="54">
        <v>128.55842814276579</v>
      </c>
      <c r="F20" s="35">
        <v>1.142E-2</v>
      </c>
      <c r="G20" s="55">
        <v>1.0000000000000001E-5</v>
      </c>
      <c r="H20" s="56">
        <v>45452.750000000007</v>
      </c>
      <c r="I20" s="49">
        <v>11.8</v>
      </c>
      <c r="J20" s="229">
        <v>1.154E-2</v>
      </c>
      <c r="K20" s="6" t="s">
        <v>340</v>
      </c>
      <c r="L20" s="231"/>
    </row>
    <row r="21" spans="1:12" ht="15.6" x14ac:dyDescent="0.3">
      <c r="A21" s="41" t="s">
        <v>51</v>
      </c>
      <c r="B21" s="53">
        <v>78.739999999999995</v>
      </c>
      <c r="C21" s="53">
        <v>112.3</v>
      </c>
      <c r="D21" s="34">
        <v>0.49269000000000002</v>
      </c>
      <c r="E21" s="54">
        <v>108.35836548561817</v>
      </c>
      <c r="F21" s="35">
        <v>3.3E-3</v>
      </c>
      <c r="G21" s="55">
        <v>1.6000000000000001E-4</v>
      </c>
      <c r="H21" s="56">
        <v>34727.033333333326</v>
      </c>
      <c r="I21" s="49">
        <v>14.6</v>
      </c>
      <c r="J21" s="229">
        <v>4.2500000000000003E-2</v>
      </c>
      <c r="K21" s="6" t="s">
        <v>340</v>
      </c>
      <c r="L21" s="231"/>
    </row>
    <row r="22" spans="1:12" ht="15.6" x14ac:dyDescent="0.3">
      <c r="A22" s="41" t="s">
        <v>62</v>
      </c>
      <c r="B22" s="53">
        <v>75.760000000000005</v>
      </c>
      <c r="C22" s="53">
        <v>121.8</v>
      </c>
      <c r="D22" s="34">
        <v>0.63185000000000002</v>
      </c>
      <c r="E22" s="54">
        <v>104.1781560166245</v>
      </c>
      <c r="F22" s="35">
        <v>4.6299999999999996E-3</v>
      </c>
      <c r="G22" s="55">
        <v>2.0000000000000002E-5</v>
      </c>
      <c r="H22" s="56">
        <v>35201.9</v>
      </c>
      <c r="I22" s="49">
        <v>17.899999999999999</v>
      </c>
      <c r="J22" s="229">
        <v>2.2110000000000001E-2</v>
      </c>
      <c r="K22" s="6" t="s">
        <v>340</v>
      </c>
      <c r="L22" s="231"/>
    </row>
    <row r="23" spans="1:12" ht="15.6" x14ac:dyDescent="0.3">
      <c r="A23" s="41" t="s">
        <v>68</v>
      </c>
      <c r="B23" s="53">
        <v>69.52</v>
      </c>
      <c r="C23" s="53">
        <v>140.1</v>
      </c>
      <c r="D23" s="34">
        <v>0.29210000000000003</v>
      </c>
      <c r="E23" s="54">
        <v>118.18652577543959</v>
      </c>
      <c r="F23" s="35">
        <v>3.5200000000000001E-3</v>
      </c>
      <c r="G23" s="55">
        <v>2.0000000000000002E-5</v>
      </c>
      <c r="H23" s="56">
        <v>47147.708333333336</v>
      </c>
      <c r="I23" s="49">
        <v>17.899999999999999</v>
      </c>
      <c r="J23" s="229">
        <v>1.0619999999999999E-2</v>
      </c>
      <c r="K23" s="6" t="s">
        <v>340</v>
      </c>
      <c r="L23" s="223"/>
    </row>
    <row r="24" spans="1:12" ht="15.6" x14ac:dyDescent="0.3">
      <c r="A24" s="41" t="s">
        <v>82</v>
      </c>
      <c r="B24" s="53">
        <v>83.06</v>
      </c>
      <c r="C24" s="53">
        <v>114.6</v>
      </c>
      <c r="D24" s="34">
        <v>1.4757</v>
      </c>
      <c r="E24" s="54">
        <v>123.53794038845719</v>
      </c>
      <c r="F24" s="35">
        <v>1.021E-2</v>
      </c>
      <c r="G24" s="55">
        <v>6.2E-4</v>
      </c>
      <c r="H24" s="56">
        <v>43892.25</v>
      </c>
      <c r="I24" s="49">
        <v>9.6999999999999993</v>
      </c>
      <c r="J24" s="229">
        <v>0.10505</v>
      </c>
      <c r="K24" s="6" t="s">
        <v>340</v>
      </c>
      <c r="L24" s="223"/>
    </row>
    <row r="25" spans="1:12" ht="15.6" x14ac:dyDescent="0.3">
      <c r="A25" s="41" t="s">
        <v>40</v>
      </c>
      <c r="B25" s="53">
        <v>78.959999999999994</v>
      </c>
      <c r="C25" s="53">
        <v>138.80000000000001</v>
      </c>
      <c r="D25" s="34">
        <v>4.3277200000000002</v>
      </c>
      <c r="E25" s="54">
        <v>189.62377273359957</v>
      </c>
      <c r="F25" s="35">
        <v>4.0489999999999998E-2</v>
      </c>
      <c r="G25" s="55">
        <v>1.9599999999999999E-3</v>
      </c>
      <c r="H25" s="56">
        <v>63413.924999999988</v>
      </c>
      <c r="I25" s="49">
        <v>8.1</v>
      </c>
      <c r="J25" s="229">
        <v>0.70767000000000002</v>
      </c>
      <c r="K25" s="6" t="s">
        <v>343</v>
      </c>
      <c r="L25" s="231"/>
    </row>
    <row r="26" spans="1:12" ht="15.6" x14ac:dyDescent="0.3">
      <c r="A26" s="41" t="s">
        <v>66</v>
      </c>
      <c r="B26" s="53">
        <v>82.81</v>
      </c>
      <c r="C26" s="53">
        <v>156.30000000000001</v>
      </c>
      <c r="D26" s="34">
        <v>2.9184700000000001</v>
      </c>
      <c r="E26" s="54">
        <v>136.07639239575968</v>
      </c>
      <c r="F26" s="35">
        <v>2.9049999999999999E-2</v>
      </c>
      <c r="G26" s="55">
        <v>2.66E-3</v>
      </c>
      <c r="H26" s="56">
        <v>44854.008333333331</v>
      </c>
      <c r="I26" s="49">
        <v>6.2</v>
      </c>
      <c r="J26" s="229">
        <v>0.11168</v>
      </c>
      <c r="K26" s="6" t="s">
        <v>343</v>
      </c>
      <c r="L26" s="223"/>
    </row>
    <row r="27" spans="1:12" ht="15.6" x14ac:dyDescent="0.3">
      <c r="A27" s="41" t="s">
        <v>57</v>
      </c>
      <c r="B27" s="53">
        <v>85.89</v>
      </c>
      <c r="C27" s="53">
        <v>218.5</v>
      </c>
      <c r="D27" s="34">
        <v>0.74309000000000003</v>
      </c>
      <c r="E27" s="54">
        <v>16.265870811787622</v>
      </c>
      <c r="F27" s="35">
        <v>2.1900000000000001E-3</v>
      </c>
      <c r="G27" s="55">
        <v>8.0000000000000007E-5</v>
      </c>
      <c r="H27" s="56">
        <v>31230.141666666663</v>
      </c>
      <c r="I27" s="49">
        <v>29.3</v>
      </c>
      <c r="J27" s="229">
        <v>5.1000000000000004E-3</v>
      </c>
      <c r="K27" s="6" t="s">
        <v>344</v>
      </c>
      <c r="L27" s="231"/>
    </row>
    <row r="28" spans="1:12" ht="15.6" x14ac:dyDescent="0.3">
      <c r="A28" s="41" t="s">
        <v>89</v>
      </c>
      <c r="B28" s="53">
        <v>97.92</v>
      </c>
      <c r="C28" s="53">
        <v>162.80000000000001</v>
      </c>
      <c r="D28" s="34">
        <v>2.3936799999999998</v>
      </c>
      <c r="E28" s="54">
        <v>25.406657718227152</v>
      </c>
      <c r="F28" s="35">
        <v>6.5399999999999998E-3</v>
      </c>
      <c r="G28" s="55">
        <v>5.2999999999999998E-4</v>
      </c>
      <c r="H28" s="56">
        <v>30942.166666666668</v>
      </c>
      <c r="I28" s="49">
        <v>19.8</v>
      </c>
      <c r="J28" s="229">
        <v>1.1339999999999999E-2</v>
      </c>
      <c r="K28" s="6" t="s">
        <v>344</v>
      </c>
      <c r="L28" s="223"/>
    </row>
    <row r="29" spans="1:12" ht="15.6" x14ac:dyDescent="0.3">
      <c r="A29" s="41" t="s">
        <v>39</v>
      </c>
      <c r="B29" s="53">
        <v>62.03</v>
      </c>
      <c r="C29" s="53">
        <v>96.9</v>
      </c>
      <c r="D29" s="34">
        <v>5.5649999999999998E-2</v>
      </c>
      <c r="E29" s="54">
        <v>242.45255947081458</v>
      </c>
      <c r="F29" s="35">
        <v>1.4499999999999999E-3</v>
      </c>
      <c r="G29" s="55">
        <v>1E-4</v>
      </c>
      <c r="H29" s="56">
        <v>108460.09999999999</v>
      </c>
      <c r="I29" s="49">
        <v>7.9</v>
      </c>
      <c r="J29" s="229">
        <v>1.086E-2</v>
      </c>
      <c r="K29" s="6" t="s">
        <v>342</v>
      </c>
      <c r="L29" s="231"/>
    </row>
    <row r="30" spans="1:12" ht="15.6" x14ac:dyDescent="0.3">
      <c r="A30" s="41" t="s">
        <v>41</v>
      </c>
      <c r="B30" s="53">
        <v>62.54</v>
      </c>
      <c r="C30" s="53">
        <v>99.6</v>
      </c>
      <c r="D30" s="34">
        <v>0.30786999999999998</v>
      </c>
      <c r="E30" s="54">
        <v>196.33365401960194</v>
      </c>
      <c r="F30" s="35">
        <v>4.4099999999999999E-3</v>
      </c>
      <c r="G30" s="55">
        <v>9.0000000000000006E-5</v>
      </c>
      <c r="H30" s="56">
        <v>75495.250000000015</v>
      </c>
      <c r="I30" s="49">
        <v>7.9</v>
      </c>
      <c r="J30" s="229">
        <v>2.5739999999999999E-2</v>
      </c>
      <c r="K30" s="6" t="s">
        <v>342</v>
      </c>
      <c r="L30" s="231"/>
    </row>
    <row r="31" spans="1:12" ht="15.6" x14ac:dyDescent="0.3">
      <c r="A31" s="41" t="s">
        <v>74</v>
      </c>
      <c r="B31" s="53">
        <v>74.84</v>
      </c>
      <c r="C31" s="53">
        <v>87.4</v>
      </c>
      <c r="D31" s="34">
        <v>0.23605999999999999</v>
      </c>
      <c r="E31" s="54">
        <v>211.53454117838925</v>
      </c>
      <c r="F31" s="35">
        <v>3.7799999999999999E-3</v>
      </c>
      <c r="G31" s="55">
        <v>3.1E-4</v>
      </c>
      <c r="H31" s="56">
        <v>94586.75</v>
      </c>
      <c r="I31" s="49">
        <v>7.4</v>
      </c>
      <c r="J31" s="229">
        <v>5.951E-2</v>
      </c>
      <c r="K31" s="6" t="s">
        <v>342</v>
      </c>
      <c r="L31" s="223"/>
    </row>
    <row r="32" spans="1:12" ht="15.6" x14ac:dyDescent="0.3">
      <c r="A32" s="41" t="s">
        <v>10</v>
      </c>
      <c r="B32" s="53">
        <v>71.91</v>
      </c>
      <c r="C32" s="53">
        <v>110.6</v>
      </c>
      <c r="D32" s="34">
        <v>1.79084</v>
      </c>
      <c r="E32" s="54">
        <v>113.81844067469416</v>
      </c>
      <c r="F32" s="35">
        <v>1.2500000000000001E-2</v>
      </c>
      <c r="G32" s="55">
        <v>1.07E-3</v>
      </c>
      <c r="H32" s="56">
        <v>32729.066666666666</v>
      </c>
      <c r="I32" s="49">
        <v>9.3000000000000007</v>
      </c>
      <c r="J32" s="229">
        <v>8.319E-2</v>
      </c>
      <c r="L32" s="231" t="s">
        <v>341</v>
      </c>
    </row>
    <row r="33" spans="1:12" ht="15.6" x14ac:dyDescent="0.3">
      <c r="A33" s="41" t="s">
        <v>11</v>
      </c>
      <c r="B33" s="53">
        <v>70.42</v>
      </c>
      <c r="C33" s="53">
        <v>101.8</v>
      </c>
      <c r="D33" s="34">
        <v>0.66851000000000005</v>
      </c>
      <c r="E33" s="54">
        <v>152.94995874641486</v>
      </c>
      <c r="F33" s="35">
        <v>4.7299999999999998E-3</v>
      </c>
      <c r="G33" s="55">
        <v>1.2E-4</v>
      </c>
      <c r="H33" s="56">
        <v>59187.474999999999</v>
      </c>
      <c r="I33" s="49">
        <v>16.5</v>
      </c>
      <c r="J33" s="229">
        <v>1.5720000000000001E-2</v>
      </c>
      <c r="L33" s="231" t="s">
        <v>340</v>
      </c>
    </row>
    <row r="34" spans="1:12" ht="15.6" x14ac:dyDescent="0.3">
      <c r="A34" s="41" t="s">
        <v>12</v>
      </c>
      <c r="B34" s="53">
        <v>65.78</v>
      </c>
      <c r="C34" s="53">
        <v>120.5</v>
      </c>
      <c r="D34" s="34">
        <v>0.88161999999999996</v>
      </c>
      <c r="E34" s="54">
        <v>171.6492031635413</v>
      </c>
      <c r="F34" s="35">
        <v>8.7200000000000003E-3</v>
      </c>
      <c r="G34" s="55">
        <v>5.9000000000000003E-4</v>
      </c>
      <c r="H34" s="56">
        <v>57076.416666666657</v>
      </c>
      <c r="I34" s="49">
        <v>14.2</v>
      </c>
      <c r="J34" s="229">
        <v>1.5730000000000001E-2</v>
      </c>
      <c r="L34" s="231" t="s">
        <v>341</v>
      </c>
    </row>
    <row r="35" spans="1:12" ht="15.6" x14ac:dyDescent="0.3">
      <c r="A35" s="41" t="s">
        <v>16</v>
      </c>
      <c r="B35" s="53">
        <v>71.180000000000007</v>
      </c>
      <c r="C35" s="53">
        <v>114.6</v>
      </c>
      <c r="D35" s="34">
        <v>1.24431</v>
      </c>
      <c r="E35" s="54">
        <v>104.87805786617098</v>
      </c>
      <c r="F35" s="35">
        <v>9.3799999999999994E-3</v>
      </c>
      <c r="G35" s="55">
        <v>0</v>
      </c>
      <c r="H35" s="56">
        <v>37707.816666666666</v>
      </c>
      <c r="I35" s="49">
        <v>7</v>
      </c>
      <c r="J35" s="229">
        <v>5.8439999999999999E-2</v>
      </c>
      <c r="L35" s="231" t="s">
        <v>341</v>
      </c>
    </row>
    <row r="36" spans="1:12" ht="15.6" x14ac:dyDescent="0.3">
      <c r="A36" s="41" t="s">
        <v>17</v>
      </c>
      <c r="B36" s="53">
        <v>83.39</v>
      </c>
      <c r="C36" s="53">
        <v>114.1</v>
      </c>
      <c r="D36" s="34">
        <v>1.7648600000000001</v>
      </c>
      <c r="E36" s="54">
        <v>102.19840436969072</v>
      </c>
      <c r="F36" s="35">
        <v>2.1479999999999999E-2</v>
      </c>
      <c r="G36" s="55">
        <v>1.9499999999999999E-3</v>
      </c>
      <c r="H36" s="56">
        <v>38072.616666666669</v>
      </c>
      <c r="I36" s="49">
        <v>13</v>
      </c>
      <c r="J36" s="229">
        <v>9.5519999999999994E-2</v>
      </c>
      <c r="L36" s="231" t="s">
        <v>343</v>
      </c>
    </row>
    <row r="37" spans="1:12" ht="15.6" x14ac:dyDescent="0.3">
      <c r="A37" s="41" t="s">
        <v>20</v>
      </c>
      <c r="B37" s="53">
        <v>65.290000000000006</v>
      </c>
      <c r="C37" s="53">
        <v>157.5</v>
      </c>
      <c r="D37" s="34">
        <v>10.18773</v>
      </c>
      <c r="E37" s="54">
        <v>177.68679304372466</v>
      </c>
      <c r="F37" s="35">
        <v>0.11518</v>
      </c>
      <c r="G37" s="55">
        <v>2.31E-3</v>
      </c>
      <c r="H37" s="56">
        <v>111394.60833333332</v>
      </c>
      <c r="I37" s="49">
        <v>12.4</v>
      </c>
      <c r="J37" s="229">
        <v>0.21545</v>
      </c>
      <c r="L37" s="231" t="s">
        <v>343</v>
      </c>
    </row>
    <row r="38" spans="1:12" ht="15.6" x14ac:dyDescent="0.3">
      <c r="A38" s="41" t="s">
        <v>21</v>
      </c>
      <c r="B38" s="53">
        <v>77.3</v>
      </c>
      <c r="C38" s="53">
        <v>77.8</v>
      </c>
      <c r="D38" s="34">
        <v>0.12998000000000001</v>
      </c>
      <c r="E38" s="54">
        <v>122.08851450728706</v>
      </c>
      <c r="F38" s="35">
        <v>9.7999999999999997E-4</v>
      </c>
      <c r="G38" s="55">
        <v>3.0000000000000001E-5</v>
      </c>
      <c r="H38" s="56">
        <v>50038.633333333331</v>
      </c>
      <c r="I38" s="49">
        <v>7.9</v>
      </c>
      <c r="J38" s="229">
        <v>4.0000000000000002E-4</v>
      </c>
      <c r="L38" s="231" t="s">
        <v>339</v>
      </c>
    </row>
    <row r="39" spans="1:12" ht="15.6" x14ac:dyDescent="0.3">
      <c r="A39" s="41" t="s">
        <v>22</v>
      </c>
      <c r="B39" s="53">
        <v>72.92</v>
      </c>
      <c r="C39" s="53">
        <v>102.6</v>
      </c>
      <c r="D39" s="34">
        <v>0.81259999999999999</v>
      </c>
      <c r="E39" s="54">
        <v>132.38116179586615</v>
      </c>
      <c r="F39" s="35">
        <v>6.6600000000000001E-3</v>
      </c>
      <c r="G39" s="55">
        <v>3.8000000000000002E-4</v>
      </c>
      <c r="H39" s="56">
        <v>50192.558333333327</v>
      </c>
      <c r="I39" s="49">
        <v>5.5</v>
      </c>
      <c r="J39" s="229">
        <v>4.62E-3</v>
      </c>
      <c r="L39" s="231" t="s">
        <v>339</v>
      </c>
    </row>
    <row r="40" spans="1:12" ht="15.6" x14ac:dyDescent="0.3">
      <c r="A40" s="41" t="s">
        <v>23</v>
      </c>
      <c r="B40" s="53">
        <v>76.23</v>
      </c>
      <c r="C40" s="53">
        <v>120.4</v>
      </c>
      <c r="D40" s="34">
        <v>0.79117999999999999</v>
      </c>
      <c r="E40" s="54">
        <v>94.034935083766712</v>
      </c>
      <c r="F40" s="35">
        <v>5.7099999999999998E-3</v>
      </c>
      <c r="G40" s="55">
        <v>2.9999999999999997E-4</v>
      </c>
      <c r="H40" s="56">
        <v>31880.516666666663</v>
      </c>
      <c r="I40" s="49">
        <v>22.4</v>
      </c>
      <c r="J40" s="229">
        <v>4.3650000000000001E-2</v>
      </c>
      <c r="L40" s="231" t="s">
        <v>341</v>
      </c>
    </row>
    <row r="41" spans="1:12" ht="15.6" x14ac:dyDescent="0.3">
      <c r="A41" s="41" t="s">
        <v>24</v>
      </c>
      <c r="B41" s="53">
        <v>64.28</v>
      </c>
      <c r="C41" s="53">
        <v>110.8</v>
      </c>
      <c r="D41" s="34">
        <v>2.17123</v>
      </c>
      <c r="E41" s="54">
        <v>145.66943959394899</v>
      </c>
      <c r="F41" s="35">
        <v>1.4E-2</v>
      </c>
      <c r="G41" s="55">
        <v>3.6999999999999999E-4</v>
      </c>
      <c r="H41" s="56">
        <v>54318.025000000001</v>
      </c>
      <c r="I41" s="49">
        <v>19.3</v>
      </c>
      <c r="J41" s="229">
        <v>8.0890000000000004E-2</v>
      </c>
      <c r="L41" s="231" t="s">
        <v>341</v>
      </c>
    </row>
    <row r="42" spans="1:12" ht="15.6" x14ac:dyDescent="0.3">
      <c r="A42" s="41" t="s">
        <v>25</v>
      </c>
      <c r="B42" s="53">
        <v>90.48</v>
      </c>
      <c r="C42" s="53">
        <v>137.9</v>
      </c>
      <c r="D42" s="34">
        <v>0.61240000000000006</v>
      </c>
      <c r="E42" s="54">
        <v>59.342856321419646</v>
      </c>
      <c r="F42" s="35">
        <v>6.3099999999999996E-3</v>
      </c>
      <c r="G42" s="55">
        <v>2.0000000000000001E-4</v>
      </c>
      <c r="H42" s="56">
        <v>31172.383333333335</v>
      </c>
      <c r="I42" s="49">
        <v>12.9</v>
      </c>
      <c r="J42" s="229">
        <v>2.2519999999999998E-2</v>
      </c>
      <c r="L42" s="231" t="s">
        <v>339</v>
      </c>
    </row>
    <row r="43" spans="1:12" ht="15.6" x14ac:dyDescent="0.3">
      <c r="A43" s="41" t="s">
        <v>26</v>
      </c>
      <c r="B43" s="53">
        <v>72.5</v>
      </c>
      <c r="C43" s="53">
        <v>128.69999999999999</v>
      </c>
      <c r="D43" s="34">
        <v>0.70655999999999997</v>
      </c>
      <c r="E43" s="54">
        <v>132.23159734582373</v>
      </c>
      <c r="F43" s="35">
        <v>6.5900000000000004E-3</v>
      </c>
      <c r="G43" s="55">
        <v>3.6000000000000002E-4</v>
      </c>
      <c r="H43" s="56">
        <v>41298.475000000006</v>
      </c>
      <c r="I43" s="49">
        <v>16.399999999999999</v>
      </c>
      <c r="J43" s="229">
        <v>9.3829999999999997E-2</v>
      </c>
      <c r="L43" s="231" t="s">
        <v>341</v>
      </c>
    </row>
    <row r="44" spans="1:12" ht="15.6" x14ac:dyDescent="0.3">
      <c r="A44" s="41" t="s">
        <v>27</v>
      </c>
      <c r="B44" s="53">
        <v>70.17</v>
      </c>
      <c r="C44" s="53">
        <v>130.4</v>
      </c>
      <c r="D44" s="34">
        <v>0.79274999999999995</v>
      </c>
      <c r="E44" s="54">
        <v>139.14066780215643</v>
      </c>
      <c r="F44" s="35">
        <v>7.26E-3</v>
      </c>
      <c r="G44" s="55">
        <v>8.0000000000000007E-5</v>
      </c>
      <c r="H44" s="56">
        <v>47853.625</v>
      </c>
      <c r="I44" s="49">
        <v>18.100000000000001</v>
      </c>
      <c r="J44" s="229">
        <v>0.2387</v>
      </c>
      <c r="L44" s="231" t="s">
        <v>341</v>
      </c>
    </row>
    <row r="45" spans="1:12" ht="15.6" x14ac:dyDescent="0.3">
      <c r="A45" s="41" t="s">
        <v>28</v>
      </c>
      <c r="B45" s="53">
        <v>61.76</v>
      </c>
      <c r="C45" s="53">
        <v>92.5</v>
      </c>
      <c r="D45" s="34">
        <v>0.14502999999999999</v>
      </c>
      <c r="E45" s="54">
        <v>201.16278274897974</v>
      </c>
      <c r="F45" s="35">
        <v>3.0999999999999999E-3</v>
      </c>
      <c r="G45" s="55">
        <v>1.4999999999999999E-4</v>
      </c>
      <c r="H45" s="56">
        <v>92666.8</v>
      </c>
      <c r="I45" s="49">
        <v>13.4</v>
      </c>
      <c r="J45" s="229">
        <v>4.2549999999999998E-2</v>
      </c>
      <c r="L45" s="231" t="s">
        <v>342</v>
      </c>
    </row>
    <row r="46" spans="1:12" ht="15.6" x14ac:dyDescent="0.3">
      <c r="A46" s="41" t="s">
        <v>29</v>
      </c>
      <c r="B46" s="53">
        <v>84.8</v>
      </c>
      <c r="C46" s="53">
        <v>134.80000000000001</v>
      </c>
      <c r="D46" s="34">
        <v>0.55445</v>
      </c>
      <c r="E46" s="54">
        <v>76.77319781025632</v>
      </c>
      <c r="F46" s="35">
        <v>4.0299999999999997E-3</v>
      </c>
      <c r="G46" s="55">
        <v>0</v>
      </c>
      <c r="H46" s="56">
        <v>32127.891666666666</v>
      </c>
      <c r="I46" s="49">
        <v>8.9</v>
      </c>
      <c r="J46" s="229">
        <v>8.2000000000000007E-3</v>
      </c>
      <c r="L46" s="231" t="s">
        <v>339</v>
      </c>
    </row>
    <row r="47" spans="1:12" ht="15.6" x14ac:dyDescent="0.3">
      <c r="A47" s="41" t="s">
        <v>30</v>
      </c>
      <c r="B47" s="53">
        <v>87.29</v>
      </c>
      <c r="C47" s="53">
        <v>106.7</v>
      </c>
      <c r="D47" s="34">
        <v>2.2534800000000001</v>
      </c>
      <c r="E47" s="54">
        <v>122.58580493230551</v>
      </c>
      <c r="F47" s="35">
        <v>1.367E-2</v>
      </c>
      <c r="G47" s="55">
        <v>5.8E-4</v>
      </c>
      <c r="H47" s="56">
        <v>48410.883333333331</v>
      </c>
      <c r="I47" s="49">
        <v>13.9</v>
      </c>
      <c r="J47" s="229">
        <v>8.2309999999999994E-2</v>
      </c>
      <c r="L47" s="231" t="s">
        <v>339</v>
      </c>
    </row>
    <row r="48" spans="1:12" ht="15.6" x14ac:dyDescent="0.3">
      <c r="A48" s="41" t="s">
        <v>31</v>
      </c>
      <c r="B48" s="53">
        <v>70.89</v>
      </c>
      <c r="C48" s="53">
        <v>111</v>
      </c>
      <c r="D48" s="34">
        <v>1.2211700000000001</v>
      </c>
      <c r="E48" s="54">
        <v>124.31603166094663</v>
      </c>
      <c r="F48" s="35">
        <v>8.6300000000000005E-3</v>
      </c>
      <c r="G48" s="55">
        <v>3.0000000000000001E-5</v>
      </c>
      <c r="H48" s="56">
        <v>35389.991666666661</v>
      </c>
      <c r="I48" s="49">
        <v>22.1</v>
      </c>
      <c r="J48" s="229">
        <v>1.251E-2</v>
      </c>
      <c r="L48" s="231" t="s">
        <v>341</v>
      </c>
    </row>
    <row r="49" spans="1:12" ht="15.6" x14ac:dyDescent="0.3">
      <c r="A49" s="41" t="s">
        <v>32</v>
      </c>
      <c r="B49" s="53">
        <v>67.92</v>
      </c>
      <c r="C49" s="53">
        <v>106.8</v>
      </c>
      <c r="D49" s="34">
        <v>0.58935999999999999</v>
      </c>
      <c r="E49" s="54">
        <v>107.03880303669922</v>
      </c>
      <c r="F49" s="35">
        <v>4.81E-3</v>
      </c>
      <c r="G49" s="55">
        <v>1.0000000000000001E-5</v>
      </c>
      <c r="H49" s="56">
        <v>34988.92500000001</v>
      </c>
      <c r="I49" s="49">
        <v>12.5</v>
      </c>
      <c r="J49" s="229">
        <v>1.7219999999999999E-2</v>
      </c>
      <c r="L49" s="231" t="s">
        <v>341</v>
      </c>
    </row>
    <row r="50" spans="1:12" ht="15.6" x14ac:dyDescent="0.3">
      <c r="A50" s="41" t="s">
        <v>33</v>
      </c>
      <c r="B50" s="53">
        <v>88.92</v>
      </c>
      <c r="C50" s="53">
        <v>133.80000000000001</v>
      </c>
      <c r="D50" s="34">
        <v>4.53247</v>
      </c>
      <c r="E50" s="54">
        <v>117.46383170765917</v>
      </c>
      <c r="F50" s="35">
        <v>4.9639999999999997E-2</v>
      </c>
      <c r="G50" s="55">
        <v>1.0300000000000001E-3</v>
      </c>
      <c r="H50" s="56">
        <v>40954.774999999994</v>
      </c>
      <c r="I50" s="49">
        <v>13.3</v>
      </c>
      <c r="J50" s="229">
        <v>0.28059000000000001</v>
      </c>
      <c r="L50" s="231" t="s">
        <v>339</v>
      </c>
    </row>
    <row r="51" spans="1:12" ht="15.6" x14ac:dyDescent="0.3">
      <c r="A51" s="41" t="s">
        <v>34</v>
      </c>
      <c r="B51" s="53">
        <v>70.099999999999994</v>
      </c>
      <c r="C51" s="53">
        <v>124.5</v>
      </c>
      <c r="D51" s="34">
        <v>1.9330700000000001</v>
      </c>
      <c r="E51" s="54">
        <v>152.42832925933524</v>
      </c>
      <c r="F51" s="35">
        <v>1.7850000000000001E-2</v>
      </c>
      <c r="G51" s="55">
        <v>2.5000000000000001E-4</v>
      </c>
      <c r="H51" s="56">
        <v>60026.441666666658</v>
      </c>
      <c r="I51" s="49">
        <v>11.8</v>
      </c>
      <c r="J51" s="229">
        <v>0.19816</v>
      </c>
      <c r="L51" s="231" t="s">
        <v>341</v>
      </c>
    </row>
    <row r="52" spans="1:12" ht="15.6" x14ac:dyDescent="0.3">
      <c r="A52" s="41" t="s">
        <v>37</v>
      </c>
      <c r="B52" s="53">
        <v>79.12</v>
      </c>
      <c r="C52" s="53">
        <v>163</v>
      </c>
      <c r="D52" s="34">
        <v>1.31142</v>
      </c>
      <c r="E52" s="54">
        <v>159.2096198346778</v>
      </c>
      <c r="F52" s="35">
        <v>8.9899999999999997E-3</v>
      </c>
      <c r="G52" s="55">
        <v>4.0000000000000002E-4</v>
      </c>
      <c r="H52" s="56">
        <v>52513.308333333342</v>
      </c>
      <c r="I52" s="49">
        <v>18.5</v>
      </c>
      <c r="J52" s="229">
        <v>0.12698000000000001</v>
      </c>
      <c r="L52" s="231" t="s">
        <v>339</v>
      </c>
    </row>
    <row r="53" spans="1:12" ht="15.6" x14ac:dyDescent="0.3">
      <c r="A53" s="41" t="s">
        <v>38</v>
      </c>
      <c r="B53" s="53">
        <v>78.12</v>
      </c>
      <c r="C53" s="53">
        <v>119.9</v>
      </c>
      <c r="D53" s="34">
        <v>1.1667799999999999</v>
      </c>
      <c r="E53" s="54">
        <v>104.85529021034318</v>
      </c>
      <c r="F53" s="35">
        <v>6.2899999999999996E-3</v>
      </c>
      <c r="G53" s="55">
        <v>3.3E-4</v>
      </c>
      <c r="H53" s="56">
        <v>40184.625000000007</v>
      </c>
      <c r="I53" s="49">
        <v>9.1</v>
      </c>
      <c r="J53" s="229">
        <v>4.1430000000000002E-2</v>
      </c>
      <c r="L53" s="231" t="s">
        <v>339</v>
      </c>
    </row>
    <row r="54" spans="1:12" ht="15.6" x14ac:dyDescent="0.3">
      <c r="A54" s="41" t="s">
        <v>42</v>
      </c>
      <c r="B54" s="53">
        <v>79.31</v>
      </c>
      <c r="C54" s="53">
        <v>110.4</v>
      </c>
      <c r="D54" s="34">
        <v>2.87968</v>
      </c>
      <c r="E54" s="54">
        <v>116.40126886588838</v>
      </c>
      <c r="F54" s="35">
        <v>2.589E-2</v>
      </c>
      <c r="G54" s="55">
        <v>4.2000000000000002E-4</v>
      </c>
      <c r="H54" s="56">
        <v>41162.033333333333</v>
      </c>
      <c r="I54" s="49">
        <v>8.4</v>
      </c>
      <c r="J54" s="229">
        <v>8.5120000000000001E-2</v>
      </c>
      <c r="L54" s="231" t="s">
        <v>339</v>
      </c>
    </row>
    <row r="55" spans="1:12" ht="15.6" x14ac:dyDescent="0.3">
      <c r="A55" s="41" t="s">
        <v>43</v>
      </c>
      <c r="B55" s="53">
        <v>71.44</v>
      </c>
      <c r="C55" s="53">
        <v>124.8</v>
      </c>
      <c r="D55" s="34">
        <v>0.57382</v>
      </c>
      <c r="E55" s="54">
        <v>117.79503351227179</v>
      </c>
      <c r="F55" s="35">
        <v>5.45E-3</v>
      </c>
      <c r="G55" s="55">
        <v>3.3E-4</v>
      </c>
      <c r="H55" s="56">
        <v>39472.791666666672</v>
      </c>
      <c r="I55" s="49">
        <v>12.9</v>
      </c>
      <c r="J55" s="229">
        <v>3.092E-2</v>
      </c>
      <c r="L55" s="231" t="s">
        <v>341</v>
      </c>
    </row>
    <row r="56" spans="1:12" ht="15.6" x14ac:dyDescent="0.3">
      <c r="A56" s="41" t="s">
        <v>44</v>
      </c>
      <c r="B56" s="53">
        <v>67.59</v>
      </c>
      <c r="C56" s="53">
        <v>107.3</v>
      </c>
      <c r="D56" s="34">
        <v>1.9216</v>
      </c>
      <c r="E56" s="54">
        <v>155.1364579416134</v>
      </c>
      <c r="F56" s="35">
        <v>2.2190000000000001E-2</v>
      </c>
      <c r="G56" s="55">
        <v>1.8000000000000001E-4</v>
      </c>
      <c r="H56" s="56">
        <v>46444.408333333333</v>
      </c>
      <c r="I56" s="49">
        <v>12.9</v>
      </c>
      <c r="J56" s="229">
        <v>0.18609999999999999</v>
      </c>
      <c r="L56" s="231" t="s">
        <v>341</v>
      </c>
    </row>
    <row r="57" spans="1:12" ht="15.6" x14ac:dyDescent="0.3">
      <c r="A57" s="41" t="s">
        <v>47</v>
      </c>
      <c r="B57" s="53">
        <v>79.739999999999995</v>
      </c>
      <c r="C57" s="53">
        <v>127.6</v>
      </c>
      <c r="D57" s="34">
        <v>0.61573999999999995</v>
      </c>
      <c r="E57" s="54">
        <v>114.70191810687822</v>
      </c>
      <c r="F57" s="35">
        <v>5.77E-3</v>
      </c>
      <c r="G57" s="55">
        <v>6.0000000000000002E-5</v>
      </c>
      <c r="H57" s="56">
        <v>35173.766666666699</v>
      </c>
      <c r="I57" s="49">
        <v>12.1</v>
      </c>
      <c r="J57" s="229">
        <v>2.1129999999999999E-2</v>
      </c>
      <c r="L57" s="231" t="s">
        <v>339</v>
      </c>
    </row>
    <row r="58" spans="1:12" ht="15.6" x14ac:dyDescent="0.3">
      <c r="A58" s="41" t="s">
        <v>49</v>
      </c>
      <c r="B58" s="53">
        <v>70.75</v>
      </c>
      <c r="C58" s="53">
        <v>132.6</v>
      </c>
      <c r="D58" s="34">
        <v>2.0307400000000002</v>
      </c>
      <c r="E58" s="54">
        <v>140.96871115328244</v>
      </c>
      <c r="F58" s="35">
        <v>1.8440000000000002E-2</v>
      </c>
      <c r="G58" s="55">
        <v>7.7999999999999999E-4</v>
      </c>
      <c r="H58" s="56">
        <v>45177.908333333326</v>
      </c>
      <c r="I58" s="49">
        <v>12.8</v>
      </c>
      <c r="J58" s="229">
        <v>4.5440000000000001E-2</v>
      </c>
      <c r="L58" s="231" t="s">
        <v>341</v>
      </c>
    </row>
    <row r="59" spans="1:12" ht="15.6" x14ac:dyDescent="0.3">
      <c r="A59" s="41" t="s">
        <v>50</v>
      </c>
      <c r="B59" s="53">
        <v>78.86</v>
      </c>
      <c r="C59" s="53">
        <v>103.7</v>
      </c>
      <c r="D59" s="34">
        <v>1.1244400000000001</v>
      </c>
      <c r="E59" s="54">
        <v>144.15234633089409</v>
      </c>
      <c r="F59" s="35">
        <v>1.512E-2</v>
      </c>
      <c r="G59" s="55">
        <v>1.3600000000000001E-3</v>
      </c>
      <c r="H59" s="56">
        <v>55076.19999999999</v>
      </c>
      <c r="I59" s="49">
        <v>12.3</v>
      </c>
      <c r="J59" s="229">
        <v>8.3470000000000003E-2</v>
      </c>
      <c r="L59" s="231" t="s">
        <v>341</v>
      </c>
    </row>
    <row r="60" spans="1:12" ht="15.6" x14ac:dyDescent="0.3">
      <c r="A60" s="41" t="s">
        <v>52</v>
      </c>
      <c r="B60" s="53">
        <v>84.55</v>
      </c>
      <c r="C60" s="53">
        <v>148.1</v>
      </c>
      <c r="D60" s="34">
        <v>0.34144999999999998</v>
      </c>
      <c r="E60" s="54">
        <v>95.45741894698817</v>
      </c>
      <c r="F60" s="35">
        <v>3.5999999999999999E-3</v>
      </c>
      <c r="G60" s="55">
        <v>1E-4</v>
      </c>
      <c r="H60" s="56">
        <v>35633.250000000007</v>
      </c>
      <c r="I60" s="49">
        <v>11.5</v>
      </c>
      <c r="J60" s="229">
        <v>5.475E-2</v>
      </c>
      <c r="L60" s="231" t="s">
        <v>339</v>
      </c>
    </row>
    <row r="61" spans="1:12" ht="15.6" x14ac:dyDescent="0.3">
      <c r="A61" s="41" t="s">
        <v>53</v>
      </c>
      <c r="B61" s="53">
        <v>66.16</v>
      </c>
      <c r="C61" s="53">
        <v>137.4</v>
      </c>
      <c r="D61" s="34">
        <v>0.22069</v>
      </c>
      <c r="E61" s="54">
        <v>104.84896208872529</v>
      </c>
      <c r="F61" s="35">
        <v>3.3700000000000002E-3</v>
      </c>
      <c r="G61" s="55">
        <v>6.4000000000000005E-4</v>
      </c>
      <c r="H61" s="56">
        <v>38701.525000000001</v>
      </c>
      <c r="I61" s="49">
        <v>22.4</v>
      </c>
      <c r="J61" s="229">
        <v>4.5500000000000002E-3</v>
      </c>
      <c r="L61" s="231" t="s">
        <v>341</v>
      </c>
    </row>
    <row r="62" spans="1:12" ht="15.6" x14ac:dyDescent="0.3">
      <c r="A62" s="41" t="s">
        <v>55</v>
      </c>
      <c r="B62" s="53">
        <v>71.95</v>
      </c>
      <c r="C62" s="53">
        <v>126.4</v>
      </c>
      <c r="D62" s="34">
        <v>0.80147000000000002</v>
      </c>
      <c r="E62" s="54">
        <v>115.22867710140896</v>
      </c>
      <c r="F62" s="35">
        <v>8.8599999999999998E-3</v>
      </c>
      <c r="G62" s="55">
        <v>1.1E-4</v>
      </c>
      <c r="H62" s="56">
        <v>44709.133333333339</v>
      </c>
      <c r="I62" s="49">
        <v>19.5</v>
      </c>
      <c r="J62" s="229">
        <v>2.2009999999999998E-2</v>
      </c>
      <c r="L62" s="231" t="s">
        <v>340</v>
      </c>
    </row>
    <row r="63" spans="1:12" ht="15.6" x14ac:dyDescent="0.3">
      <c r="A63" s="41" t="s">
        <v>56</v>
      </c>
      <c r="B63" s="53">
        <v>90.34</v>
      </c>
      <c r="C63" s="53">
        <v>153.80000000000001</v>
      </c>
      <c r="D63" s="34">
        <v>3.5058699999999998</v>
      </c>
      <c r="E63" s="54">
        <v>25.757616644628545</v>
      </c>
      <c r="F63" s="35">
        <v>2.2419999999999999E-2</v>
      </c>
      <c r="G63" s="55">
        <v>2.4000000000000001E-4</v>
      </c>
      <c r="H63" s="56">
        <v>32179.975000000002</v>
      </c>
      <c r="I63" s="49">
        <v>14.7</v>
      </c>
      <c r="J63" s="229">
        <v>3.2439999999999997E-2</v>
      </c>
      <c r="L63" s="231" t="s">
        <v>339</v>
      </c>
    </row>
    <row r="64" spans="1:12" ht="15.6" x14ac:dyDescent="0.3">
      <c r="A64" s="41" t="s">
        <v>58</v>
      </c>
      <c r="B64" s="53">
        <v>84</v>
      </c>
      <c r="C64" s="53">
        <v>125.9</v>
      </c>
      <c r="D64" s="34">
        <v>0.22672999999999999</v>
      </c>
      <c r="E64" s="54">
        <v>146.78792337256786</v>
      </c>
      <c r="F64" s="35">
        <v>1.74E-3</v>
      </c>
      <c r="G64" s="55">
        <v>1E-4</v>
      </c>
      <c r="H64" s="56">
        <v>33166.76666666667</v>
      </c>
      <c r="I64" s="49">
        <v>22.6</v>
      </c>
      <c r="J64" s="229">
        <v>5.4000000000000001E-4</v>
      </c>
      <c r="L64" s="231" t="s">
        <v>339</v>
      </c>
    </row>
    <row r="65" spans="1:12" ht="15.6" x14ac:dyDescent="0.3">
      <c r="A65" s="41" t="s">
        <v>59</v>
      </c>
      <c r="B65" s="53">
        <v>70.459999999999994</v>
      </c>
      <c r="C65" s="53">
        <v>131.19999999999999</v>
      </c>
      <c r="D65" s="34">
        <v>0.61504000000000003</v>
      </c>
      <c r="E65" s="54">
        <v>168.93633167037325</v>
      </c>
      <c r="F65" s="35">
        <v>4.6699999999999997E-3</v>
      </c>
      <c r="G65" s="55">
        <v>2.4000000000000001E-4</v>
      </c>
      <c r="H65" s="56">
        <v>49303.458333333336</v>
      </c>
      <c r="I65" s="49">
        <v>14.4</v>
      </c>
      <c r="J65" s="229">
        <v>1.6809999999999999E-2</v>
      </c>
      <c r="L65" s="231" t="s">
        <v>340</v>
      </c>
    </row>
    <row r="66" spans="1:12" ht="15.6" x14ac:dyDescent="0.3">
      <c r="A66" s="41" t="s">
        <v>60</v>
      </c>
      <c r="B66" s="53">
        <v>65.08</v>
      </c>
      <c r="C66" s="53">
        <v>110.2</v>
      </c>
      <c r="D66" s="34">
        <v>0.63782000000000005</v>
      </c>
      <c r="E66" s="54">
        <v>195.49868389338786</v>
      </c>
      <c r="F66" s="35">
        <v>6.79E-3</v>
      </c>
      <c r="G66" s="55">
        <v>3.4000000000000002E-4</v>
      </c>
      <c r="H66" s="56">
        <v>59720.691666666658</v>
      </c>
      <c r="I66" s="49">
        <v>15.3</v>
      </c>
      <c r="J66" s="229">
        <v>2.7210000000000002E-2</v>
      </c>
      <c r="L66" s="231" t="s">
        <v>341</v>
      </c>
    </row>
    <row r="67" spans="1:12" ht="15.6" x14ac:dyDescent="0.3">
      <c r="A67" s="41" t="s">
        <v>61</v>
      </c>
      <c r="B67" s="53">
        <v>90.07</v>
      </c>
      <c r="C67" s="53">
        <v>117.8</v>
      </c>
      <c r="D67" s="34">
        <v>1.3063100000000001</v>
      </c>
      <c r="E67" s="54">
        <v>31.194283438740072</v>
      </c>
      <c r="F67" s="35">
        <v>1.022E-2</v>
      </c>
      <c r="G67" s="55">
        <v>5.0000000000000001E-4</v>
      </c>
      <c r="H67" s="56">
        <v>37993.283333333333</v>
      </c>
      <c r="I67" s="49">
        <v>16.2</v>
      </c>
      <c r="J67" s="229">
        <v>0.1389</v>
      </c>
      <c r="L67" s="231" t="s">
        <v>339</v>
      </c>
    </row>
    <row r="68" spans="1:12" ht="15.6" x14ac:dyDescent="0.3">
      <c r="A68" s="41" t="s">
        <v>64</v>
      </c>
      <c r="B68" s="53">
        <v>58.34</v>
      </c>
      <c r="C68" s="53">
        <v>117.4</v>
      </c>
      <c r="D68" s="34">
        <v>0.59196000000000004</v>
      </c>
      <c r="E68" s="54">
        <v>219.0075894463302</v>
      </c>
      <c r="F68" s="35">
        <v>8.6199999999999992E-3</v>
      </c>
      <c r="G68" s="55">
        <v>3.1E-4</v>
      </c>
      <c r="H68" s="56">
        <v>82554.925000000003</v>
      </c>
      <c r="I68" s="49">
        <v>16.3</v>
      </c>
      <c r="J68" s="229">
        <v>0.16671</v>
      </c>
      <c r="L68" s="231" t="s">
        <v>342</v>
      </c>
    </row>
    <row r="69" spans="1:12" ht="15.6" x14ac:dyDescent="0.3">
      <c r="A69" s="41" t="s">
        <v>65</v>
      </c>
      <c r="B69" s="53">
        <v>82.83</v>
      </c>
      <c r="C69" s="53">
        <v>127.2</v>
      </c>
      <c r="D69" s="34">
        <v>0.58684000000000003</v>
      </c>
      <c r="E69" s="54">
        <v>87.066836107167703</v>
      </c>
      <c r="F69" s="35">
        <v>9.0900000000000009E-3</v>
      </c>
      <c r="G69" s="55">
        <v>9.0000000000000006E-5</v>
      </c>
      <c r="H69" s="56">
        <v>32602.524999999998</v>
      </c>
      <c r="I69" s="49">
        <v>13.4</v>
      </c>
      <c r="J69" s="229">
        <v>8.5500000000000003E-3</v>
      </c>
      <c r="L69" s="231" t="s">
        <v>339</v>
      </c>
    </row>
    <row r="70" spans="1:12" ht="15.6" x14ac:dyDescent="0.3">
      <c r="A70" s="41" t="s">
        <v>67</v>
      </c>
      <c r="B70" s="53">
        <v>96.79</v>
      </c>
      <c r="C70" s="53">
        <v>89</v>
      </c>
      <c r="D70" s="34">
        <v>0.23357</v>
      </c>
      <c r="E70" s="54">
        <v>128.78772107740946</v>
      </c>
      <c r="F70" s="35">
        <v>2.0500000000000002E-3</v>
      </c>
      <c r="G70" s="55">
        <v>6.9999999999999994E-5</v>
      </c>
      <c r="H70" s="56">
        <v>46091.92500000001</v>
      </c>
      <c r="I70" s="49">
        <v>28.2</v>
      </c>
      <c r="J70" s="229">
        <v>4.4900000000000001E-3</v>
      </c>
      <c r="L70" s="231" t="s">
        <v>339</v>
      </c>
    </row>
    <row r="71" spans="1:12" ht="15.6" x14ac:dyDescent="0.3">
      <c r="A71" s="41" t="s">
        <v>69</v>
      </c>
      <c r="B71" s="53">
        <v>83.54</v>
      </c>
      <c r="C71" s="53">
        <v>127.2</v>
      </c>
      <c r="D71" s="34">
        <v>3.5905300000000002</v>
      </c>
      <c r="E71" s="54">
        <v>113.25823732051116</v>
      </c>
      <c r="F71" s="35">
        <v>3.3959999999999997E-2</v>
      </c>
      <c r="G71" s="55">
        <v>2.9999999999999997E-4</v>
      </c>
      <c r="H71" s="56">
        <v>39045.375000000007</v>
      </c>
      <c r="I71" s="49">
        <v>12</v>
      </c>
      <c r="J71" s="229">
        <v>0.26678000000000002</v>
      </c>
      <c r="L71" s="231" t="s">
        <v>339</v>
      </c>
    </row>
    <row r="72" spans="1:12" ht="15.6" x14ac:dyDescent="0.3">
      <c r="A72" s="41" t="s">
        <v>71</v>
      </c>
      <c r="B72" s="53">
        <v>80.55</v>
      </c>
      <c r="C72" s="53">
        <v>134.5</v>
      </c>
      <c r="D72" s="34">
        <v>2.1654300000000002</v>
      </c>
      <c r="E72" s="54">
        <v>120.99764124708</v>
      </c>
      <c r="F72" s="35">
        <v>3.5119999999999998E-2</v>
      </c>
      <c r="G72" s="55">
        <v>3.8000000000000002E-4</v>
      </c>
      <c r="H72" s="56">
        <v>42728.741666666669</v>
      </c>
      <c r="I72" s="49">
        <v>11.7</v>
      </c>
      <c r="J72" s="229">
        <v>0.13256000000000001</v>
      </c>
      <c r="L72" s="231" t="s">
        <v>339</v>
      </c>
    </row>
    <row r="73" spans="1:12" ht="15.6" x14ac:dyDescent="0.3">
      <c r="A73" s="41" t="s">
        <v>72</v>
      </c>
      <c r="B73" s="53">
        <v>77.66</v>
      </c>
      <c r="C73" s="53">
        <v>118.1</v>
      </c>
      <c r="D73" s="34">
        <v>5.69956</v>
      </c>
      <c r="E73" s="54">
        <v>194.92517362956221</v>
      </c>
      <c r="F73" s="35">
        <v>3.1009999999999999E-2</v>
      </c>
      <c r="G73" s="55">
        <v>7.1000000000000002E-4</v>
      </c>
      <c r="H73" s="56">
        <v>75920.241666666669</v>
      </c>
      <c r="I73" s="49">
        <v>5</v>
      </c>
      <c r="J73" s="229">
        <v>0.24307000000000001</v>
      </c>
      <c r="L73" s="231" t="s">
        <v>339</v>
      </c>
    </row>
    <row r="74" spans="1:12" ht="15.6" x14ac:dyDescent="0.3">
      <c r="A74" s="41" t="s">
        <v>73</v>
      </c>
      <c r="B74" s="53">
        <v>82.24</v>
      </c>
      <c r="C74" s="53">
        <v>102</v>
      </c>
      <c r="D74" s="34">
        <v>1.4075299999999999</v>
      </c>
      <c r="E74" s="54">
        <v>103.71894503194554</v>
      </c>
      <c r="F74" s="35">
        <v>1.831E-2</v>
      </c>
      <c r="G74" s="55">
        <v>4.2000000000000002E-4</v>
      </c>
      <c r="H74" s="56">
        <v>37089.050000000003</v>
      </c>
      <c r="I74" s="49">
        <v>14</v>
      </c>
      <c r="J74" s="229">
        <v>7.7630000000000005E-2</v>
      </c>
      <c r="L74" s="231" t="s">
        <v>339</v>
      </c>
    </row>
    <row r="75" spans="1:12" ht="15.6" x14ac:dyDescent="0.3">
      <c r="A75" s="41" t="s">
        <v>75</v>
      </c>
      <c r="B75" s="53">
        <v>65.97</v>
      </c>
      <c r="C75" s="53">
        <v>111.6</v>
      </c>
      <c r="D75" s="34">
        <v>2.8652799999999998</v>
      </c>
      <c r="E75" s="54">
        <v>145.62382686737854</v>
      </c>
      <c r="F75" s="35">
        <v>2.7439999999999999E-2</v>
      </c>
      <c r="G75" s="55">
        <v>8.8999999999999995E-4</v>
      </c>
      <c r="H75" s="56">
        <v>48346.816666666673</v>
      </c>
      <c r="I75" s="49">
        <v>8.6</v>
      </c>
      <c r="J75" s="229">
        <v>0.15586</v>
      </c>
      <c r="L75" s="231" t="s">
        <v>341</v>
      </c>
    </row>
    <row r="76" spans="1:12" ht="15.6" x14ac:dyDescent="0.3">
      <c r="A76" s="41" t="s">
        <v>76</v>
      </c>
      <c r="B76" s="53">
        <v>84.6</v>
      </c>
      <c r="C76" s="53">
        <v>146.69999999999999</v>
      </c>
      <c r="D76" s="34">
        <v>0.22037999999999999</v>
      </c>
      <c r="E76" s="54">
        <v>34.218525094437503</v>
      </c>
      <c r="F76" s="35">
        <v>3.3E-3</v>
      </c>
      <c r="G76" s="55">
        <v>6.0000000000000002E-5</v>
      </c>
      <c r="H76" s="56">
        <v>39127</v>
      </c>
      <c r="I76" s="49">
        <v>10.5</v>
      </c>
      <c r="J76" s="229">
        <v>8.7160000000000001E-2</v>
      </c>
      <c r="L76" s="231" t="s">
        <v>339</v>
      </c>
    </row>
    <row r="77" spans="1:12" ht="15.6" x14ac:dyDescent="0.3">
      <c r="A77" s="41" t="s">
        <v>78</v>
      </c>
      <c r="B77" s="53">
        <v>84.85</v>
      </c>
      <c r="C77" s="53">
        <v>121.4</v>
      </c>
      <c r="D77" s="34">
        <v>2.2046899999999998</v>
      </c>
      <c r="E77" s="54">
        <v>96.457653951568588</v>
      </c>
      <c r="F77" s="35">
        <v>2.7040000000000002E-2</v>
      </c>
      <c r="G77" s="55">
        <v>9.3000000000000005E-4</v>
      </c>
      <c r="H77" s="56">
        <v>37090.316666666666</v>
      </c>
      <c r="I77" s="49">
        <v>13</v>
      </c>
      <c r="J77" s="229">
        <v>8.2479999999999998E-2</v>
      </c>
      <c r="L77" s="231" t="s">
        <v>339</v>
      </c>
    </row>
    <row r="78" spans="1:12" ht="15.6" x14ac:dyDescent="0.3">
      <c r="A78" s="41" t="s">
        <v>79</v>
      </c>
      <c r="B78" s="53">
        <v>87.41</v>
      </c>
      <c r="C78" s="53">
        <v>133.4</v>
      </c>
      <c r="D78" s="34">
        <v>1.0933900000000001</v>
      </c>
      <c r="E78" s="54">
        <v>100.94048945485517</v>
      </c>
      <c r="F78" s="35">
        <v>6.7200000000000003E-3</v>
      </c>
      <c r="G78" s="55">
        <v>1.2E-4</v>
      </c>
      <c r="H78" s="56">
        <v>33689.125</v>
      </c>
      <c r="I78" s="49">
        <v>10.5</v>
      </c>
      <c r="J78" s="229">
        <v>5.713E-2</v>
      </c>
      <c r="L78" s="231" t="s">
        <v>339</v>
      </c>
    </row>
    <row r="79" spans="1:12" ht="15.6" x14ac:dyDescent="0.3">
      <c r="A79" s="41" t="s">
        <v>83</v>
      </c>
      <c r="B79" s="53">
        <v>85.57</v>
      </c>
      <c r="C79" s="53">
        <v>132.5</v>
      </c>
      <c r="D79" s="34">
        <v>0.98404000000000003</v>
      </c>
      <c r="E79" s="54">
        <v>176.21447183204049</v>
      </c>
      <c r="F79" s="35">
        <v>1.3639999999999999E-2</v>
      </c>
      <c r="G79" s="55">
        <v>6.9999999999999999E-4</v>
      </c>
      <c r="H79" s="56">
        <v>55770.44999999999</v>
      </c>
      <c r="I79" s="49">
        <v>11.4</v>
      </c>
      <c r="J79" s="229">
        <v>0.29969000000000001</v>
      </c>
      <c r="L79" s="231" t="s">
        <v>339</v>
      </c>
    </row>
    <row r="80" spans="1:12" ht="15.6" x14ac:dyDescent="0.3">
      <c r="A80" s="41" t="s">
        <v>86</v>
      </c>
      <c r="B80" s="53">
        <v>62.28</v>
      </c>
      <c r="C80" s="53">
        <v>108.9</v>
      </c>
      <c r="D80" s="34">
        <v>0.69628000000000001</v>
      </c>
      <c r="E80" s="54">
        <v>158.16885371189173</v>
      </c>
      <c r="F80" s="35">
        <v>7.6400000000000001E-3</v>
      </c>
      <c r="G80" s="55">
        <v>3.2000000000000003E-4</v>
      </c>
      <c r="H80" s="56">
        <v>59247.075000000012</v>
      </c>
      <c r="I80" s="49">
        <v>13.8</v>
      </c>
      <c r="J80" s="229">
        <v>0.11831999999999999</v>
      </c>
      <c r="L80" s="231" t="s">
        <v>341</v>
      </c>
    </row>
    <row r="81" spans="1:12" ht="15.6" x14ac:dyDescent="0.3">
      <c r="A81" s="41" t="s">
        <v>87</v>
      </c>
      <c r="B81" s="53">
        <v>69</v>
      </c>
      <c r="C81" s="53">
        <v>134.80000000000001</v>
      </c>
      <c r="D81" s="34">
        <v>0.59433999999999998</v>
      </c>
      <c r="E81" s="54">
        <v>270.7247151443928</v>
      </c>
      <c r="F81" s="35">
        <v>1.175E-2</v>
      </c>
      <c r="G81" s="55">
        <v>1.4999999999999999E-4</v>
      </c>
      <c r="H81" s="56">
        <v>85211.016666666677</v>
      </c>
      <c r="I81" s="49">
        <v>12</v>
      </c>
      <c r="J81" s="229">
        <v>0.18253</v>
      </c>
      <c r="L81" s="231" t="s">
        <v>342</v>
      </c>
    </row>
    <row r="82" spans="1:12" ht="15.6" x14ac:dyDescent="0.3">
      <c r="A82" s="41" t="s">
        <v>88</v>
      </c>
      <c r="B82" s="53">
        <v>69.540000000000006</v>
      </c>
      <c r="C82" s="53">
        <v>125.9</v>
      </c>
      <c r="D82" s="34">
        <v>2.29976</v>
      </c>
      <c r="E82" s="54">
        <v>123.3789539028442</v>
      </c>
      <c r="F82" s="35">
        <v>2.86E-2</v>
      </c>
      <c r="G82" s="55">
        <v>7.1000000000000002E-4</v>
      </c>
      <c r="H82" s="56">
        <v>43476.708333333328</v>
      </c>
      <c r="I82" s="49">
        <v>12</v>
      </c>
      <c r="J82" s="229">
        <v>0.13453999999999999</v>
      </c>
      <c r="L82" s="231" t="s">
        <v>341</v>
      </c>
    </row>
    <row r="83" spans="1:12" ht="15.6" x14ac:dyDescent="0.3">
      <c r="A83" s="41" t="s">
        <v>91</v>
      </c>
      <c r="B83" s="53">
        <v>80.3</v>
      </c>
      <c r="C83" s="53">
        <v>77.5</v>
      </c>
      <c r="D83" s="34">
        <v>1.874E-2</v>
      </c>
      <c r="E83" s="54">
        <v>230.76441364338496</v>
      </c>
      <c r="F83" s="35">
        <v>5.6999999999999998E-4</v>
      </c>
      <c r="G83" s="55">
        <v>1.0000000000000001E-5</v>
      </c>
      <c r="H83" s="56">
        <v>130482.90000000001</v>
      </c>
      <c r="I83" s="49">
        <v>7.3</v>
      </c>
      <c r="J83" s="229">
        <v>7.7799999999999996E-3</v>
      </c>
      <c r="L83" s="231" t="s">
        <v>342</v>
      </c>
    </row>
    <row r="84" spans="1:12" ht="15.6" x14ac:dyDescent="0.3">
      <c r="A84" s="41" t="s">
        <v>92</v>
      </c>
      <c r="B84" s="53">
        <v>89.16</v>
      </c>
      <c r="C84" s="53">
        <v>130.19999999999999</v>
      </c>
      <c r="D84" s="34">
        <v>0.16178000000000001</v>
      </c>
      <c r="E84" s="54">
        <v>334.79903920632808</v>
      </c>
      <c r="F84" s="35">
        <v>3.7399999999999998E-3</v>
      </c>
      <c r="G84" s="55">
        <v>1.3999999999999999E-4</v>
      </c>
      <c r="H84" s="56">
        <v>115986.61666666665</v>
      </c>
      <c r="I84" s="49">
        <v>4.5999999999999996</v>
      </c>
      <c r="J84" s="229">
        <v>4.6219999999999997E-2</v>
      </c>
      <c r="L84" s="231" t="s">
        <v>339</v>
      </c>
    </row>
    <row r="85" spans="1:12" ht="15.6" x14ac:dyDescent="0.3">
      <c r="A85" s="41" t="s">
        <v>93</v>
      </c>
      <c r="B85" s="53">
        <v>70.69</v>
      </c>
      <c r="C85" s="53">
        <v>103.8</v>
      </c>
      <c r="D85" s="34">
        <v>1.00553</v>
      </c>
      <c r="E85" s="54">
        <v>107.54812601139481</v>
      </c>
      <c r="F85" s="35">
        <v>7.0000000000000001E-3</v>
      </c>
      <c r="G85" s="55">
        <v>2.5999999999999998E-4</v>
      </c>
      <c r="H85" s="56">
        <v>41388.708333333336</v>
      </c>
      <c r="I85" s="49">
        <v>8.9</v>
      </c>
      <c r="J85" s="229">
        <v>-0.53680639399999996</v>
      </c>
      <c r="L85" s="231" t="s">
        <v>340</v>
      </c>
    </row>
  </sheetData>
  <sortState xmlns:xlrd2="http://schemas.microsoft.com/office/spreadsheetml/2017/richdata2" ref="A2:L85">
    <sortCondition ref="K1:K8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взвешен ср</vt:lpstr>
      <vt:lpstr>Уорд</vt:lpstr>
      <vt:lpstr>невзвешеной ср</vt:lpstr>
      <vt:lpstr>к-средних</vt:lpstr>
      <vt:lpstr>исходные данные</vt:lpstr>
      <vt:lpstr>Лист2</vt:lpstr>
      <vt:lpstr>НС</vt:lpstr>
      <vt:lpstr>2022</vt:lpstr>
      <vt:lpstr>2</vt:lpstr>
      <vt:lpstr>итоги</vt:lpstr>
      <vt:lpstr>Лист1</vt:lpstr>
      <vt:lpstr>функционал качества</vt:lpstr>
      <vt:lpstr>сводная таблица</vt:lpstr>
      <vt:lpstr>графики</vt:lpstr>
      <vt:lpstr>карта</vt:lpstr>
      <vt:lpstr>МГК и ФА</vt:lpstr>
      <vt:lpstr>сводная табл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Нуритдинходжаева</dc:creator>
  <cp:lastModifiedBy>Katerina Popovich</cp:lastModifiedBy>
  <dcterms:created xsi:type="dcterms:W3CDTF">2015-06-05T18:17:20Z</dcterms:created>
  <dcterms:modified xsi:type="dcterms:W3CDTF">2024-05-12T09:41:52Z</dcterms:modified>
</cp:coreProperties>
</file>