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ink/ink1.xml" ContentType="application/inkml+xml"/>
  <Override PartName="/xl/drawings/drawing5.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C:\Users\Nkhumalo2\Desktop\"/>
    </mc:Choice>
  </mc:AlternateContent>
  <xr:revisionPtr revIDLastSave="0" documentId="13_ncr:1_{D875433B-1B43-4F04-95AD-0899318A0581}" xr6:coauthVersionLast="44" xr6:coauthVersionMax="44" xr10:uidLastSave="{00000000-0000-0000-0000-000000000000}"/>
  <workbookProtection workbookAlgorithmName="SHA-512" workbookHashValue="kDb70yJhvZkqAhiI6UCPbrlHjERro1Lol+SPLjLoNUeaP/dpcHrTHnqoceIIv9QOZwudqA5bdjg4VZKMiihijA==" workbookSaltValue="X/uCS15VKVd4NKPcQOYQpA==" workbookSpinCount="100000" lockStructure="1"/>
  <bookViews>
    <workbookView xWindow="-108" yWindow="-108" windowWidth="23256" windowHeight="12576" tabRatio="763" activeTab="3" xr2:uid="{00000000-000D-0000-FFFF-FFFF00000000}"/>
  </bookViews>
  <sheets>
    <sheet name="Instructions &amp; Glossary" sheetId="44" r:id="rId1"/>
    <sheet name="Selection" sheetId="14" r:id="rId2"/>
    <sheet name="Dummy Payslip" sheetId="20" r:id="rId3"/>
    <sheet name="Annexure A" sheetId="58" r:id="rId4"/>
    <sheet name="For Office Use" sheetId="61" state="hidden" r:id="rId5"/>
    <sheet name="Pie Chart Data" sheetId="12" state="hidden" r:id="rId6"/>
    <sheet name="Lists &amp; Rates" sheetId="15" state="hidden" r:id="rId7"/>
    <sheet name="Pictures" sheetId="60" state="hidden" r:id="rId8"/>
  </sheets>
  <externalReferences>
    <externalReference r:id="rId9"/>
  </externalReferences>
  <definedNames>
    <definedName name="_xlnm._FilterDatabase" localSheetId="6" hidden="1">'Lists &amp; Rates'!$B$302:$G$353</definedName>
    <definedName name="_Key1" localSheetId="3" hidden="1">#REF!</definedName>
    <definedName name="_Key1" hidden="1">#REF!</definedName>
    <definedName name="_Order1" hidden="1">255</definedName>
    <definedName name="_Sort" localSheetId="3" hidden="1">#REF!</definedName>
    <definedName name="_Sort" hidden="1">#REF!</definedName>
    <definedName name="Alliance_BeveragesST">'Lists &amp; Rates'!$A$65</definedName>
    <definedName name="Alliance_Salary">'Lists &amp; Rates'!$F$70:$F$77</definedName>
    <definedName name="Alrode_Brewery">'Lists &amp; Rates'!$C$43:$C$44</definedName>
    <definedName name="AS2DocOpenMode" hidden="1">"AS2DocumentEdit"</definedName>
    <definedName name="bonus">'Lists &amp; Rates'!$A$476:$A$477</definedName>
    <definedName name="Brewex_Salary">'Lists &amp; Rates'!$G$70:$G$77</definedName>
    <definedName name="BrewexST">'Lists &amp; Rates'!$A$66</definedName>
    <definedName name="Cape_Region">'Lists &amp; Rates'!$L$43:$L$54</definedName>
    <definedName name="car">'Lists &amp; Rates'!$A$175:$A$177</definedName>
    <definedName name="CarAC">'Lists &amp; Rates'!$A$152:$A$153</definedName>
    <definedName name="carloan">'Lists &amp; Rates'!$A$198:$B$205</definedName>
    <definedName name="cars">'Lists &amp; Rates'!$A$149</definedName>
    <definedName name="Central_Region">'Lists &amp; Rates'!$K$43:$K$55</definedName>
    <definedName name="Chamdor_Brewery">'Lists &amp; Rates'!$D$43:$D$44</definedName>
    <definedName name="Company">'Lists &amp; Rates'!$A$13:$A$17</definedName>
    <definedName name="comprehensive">'For Office Use'!$B$69:$I$80</definedName>
    <definedName name="csDesignMode">1</definedName>
    <definedName name="East_Coast_Region">'Lists &amp; Rates'!$J$43:$J$52</definedName>
    <definedName name="EE_Package">'Lists &amp; Rates'!$A$61:$A$66</definedName>
    <definedName name="EER">'Lists &amp; Rates'!$A$279:$A$281</definedName>
    <definedName name="Egoli_Region">'Lists &amp; Rates'!$H$43:$H$49</definedName>
    <definedName name="essential">'For Office Use'!$B$54:$I$65</definedName>
    <definedName name="Fixedcar">'Lists &amp; Rates'!$A$184:$B$185</definedName>
    <definedName name="Flex">'Lists &amp; Rates'!$A$279:$A$281</definedName>
    <definedName name="Ibhayi_Brewery">'Lists &amp; Rates'!$F$43</definedName>
    <definedName name="INFO_EXE_SERVER_PATH" hidden="1">"D:\SoftlineVIP\Payroll\Premier\VIPBIM\ALCHEMEXVIP.EXE"</definedName>
    <definedName name="INFO_INSTANCE_ID" hidden="1">"0"</definedName>
    <definedName name="INFO_INSTANCE_NAME" hidden="1">"Earn, Ded and CC-AFTool_20130228_13_57_05_5757.xls"</definedName>
    <definedName name="INFO_REPORT_CODE" hidden="1">""</definedName>
    <definedName name="INFO_REPORT_ID" hidden="1">"2"</definedName>
    <definedName name="INFO_REPORT_NAME" hidden="1">"Earn, Ded and CC-AFTool"</definedName>
    <definedName name="INFO_RUN_USER" hidden="1">""</definedName>
    <definedName name="INFO_RUN_WORKSTATION" hidden="1">"WZARDPB002"</definedName>
    <definedName name="MAXPE">'Lists &amp; Rates'!$C$226:$C$233</definedName>
    <definedName name="Medplan">'Lists &amp; Rates'!$A$285:$A$286</definedName>
    <definedName name="mypicture">INDEX(Pictures!$A$1:$B$6,MATCH(Pictures!$A$11,Pictures!$A$1:$A$6,0),2)</definedName>
    <definedName name="Newlands_Brewery">'Lists &amp; Rates'!$G$43</definedName>
    <definedName name="North_Region">'Lists &amp; Rates'!$I$43:$I$53</definedName>
    <definedName name="Number">'Lists &amp; Rates'!$A$104:$A$114</definedName>
    <definedName name="Polokwane_Brewery">'Lists &amp; Rates'!$A$43</definedName>
    <definedName name="_xlnm.Print_Area" localSheetId="3">'Annexure A'!$B$3:$N$88</definedName>
    <definedName name="_xlnm.Print_Area" localSheetId="2">'Dummy Payslip'!$B$3:$S$109</definedName>
    <definedName name="_xlnm.Print_Area" localSheetId="0">'Instructions &amp; Glossary'!$B$3:$I$56</definedName>
    <definedName name="_xlnm.Print_Area" localSheetId="1">Selection!$B$1:$S$141</definedName>
    <definedName name="_xlnm.Print_Titles" localSheetId="0">'Instructions &amp; Glossary'!$3:$3</definedName>
    <definedName name="_xlnm.Print_Titles" localSheetId="1">Selection!$1:$37</definedName>
    <definedName name="Prospecton_Brewery">'Lists &amp; Rates'!$E$43:$E$44</definedName>
    <definedName name="Reasons">'Lists &amp; Rates'!$A$95:$A$98</definedName>
    <definedName name="RET">'Lists &amp; Rates'!$A$215</definedName>
    <definedName name="RetContrib">'For Office Use'!$C$144:$C$144</definedName>
    <definedName name="Ribbon">INDEX(Pictures!$C$1:$C$6,MATCH(Pictures!$A$11,Pictures!$A$1:$A$6,0))</definedName>
    <definedName name="Rosslyn_Brewery">'Lists &amp; Rates'!$B$43:$B$44</definedName>
    <definedName name="SAB_Central_Office">'Lists &amp; Rates'!$M$43:$M$55</definedName>
    <definedName name="SAB_Company">'Lists &amp; Rates'!$A$13:$A$17</definedName>
    <definedName name="SAB_Hop_Farms">'Lists &amp; Rates'!$R$43</definedName>
    <definedName name="SAB_Limited">'Lists &amp; Rates'!$A$21:$A$38</definedName>
    <definedName name="SAB_LimitedST">'Lists &amp; Rates'!$A$61:$A$62</definedName>
    <definedName name="SAB_Salary">'Lists &amp; Rates'!$A$70:$A$91</definedName>
    <definedName name="SAB_Wages">'Lists &amp; Rates'!$B$70:$B$74</definedName>
    <definedName name="SABLeave">'Lists &amp; Rates'!$C$303:$C$353</definedName>
    <definedName name="SABLeave3">'Lists &amp; Rates'!$D$303:$D$353</definedName>
    <definedName name="SABLeave5">'Lists &amp; Rates'!$E$303:$E$353</definedName>
    <definedName name="SABMiller_Africa">'Lists &amp; Rates'!$C$21</definedName>
    <definedName name="SABMiller_Africa_Salary">'Lists &amp; Rates'!$C$70:$C$91</definedName>
    <definedName name="SABMiller_AfricaST">'Lists &amp; Rates'!$A$63</definedName>
    <definedName name="SABMiller_Global_Projects">'Lists &amp; Rates'!$N$43</definedName>
    <definedName name="SABMiller_Global_Technical">'Lists &amp; Rates'!$O$43</definedName>
    <definedName name="SAM_Alrode_Maltings">'Lists &amp; Rates'!$P$43</definedName>
    <definedName name="SAM_Caledon_Maltings">'Lists &amp; Rates'!$Q$43:$Q$46</definedName>
    <definedName name="SGCS">'Lists &amp; Rates'!$D$21</definedName>
    <definedName name="SGCS_Salary">'Lists &amp; Rates'!$D$70:$D$91</definedName>
    <definedName name="SGCSST">'Lists &amp; Rates'!$A$64</definedName>
    <definedName name="Status">'Lists &amp; Rates'!$A$520:$A$521</definedName>
    <definedName name="stiper">'Lists &amp; Rates'!$B$359:$B$363</definedName>
    <definedName name="SV_AUTO_CONN_CATALOG" hidden="1">"VIPBIM001"</definedName>
    <definedName name="SV_AUTO_CONN_SERVER" hidden="1">""</definedName>
    <definedName name="SV_ENCPT_AUTO_CONN_PASSWORD" hidden="1">"083096084083070124106113058056052051050062"</definedName>
    <definedName name="SV_ENCPT_AUTO_CONN_USER" hidden="1">"095094088070084124106113"</definedName>
    <definedName name="SV_ENCPT_LOGON_PWD" hidden="1">"078104085088070"</definedName>
    <definedName name="SV_ENCPT_LOGON_USER" hidden="1">"095094088070084"</definedName>
    <definedName name="SV_ENCPT_REPORT_MAINT_LEVEL" hidden="1">"076078091070078076"</definedName>
    <definedName name="SV_ENCPT_USER_ACCESS_LEVEL_ID" hidden="1">"069085100074070059"</definedName>
    <definedName name="SV_ENCPT_VIP_COMPANY_NUMBER" hidden="1">"085086071070084054049050"</definedName>
    <definedName name="SV_ENCPT_VIP_DATA_PATH" hidden="1">"095089070085074074059093085111106118108114117101089078081093085097125119111117113093082120102110107101118"</definedName>
    <definedName name="SV_REPORT_CODE" hidden="1">""</definedName>
    <definedName name="SV_REPORT_ID" hidden="1">"2"</definedName>
    <definedName name="SV_REPORT_NAME" hidden="1">"Earn, Ded and CC-AFTool"</definedName>
    <definedName name="SV_SOLUTION_ID" hidden="1">"7"</definedName>
    <definedName name="TAX">'Lists &amp; Rates'!$120:$120</definedName>
    <definedName name="travel">'Lists &amp; Rates'!$A$171:$A$172</definedName>
    <definedName name="UIF">'Lists &amp; Rates'!$210:$210</definedName>
    <definedName name="Variablecar">'Lists &amp; Rates'!$A$188:$B$195</definedName>
    <definedName name="Wagehours">'Lists &amp; Rates'!$A$470:$A$471</definedName>
    <definedName name="wrn.Aging._.and._.Trend._.Analysis." hidden="1">{#N/A,#N/A,FALSE,"Aging Summary";#N/A,#N/A,FALSE,"Ratio Analysis";#N/A,#N/A,FALSE,"Test 120 Day Accts";#N/A,#N/A,FALSE,"Tickmarks"}</definedName>
    <definedName name="YN">'Lists &amp; Rates'!$A$117:$A$118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0" i="61" l="1"/>
  <c r="I71" i="61"/>
  <c r="I72" i="61"/>
  <c r="I73" i="61"/>
  <c r="I74" i="61"/>
  <c r="I75" i="61"/>
  <c r="I76" i="61"/>
  <c r="I77" i="61"/>
  <c r="I78" i="61"/>
  <c r="I79" i="61"/>
  <c r="I80" i="61"/>
  <c r="I69" i="61"/>
  <c r="I55" i="61"/>
  <c r="I56" i="61"/>
  <c r="I57" i="61"/>
  <c r="I58" i="61"/>
  <c r="I59" i="61"/>
  <c r="I60" i="61"/>
  <c r="I61" i="61"/>
  <c r="I62" i="61"/>
  <c r="I63" i="61"/>
  <c r="I64" i="61"/>
  <c r="I65" i="61"/>
  <c r="I54" i="61"/>
  <c r="G55" i="61"/>
  <c r="G56" i="61"/>
  <c r="G57" i="61"/>
  <c r="G58" i="61"/>
  <c r="G59" i="61"/>
  <c r="G60" i="61"/>
  <c r="G61" i="61"/>
  <c r="G62" i="61"/>
  <c r="G63" i="61"/>
  <c r="G64" i="61"/>
  <c r="G65" i="61"/>
  <c r="G54" i="61"/>
  <c r="E55" i="61"/>
  <c r="E56" i="61"/>
  <c r="E57" i="61"/>
  <c r="E58" i="61"/>
  <c r="E59" i="61"/>
  <c r="E60" i="61"/>
  <c r="E61" i="61"/>
  <c r="E62" i="61"/>
  <c r="E63" i="61"/>
  <c r="E64" i="61"/>
  <c r="E65" i="61"/>
  <c r="E54" i="61"/>
  <c r="C55" i="61"/>
  <c r="C56" i="61"/>
  <c r="C57" i="61"/>
  <c r="C58" i="61"/>
  <c r="C59" i="61"/>
  <c r="C60" i="61"/>
  <c r="C61" i="61"/>
  <c r="C62" i="61"/>
  <c r="C63" i="61"/>
  <c r="C64" i="61"/>
  <c r="C54" i="61"/>
  <c r="G70" i="61" l="1"/>
  <c r="G71" i="61"/>
  <c r="G72" i="61"/>
  <c r="G73" i="61"/>
  <c r="G74" i="61"/>
  <c r="G75" i="61"/>
  <c r="G76" i="61"/>
  <c r="G77" i="61"/>
  <c r="G78" i="61"/>
  <c r="G79" i="61"/>
  <c r="G80" i="61"/>
  <c r="G69" i="61"/>
  <c r="E70" i="61"/>
  <c r="E71" i="61"/>
  <c r="E72" i="61"/>
  <c r="E73" i="61"/>
  <c r="E74" i="61"/>
  <c r="E75" i="61"/>
  <c r="E76" i="61"/>
  <c r="E77" i="61"/>
  <c r="E78" i="61"/>
  <c r="E79" i="61"/>
  <c r="E80" i="61"/>
  <c r="E69" i="61"/>
  <c r="C70" i="61"/>
  <c r="C71" i="61"/>
  <c r="C72" i="61"/>
  <c r="C73" i="61"/>
  <c r="C74" i="61"/>
  <c r="C75" i="61"/>
  <c r="C76" i="61"/>
  <c r="C77" i="61"/>
  <c r="C78" i="61"/>
  <c r="C79" i="61"/>
  <c r="C69" i="61"/>
  <c r="O138" i="14" l="1"/>
  <c r="D84" i="61" l="1"/>
  <c r="D94" i="61"/>
  <c r="E94" i="61" s="1"/>
  <c r="D93" i="61"/>
  <c r="E93" i="61" s="1"/>
  <c r="D91" i="61"/>
  <c r="E91" i="61" s="1"/>
  <c r="D90" i="61"/>
  <c r="E90" i="61" s="1"/>
  <c r="D89" i="61"/>
  <c r="E89" i="61" s="1"/>
  <c r="D86" i="61"/>
  <c r="H87" i="61" s="1"/>
  <c r="D85" i="61"/>
  <c r="D143" i="61" l="1"/>
  <c r="D144" i="61" s="1"/>
  <c r="D145" i="61" s="1"/>
  <c r="D146" i="61" s="1"/>
  <c r="D147" i="61" s="1"/>
  <c r="E144" i="61"/>
  <c r="E145" i="61" s="1"/>
  <c r="E146" i="61" s="1"/>
  <c r="E147" i="61" s="1"/>
  <c r="F144" i="61"/>
  <c r="F145" i="61" s="1"/>
  <c r="F146" i="61" s="1"/>
  <c r="F147" i="61" s="1"/>
  <c r="D51" i="61" l="1"/>
  <c r="C38" i="61" l="1"/>
  <c r="C37" i="61"/>
  <c r="C36" i="61"/>
  <c r="C35" i="61"/>
  <c r="C34" i="61"/>
  <c r="C33" i="61"/>
  <c r="C32" i="61"/>
  <c r="C22" i="61"/>
  <c r="C21" i="61"/>
  <c r="C20" i="61"/>
  <c r="C19" i="61"/>
  <c r="C18" i="61"/>
  <c r="C17" i="61"/>
  <c r="B387" i="15" l="1"/>
  <c r="R98" i="14" l="1"/>
  <c r="M72" i="14" l="1"/>
  <c r="A168" i="15" l="1"/>
  <c r="A167" i="15"/>
  <c r="E158" i="15"/>
  <c r="E159" i="15"/>
  <c r="E160" i="15"/>
  <c r="E161" i="15"/>
  <c r="E162" i="15"/>
  <c r="E163" i="15"/>
  <c r="E164" i="15"/>
  <c r="E157" i="15"/>
  <c r="D158" i="15"/>
  <c r="D159" i="15"/>
  <c r="D160" i="15"/>
  <c r="D161" i="15"/>
  <c r="D162" i="15"/>
  <c r="D163" i="15"/>
  <c r="D164" i="15"/>
  <c r="D157" i="15"/>
  <c r="C158" i="15"/>
  <c r="C159" i="15"/>
  <c r="C160" i="15"/>
  <c r="C161" i="15"/>
  <c r="C162" i="15"/>
  <c r="C163" i="15"/>
  <c r="C164" i="15"/>
  <c r="C157" i="15"/>
  <c r="B158" i="15"/>
  <c r="B159" i="15"/>
  <c r="B160" i="15"/>
  <c r="B161" i="15"/>
  <c r="B162" i="15"/>
  <c r="B163" i="15"/>
  <c r="B157" i="15"/>
  <c r="A158" i="15"/>
  <c r="A159" i="15"/>
  <c r="A160" i="15"/>
  <c r="A161" i="15"/>
  <c r="A162" i="15"/>
  <c r="A163" i="15"/>
  <c r="A164" i="15"/>
  <c r="A157" i="15"/>
  <c r="B140" i="15" l="1"/>
  <c r="B141" i="15"/>
  <c r="B139" i="15"/>
  <c r="D133" i="15"/>
  <c r="D134" i="15"/>
  <c r="D135" i="15"/>
  <c r="D136" i="15"/>
  <c r="D137" i="15"/>
  <c r="D138" i="15"/>
  <c r="D132" i="15"/>
  <c r="C133" i="15"/>
  <c r="C134" i="15"/>
  <c r="C135" i="15"/>
  <c r="C136" i="15"/>
  <c r="C137" i="15"/>
  <c r="C138" i="15"/>
  <c r="C132" i="15"/>
  <c r="B133" i="15"/>
  <c r="B134" i="15"/>
  <c r="B135" i="15"/>
  <c r="B136" i="15"/>
  <c r="B137" i="15"/>
  <c r="B132" i="15"/>
  <c r="A133" i="15"/>
  <c r="A134" i="15"/>
  <c r="A135" i="15"/>
  <c r="A136" i="15"/>
  <c r="A137" i="15"/>
  <c r="A138" i="15"/>
  <c r="A132" i="15"/>
  <c r="B125" i="15"/>
  <c r="B124" i="15"/>
  <c r="B123" i="15"/>
  <c r="B142" i="15" l="1"/>
  <c r="O47" i="14"/>
  <c r="C291" i="15" l="1"/>
  <c r="O43" i="20"/>
  <c r="Q43" i="20" s="1"/>
  <c r="B501" i="15"/>
  <c r="B57" i="15" l="1"/>
  <c r="B58" i="15" s="1"/>
  <c r="B466" i="15" l="1"/>
  <c r="A467" i="15" s="1"/>
  <c r="C11" i="20" l="1"/>
  <c r="K90" i="20"/>
  <c r="M76" i="14" l="1"/>
  <c r="A495" i="15" l="1"/>
  <c r="A496" i="15" s="1"/>
  <c r="N36" i="14" l="1"/>
  <c r="B480" i="15" l="1"/>
  <c r="B479" i="15"/>
  <c r="A485" i="15"/>
  <c r="A486" i="15"/>
  <c r="A487" i="15"/>
  <c r="A488" i="15"/>
  <c r="A489" i="15"/>
  <c r="N34" i="14"/>
  <c r="B497" i="15" s="1"/>
  <c r="B503" i="15" l="1"/>
  <c r="D485" i="15"/>
  <c r="D489" i="15"/>
  <c r="D486" i="15"/>
  <c r="D488" i="15"/>
  <c r="D487" i="15"/>
  <c r="B498" i="15"/>
  <c r="C486" i="15"/>
  <c r="C487" i="15"/>
  <c r="C489" i="15"/>
  <c r="C488" i="15"/>
  <c r="C485" i="15"/>
  <c r="E4" i="58"/>
  <c r="G4" i="20"/>
  <c r="D480" i="15" l="1"/>
  <c r="D33" i="58"/>
  <c r="L33" i="58"/>
  <c r="K33" i="58" l="1"/>
  <c r="J60" i="14" l="1"/>
  <c r="L54" i="58"/>
  <c r="L53" i="58"/>
  <c r="L52" i="58"/>
  <c r="A11" i="60" l="1"/>
  <c r="A9" i="60"/>
  <c r="A6" i="60"/>
  <c r="A5" i="60"/>
  <c r="A4" i="60"/>
  <c r="A3" i="60"/>
  <c r="A2" i="60"/>
  <c r="C27" i="61"/>
  <c r="O51" i="14"/>
  <c r="O53" i="14" s="1"/>
  <c r="Q53" i="14" s="1"/>
  <c r="B389" i="15"/>
  <c r="B388" i="15"/>
  <c r="B386" i="15"/>
  <c r="B373" i="15"/>
  <c r="B374" i="15" s="1"/>
  <c r="B375" i="15" s="1"/>
  <c r="B376" i="15" s="1"/>
  <c r="B377" i="15" s="1"/>
  <c r="B378" i="15" s="1"/>
  <c r="B379" i="15" s="1"/>
  <c r="B380" i="15" s="1"/>
  <c r="B381" i="15" s="1"/>
  <c r="B382" i="15" s="1"/>
  <c r="B372" i="15"/>
  <c r="C294" i="15"/>
  <c r="C293" i="15"/>
  <c r="D291" i="15"/>
  <c r="B219" i="15"/>
  <c r="B218" i="15"/>
  <c r="C195" i="15"/>
  <c r="C194" i="15"/>
  <c r="C193" i="15"/>
  <c r="C192" i="15"/>
  <c r="C191" i="15"/>
  <c r="C190" i="15"/>
  <c r="C189" i="15"/>
  <c r="C19" i="20"/>
  <c r="B147" i="15"/>
  <c r="B146" i="15"/>
  <c r="A8" i="15"/>
  <c r="A7" i="15"/>
  <c r="A6" i="15"/>
  <c r="A5" i="15"/>
  <c r="A4" i="15"/>
  <c r="N110" i="12"/>
  <c r="B110" i="12"/>
  <c r="N109" i="12"/>
  <c r="B109" i="12"/>
  <c r="B107" i="12"/>
  <c r="C88" i="58"/>
  <c r="C63" i="58"/>
  <c r="L59" i="58"/>
  <c r="L61" i="58" s="1"/>
  <c r="L55" i="58"/>
  <c r="C54" i="58"/>
  <c r="C53" i="58"/>
  <c r="C52" i="58"/>
  <c r="C43" i="58"/>
  <c r="D32" i="58"/>
  <c r="D26" i="58"/>
  <c r="D20" i="58"/>
  <c r="E11" i="58"/>
  <c r="D11" i="58"/>
  <c r="E10" i="58"/>
  <c r="G72" i="58" s="1"/>
  <c r="E9" i="58"/>
  <c r="E8" i="58"/>
  <c r="E7" i="58"/>
  <c r="E6" i="58"/>
  <c r="D6" i="58"/>
  <c r="E5" i="58"/>
  <c r="D80" i="58"/>
  <c r="C109" i="20"/>
  <c r="Q83" i="20"/>
  <c r="Q82" i="20"/>
  <c r="J59" i="20"/>
  <c r="C56" i="20"/>
  <c r="Q52" i="20"/>
  <c r="L32" i="58" s="1"/>
  <c r="K32" i="58" s="1"/>
  <c r="J29" i="20"/>
  <c r="I20" i="20"/>
  <c r="O18" i="20"/>
  <c r="O57" i="20" s="1"/>
  <c r="G11" i="20"/>
  <c r="G10" i="20"/>
  <c r="G9" i="20"/>
  <c r="G8" i="20"/>
  <c r="G7" i="20"/>
  <c r="C7" i="20"/>
  <c r="G6" i="20"/>
  <c r="G5" i="20"/>
  <c r="C142" i="14"/>
  <c r="O64" i="20"/>
  <c r="K132" i="14"/>
  <c r="H126" i="14"/>
  <c r="K124" i="14"/>
  <c r="H124" i="14"/>
  <c r="M116" i="14"/>
  <c r="K63" i="58" s="1"/>
  <c r="Q93" i="14"/>
  <c r="Q85" i="14"/>
  <c r="O82" i="14"/>
  <c r="J45" i="14"/>
  <c r="Q41" i="14"/>
  <c r="C41" i="14"/>
  <c r="G28" i="14"/>
  <c r="G22" i="14"/>
  <c r="G20" i="14"/>
  <c r="K14" i="14"/>
  <c r="K12" i="14"/>
  <c r="C292" i="15" l="1"/>
  <c r="C296" i="15" s="1"/>
  <c r="O134" i="14" s="1"/>
  <c r="C58" i="20"/>
  <c r="M57" i="20"/>
  <c r="Q57" i="20"/>
  <c r="M18" i="20"/>
  <c r="Q18" i="20" s="1"/>
  <c r="K18" i="20"/>
  <c r="G25" i="20"/>
  <c r="L64" i="58"/>
  <c r="B390" i="15"/>
  <c r="M85" i="20" s="1"/>
  <c r="O85" i="20" s="1"/>
  <c r="Q85" i="20" s="1"/>
  <c r="M27" i="20" s="1"/>
  <c r="K27" i="20" s="1"/>
  <c r="O52" i="20"/>
  <c r="F268" i="15"/>
  <c r="G267" i="15"/>
  <c r="B267" i="15"/>
  <c r="D266" i="15"/>
  <c r="E265" i="15"/>
  <c r="F264" i="15"/>
  <c r="E268" i="15"/>
  <c r="F267" i="15"/>
  <c r="G266" i="15"/>
  <c r="B266" i="15"/>
  <c r="D265" i="15"/>
  <c r="E264" i="15"/>
  <c r="D268" i="15"/>
  <c r="E267" i="15"/>
  <c r="F266" i="15"/>
  <c r="G265" i="15"/>
  <c r="B265" i="15"/>
  <c r="D264" i="15"/>
  <c r="G268" i="15"/>
  <c r="B268" i="15"/>
  <c r="D267" i="15"/>
  <c r="E266" i="15"/>
  <c r="F265" i="15"/>
  <c r="G264" i="15"/>
  <c r="B264" i="15"/>
  <c r="Q64" i="20"/>
  <c r="M64" i="20"/>
  <c r="D22" i="58" l="1"/>
  <c r="I27" i="20"/>
  <c r="K52" i="20"/>
  <c r="I60" i="20"/>
  <c r="M52" i="20"/>
  <c r="K60" i="20"/>
  <c r="O60" i="20" l="1"/>
  <c r="Q60" i="20" l="1"/>
  <c r="M60" i="20"/>
  <c r="C480" i="15" l="1"/>
  <c r="Q43" i="14"/>
  <c r="E285" i="15" l="1"/>
  <c r="D83" i="61" s="1"/>
  <c r="Q47" i="14"/>
  <c r="B221" i="15"/>
  <c r="G88" i="61" l="1"/>
  <c r="G89" i="61"/>
  <c r="F89" i="61"/>
  <c r="F93" i="61"/>
  <c r="G93" i="61"/>
  <c r="F88" i="61"/>
  <c r="H88" i="61" s="1"/>
  <c r="J88" i="61" s="1"/>
  <c r="O90" i="14"/>
  <c r="O45" i="20" s="1"/>
  <c r="O45" i="14"/>
  <c r="O126" i="14"/>
  <c r="Q126" i="14" s="1"/>
  <c r="Q19" i="20" s="1"/>
  <c r="C3" i="12" s="1"/>
  <c r="D3" i="12" s="1"/>
  <c r="Q116" i="14"/>
  <c r="O17" i="20"/>
  <c r="C260" i="15"/>
  <c r="G230" i="15"/>
  <c r="E241" i="15"/>
  <c r="B235" i="15"/>
  <c r="E231" i="15"/>
  <c r="F244" i="15"/>
  <c r="C261" i="15"/>
  <c r="C258" i="15"/>
  <c r="C248" i="15"/>
  <c r="G226" i="15"/>
  <c r="E245" i="15"/>
  <c r="E226" i="15"/>
  <c r="E242" i="15"/>
  <c r="G229" i="15"/>
  <c r="F242" i="15"/>
  <c r="G234" i="15"/>
  <c r="D230" i="15"/>
  <c r="B243" i="15"/>
  <c r="B234" i="15"/>
  <c r="E230" i="15"/>
  <c r="D243" i="15"/>
  <c r="E235" i="15"/>
  <c r="F239" i="15"/>
  <c r="D242" i="15"/>
  <c r="E227" i="15"/>
  <c r="D240" i="15"/>
  <c r="B230" i="15"/>
  <c r="G227" i="15"/>
  <c r="F240" i="15"/>
  <c r="D229" i="15"/>
  <c r="B228" i="15"/>
  <c r="G240" i="15"/>
  <c r="D228" i="15"/>
  <c r="F231" i="15"/>
  <c r="F234" i="15"/>
  <c r="G247" i="15"/>
  <c r="D244" i="15"/>
  <c r="D237" i="15"/>
  <c r="C262" i="15"/>
  <c r="E238" i="15"/>
  <c r="B229" i="15"/>
  <c r="D245" i="15"/>
  <c r="B226" i="15"/>
  <c r="F229" i="15"/>
  <c r="F245" i="15"/>
  <c r="B233" i="15"/>
  <c r="G245" i="15"/>
  <c r="D241" i="15"/>
  <c r="E233" i="15"/>
  <c r="D246" i="15"/>
  <c r="E240" i="15"/>
  <c r="F233" i="15"/>
  <c r="E246" i="15"/>
  <c r="G241" i="15"/>
  <c r="D226" i="15"/>
  <c r="C251" i="15"/>
  <c r="F230" i="15"/>
  <c r="E243" i="15"/>
  <c r="E236" i="15"/>
  <c r="B231" i="15"/>
  <c r="G243" i="15"/>
  <c r="F235" i="15"/>
  <c r="D231" i="15"/>
  <c r="B244" i="15"/>
  <c r="B241" i="15"/>
  <c r="G228" i="15"/>
  <c r="E247" i="15"/>
  <c r="F243" i="15"/>
  <c r="B238" i="15"/>
  <c r="B232" i="15"/>
  <c r="D238" i="15"/>
  <c r="F241" i="15"/>
  <c r="F238" i="15"/>
  <c r="E229" i="15"/>
  <c r="G238" i="15"/>
  <c r="B236" i="15"/>
  <c r="C252" i="15"/>
  <c r="D236" i="15"/>
  <c r="C253" i="15"/>
  <c r="G246" i="15"/>
  <c r="F236" i="15"/>
  <c r="C255" i="15"/>
  <c r="D235" i="15"/>
  <c r="G244" i="15"/>
  <c r="D239" i="15"/>
  <c r="B227" i="15"/>
  <c r="D227" i="15"/>
  <c r="D232" i="15"/>
  <c r="G235" i="15"/>
  <c r="B237" i="15"/>
  <c r="C254" i="15"/>
  <c r="C259" i="15"/>
  <c r="F237" i="15"/>
  <c r="F228" i="15"/>
  <c r="G231" i="15"/>
  <c r="B245" i="15"/>
  <c r="F226" i="15"/>
  <c r="G239" i="15"/>
  <c r="G236" i="15"/>
  <c r="C249" i="15"/>
  <c r="E232" i="15"/>
  <c r="F246" i="15"/>
  <c r="D234" i="15"/>
  <c r="B242" i="15"/>
  <c r="D247" i="15"/>
  <c r="G237" i="15"/>
  <c r="B239" i="15"/>
  <c r="E239" i="15"/>
  <c r="F227" i="15"/>
  <c r="B240" i="15"/>
  <c r="D233" i="15"/>
  <c r="G232" i="15"/>
  <c r="C257" i="15"/>
  <c r="E237" i="15"/>
  <c r="C250" i="15"/>
  <c r="E244" i="15"/>
  <c r="C263" i="15"/>
  <c r="B246" i="15"/>
  <c r="E228" i="15"/>
  <c r="F247" i="15"/>
  <c r="C256" i="15"/>
  <c r="F232" i="15"/>
  <c r="G233" i="15"/>
  <c r="G242" i="15"/>
  <c r="B247" i="15"/>
  <c r="E234" i="15"/>
  <c r="F94" i="61" l="1"/>
  <c r="H94" i="61" s="1"/>
  <c r="J94" i="61" s="1"/>
  <c r="H93" i="61"/>
  <c r="J93" i="61" s="1"/>
  <c r="F90" i="61"/>
  <c r="H89" i="61"/>
  <c r="J89" i="61" s="1"/>
  <c r="G94" i="61"/>
  <c r="K88" i="61"/>
  <c r="G90" i="61"/>
  <c r="Q90" i="14"/>
  <c r="O19" i="20"/>
  <c r="K19" i="20" s="1"/>
  <c r="I58" i="20" s="1"/>
  <c r="L22" i="58"/>
  <c r="K22" i="58" s="1"/>
  <c r="B220" i="15"/>
  <c r="Q60" i="14" s="1"/>
  <c r="O60" i="14" s="1"/>
  <c r="Q45" i="20"/>
  <c r="O63" i="20"/>
  <c r="Q42" i="20"/>
  <c r="L63" i="58"/>
  <c r="Q17" i="20"/>
  <c r="K17" i="20"/>
  <c r="O56" i="20"/>
  <c r="F91" i="61" l="1"/>
  <c r="H91" i="61" s="1"/>
  <c r="J91" i="61" s="1"/>
  <c r="H90" i="61"/>
  <c r="J90" i="61" s="1"/>
  <c r="G91" i="61"/>
  <c r="K89" i="61"/>
  <c r="K93" i="61"/>
  <c r="K94" i="61"/>
  <c r="O20" i="20"/>
  <c r="K58" i="20"/>
  <c r="O58" i="20" s="1"/>
  <c r="Q58" i="20" s="1"/>
  <c r="M19" i="20"/>
  <c r="Q62" i="14"/>
  <c r="O62" i="14" s="1"/>
  <c r="Q74" i="14"/>
  <c r="Q80" i="14"/>
  <c r="Q48" i="20"/>
  <c r="O68" i="14"/>
  <c r="H34" i="20" s="1"/>
  <c r="H36" i="20" s="1"/>
  <c r="M56" i="20"/>
  <c r="Q56" i="20"/>
  <c r="Q72" i="20"/>
  <c r="O42" i="20"/>
  <c r="C4" i="12"/>
  <c r="D4" i="12" s="1"/>
  <c r="M17" i="20"/>
  <c r="K20" i="20"/>
  <c r="M63" i="20"/>
  <c r="Q63" i="20"/>
  <c r="L20" i="58"/>
  <c r="Q20" i="20"/>
  <c r="C12" i="12"/>
  <c r="D12" i="12" s="1"/>
  <c r="L34" i="58"/>
  <c r="O48" i="20"/>
  <c r="O74" i="14"/>
  <c r="O80" i="14"/>
  <c r="K47" i="58"/>
  <c r="L47" i="58" s="1"/>
  <c r="K90" i="61" l="1"/>
  <c r="K91" i="61"/>
  <c r="H95" i="61"/>
  <c r="M20" i="20"/>
  <c r="M58" i="20"/>
  <c r="Q50" i="20"/>
  <c r="Q36" i="20" s="1"/>
  <c r="C10" i="12" s="1"/>
  <c r="H37" i="20"/>
  <c r="O70" i="14"/>
  <c r="H35" i="20"/>
  <c r="J27" i="58"/>
  <c r="Q70" i="14"/>
  <c r="K21" i="58"/>
  <c r="L21" i="58" s="1"/>
  <c r="L18" i="58" s="1"/>
  <c r="M24" i="20"/>
  <c r="K24" i="20"/>
  <c r="K43" i="58" s="1"/>
  <c r="L30" i="58"/>
  <c r="K34" i="58"/>
  <c r="K30" i="58" s="1"/>
  <c r="K20" i="58"/>
  <c r="O72" i="20"/>
  <c r="B506" i="15"/>
  <c r="M72" i="20"/>
  <c r="O50" i="20"/>
  <c r="K49" i="58"/>
  <c r="L49" i="58" s="1"/>
  <c r="M23" i="20"/>
  <c r="K23" i="20"/>
  <c r="K42" i="58" s="1"/>
  <c r="K95" i="61" l="1"/>
  <c r="I99" i="61" s="1"/>
  <c r="O108" i="14" s="1"/>
  <c r="Q108" i="14" s="1"/>
  <c r="J95" i="61"/>
  <c r="I98" i="61" s="1"/>
  <c r="O110" i="14" s="1"/>
  <c r="Q37" i="20"/>
  <c r="C14" i="12" s="1"/>
  <c r="D14" i="12" s="1"/>
  <c r="H38" i="20"/>
  <c r="O38" i="20" s="1"/>
  <c r="O37" i="20"/>
  <c r="Q35" i="20"/>
  <c r="C11" i="12" s="1"/>
  <c r="D11" i="12" s="1"/>
  <c r="B505" i="15"/>
  <c r="O36" i="20"/>
  <c r="O35" i="20"/>
  <c r="M62" i="20" s="1"/>
  <c r="L42" i="58"/>
  <c r="H23" i="20"/>
  <c r="J42" i="58" s="1"/>
  <c r="D10" i="12"/>
  <c r="K18" i="58"/>
  <c r="L43" i="58"/>
  <c r="H24" i="20"/>
  <c r="J43" i="58" s="1"/>
  <c r="O112" i="14" l="1"/>
  <c r="K22" i="20"/>
  <c r="M22" i="20" s="1"/>
  <c r="C2" i="12" s="1"/>
  <c r="D2" i="12" s="1"/>
  <c r="I100" i="61"/>
  <c r="O33" i="20"/>
  <c r="Q110" i="14"/>
  <c r="Q112" i="14" s="1"/>
  <c r="Q62" i="20"/>
  <c r="Q38" i="20"/>
  <c r="C15" i="12" s="1"/>
  <c r="M61" i="20"/>
  <c r="O62" i="20"/>
  <c r="O61" i="20"/>
  <c r="O34" i="20"/>
  <c r="K40" i="58" l="1"/>
  <c r="L40" i="58" s="1"/>
  <c r="Q33" i="20"/>
  <c r="O59" i="20"/>
  <c r="O65" i="20" s="1"/>
  <c r="Q34" i="20"/>
  <c r="L27" i="58" s="1"/>
  <c r="Q61" i="20"/>
  <c r="G67" i="20" s="1"/>
  <c r="D15" i="12"/>
  <c r="K27" i="58"/>
  <c r="O39" i="20"/>
  <c r="O44" i="20" s="1"/>
  <c r="O46" i="20" s="1"/>
  <c r="Q59" i="20" l="1"/>
  <c r="Q65" i="20" s="1"/>
  <c r="E69" i="20" s="1"/>
  <c r="G69" i="20" s="1"/>
  <c r="G70" i="20" s="1"/>
  <c r="Q66" i="20" s="1"/>
  <c r="M59" i="20"/>
  <c r="M65" i="20" s="1"/>
  <c r="M84" i="20" s="1"/>
  <c r="K29" i="20" s="1"/>
  <c r="C13" i="12"/>
  <c r="L26" i="58"/>
  <c r="K26" i="58" s="1"/>
  <c r="K24" i="58" s="1"/>
  <c r="K16" i="58" s="1"/>
  <c r="Q39" i="20"/>
  <c r="Q44" i="20" s="1"/>
  <c r="C1" i="12" s="1"/>
  <c r="C5" i="12"/>
  <c r="O84" i="20"/>
  <c r="Q84" i="20" s="1"/>
  <c r="I29" i="20" l="1"/>
  <c r="D13" i="12"/>
  <c r="C9" i="12"/>
  <c r="C16" i="12" s="1"/>
  <c r="L24" i="58"/>
  <c r="L16" i="58" s="1"/>
  <c r="Q46" i="20"/>
  <c r="C6" i="12"/>
  <c r="C7" i="12" s="1"/>
  <c r="D5" i="12"/>
  <c r="O66" i="20"/>
  <c r="Q71" i="20"/>
  <c r="Q73" i="20" s="1"/>
  <c r="M29" i="20"/>
  <c r="H70" i="20"/>
  <c r="M66" i="20" l="1"/>
  <c r="M71" i="20" s="1"/>
  <c r="O71" i="20"/>
  <c r="B504" i="15" l="1"/>
  <c r="O75" i="20"/>
  <c r="O73" i="20"/>
  <c r="M75" i="20"/>
  <c r="M73" i="20"/>
  <c r="M76" i="20" s="1"/>
  <c r="O76" i="20" l="1"/>
  <c r="B515" i="15"/>
  <c r="B514" i="15"/>
  <c r="C514" i="15" s="1"/>
  <c r="H515" i="15"/>
  <c r="H514" i="15"/>
  <c r="I514" i="15" s="1"/>
  <c r="H512" i="15"/>
  <c r="I512" i="15" s="1"/>
  <c r="B512" i="15"/>
  <c r="C512" i="15" s="1"/>
  <c r="B510" i="15"/>
  <c r="C510" i="15" s="1"/>
  <c r="I515" i="15" l="1"/>
  <c r="J515" i="15" s="1"/>
  <c r="C515" i="15"/>
  <c r="D515" i="15" s="1"/>
  <c r="J514" i="15"/>
  <c r="B513" i="15"/>
  <c r="Q75" i="20" s="1"/>
  <c r="Q77" i="20" s="1"/>
  <c r="H513" i="15"/>
  <c r="Q76" i="20" s="1"/>
  <c r="B511" i="15"/>
  <c r="C511" i="15" s="1"/>
  <c r="D510" i="15"/>
  <c r="H510" i="15"/>
  <c r="I510" i="15" s="1"/>
  <c r="I513" i="15" l="1"/>
  <c r="C513" i="15"/>
  <c r="D513" i="15" s="1"/>
  <c r="D514" i="15"/>
  <c r="Q78" i="20"/>
  <c r="D512" i="15"/>
  <c r="H511" i="15"/>
  <c r="I511" i="15" s="1"/>
  <c r="D511" i="15"/>
  <c r="E510" i="15"/>
  <c r="J510" i="15"/>
  <c r="J512" i="15"/>
  <c r="E512" i="15"/>
  <c r="F512" i="15" s="1"/>
  <c r="Q80" i="20" l="1"/>
  <c r="M26" i="20" s="1"/>
  <c r="J513" i="15"/>
  <c r="E513" i="15"/>
  <c r="O77" i="20"/>
  <c r="M77" i="20" s="1"/>
  <c r="O80" i="20"/>
  <c r="M80" i="20" s="1"/>
  <c r="I26" i="20" s="1"/>
  <c r="I28" i="20" s="1"/>
  <c r="F510" i="15"/>
  <c r="G510" i="15" s="1"/>
  <c r="G512" i="15"/>
  <c r="E511" i="15"/>
  <c r="J511" i="15"/>
  <c r="O79" i="20" l="1"/>
  <c r="K25" i="20" s="1"/>
  <c r="K26" i="20"/>
  <c r="G511" i="15"/>
  <c r="E515" i="15"/>
  <c r="O78" i="20" l="1"/>
  <c r="G515" i="15"/>
  <c r="Q79" i="20"/>
  <c r="M25" i="20" s="1"/>
  <c r="M28" i="20" s="1"/>
  <c r="K28" i="20"/>
  <c r="K30" i="20" s="1"/>
  <c r="G513" i="15"/>
  <c r="M79" i="20" l="1"/>
  <c r="M78" i="20" s="1"/>
  <c r="M30" i="20"/>
</calcChain>
</file>

<file path=xl/sharedStrings.xml><?xml version="1.0" encoding="utf-8"?>
<sst xmlns="http://schemas.openxmlformats.org/spreadsheetml/2006/main" count="920" uniqueCount="537">
  <si>
    <t>Surname</t>
  </si>
  <si>
    <t>Grade</t>
  </si>
  <si>
    <t>B</t>
  </si>
  <si>
    <t>C</t>
  </si>
  <si>
    <t>A</t>
  </si>
  <si>
    <t>Company Car</t>
  </si>
  <si>
    <t>EE</t>
  </si>
  <si>
    <t>N/A</t>
  </si>
  <si>
    <t>Employee</t>
  </si>
  <si>
    <t>Disability</t>
  </si>
  <si>
    <t>Annual</t>
  </si>
  <si>
    <t>D</t>
  </si>
  <si>
    <t>No</t>
  </si>
  <si>
    <t>Yes</t>
  </si>
  <si>
    <t>Medical Aid Plan Name</t>
  </si>
  <si>
    <t>Funeral Cover</t>
  </si>
  <si>
    <t>Monthly</t>
  </si>
  <si>
    <t>Employee Number</t>
  </si>
  <si>
    <t>Job Title</t>
  </si>
  <si>
    <t>Employer Retirement and Risk Cover Contributions</t>
  </si>
  <si>
    <t>Other</t>
  </si>
  <si>
    <t>Benefits</t>
  </si>
  <si>
    <t>Use of a Company Vehicle</t>
  </si>
  <si>
    <t>Medical</t>
  </si>
  <si>
    <t>Strictly Private and Confidential</t>
  </si>
  <si>
    <t>RETIREMENT AND RISK BENEFIT SELECTIONS</t>
  </si>
  <si>
    <t>YesNo</t>
  </si>
  <si>
    <t>MEDICAL AID SELECTION</t>
  </si>
  <si>
    <t>Number</t>
  </si>
  <si>
    <t>Medical deductions:</t>
  </si>
  <si>
    <t>Principal member</t>
  </si>
  <si>
    <t>First dependent</t>
  </si>
  <si>
    <t>Each additional dependent</t>
  </si>
  <si>
    <t>Tax Rates</t>
  </si>
  <si>
    <t>Tax rates</t>
  </si>
  <si>
    <t>Rebate</t>
  </si>
  <si>
    <t>Age rebate 65 and older</t>
  </si>
  <si>
    <t>Age rebate 75 and older</t>
  </si>
  <si>
    <t>Deemed cost table</t>
  </si>
  <si>
    <t>Value (Incl VAT)</t>
  </si>
  <si>
    <t>Fixed Cost</t>
  </si>
  <si>
    <t>Fuel Cost</t>
  </si>
  <si>
    <t>Maintenance Cost</t>
  </si>
  <si>
    <t>Tax free reimbursement levels</t>
  </si>
  <si>
    <t>Travel Allowance Taxable %</t>
  </si>
  <si>
    <t>Unemployment Insurance Fund</t>
  </si>
  <si>
    <t>ER</t>
  </si>
  <si>
    <t>UIF</t>
  </si>
  <si>
    <t>=</t>
  </si>
  <si>
    <t>x</t>
  </si>
  <si>
    <t>Date</t>
  </si>
  <si>
    <t>Effective Date</t>
  </si>
  <si>
    <t>ESTIMATE DUMMY PAYSLIP</t>
  </si>
  <si>
    <t>Bonus Month</t>
  </si>
  <si>
    <t xml:space="preserve">Annual </t>
  </si>
  <si>
    <t>Employee Cash Flow</t>
  </si>
  <si>
    <t>Medical Aid</t>
  </si>
  <si>
    <t xml:space="preserve">PAYE </t>
  </si>
  <si>
    <t>Medical Aid Credit</t>
  </si>
  <si>
    <t>Total PAYE</t>
  </si>
  <si>
    <t>Estimated Employee Take-Home Pay</t>
  </si>
  <si>
    <t>ESTIMATE PAYE CALCULATION</t>
  </si>
  <si>
    <t>Monthly PAYE</t>
  </si>
  <si>
    <t>Other:</t>
  </si>
  <si>
    <t>Cash</t>
  </si>
  <si>
    <t>PAYE:</t>
  </si>
  <si>
    <t>Less Employee Contributions / Deductions</t>
  </si>
  <si>
    <t>Cash Components</t>
  </si>
  <si>
    <t>Additional Information</t>
  </si>
  <si>
    <t>This schedule will be active as of:</t>
  </si>
  <si>
    <t>Maintenance</t>
  </si>
  <si>
    <t>Glossary</t>
  </si>
  <si>
    <t>Company</t>
  </si>
  <si>
    <t>Pensionable Salary</t>
  </si>
  <si>
    <t xml:space="preserve"> </t>
  </si>
  <si>
    <t>Add Company Contributions</t>
  </si>
  <si>
    <t>Cost to Company</t>
  </si>
  <si>
    <t>Cost to Company Breakdown</t>
  </si>
  <si>
    <t xml:space="preserve">Getting Started </t>
  </si>
  <si>
    <t>The white cells indicate the fields where your input is required.</t>
  </si>
  <si>
    <t>This tab outlines your estimated take home pay and estimated tax computation.</t>
  </si>
  <si>
    <t xml:space="preserve">You are not required to input any data on this sheet.  </t>
  </si>
  <si>
    <t>The information on the "Travel Allowance" tab allows for the computation of a tax break-even travel allowance.</t>
  </si>
  <si>
    <t>You will find a glossary of terms used throughout the calculator at the bottom of this page for your easy reference.</t>
  </si>
  <si>
    <t>Questions</t>
  </si>
  <si>
    <t>INSTRUCTION / HELP SHEET</t>
  </si>
  <si>
    <t>The grey cells do not require input as these cells are either automatically populated or do not require input based on prior selections made.</t>
  </si>
  <si>
    <t>The selections you made on the “Selection" sheet have automatically populated this sheet.</t>
  </si>
  <si>
    <t>You are not required to input any data on this sheet.  The selections you made on the “Selection" sheet  have automatically populated this sheet.</t>
  </si>
  <si>
    <t>Step 1: The "Selection" Tab</t>
  </si>
  <si>
    <t>Step 4 :  The "Travel Allowance" Tab</t>
  </si>
  <si>
    <t xml:space="preserve">Step 5 :  The "Company Car Essential User" Tab </t>
  </si>
  <si>
    <t>Date to Text</t>
  </si>
  <si>
    <t>Age Rebate</t>
  </si>
  <si>
    <t>Names(s)</t>
  </si>
  <si>
    <t>CARS</t>
  </si>
  <si>
    <t>TAX</t>
  </si>
  <si>
    <t>RETIREMENT FUND &amp; RISK</t>
  </si>
  <si>
    <t xml:space="preserve">ER Retirement </t>
  </si>
  <si>
    <t>INDEX</t>
  </si>
  <si>
    <t>GENERAL</t>
  </si>
  <si>
    <t>Increase %</t>
  </si>
  <si>
    <t>Surname, Name(s)</t>
  </si>
  <si>
    <t>Travel Selection</t>
  </si>
  <si>
    <t>SCHEMATIC</t>
  </si>
  <si>
    <t>Grade / Level</t>
  </si>
  <si>
    <t xml:space="preserve">The information on this sheet provides your Package selections in summary.  </t>
  </si>
  <si>
    <t>New Appointment</t>
  </si>
  <si>
    <t>Promotion</t>
  </si>
  <si>
    <t>Reason for Change</t>
  </si>
  <si>
    <t>Increase Amount</t>
  </si>
  <si>
    <t>Medical Aid Cover</t>
  </si>
  <si>
    <t>Private &amp; Confidential</t>
  </si>
  <si>
    <t>Comments and Specific Instructions</t>
  </si>
  <si>
    <t>Tick Changes</t>
  </si>
  <si>
    <t>Retirement and Benefit Fund Tax Deduction</t>
  </si>
  <si>
    <t>You are not required to input any data on this sheet. The selections you made on the “Selection" sheet have automatically populated this sheet.</t>
  </si>
  <si>
    <t>BIO SELECTIONS</t>
  </si>
  <si>
    <t xml:space="preserve">Company </t>
  </si>
  <si>
    <t>SAB Limited</t>
  </si>
  <si>
    <t>SABMiller Africa</t>
  </si>
  <si>
    <t>Personnel Area</t>
  </si>
  <si>
    <t>ABI</t>
  </si>
  <si>
    <t>Polokwane Brewery</t>
  </si>
  <si>
    <t>Polokwane Prod</t>
  </si>
  <si>
    <t>Rosslyn Brewery</t>
  </si>
  <si>
    <t>Rosslyn Prod</t>
  </si>
  <si>
    <t>Rosslyn Reg Off</t>
  </si>
  <si>
    <t>Alrode Brewery</t>
  </si>
  <si>
    <t>Alrode Prod</t>
  </si>
  <si>
    <t>Alrode Reg Off</t>
  </si>
  <si>
    <t>Chamdor Brewery</t>
  </si>
  <si>
    <t>Chamdor Prod</t>
  </si>
  <si>
    <t>Chamdor Reg Off</t>
  </si>
  <si>
    <t>Prospecton Brewery</t>
  </si>
  <si>
    <t>Prospecton Reg</t>
  </si>
  <si>
    <t>Prospecton Prod</t>
  </si>
  <si>
    <t>Ibhayi Brewery</t>
  </si>
  <si>
    <t>Newlands Brewery</t>
  </si>
  <si>
    <t>Newlands Brewer</t>
  </si>
  <si>
    <t>Egoli Region</t>
  </si>
  <si>
    <t>Alrode Depot</t>
  </si>
  <si>
    <t>Baragwanath Dep</t>
  </si>
  <si>
    <t>Chamdor Depot</t>
  </si>
  <si>
    <t>Denver Depot</t>
  </si>
  <si>
    <t>Isando Depot</t>
  </si>
  <si>
    <t>Egoli Reg Off</t>
  </si>
  <si>
    <t>Wadeville Depot</t>
  </si>
  <si>
    <t>North Region</t>
  </si>
  <si>
    <t>Ermelo Depot</t>
  </si>
  <si>
    <t>Groblersdal</t>
  </si>
  <si>
    <t>Garankuwa Depot</t>
  </si>
  <si>
    <t>Tzaneen Depot</t>
  </si>
  <si>
    <t>Nelspruit Depot</t>
  </si>
  <si>
    <t>North Reg Off</t>
  </si>
  <si>
    <t>Phalaborwa</t>
  </si>
  <si>
    <t>Polokwane Depot</t>
  </si>
  <si>
    <t>Standerton Dep</t>
  </si>
  <si>
    <t>Witbank Depot</t>
  </si>
  <si>
    <t>Waltloo Depot</t>
  </si>
  <si>
    <t>East Coast Region</t>
  </si>
  <si>
    <t>Butterworth Dep</t>
  </si>
  <si>
    <t>Empangeni Depo</t>
  </si>
  <si>
    <t>Ladysmith Depo</t>
  </si>
  <si>
    <t>PMBurg Depot</t>
  </si>
  <si>
    <t>Prospecton Dep</t>
  </si>
  <si>
    <t>East Coast RO</t>
  </si>
  <si>
    <t>Port Shep Depo</t>
  </si>
  <si>
    <t>Springfield Dep</t>
  </si>
  <si>
    <t>Umtata Depot</t>
  </si>
  <si>
    <t>Kokstad Depot</t>
  </si>
  <si>
    <t>Central Region</t>
  </si>
  <si>
    <t>Bethlehem Depot</t>
  </si>
  <si>
    <t>Bloem Depot</t>
  </si>
  <si>
    <t>Central Reg Off</t>
  </si>
  <si>
    <t>Hartswater</t>
  </si>
  <si>
    <t>Kimberley Depot</t>
  </si>
  <si>
    <t>Kuruman Depot</t>
  </si>
  <si>
    <t>Mafikeng Depot</t>
  </si>
  <si>
    <t>Phuthaditijhaba</t>
  </si>
  <si>
    <t>Potch Depot</t>
  </si>
  <si>
    <t>Rustenburg Dep</t>
  </si>
  <si>
    <t>Upington Depot</t>
  </si>
  <si>
    <t>Vereeniging Dep</t>
  </si>
  <si>
    <t>Welkom</t>
  </si>
  <si>
    <t>Cape Region</t>
  </si>
  <si>
    <t>Aliwal North</t>
  </si>
  <si>
    <t>Bellville Depot</t>
  </si>
  <si>
    <t>East London Dep</t>
  </si>
  <si>
    <t>George Depot</t>
  </si>
  <si>
    <t>Knysna Depot</t>
  </si>
  <si>
    <t>Ottery Depot</t>
  </si>
  <si>
    <t>Port Elizabeth</t>
  </si>
  <si>
    <t>Queenstown Dep</t>
  </si>
  <si>
    <t>Vredendal Depot</t>
  </si>
  <si>
    <t>Cape Reg Off</t>
  </si>
  <si>
    <t>Woodstock Depot</t>
  </si>
  <si>
    <t>Worcester Depot</t>
  </si>
  <si>
    <t>SAB Central Office</t>
  </si>
  <si>
    <t>COF BIS</t>
  </si>
  <si>
    <t>COF CA</t>
  </si>
  <si>
    <t>COF CFI</t>
  </si>
  <si>
    <t>COF GTG</t>
  </si>
  <si>
    <t>COF HR</t>
  </si>
  <si>
    <t>COF MANUF</t>
  </si>
  <si>
    <t>COF MD</t>
  </si>
  <si>
    <t>COF MKT</t>
  </si>
  <si>
    <t>COF SC</t>
  </si>
  <si>
    <t>COF S&amp;D</t>
  </si>
  <si>
    <t>COF STRATEGY</t>
  </si>
  <si>
    <t>COF PROCUREMENT</t>
  </si>
  <si>
    <t>COF BUS.OPTIMIZ</t>
  </si>
  <si>
    <t>SABMiller Global Projects</t>
  </si>
  <si>
    <t>Project Triumph</t>
  </si>
  <si>
    <t>SABMiller Global Technical</t>
  </si>
  <si>
    <t>GT London</t>
  </si>
  <si>
    <t>SAM Alrode Maltings</t>
  </si>
  <si>
    <t>Alrode Maltings</t>
  </si>
  <si>
    <t>SAM Caledon Maltings</t>
  </si>
  <si>
    <t>Durban TermMalt</t>
  </si>
  <si>
    <t>Caledon Malting</t>
  </si>
  <si>
    <t>SABBF</t>
  </si>
  <si>
    <t>SABBI</t>
  </si>
  <si>
    <t>SAB Hop Farms</t>
  </si>
  <si>
    <t>SGCS</t>
  </si>
  <si>
    <t>Personnel Sub Area</t>
  </si>
  <si>
    <t>SAB</t>
  </si>
  <si>
    <t>Date of Birth</t>
  </si>
  <si>
    <t>Reason for Change Comments</t>
  </si>
  <si>
    <t>SAB Wages</t>
  </si>
  <si>
    <t>G</t>
  </si>
  <si>
    <t>P9</t>
  </si>
  <si>
    <t>A1</t>
  </si>
  <si>
    <t>H</t>
  </si>
  <si>
    <t>P9A</t>
  </si>
  <si>
    <t>I</t>
  </si>
  <si>
    <t>P10</t>
  </si>
  <si>
    <t>X4</t>
  </si>
  <si>
    <t>P11</t>
  </si>
  <si>
    <t>CS</t>
  </si>
  <si>
    <t>X3</t>
  </si>
  <si>
    <t>P12</t>
  </si>
  <si>
    <t>X2</t>
  </si>
  <si>
    <t>P13</t>
  </si>
  <si>
    <t>DA &amp; DM</t>
  </si>
  <si>
    <t>X1</t>
  </si>
  <si>
    <t>P14</t>
  </si>
  <si>
    <t>DR</t>
  </si>
  <si>
    <t>X0</t>
  </si>
  <si>
    <t>P15</t>
  </si>
  <si>
    <t>DS</t>
  </si>
  <si>
    <t>P16</t>
  </si>
  <si>
    <t>E</t>
  </si>
  <si>
    <t>P17</t>
  </si>
  <si>
    <t>EA</t>
  </si>
  <si>
    <t>P18</t>
  </si>
  <si>
    <t>ED</t>
  </si>
  <si>
    <t>P19</t>
  </si>
  <si>
    <t>ES</t>
  </si>
  <si>
    <t>P20</t>
  </si>
  <si>
    <t>ET</t>
  </si>
  <si>
    <t>EX</t>
  </si>
  <si>
    <t>F</t>
  </si>
  <si>
    <t>FD</t>
  </si>
  <si>
    <t>FF</t>
  </si>
  <si>
    <t>FP</t>
  </si>
  <si>
    <t>FS</t>
  </si>
  <si>
    <t>ZC</t>
  </si>
  <si>
    <t>ZA</t>
  </si>
  <si>
    <t>Reasons for Change</t>
  </si>
  <si>
    <t>Effective Date of Change</t>
  </si>
  <si>
    <t>None</t>
  </si>
  <si>
    <t>Salary Increase</t>
  </si>
  <si>
    <t>Other: Please Specify</t>
  </si>
  <si>
    <t>and</t>
  </si>
  <si>
    <t>Please insert a Percentage between:</t>
  </si>
  <si>
    <t>PE</t>
  </si>
  <si>
    <t>Essential Option</t>
  </si>
  <si>
    <t>Income</t>
  </si>
  <si>
    <t>Member</t>
  </si>
  <si>
    <t>Adult dep over 21</t>
  </si>
  <si>
    <t>Adult dep under 21</t>
  </si>
  <si>
    <t>Comprehensive</t>
  </si>
  <si>
    <t>Comprehensive Option</t>
  </si>
  <si>
    <t>Medical Option</t>
  </si>
  <si>
    <t>Essential</t>
  </si>
  <si>
    <t>Retirement Fund &amp; Risk Benefit Contributions</t>
  </si>
  <si>
    <t>Calculated Pensionable Salary</t>
  </si>
  <si>
    <t>Calculated Risk Salary</t>
  </si>
  <si>
    <t>Funeral Contribution Amount</t>
  </si>
  <si>
    <t>Calculated Death Cover Contribution</t>
  </si>
  <si>
    <t>Death Benefit Cover Contributions</t>
  </si>
  <si>
    <t>Flex</t>
  </si>
  <si>
    <t>Annual Pensionable/Risk Salary</t>
  </si>
  <si>
    <t>Car Loan</t>
  </si>
  <si>
    <t>Taxed in the Bonus Month / Monthly?</t>
  </si>
  <si>
    <t>Tax on Fixed Car Allowance Percentage</t>
  </si>
  <si>
    <t>ANNUAL LEAVE</t>
  </si>
  <si>
    <t>Annual Leave Entitlement</t>
  </si>
  <si>
    <t>MEDICAL</t>
  </si>
  <si>
    <t>Employee LOS</t>
  </si>
  <si>
    <t>of TGP</t>
  </si>
  <si>
    <t>5 day</t>
  </si>
  <si>
    <t>6 day</t>
  </si>
  <si>
    <t>5 Day</t>
  </si>
  <si>
    <t>Type of Day Employee (ABI Only)</t>
  </si>
  <si>
    <t>Variable Rate</t>
  </si>
  <si>
    <t>SAB/Miller/SGCS</t>
  </si>
  <si>
    <t>1-2.99</t>
  </si>
  <si>
    <t>3-4.99</t>
  </si>
  <si>
    <t>5plus</t>
  </si>
  <si>
    <t>1-2.99 6day</t>
  </si>
  <si>
    <t>3-4.99 6day</t>
  </si>
  <si>
    <t>1-2.99 5day</t>
  </si>
  <si>
    <t>3-4.99 5day</t>
  </si>
  <si>
    <t>5plus 5day</t>
  </si>
  <si>
    <t>LOSVH</t>
  </si>
  <si>
    <t>GradeVH</t>
  </si>
  <si>
    <t>compVH</t>
  </si>
  <si>
    <t>STI - ALL COMPANIES</t>
  </si>
  <si>
    <t>%</t>
  </si>
  <si>
    <t>sab only</t>
  </si>
  <si>
    <t>director</t>
  </si>
  <si>
    <t>INDEXMATCH</t>
  </si>
  <si>
    <t>5plus 6day</t>
  </si>
  <si>
    <t>VH</t>
  </si>
  <si>
    <t>OTHER BENEFITS</t>
  </si>
  <si>
    <t>Car Allowance or Company Car (Sales Staff)</t>
  </si>
  <si>
    <t>Car Allowance/CAR</t>
  </si>
  <si>
    <t>Free Product</t>
  </si>
  <si>
    <t>Car Insurance</t>
  </si>
  <si>
    <t>Disability Cover</t>
  </si>
  <si>
    <t>Provident Fund Contribution</t>
  </si>
  <si>
    <t>PAYE on End of Year Bonus</t>
  </si>
  <si>
    <t>Tax Deduction Limited to the Minimum of</t>
  </si>
  <si>
    <t>or:</t>
  </si>
  <si>
    <t>Minimum Result</t>
  </si>
  <si>
    <t>Earnings</t>
  </si>
  <si>
    <t>Changed to Spouse Medical</t>
  </si>
  <si>
    <t>Retirement and Risk</t>
  </si>
  <si>
    <t>Risk Salary</t>
  </si>
  <si>
    <r>
      <t>Step 2 :</t>
    </r>
    <r>
      <rPr>
        <sz val="12"/>
        <color rgb="FFC00000"/>
        <rFont val="Calibri"/>
        <family val="2"/>
      </rPr>
      <t xml:space="preserve"> </t>
    </r>
    <r>
      <rPr>
        <b/>
        <sz val="12"/>
        <color rgb="FFC00000"/>
        <rFont val="Calibri"/>
        <family val="2"/>
      </rPr>
      <t>The "Dummy Payslip" Tab</t>
    </r>
  </si>
  <si>
    <r>
      <t>Step 3 :</t>
    </r>
    <r>
      <rPr>
        <sz val="12"/>
        <color rgb="FFC00000"/>
        <rFont val="Calibri"/>
        <family val="2"/>
      </rPr>
      <t xml:space="preserve"> </t>
    </r>
    <r>
      <rPr>
        <b/>
        <sz val="12"/>
        <color rgb="FFC00000"/>
        <rFont val="Calibri"/>
        <family val="2"/>
      </rPr>
      <t>The "Annexure A" Tab</t>
    </r>
  </si>
  <si>
    <r>
      <t xml:space="preserve">Should you have selected for a travel allowance on the “Selection" sheet, please print this sheet.  Sign the declaration and give it to </t>
    </r>
    <r>
      <rPr>
        <b/>
        <sz val="12"/>
        <color rgb="FF000000"/>
        <rFont val="Calibri"/>
        <family val="2"/>
      </rPr>
      <t xml:space="preserve">Jean Mahabeer </t>
    </r>
    <r>
      <rPr>
        <sz val="12"/>
        <color rgb="FF000000"/>
        <rFont val="Calibri"/>
        <family val="2"/>
      </rPr>
      <t>for payroll processing together with your signed Annexure A.</t>
    </r>
  </si>
  <si>
    <t>Selections made on this sheet will feed all other worksheets including the Dummy Payslip and Annexure A</t>
  </si>
  <si>
    <r>
      <t xml:space="preserve">Should you have the use of a company car, please print this sheet.  Sign the declaration and give it to </t>
    </r>
    <r>
      <rPr>
        <b/>
        <sz val="12"/>
        <color rgb="FF000000"/>
        <rFont val="Calibri"/>
        <family val="2"/>
      </rPr>
      <t xml:space="preserve">Jean Mahabeer </t>
    </r>
    <r>
      <rPr>
        <sz val="12"/>
        <color rgb="FF000000"/>
        <rFont val="Calibri"/>
        <family val="2"/>
      </rPr>
      <t>for payroll processing together with your signed Annexure A.</t>
    </r>
  </si>
  <si>
    <t>Please select the percentage you want to increase by</t>
  </si>
  <si>
    <t>Value of Company Vehicle</t>
  </si>
  <si>
    <t>Adult Dependents</t>
  </si>
  <si>
    <t>Child Dependents</t>
  </si>
  <si>
    <t>TOTAL MEMBERS</t>
  </si>
  <si>
    <t>Accepted and signed by the Employee:</t>
  </si>
  <si>
    <t>Provident Employee Contribution Percentage</t>
  </si>
  <si>
    <t>Basic Salary Offer</t>
  </si>
  <si>
    <t>Current Basic Salary</t>
  </si>
  <si>
    <t>New Basic Salary</t>
  </si>
  <si>
    <t>Do you want to increase the Employee contribution towards the Provident Fund</t>
  </si>
  <si>
    <t>Select</t>
  </si>
  <si>
    <t>Bakkie Allowance</t>
  </si>
  <si>
    <t>Bakkie Allowance Max</t>
  </si>
  <si>
    <t>Med and 13TH base, Bakkie</t>
  </si>
  <si>
    <t>Input Rand Amount per Month</t>
  </si>
  <si>
    <t>Tool Allowance</t>
  </si>
  <si>
    <t>Basic Salary</t>
  </si>
  <si>
    <t xml:space="preserve">Employee Provident Fund Contribution </t>
  </si>
  <si>
    <t>Additional Employee Provident Fund Contribution</t>
  </si>
  <si>
    <t>Total Package</t>
  </si>
  <si>
    <t xml:space="preserve">Total ER and EE Contributions </t>
  </si>
  <si>
    <t>Employee Contributions</t>
  </si>
  <si>
    <t>Employee Medical Aid Contributions</t>
  </si>
  <si>
    <t>e.g. 11 February 1986</t>
  </si>
  <si>
    <t>e.g. 11 February 2014</t>
  </si>
  <si>
    <t>e.g. 11 February 2016</t>
  </si>
  <si>
    <r>
      <t xml:space="preserve">Please contact </t>
    </r>
    <r>
      <rPr>
        <b/>
        <sz val="12"/>
        <color rgb="FF000000"/>
        <rFont val="Calibri"/>
        <family val="2"/>
      </rPr>
      <t xml:space="preserve">Linda Aggenbag </t>
    </r>
    <r>
      <rPr>
        <sz val="12"/>
        <color rgb="FF000000"/>
        <rFont val="Calibri"/>
        <family val="2"/>
      </rPr>
      <t>if you have any questions on the completion of the SAB Package Structuring Modeller (PSM).</t>
    </r>
  </si>
  <si>
    <t>Please enter the Company Car Value</t>
  </si>
  <si>
    <t>Add Additional Package Selections</t>
  </si>
  <si>
    <t>Alliance Beverages</t>
  </si>
  <si>
    <t>Brewex</t>
  </si>
  <si>
    <t>Free product ABI FB</t>
  </si>
  <si>
    <t>FB tax</t>
  </si>
  <si>
    <t>Free beer SAB FB</t>
  </si>
  <si>
    <t>1-5 &amp; A-D</t>
  </si>
  <si>
    <t>E+</t>
  </si>
  <si>
    <t>Basic</t>
  </si>
  <si>
    <t>Date of Employment</t>
  </si>
  <si>
    <t>Wage employee hours per week</t>
  </si>
  <si>
    <t>Wages</t>
  </si>
  <si>
    <t>Wage employee rate per hour</t>
  </si>
  <si>
    <t>Employee Monthly Wages</t>
  </si>
  <si>
    <t>Hours per month</t>
  </si>
  <si>
    <t>Fetch Company Name from Selection</t>
  </si>
  <si>
    <t>Change Company Name from Selection for Lookup</t>
  </si>
  <si>
    <t>This Package Structuring Modeller (PSM) consists of 4 tabs that can be accessed at the bottom of each worksheet.</t>
  </si>
  <si>
    <t xml:space="preserve">This tab allows you to make selections and structure your package in line with company policy. </t>
  </si>
  <si>
    <r>
      <t xml:space="preserve">Please send your signed Annexure A to </t>
    </r>
    <r>
      <rPr>
        <b/>
        <sz val="12"/>
        <color rgb="FF000000"/>
        <rFont val="Calibri"/>
        <family val="2"/>
      </rPr>
      <t>your respective HR person</t>
    </r>
    <r>
      <rPr>
        <sz val="12"/>
        <color rgb="FF000000"/>
        <rFont val="Calibri"/>
        <family val="2"/>
      </rPr>
      <t>.</t>
    </r>
  </si>
  <si>
    <t>SAB1234!</t>
  </si>
  <si>
    <t>Key</t>
  </si>
  <si>
    <t>Change only cells in white</t>
  </si>
  <si>
    <t>TAX TABLES</t>
  </si>
  <si>
    <t>MEDICAL AID RATES</t>
  </si>
  <si>
    <t>Employee Salary Type</t>
  </si>
  <si>
    <t>Please input Monthly Salary</t>
  </si>
  <si>
    <t>P10A</t>
  </si>
  <si>
    <t>P10B</t>
  </si>
  <si>
    <t>P11A</t>
  </si>
  <si>
    <t>Are you a Dependant on your Spouse's Medical Aid?</t>
  </si>
  <si>
    <t>END OF YEAR BONUS</t>
  </si>
  <si>
    <t>Calculated End of Year Bonus</t>
  </si>
  <si>
    <t>End of Year Bonus</t>
  </si>
  <si>
    <t>End of Year Bonus Taxed Monthly?</t>
  </si>
  <si>
    <t>CAR BENEFIT</t>
  </si>
  <si>
    <t>Taxed in December or Monthly</t>
  </si>
  <si>
    <t>EE Retirement</t>
  </si>
  <si>
    <t>SAB and others</t>
  </si>
  <si>
    <t>Signed by the Company:</t>
  </si>
  <si>
    <t>Signed by Human Resources:</t>
  </si>
  <si>
    <t>Line Manager name and signature</t>
  </si>
  <si>
    <t>HR name and signature</t>
  </si>
  <si>
    <t>Bonus Calculation</t>
  </si>
  <si>
    <t>Bonus Taxed monthly / Annually</t>
  </si>
  <si>
    <t>Bonus month action</t>
  </si>
  <si>
    <t>Monthly action</t>
  </si>
  <si>
    <t>Taxable Income (excl. End of Year Bonus)</t>
  </si>
  <si>
    <t>Taxable Income (incl. End of Year Bonus)</t>
  </si>
  <si>
    <t>PAYE (excl. End of Year Bonus)</t>
  </si>
  <si>
    <t>PAYE (incl. End of Year Bonus)</t>
  </si>
  <si>
    <t>Payroll</t>
  </si>
  <si>
    <t>Number of days in Effective Date's Month</t>
  </si>
  <si>
    <t>SAP</t>
  </si>
  <si>
    <t>VIP</t>
  </si>
  <si>
    <t>effective date of calculation</t>
  </si>
  <si>
    <t>NUMBER OF DAYS IN THIS FISCAL YEAR</t>
  </si>
  <si>
    <t>Total Number of days in this fiscal year</t>
  </si>
  <si>
    <t>Monthly Taxable Income Exc Bonus</t>
  </si>
  <si>
    <t>Annual Bonus</t>
  </si>
  <si>
    <t>Total number of days in fiscal year</t>
  </si>
  <si>
    <t>Payroll for this calculation</t>
  </si>
  <si>
    <t>Concatenate</t>
  </si>
  <si>
    <t>VIPMonthly</t>
  </si>
  <si>
    <t>VIPBonus Month</t>
  </si>
  <si>
    <t>SAPMonthly</t>
  </si>
  <si>
    <t>SAPBonus Month</t>
  </si>
  <si>
    <t>Annual Equivalent exc Bonus</t>
  </si>
  <si>
    <t>Annual Equivalent Incl Bonus</t>
  </si>
  <si>
    <t>Monthly Tax on Bonus</t>
  </si>
  <si>
    <t>Annual tax</t>
  </si>
  <si>
    <t>Annual Tax</t>
  </si>
  <si>
    <t>Monthly Tax</t>
  </si>
  <si>
    <t>Tax on Bonus</t>
  </si>
  <si>
    <t>Bonus month tax on bonus</t>
  </si>
  <si>
    <t>Monthly Tax excl Bonus</t>
  </si>
  <si>
    <t>Standard</t>
  </si>
  <si>
    <t>Formula</t>
  </si>
  <si>
    <t>Monthly Bonus (Standard)</t>
  </si>
  <si>
    <t>Standard devide</t>
  </si>
  <si>
    <t>Employment Status</t>
  </si>
  <si>
    <t>Permanent</t>
  </si>
  <si>
    <t>Fixed Term Contractor</t>
  </si>
  <si>
    <t>`</t>
  </si>
  <si>
    <t>Provident Fund &amp; Risk Contributions</t>
  </si>
  <si>
    <t>Provident &amp; Risk Employer Contribution Percentage</t>
  </si>
  <si>
    <t>New selected Provident Employee Contribution Percentage</t>
  </si>
  <si>
    <t>Calculated Provident &amp; Risk Employer Contribution</t>
  </si>
  <si>
    <t>Calculated Provident Employee Contribution</t>
  </si>
  <si>
    <t>Calculated Additional Provident Employee Contribution</t>
  </si>
  <si>
    <t>Total Number of days in this fiscal year (SAB Wages)</t>
  </si>
  <si>
    <t>Total Provident Fund &amp; Risk Contribution</t>
  </si>
  <si>
    <t>Total</t>
  </si>
  <si>
    <t>Total Provident Fund &amp; Risk</t>
  </si>
  <si>
    <t>Disability Cover (PHI)</t>
  </si>
  <si>
    <t>Test</t>
  </si>
  <si>
    <t>Bonus</t>
  </si>
  <si>
    <t>IF('Dummy Payslip'!Q19&gt;0;'Dummy Payslip'!Q19;NA())</t>
  </si>
  <si>
    <t>Bakkie All.</t>
  </si>
  <si>
    <t>Death</t>
  </si>
  <si>
    <t>Funeral</t>
  </si>
  <si>
    <t>Provident</t>
  </si>
  <si>
    <t>Package Breakdown</t>
  </si>
  <si>
    <t>Total Provident Fund and Risk</t>
  </si>
  <si>
    <t>Selected Grade</t>
  </si>
  <si>
    <t>SABMiller Africa Salary</t>
  </si>
  <si>
    <t>Alliance Salary</t>
  </si>
  <si>
    <t>Brewex Salary</t>
  </si>
  <si>
    <t>SAB Salary</t>
  </si>
  <si>
    <t>SGCS Salary</t>
  </si>
  <si>
    <t>Employee Salarye Type</t>
  </si>
  <si>
    <t>Group Life Cover (Death Cover / GLA)</t>
  </si>
  <si>
    <t>Administration Fee</t>
  </si>
  <si>
    <t>Group Life Cover (Death / GLA)</t>
  </si>
  <si>
    <t>Core Provident Fund</t>
  </si>
  <si>
    <t>Approved ER Retirement Fund and Risk Contributions</t>
  </si>
  <si>
    <t>Disability Cover (Unapproved Risk Cover)</t>
  </si>
  <si>
    <t>Companu from Selection</t>
  </si>
  <si>
    <t>ST</t>
  </si>
  <si>
    <t>Admin</t>
  </si>
  <si>
    <t>Guaranteed Package</t>
  </si>
  <si>
    <t>Please input Monthly Salary Increase Amount</t>
  </si>
  <si>
    <t>SAP0</t>
  </si>
  <si>
    <t>VIP0</t>
  </si>
  <si>
    <t>Rate per km</t>
  </si>
  <si>
    <t>SARS Rate per km</t>
  </si>
  <si>
    <t>Max km</t>
  </si>
  <si>
    <t>Not Applicable</t>
  </si>
  <si>
    <t>Spouse?</t>
  </si>
  <si>
    <t>Employee Medical Insurance Contributions</t>
  </si>
  <si>
    <t>Employer Medical Insurance Contributions</t>
  </si>
  <si>
    <t>Spouse</t>
  </si>
  <si>
    <t>This fields' computation referred to cell E511</t>
  </si>
  <si>
    <t>RISK COVER</t>
  </si>
  <si>
    <t>Subsidised</t>
  </si>
  <si>
    <t>Non-Subsidised</t>
  </si>
  <si>
    <t>Adult Dependents:</t>
  </si>
  <si>
    <t>Child Dependents:</t>
  </si>
  <si>
    <t>From Selection</t>
  </si>
  <si>
    <t>Subsidised: Additional Adult Dependants</t>
  </si>
  <si>
    <t>Non Subsidised: Number of Additional Adult Dependants</t>
  </si>
  <si>
    <t>Non Subsidised Additional Child Dependants</t>
  </si>
  <si>
    <t>Subsidised Child Dependants</t>
  </si>
  <si>
    <t>EE Type</t>
  </si>
  <si>
    <t>Salary</t>
  </si>
  <si>
    <t>Fee on Selection</t>
  </si>
  <si>
    <t>ER % payment</t>
  </si>
  <si>
    <t>ER Contribution</t>
  </si>
  <si>
    <t>EE Contribution</t>
  </si>
  <si>
    <r>
      <t xml:space="preserve">Number of Child Dependants </t>
    </r>
    <r>
      <rPr>
        <i/>
        <sz val="10"/>
        <color theme="1"/>
        <rFont val="Calibri"/>
        <family val="2"/>
        <scheme val="minor"/>
      </rPr>
      <t>(own children under the age of 21)</t>
    </r>
  </si>
  <si>
    <r>
      <t xml:space="preserve">Number of Additional Child Dependants </t>
    </r>
    <r>
      <rPr>
        <i/>
        <sz val="10"/>
        <color theme="1"/>
        <rFont val="Calibri"/>
        <family val="2"/>
        <scheme val="minor"/>
      </rPr>
      <t>(other than your own children under the age of 21)</t>
    </r>
  </si>
  <si>
    <t>Adult Dependants:</t>
  </si>
  <si>
    <t>Child Dependants:</t>
  </si>
  <si>
    <t>Total Medical Aid Insurance Contributions</t>
  </si>
  <si>
    <r>
      <t>Number of Additional Adult Dependants</t>
    </r>
    <r>
      <rPr>
        <i/>
        <sz val="11"/>
        <color theme="1"/>
        <rFont val="Calibri"/>
        <family val="2"/>
        <scheme val="minor"/>
      </rPr>
      <t xml:space="preserve"> </t>
    </r>
    <r>
      <rPr>
        <i/>
        <sz val="10"/>
        <color theme="1"/>
        <rFont val="Calibri"/>
        <family val="2"/>
        <scheme val="minor"/>
      </rPr>
      <t>(life partner, fiancé, own children age 21 or older and studying)</t>
    </r>
  </si>
  <si>
    <r>
      <t>Number of Additional Adult Dependants</t>
    </r>
    <r>
      <rPr>
        <i/>
        <sz val="11"/>
        <color theme="1"/>
        <rFont val="Calibri"/>
        <family val="2"/>
        <scheme val="minor"/>
      </rPr>
      <t xml:space="preserve"> </t>
    </r>
    <r>
      <rPr>
        <i/>
        <sz val="10"/>
        <color theme="1"/>
        <rFont val="Calibri"/>
        <family val="2"/>
        <scheme val="minor"/>
      </rPr>
      <t>(example: mother, father, children &gt;21 not studying)</t>
    </r>
  </si>
  <si>
    <t>1 January 2020 PSM</t>
  </si>
  <si>
    <t xml:space="preserve">New appointment </t>
  </si>
  <si>
    <t>Learner</t>
  </si>
  <si>
    <t>Khumalo</t>
  </si>
  <si>
    <t>Neliswa</t>
  </si>
  <si>
    <t>16602840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</si>
</sst>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_(* \(#,##0.00\);_(* &quot;-&quot;??_);_(@_)"/>
    <numFmt numFmtId="164" formatCode="&quot;R&quot;\ #,##0;&quot;R&quot;\ \-#,##0"/>
    <numFmt numFmtId="165" formatCode="&quot;R&quot;\ #,##0.00;&quot;R&quot;\ \-#,##0.00"/>
    <numFmt numFmtId="166" formatCode="_ * #,##0_ ;_ * \-#,##0_ ;_ * &quot;-&quot;_ ;_ @_ "/>
    <numFmt numFmtId="167" formatCode="_ * #,##0.00_ ;_ * \-#,##0.00_ ;_ * &quot;-&quot;??_ ;_ @_ "/>
    <numFmt numFmtId="168" formatCode="_-* #,##0.00_-;\-* #,##0.00_-;_-* &quot;-&quot;??_-;_-@_-"/>
    <numFmt numFmtId="169" formatCode="_(&quot;R&quot;* #,##0.00_);_(&quot;R&quot;* \(#,##0.00\);_(&quot;R&quot;* &quot;-&quot;??_);_(@_)"/>
    <numFmt numFmtId="170" formatCode="0.000%"/>
    <numFmt numFmtId="171" formatCode="_ * #,##0_ ;_ * \-#,##0_ ;_ * &quot;-&quot;??_ ;_ @_ "/>
    <numFmt numFmtId="172" formatCode="&quot;R&quot;\ #,##0"/>
    <numFmt numFmtId="173" formatCode="&quot;R&quot;\ #,##0.00"/>
    <numFmt numFmtId="174" formatCode="[$-1C09]dd\ mmmm\ yyyy;@"/>
    <numFmt numFmtId="175" formatCode="#,##0_ ;\-#,##0\ "/>
    <numFmt numFmtId="176" formatCode="0.0%"/>
    <numFmt numFmtId="177" formatCode="0.0000%"/>
    <numFmt numFmtId="178" formatCode="#,##0.0"/>
    <numFmt numFmtId="179" formatCode="_(* #,##0_);_(* \(#,##0\);_(* &quot;-&quot;??_);_(@_)"/>
    <numFmt numFmtId="180" formatCode="_-* #,##0_-;\-* #,##0_-;_-* &quot;-&quot;??_-;_-@_-"/>
    <numFmt numFmtId="181" formatCode="_-* #,##0.0000_-;\-* #,##0.0000_-;_-* &quot;-&quot;????_-;_-@_-"/>
    <numFmt numFmtId="182" formatCode="_ * #,##0.0_ ;_ * \-#,##0.0_ ;_ * &quot;-&quot;??_ ;_ @_ "/>
    <numFmt numFmtId="183" formatCode="0.00000%"/>
    <numFmt numFmtId="184" formatCode="&quot;R&quot;#,##0.00"/>
  </numFmts>
  <fonts count="162">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indexed="8"/>
      <name val="MS Sans Serif"/>
      <family val="2"/>
    </font>
    <font>
      <sz val="10"/>
      <name val="Arial"/>
      <family val="2"/>
    </font>
    <font>
      <sz val="10"/>
      <color indexed="8"/>
      <name val="MS Sans Serif"/>
    </font>
    <font>
      <b/>
      <sz val="11"/>
      <name val="Calibri"/>
      <family val="2"/>
      <scheme val="minor"/>
    </font>
    <font>
      <b/>
      <sz val="9.85"/>
      <color indexed="8"/>
      <name val="Times New Roman"/>
      <family val="1"/>
    </font>
    <font>
      <sz val="12"/>
      <color theme="1"/>
      <name val="Calibri"/>
      <family val="2"/>
    </font>
    <font>
      <b/>
      <sz val="12"/>
      <color theme="0"/>
      <name val="Calibri"/>
      <family val="2"/>
    </font>
    <font>
      <sz val="10"/>
      <color theme="2" tint="-0.749992370372631"/>
      <name val="Calibri"/>
      <family val="2"/>
    </font>
    <font>
      <b/>
      <sz val="10"/>
      <color theme="2" tint="-0.749992370372631"/>
      <name val="Calibri"/>
      <family val="2"/>
    </font>
    <font>
      <sz val="10"/>
      <color theme="1"/>
      <name val="Calibri"/>
      <family val="2"/>
    </font>
    <font>
      <sz val="11"/>
      <color rgb="FFFF0000"/>
      <name val="Calibri"/>
      <family val="2"/>
    </font>
    <font>
      <sz val="10"/>
      <name val="Arial"/>
      <family val="2"/>
    </font>
    <font>
      <sz val="11"/>
      <color theme="0"/>
      <name val="Calibri"/>
      <family val="2"/>
    </font>
    <font>
      <sz val="11"/>
      <color indexed="8"/>
      <name val="Calibri"/>
      <family val="2"/>
      <scheme val="minor"/>
    </font>
    <font>
      <i/>
      <sz val="11"/>
      <color indexed="8"/>
      <name val="Calibri"/>
      <family val="2"/>
      <scheme val="minor"/>
    </font>
    <font>
      <u/>
      <sz val="11"/>
      <color theme="10"/>
      <name val="Calibri"/>
      <family val="2"/>
    </font>
    <font>
      <sz val="11"/>
      <name val="Calibri"/>
      <family val="2"/>
      <scheme val="minor"/>
    </font>
    <font>
      <b/>
      <i/>
      <sz val="10"/>
      <color theme="1"/>
      <name val="Calibri"/>
      <family val="2"/>
      <scheme val="minor"/>
    </font>
    <font>
      <i/>
      <sz val="10"/>
      <name val="Calibri"/>
      <family val="2"/>
      <scheme val="minor"/>
    </font>
    <font>
      <sz val="10"/>
      <color theme="1"/>
      <name val="Calibri"/>
      <family val="2"/>
      <scheme val="minor"/>
    </font>
    <font>
      <i/>
      <sz val="11"/>
      <color theme="1"/>
      <name val="Calibri"/>
      <family val="2"/>
      <scheme val="minor"/>
    </font>
    <font>
      <b/>
      <sz val="10"/>
      <color theme="1"/>
      <name val="Calibri"/>
      <family val="2"/>
      <scheme val="minor"/>
    </font>
    <font>
      <sz val="10"/>
      <name val="Calibri"/>
      <family val="2"/>
      <scheme val="minor"/>
    </font>
    <font>
      <b/>
      <sz val="10"/>
      <name val="Calibri"/>
      <family val="2"/>
      <scheme val="minor"/>
    </font>
    <font>
      <b/>
      <sz val="11"/>
      <color indexed="8"/>
      <name val="Calibri"/>
      <family val="2"/>
    </font>
    <font>
      <b/>
      <sz val="11"/>
      <color indexed="8"/>
      <name val="Calibri"/>
      <family val="2"/>
      <scheme val="minor"/>
    </font>
    <font>
      <i/>
      <sz val="10"/>
      <color theme="1"/>
      <name val="Calibri"/>
      <family val="2"/>
      <scheme val="minor"/>
    </font>
    <font>
      <b/>
      <sz val="12"/>
      <name val="Calibri"/>
      <family val="2"/>
      <scheme val="minor"/>
    </font>
    <font>
      <b/>
      <sz val="12"/>
      <color theme="0"/>
      <name val="Calibri"/>
      <family val="2"/>
      <scheme val="minor"/>
    </font>
    <font>
      <i/>
      <sz val="9"/>
      <name val="Calibri"/>
      <family val="2"/>
      <scheme val="minor"/>
    </font>
    <font>
      <i/>
      <sz val="8"/>
      <name val="Calibri"/>
      <family val="2"/>
      <scheme val="minor"/>
    </font>
    <font>
      <i/>
      <sz val="11"/>
      <color rgb="FFFF0000"/>
      <name val="Calibri"/>
      <family val="2"/>
      <scheme val="minor"/>
    </font>
    <font>
      <sz val="10"/>
      <color theme="0"/>
      <name val="Calibri"/>
      <family val="2"/>
      <scheme val="minor"/>
    </font>
    <font>
      <i/>
      <sz val="10"/>
      <color indexed="8"/>
      <name val="Calibri"/>
      <family val="2"/>
      <scheme val="minor"/>
    </font>
    <font>
      <sz val="10"/>
      <color indexed="8"/>
      <name val="Calibri"/>
      <family val="2"/>
      <scheme val="minor"/>
    </font>
    <font>
      <sz val="12"/>
      <color theme="1"/>
      <name val="Calibri"/>
      <family val="2"/>
      <scheme val="minor"/>
    </font>
    <font>
      <b/>
      <sz val="10"/>
      <color indexed="8"/>
      <name val="Calibri"/>
      <family val="2"/>
      <scheme val="minor"/>
    </font>
    <font>
      <b/>
      <sz val="10"/>
      <color theme="0"/>
      <name val="Calibri"/>
      <family val="2"/>
      <scheme val="minor"/>
    </font>
    <font>
      <b/>
      <sz val="14"/>
      <color theme="0"/>
      <name val="Calibri"/>
      <family val="2"/>
      <scheme val="minor"/>
    </font>
    <font>
      <sz val="11"/>
      <color theme="0" tint="-0.14999847407452621"/>
      <name val="Calibri"/>
      <family val="2"/>
      <scheme val="minor"/>
    </font>
    <font>
      <i/>
      <sz val="10"/>
      <color rgb="FFFF0000"/>
      <name val="Calibri"/>
      <family val="2"/>
      <scheme val="minor"/>
    </font>
    <font>
      <i/>
      <sz val="10"/>
      <color theme="1"/>
      <name val="Calibri"/>
      <family val="2"/>
    </font>
    <font>
      <sz val="11"/>
      <color theme="0" tint="-0.14999847407452621"/>
      <name val="Calibri"/>
      <family val="2"/>
    </font>
    <font>
      <b/>
      <sz val="20"/>
      <color theme="0"/>
      <name val="Calibri"/>
      <family val="2"/>
    </font>
    <font>
      <sz val="12"/>
      <color rgb="FF000000"/>
      <name val="Calibri"/>
      <family val="2"/>
    </font>
    <font>
      <b/>
      <sz val="12"/>
      <color rgb="FFD81E05"/>
      <name val="Calibri"/>
      <family val="2"/>
    </font>
    <font>
      <b/>
      <sz val="12"/>
      <color rgb="FF000000"/>
      <name val="Calibri"/>
      <family val="2"/>
    </font>
    <font>
      <sz val="11"/>
      <color rgb="FF000000"/>
      <name val="Calibri"/>
      <family val="2"/>
    </font>
    <font>
      <sz val="12"/>
      <name val="Calibri"/>
      <family val="2"/>
      <scheme val="minor"/>
    </font>
    <font>
      <i/>
      <sz val="12"/>
      <name val="Calibri"/>
      <family val="2"/>
      <scheme val="minor"/>
    </font>
    <font>
      <b/>
      <sz val="15"/>
      <color theme="1"/>
      <name val="Calibri"/>
      <family val="2"/>
    </font>
    <font>
      <i/>
      <sz val="11"/>
      <color theme="1"/>
      <name val="Calibri"/>
      <family val="2"/>
    </font>
    <font>
      <b/>
      <sz val="10"/>
      <color theme="0"/>
      <name val="Calibri"/>
      <family val="2"/>
    </font>
    <font>
      <sz val="10"/>
      <color rgb="FFFF0000"/>
      <name val="Calibri"/>
      <family val="2"/>
    </font>
    <font>
      <sz val="11"/>
      <color rgb="FF0F7599"/>
      <name val="Calibri"/>
      <family val="2"/>
    </font>
    <font>
      <b/>
      <sz val="18"/>
      <color rgb="FF0F7599"/>
      <name val="Calibri"/>
      <family val="2"/>
    </font>
    <font>
      <b/>
      <sz val="20"/>
      <color rgb="FF0F7599"/>
      <name val="Calibri"/>
      <family val="2"/>
    </font>
    <font>
      <i/>
      <sz val="11"/>
      <color rgb="FF0F7599"/>
      <name val="Calibri"/>
      <family val="2"/>
    </font>
    <font>
      <i/>
      <sz val="8"/>
      <color rgb="FF0F7599"/>
      <name val="Calibri"/>
      <family val="2"/>
    </font>
    <font>
      <sz val="11"/>
      <color rgb="FF0F7599"/>
      <name val="Calibri"/>
      <family val="2"/>
      <scheme val="minor"/>
    </font>
    <font>
      <b/>
      <i/>
      <sz val="11"/>
      <color rgb="FF0F7599"/>
      <name val="Calibri"/>
      <family val="2"/>
    </font>
    <font>
      <sz val="8"/>
      <color rgb="FF000000"/>
      <name val="Calibri"/>
      <family val="2"/>
    </font>
    <font>
      <b/>
      <i/>
      <sz val="12"/>
      <color rgb="FFC00000"/>
      <name val="Calibri"/>
      <family val="2"/>
    </font>
    <font>
      <u/>
      <sz val="10"/>
      <color theme="10"/>
      <name val="Calibri"/>
      <family val="2"/>
      <scheme val="minor"/>
    </font>
    <font>
      <b/>
      <i/>
      <sz val="10"/>
      <color rgb="FF002060"/>
      <name val="Calibri"/>
      <family val="2"/>
      <scheme val="minor"/>
    </font>
    <font>
      <sz val="8"/>
      <color theme="0"/>
      <name val="Calibri"/>
      <family val="2"/>
    </font>
    <font>
      <sz val="8"/>
      <color rgb="FFFF0000"/>
      <name val="Calibri"/>
      <family val="2"/>
    </font>
    <font>
      <b/>
      <sz val="11"/>
      <color theme="0"/>
      <name val="Calibri"/>
      <family val="2"/>
    </font>
    <font>
      <sz val="11"/>
      <color rgb="FF002060"/>
      <name val="Calibri"/>
      <family val="2"/>
      <scheme val="minor"/>
    </font>
    <font>
      <i/>
      <sz val="8"/>
      <color rgb="FF002060"/>
      <name val="Calibri"/>
      <family val="2"/>
    </font>
    <font>
      <sz val="8"/>
      <color rgb="FF002060"/>
      <name val="Calibri"/>
      <family val="2"/>
    </font>
    <font>
      <i/>
      <sz val="9"/>
      <color rgb="FF002060"/>
      <name val="Calibri"/>
      <family val="2"/>
      <scheme val="minor"/>
    </font>
    <font>
      <b/>
      <i/>
      <u/>
      <sz val="10"/>
      <name val="Calibri"/>
      <family val="2"/>
      <scheme val="minor"/>
    </font>
    <font>
      <u/>
      <sz val="10"/>
      <name val="Calibri"/>
      <family val="2"/>
      <scheme val="minor"/>
    </font>
    <font>
      <u/>
      <sz val="10"/>
      <color theme="0"/>
      <name val="Calibri"/>
      <family val="2"/>
      <scheme val="minor"/>
    </font>
    <font>
      <sz val="10"/>
      <color rgb="FF000000"/>
      <name val="Calibri"/>
      <family val="2"/>
      <scheme val="minor"/>
    </font>
    <font>
      <sz val="10"/>
      <color rgb="FF000000"/>
      <name val="Arial Unicode MS"/>
      <family val="2"/>
    </font>
    <font>
      <sz val="9"/>
      <color theme="1"/>
      <name val="Arial"/>
      <family val="2"/>
    </font>
    <font>
      <sz val="8"/>
      <name val="Calibri"/>
      <family val="2"/>
      <scheme val="minor"/>
    </font>
    <font>
      <b/>
      <sz val="10"/>
      <color rgb="FFFF0000"/>
      <name val="Calibri"/>
      <family val="2"/>
      <scheme val="minor"/>
    </font>
    <font>
      <b/>
      <sz val="20"/>
      <name val="Calibri"/>
      <family val="2"/>
    </font>
    <font>
      <b/>
      <sz val="8"/>
      <name val="Calibri"/>
      <family val="2"/>
      <scheme val="minor"/>
    </font>
    <font>
      <i/>
      <sz val="9"/>
      <color theme="1"/>
      <name val="Calibri"/>
      <family val="2"/>
      <scheme val="minor"/>
    </font>
    <font>
      <sz val="9"/>
      <color theme="1"/>
      <name val="Calibri"/>
      <family val="2"/>
    </font>
    <font>
      <sz val="9"/>
      <name val="Calibri"/>
      <family val="2"/>
      <scheme val="minor"/>
    </font>
    <font>
      <sz val="9"/>
      <name val="Arial"/>
      <family val="2"/>
    </font>
    <font>
      <sz val="11"/>
      <name val="Calibri"/>
      <family val="2"/>
    </font>
    <font>
      <i/>
      <sz val="9"/>
      <color rgb="FFFF0000"/>
      <name val="Calibri"/>
      <family val="2"/>
      <scheme val="minor"/>
    </font>
    <font>
      <i/>
      <sz val="10"/>
      <name val="Calibri"/>
      <family val="2"/>
    </font>
    <font>
      <b/>
      <sz val="12"/>
      <color rgb="FFC00000"/>
      <name val="Calibri"/>
      <family val="2"/>
    </font>
    <font>
      <sz val="12"/>
      <color rgb="FFC00000"/>
      <name val="Calibri"/>
      <family val="2"/>
    </font>
    <font>
      <i/>
      <sz val="9"/>
      <color rgb="FFC00000"/>
      <name val="Calibri"/>
      <family val="2"/>
    </font>
    <font>
      <sz val="11"/>
      <color rgb="FFC00000"/>
      <name val="Calibri"/>
      <family val="2"/>
    </font>
    <font>
      <i/>
      <sz val="10"/>
      <color rgb="FFC00000"/>
      <name val="Calibri"/>
      <family val="2"/>
    </font>
    <font>
      <i/>
      <sz val="8"/>
      <color rgb="FFD81E05"/>
      <name val="Calibri"/>
      <family val="2"/>
      <scheme val="minor"/>
    </font>
    <font>
      <i/>
      <sz val="9"/>
      <color rgb="FFD81E05"/>
      <name val="Calibri"/>
      <family val="2"/>
      <scheme val="minor"/>
    </font>
    <font>
      <sz val="11"/>
      <color rgb="FFD81E05"/>
      <name val="Calibri"/>
      <family val="2"/>
      <scheme val="minor"/>
    </font>
    <font>
      <i/>
      <sz val="9"/>
      <color theme="0" tint="-0.14999847407452621"/>
      <name val="Calibri"/>
      <family val="2"/>
      <scheme val="minor"/>
    </font>
    <font>
      <sz val="11"/>
      <color rgb="FFD81E05"/>
      <name val="Calibri"/>
      <family val="2"/>
    </font>
    <font>
      <i/>
      <sz val="10"/>
      <color theme="2" tint="-0.749992370372631"/>
      <name val="Calibri"/>
      <family val="2"/>
    </font>
    <font>
      <sz val="10"/>
      <name val="Calibri"/>
      <family val="2"/>
    </font>
    <font>
      <i/>
      <sz val="10"/>
      <color rgb="FFD81E05"/>
      <name val="Calibri"/>
      <family val="2"/>
    </font>
    <font>
      <sz val="10"/>
      <color theme="1"/>
      <name val="Arial"/>
      <family val="2"/>
    </font>
    <font>
      <b/>
      <sz val="11"/>
      <color rgb="FF000000"/>
      <name val="Calibri"/>
      <family val="2"/>
    </font>
    <font>
      <i/>
      <sz val="8"/>
      <color theme="1"/>
      <name val="Calibri"/>
      <family val="2"/>
      <scheme val="minor"/>
    </font>
    <font>
      <i/>
      <sz val="8"/>
      <color theme="1" tint="0.14999847407452621"/>
      <name val="Calibri"/>
      <family val="2"/>
      <scheme val="minor"/>
    </font>
    <font>
      <b/>
      <sz val="14"/>
      <color theme="0"/>
      <name val="Calibri"/>
      <family val="2"/>
    </font>
    <font>
      <sz val="10"/>
      <color rgb="FFFF0000"/>
      <name val="Calibri"/>
      <family val="2"/>
      <scheme val="minor"/>
    </font>
    <font>
      <sz val="12"/>
      <color rgb="FFC00000"/>
      <name val="Calibri"/>
      <family val="2"/>
      <scheme val="minor"/>
    </font>
    <font>
      <b/>
      <sz val="8"/>
      <color rgb="FFFF0000"/>
      <name val="Calibri"/>
      <family val="2"/>
      <scheme val="minor"/>
    </font>
    <font>
      <sz val="11"/>
      <color rgb="FFC00000"/>
      <name val="Calibri"/>
      <family val="2"/>
      <scheme val="minor"/>
    </font>
    <font>
      <sz val="10"/>
      <color theme="1" tint="0.34998626667073579"/>
      <name val="Calibri"/>
      <family val="2"/>
    </font>
    <font>
      <i/>
      <sz val="10"/>
      <color theme="1" tint="0.34998626667073579"/>
      <name val="Calibri"/>
      <family val="2"/>
    </font>
    <font>
      <sz val="11"/>
      <color theme="0"/>
      <name val="Arial"/>
      <family val="2"/>
    </font>
    <font>
      <b/>
      <sz val="11"/>
      <name val="Calibri"/>
      <family val="2"/>
    </font>
    <font>
      <i/>
      <sz val="11"/>
      <name val="Calibri"/>
      <family val="2"/>
    </font>
    <font>
      <b/>
      <i/>
      <sz val="10"/>
      <name val="Calibri"/>
      <family val="2"/>
      <scheme val="minor"/>
    </font>
    <font>
      <sz val="10"/>
      <color rgb="FFC00000"/>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rgb="FFFFFF00"/>
        <bgColor indexed="64"/>
      </patternFill>
    </fill>
    <fill>
      <patternFill patternType="solid">
        <fgColor theme="1"/>
        <bgColor rgb="FFFFFFFF"/>
      </patternFill>
    </fill>
    <fill>
      <patternFill patternType="solid">
        <fgColor rgb="FFE93F7C"/>
        <bgColor indexed="64"/>
      </patternFill>
    </fill>
    <fill>
      <patternFill patternType="solid">
        <fgColor rgb="FFADA35B"/>
        <bgColor indexed="64"/>
      </patternFill>
    </fill>
    <fill>
      <patternFill patternType="solid">
        <fgColor rgb="FFABA35B"/>
        <bgColor indexed="64"/>
      </patternFill>
    </fill>
    <fill>
      <patternFill patternType="solid">
        <fgColor rgb="FFFFFF00"/>
        <bgColor rgb="FF000000"/>
      </patternFill>
    </fill>
    <fill>
      <patternFill patternType="solid">
        <fgColor rgb="FFDDEBF7"/>
        <bgColor indexed="64"/>
      </patternFill>
    </fill>
    <fill>
      <patternFill patternType="solid">
        <fgColor theme="9"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rgb="FFFFC000"/>
        <bgColor indexed="64"/>
      </patternFill>
    </fill>
  </fills>
  <borders count="6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right/>
      <top style="thin">
        <color indexed="64"/>
      </top>
      <bottom style="medium">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bottom/>
      <diagonal/>
    </border>
    <border>
      <left style="hair">
        <color indexed="64"/>
      </left>
      <right/>
      <top/>
      <bottom/>
      <diagonal/>
    </border>
    <border>
      <left/>
      <right style="hair">
        <color indexed="64"/>
      </right>
      <top style="hair">
        <color indexed="64"/>
      </top>
      <bottom/>
      <diagonal/>
    </border>
    <border>
      <left/>
      <right/>
      <top style="hair">
        <color indexed="64"/>
      </top>
      <bottom/>
      <diagonal/>
    </border>
    <border>
      <left style="hair">
        <color indexed="64"/>
      </left>
      <right/>
      <top style="hair">
        <color indexed="64"/>
      </top>
      <bottom/>
      <diagonal/>
    </border>
    <border>
      <left/>
      <right style="hair">
        <color indexed="64"/>
      </right>
      <top/>
      <bottom style="hair">
        <color indexed="64"/>
      </bottom>
      <diagonal/>
    </border>
    <border>
      <left/>
      <right/>
      <top/>
      <bottom style="hair">
        <color indexed="64"/>
      </bottom>
      <diagonal/>
    </border>
    <border>
      <left style="hair">
        <color indexed="64"/>
      </left>
      <right/>
      <top/>
      <bottom style="hair">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dashed">
        <color indexed="64"/>
      </bottom>
      <diagonal/>
    </border>
    <border>
      <left/>
      <right/>
      <top/>
      <bottom style="dotted">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rgb="FFD81E05"/>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style="dotted">
        <color indexed="64"/>
      </right>
      <top/>
      <bottom style="dotted">
        <color indexed="64"/>
      </bottom>
      <diagonal/>
    </border>
    <border>
      <left/>
      <right/>
      <top/>
      <bottom style="thick">
        <color rgb="FFC00000"/>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s>
  <cellStyleXfs count="66">
    <xf numFmtId="0" fontId="0" fillId="0" borderId="0"/>
    <xf numFmtId="43" fontId="25" fillId="0" borderId="0" applyFont="0" applyFill="0" applyBorder="0" applyAlignment="0" applyProtection="0"/>
    <xf numFmtId="9" fontId="25" fillId="0" borderId="0" applyFont="0" applyFill="0" applyBorder="0" applyAlignment="0" applyProtection="0"/>
    <xf numFmtId="0" fontId="27" fillId="0" borderId="0"/>
    <xf numFmtId="0" fontId="27" fillId="10" borderId="0" applyNumberFormat="0" applyBorder="0" applyAlignment="0" applyProtection="0"/>
    <xf numFmtId="0" fontId="27" fillId="14" borderId="0" applyNumberFormat="0" applyBorder="0" applyAlignment="0" applyProtection="0"/>
    <xf numFmtId="0" fontId="27" fillId="18" borderId="0" applyNumberFormat="0" applyBorder="0" applyAlignment="0" applyProtection="0"/>
    <xf numFmtId="0" fontId="27" fillId="22" borderId="0" applyNumberFormat="0" applyBorder="0" applyAlignment="0" applyProtection="0"/>
    <xf numFmtId="0" fontId="27" fillId="26" borderId="0" applyNumberFormat="0" applyBorder="0" applyAlignment="0" applyProtection="0"/>
    <xf numFmtId="0" fontId="27" fillId="30" borderId="0" applyNumberFormat="0" applyBorder="0" applyAlignment="0" applyProtection="0"/>
    <xf numFmtId="0" fontId="27" fillId="11" borderId="0" applyNumberFormat="0" applyBorder="0" applyAlignment="0" applyProtection="0"/>
    <xf numFmtId="0" fontId="27" fillId="15" borderId="0" applyNumberFormat="0" applyBorder="0" applyAlignment="0" applyProtection="0"/>
    <xf numFmtId="0" fontId="27" fillId="19" borderId="0" applyNumberFormat="0" applyBorder="0" applyAlignment="0" applyProtection="0"/>
    <xf numFmtId="0" fontId="27" fillId="23" borderId="0" applyNumberFormat="0" applyBorder="0" applyAlignment="0" applyProtection="0"/>
    <xf numFmtId="0" fontId="27" fillId="27" borderId="0" applyNumberFormat="0" applyBorder="0" applyAlignment="0" applyProtection="0"/>
    <xf numFmtId="0" fontId="27" fillId="31" borderId="0" applyNumberFormat="0" applyBorder="0" applyAlignment="0" applyProtection="0"/>
    <xf numFmtId="0" fontId="43" fillId="12" borderId="0" applyNumberFormat="0" applyBorder="0" applyAlignment="0" applyProtection="0"/>
    <xf numFmtId="0" fontId="43" fillId="16" borderId="0" applyNumberFormat="0" applyBorder="0" applyAlignment="0" applyProtection="0"/>
    <xf numFmtId="0" fontId="43" fillId="20" borderId="0" applyNumberFormat="0" applyBorder="0" applyAlignment="0" applyProtection="0"/>
    <xf numFmtId="0" fontId="43" fillId="24" borderId="0" applyNumberFormat="0" applyBorder="0" applyAlignment="0" applyProtection="0"/>
    <xf numFmtId="0" fontId="43" fillId="28" borderId="0" applyNumberFormat="0" applyBorder="0" applyAlignment="0" applyProtection="0"/>
    <xf numFmtId="0" fontId="43" fillId="32" borderId="0" applyNumberFormat="0" applyBorder="0" applyAlignment="0" applyProtection="0"/>
    <xf numFmtId="0" fontId="43" fillId="9" borderId="0" applyNumberFormat="0" applyBorder="0" applyAlignment="0" applyProtection="0"/>
    <xf numFmtId="0" fontId="43" fillId="13" borderId="0" applyNumberFormat="0" applyBorder="0" applyAlignment="0" applyProtection="0"/>
    <xf numFmtId="0" fontId="43" fillId="17" borderId="0" applyNumberFormat="0" applyBorder="0" applyAlignment="0" applyProtection="0"/>
    <xf numFmtId="0" fontId="43" fillId="21" borderId="0" applyNumberFormat="0" applyBorder="0" applyAlignment="0" applyProtection="0"/>
    <xf numFmtId="0" fontId="43" fillId="25" borderId="0" applyNumberFormat="0" applyBorder="0" applyAlignment="0" applyProtection="0"/>
    <xf numFmtId="0" fontId="43" fillId="29" borderId="0" applyNumberFormat="0" applyBorder="0" applyAlignment="0" applyProtection="0"/>
    <xf numFmtId="0" fontId="33" fillId="3" borderId="0" applyNumberFormat="0" applyBorder="0" applyAlignment="0" applyProtection="0"/>
    <xf numFmtId="0" fontId="37" fillId="6" borderId="4" applyNumberFormat="0" applyAlignment="0" applyProtection="0"/>
    <xf numFmtId="0" fontId="39" fillId="7" borderId="7" applyNumberFormat="0" applyAlignment="0" applyProtection="0"/>
    <xf numFmtId="0" fontId="41" fillId="0" borderId="0" applyNumberFormat="0" applyFill="0" applyBorder="0" applyAlignment="0" applyProtection="0"/>
    <xf numFmtId="0" fontId="32" fillId="2" borderId="0" applyNumberFormat="0" applyBorder="0" applyAlignment="0" applyProtection="0"/>
    <xf numFmtId="0" fontId="29" fillId="0" borderId="1" applyNumberFormat="0" applyFill="0" applyAlignment="0" applyProtection="0"/>
    <xf numFmtId="0" fontId="30" fillId="0" borderId="2" applyNumberFormat="0" applyFill="0" applyAlignment="0" applyProtection="0"/>
    <xf numFmtId="0" fontId="31" fillId="0" borderId="3" applyNumberFormat="0" applyFill="0" applyAlignment="0" applyProtection="0"/>
    <xf numFmtId="0" fontId="31" fillId="0" borderId="0" applyNumberFormat="0" applyFill="0" applyBorder="0" applyAlignment="0" applyProtection="0"/>
    <xf numFmtId="0" fontId="35" fillId="5" borderId="4" applyNumberFormat="0" applyAlignment="0" applyProtection="0"/>
    <xf numFmtId="0" fontId="38" fillId="0" borderId="6" applyNumberFormat="0" applyFill="0" applyAlignment="0" applyProtection="0"/>
    <xf numFmtId="0" fontId="34" fillId="4" borderId="0" applyNumberFormat="0" applyBorder="0" applyAlignment="0" applyProtection="0"/>
    <xf numFmtId="0" fontId="27" fillId="8" borderId="8" applyNumberFormat="0" applyFont="0" applyAlignment="0" applyProtection="0"/>
    <xf numFmtId="0" fontId="36" fillId="6" borderId="5" applyNumberFormat="0" applyAlignment="0" applyProtection="0"/>
    <xf numFmtId="0" fontId="28" fillId="0" borderId="0" applyNumberFormat="0" applyFill="0" applyBorder="0" applyAlignment="0" applyProtection="0"/>
    <xf numFmtId="0" fontId="42" fillId="0" borderId="9" applyNumberFormat="0" applyFill="0" applyAlignment="0" applyProtection="0"/>
    <xf numFmtId="0" fontId="40" fillId="0" borderId="0" applyNumberFormat="0" applyFill="0" applyBorder="0" applyAlignment="0" applyProtection="0"/>
    <xf numFmtId="43" fontId="27" fillId="0" borderId="0" applyFont="0" applyFill="0" applyBorder="0" applyAlignment="0" applyProtection="0"/>
    <xf numFmtId="0" fontId="44" fillId="0" borderId="0"/>
    <xf numFmtId="43" fontId="44" fillId="0" borderId="0" applyFont="0" applyFill="0" applyBorder="0" applyAlignment="0" applyProtection="0"/>
    <xf numFmtId="0" fontId="45" fillId="0" borderId="0"/>
    <xf numFmtId="0" fontId="45" fillId="0" borderId="0"/>
    <xf numFmtId="0" fontId="27" fillId="0" borderId="0"/>
    <xf numFmtId="0" fontId="46" fillId="0" borderId="0"/>
    <xf numFmtId="0" fontId="45" fillId="0" borderId="0"/>
    <xf numFmtId="0" fontId="45" fillId="0" borderId="0"/>
    <xf numFmtId="9" fontId="48" fillId="0" borderId="0" applyFont="0" applyFill="0" applyBorder="0" applyAlignment="0" applyProtection="0"/>
    <xf numFmtId="0" fontId="45" fillId="0" borderId="0"/>
    <xf numFmtId="0" fontId="45" fillId="0" borderId="0"/>
    <xf numFmtId="43" fontId="27" fillId="0" borderId="0" applyFont="0" applyFill="0" applyBorder="0" applyAlignment="0" applyProtection="0"/>
    <xf numFmtId="0" fontId="55" fillId="0" borderId="0"/>
    <xf numFmtId="43" fontId="45" fillId="0" borderId="0" applyFont="0" applyFill="0" applyBorder="0" applyAlignment="0" applyProtection="0"/>
    <xf numFmtId="43" fontId="45" fillId="0" borderId="0" applyFont="0" applyFill="0" applyBorder="0" applyAlignment="0" applyProtection="0"/>
    <xf numFmtId="169" fontId="45" fillId="0" borderId="0" applyFont="0" applyFill="0" applyBorder="0" applyAlignment="0" applyProtection="0"/>
    <xf numFmtId="169" fontId="45" fillId="0" borderId="0" applyFont="0" applyFill="0" applyBorder="0" applyAlignment="0" applyProtection="0"/>
    <xf numFmtId="0" fontId="59" fillId="0" borderId="0" applyNumberFormat="0" applyFill="0" applyBorder="0" applyAlignment="0" applyProtection="0"/>
    <xf numFmtId="0" fontId="24" fillId="0" borderId="0"/>
    <xf numFmtId="9" fontId="45" fillId="0" borderId="0" applyFont="0" applyFill="0" applyBorder="0" applyAlignment="0" applyProtection="0"/>
  </cellStyleXfs>
  <cellXfs count="846">
    <xf numFmtId="0" fontId="0" fillId="0" borderId="0" xfId="0"/>
    <xf numFmtId="0" fontId="49" fillId="0" borderId="0" xfId="0" applyFont="1"/>
    <xf numFmtId="0" fontId="50" fillId="35" borderId="0" xfId="0" applyFont="1" applyFill="1"/>
    <xf numFmtId="0" fontId="26" fillId="0" borderId="0" xfId="0" applyFont="1"/>
    <xf numFmtId="0" fontId="26" fillId="0" borderId="0" xfId="0" applyFont="1" applyAlignment="1">
      <alignment horizontal="center"/>
    </xf>
    <xf numFmtId="0" fontId="51" fillId="0" borderId="0" xfId="0" applyFont="1"/>
    <xf numFmtId="175" fontId="51" fillId="0" borderId="0" xfId="1" applyNumberFormat="1" applyFont="1"/>
    <xf numFmtId="0" fontId="52" fillId="0" borderId="0" xfId="0" applyFont="1" applyAlignment="1">
      <alignment horizontal="center"/>
    </xf>
    <xf numFmtId="9" fontId="51" fillId="0" borderId="0" xfId="2" applyFont="1"/>
    <xf numFmtId="175" fontId="51" fillId="0" borderId="0" xfId="0" applyNumberFormat="1" applyFont="1"/>
    <xf numFmtId="0" fontId="52" fillId="0" borderId="0" xfId="0" applyFont="1"/>
    <xf numFmtId="0" fontId="51" fillId="0" borderId="29" xfId="0" applyFont="1" applyBorder="1" applyAlignment="1">
      <alignment horizontal="left" indent="1"/>
    </xf>
    <xf numFmtId="0" fontId="51" fillId="0" borderId="28" xfId="0" applyFont="1" applyBorder="1"/>
    <xf numFmtId="3" fontId="51" fillId="0" borderId="28" xfId="0" applyNumberFormat="1" applyFont="1" applyBorder="1"/>
    <xf numFmtId="0" fontId="51" fillId="0" borderId="32" xfId="0" applyFont="1" applyBorder="1" applyAlignment="1">
      <alignment horizontal="left" indent="1"/>
    </xf>
    <xf numFmtId="0" fontId="51" fillId="0" borderId="31" xfId="0" applyFont="1" applyBorder="1"/>
    <xf numFmtId="3" fontId="51" fillId="0" borderId="0" xfId="0" applyNumberFormat="1" applyFont="1"/>
    <xf numFmtId="3" fontId="51" fillId="0" borderId="27" xfId="0" applyNumberFormat="1" applyFont="1" applyBorder="1" applyAlignment="1">
      <alignment horizontal="right"/>
    </xf>
    <xf numFmtId="0" fontId="51" fillId="0" borderId="26" xfId="0" applyFont="1" applyBorder="1" applyAlignment="1">
      <alignment horizontal="left" indent="1"/>
    </xf>
    <xf numFmtId="10" fontId="53" fillId="0" borderId="0" xfId="2" applyNumberFormat="1" applyFont="1"/>
    <xf numFmtId="0" fontId="0" fillId="33" borderId="0" xfId="0" applyFill="1"/>
    <xf numFmtId="0" fontId="26" fillId="34" borderId="0" xfId="0" applyFont="1" applyFill="1"/>
    <xf numFmtId="0" fontId="63" fillId="0" borderId="0" xfId="0" applyFont="1"/>
    <xf numFmtId="0" fontId="49" fillId="34" borderId="0" xfId="0" applyFont="1" applyFill="1"/>
    <xf numFmtId="0" fontId="25" fillId="34" borderId="0" xfId="0" applyFont="1" applyFill="1"/>
    <xf numFmtId="0" fontId="25" fillId="0" borderId="0" xfId="0" applyFont="1"/>
    <xf numFmtId="0" fontId="68" fillId="0" borderId="0" xfId="46" applyFont="1"/>
    <xf numFmtId="3" fontId="25" fillId="0" borderId="0" xfId="0" applyNumberFormat="1" applyFont="1" applyAlignment="1">
      <alignment horizontal="left"/>
    </xf>
    <xf numFmtId="0" fontId="25" fillId="0" borderId="0" xfId="0" applyFont="1" applyAlignment="1">
      <alignment horizontal="left"/>
    </xf>
    <xf numFmtId="0" fontId="25" fillId="0" borderId="0" xfId="0" applyFont="1" applyAlignment="1">
      <alignment horizontal="left" indent="1"/>
    </xf>
    <xf numFmtId="175" fontId="25" fillId="0" borderId="0" xfId="1" applyNumberFormat="1"/>
    <xf numFmtId="0" fontId="25" fillId="0" borderId="28" xfId="0" applyFont="1" applyBorder="1"/>
    <xf numFmtId="175" fontId="25" fillId="0" borderId="28" xfId="1" applyNumberFormat="1" applyBorder="1"/>
    <xf numFmtId="0" fontId="25" fillId="0" borderId="26" xfId="0" applyFont="1" applyBorder="1" applyAlignment="1">
      <alignment horizontal="left" indent="1"/>
    </xf>
    <xf numFmtId="0" fontId="25" fillId="0" borderId="32" xfId="0" applyFont="1" applyBorder="1" applyAlignment="1">
      <alignment horizontal="left" indent="1"/>
    </xf>
    <xf numFmtId="0" fontId="25" fillId="0" borderId="31" xfId="0" applyFont="1" applyBorder="1"/>
    <xf numFmtId="175" fontId="25" fillId="0" borderId="31" xfId="1" applyNumberFormat="1" applyBorder="1"/>
    <xf numFmtId="0" fontId="25" fillId="0" borderId="24" xfId="0" applyFont="1" applyBorder="1"/>
    <xf numFmtId="0" fontId="25" fillId="0" borderId="23" xfId="0" applyFont="1" applyBorder="1"/>
    <xf numFmtId="175" fontId="25" fillId="0" borderId="23" xfId="1" applyNumberFormat="1" applyBorder="1"/>
    <xf numFmtId="0" fontId="0" fillId="0" borderId="0" xfId="0" applyAlignment="1">
      <alignment horizontal="left" indent="1"/>
    </xf>
    <xf numFmtId="0" fontId="79" fillId="0" borderId="0" xfId="0" applyFont="1"/>
    <xf numFmtId="0" fontId="63" fillId="34" borderId="0" xfId="0" applyFont="1" applyFill="1"/>
    <xf numFmtId="172" fontId="63" fillId="34" borderId="0" xfId="0" applyNumberFormat="1" applyFont="1" applyFill="1"/>
    <xf numFmtId="0" fontId="76" fillId="34" borderId="0" xfId="0" applyFont="1" applyFill="1"/>
    <xf numFmtId="172" fontId="63" fillId="0" borderId="0" xfId="0" applyNumberFormat="1" applyFont="1"/>
    <xf numFmtId="0" fontId="80" fillId="0" borderId="0" xfId="46" applyFont="1" applyProtection="1">
      <protection hidden="1"/>
    </xf>
    <xf numFmtId="0" fontId="63" fillId="0" borderId="0" xfId="0" applyFont="1" applyProtection="1">
      <protection hidden="1"/>
    </xf>
    <xf numFmtId="0" fontId="63" fillId="0" borderId="0" xfId="0" applyFont="1" applyAlignment="1">
      <alignment horizontal="left"/>
    </xf>
    <xf numFmtId="0" fontId="65" fillId="0" borderId="0" xfId="0" applyFont="1"/>
    <xf numFmtId="0" fontId="63" fillId="0" borderId="37" xfId="0" applyFont="1" applyBorder="1"/>
    <xf numFmtId="0" fontId="63" fillId="0" borderId="38" xfId="0" applyFont="1" applyBorder="1"/>
    <xf numFmtId="0" fontId="63" fillId="0" borderId="0" xfId="0" applyFont="1" applyAlignment="1">
      <alignment horizontal="left" indent="1"/>
    </xf>
    <xf numFmtId="0" fontId="65" fillId="34" borderId="0" xfId="0" applyFont="1" applyFill="1"/>
    <xf numFmtId="0" fontId="81" fillId="34" borderId="0" xfId="0" applyFont="1" applyFill="1"/>
    <xf numFmtId="0" fontId="65" fillId="0" borderId="37" xfId="0" applyFont="1" applyBorder="1"/>
    <xf numFmtId="0" fontId="65" fillId="0" borderId="38" xfId="0" applyFont="1" applyBorder="1"/>
    <xf numFmtId="0" fontId="63" fillId="0" borderId="13" xfId="0" applyFont="1" applyBorder="1"/>
    <xf numFmtId="172" fontId="63" fillId="0" borderId="13" xfId="0" applyNumberFormat="1" applyFont="1" applyBorder="1"/>
    <xf numFmtId="172" fontId="63" fillId="0" borderId="0" xfId="0" applyNumberFormat="1" applyFont="1" applyAlignment="1">
      <alignment horizontal="right"/>
    </xf>
    <xf numFmtId="0" fontId="63" fillId="33" borderId="0" xfId="0" applyFont="1" applyFill="1"/>
    <xf numFmtId="0" fontId="70" fillId="0" borderId="0" xfId="0" applyFont="1" applyAlignment="1">
      <alignment horizontal="right"/>
    </xf>
    <xf numFmtId="0" fontId="63" fillId="0" borderId="47" xfId="0" applyFont="1" applyBorder="1"/>
    <xf numFmtId="0" fontId="63" fillId="0" borderId="47" xfId="0" applyFont="1" applyBorder="1" applyAlignment="1">
      <alignment horizontal="left" indent="1"/>
    </xf>
    <xf numFmtId="172" fontId="63" fillId="0" borderId="47" xfId="0" applyNumberFormat="1" applyFont="1" applyBorder="1"/>
    <xf numFmtId="0" fontId="62" fillId="0" borderId="0" xfId="48" applyFont="1" applyProtection="1">
      <protection hidden="1"/>
    </xf>
    <xf numFmtId="0" fontId="66" fillId="0" borderId="0" xfId="48" applyFont="1" applyProtection="1">
      <protection hidden="1"/>
    </xf>
    <xf numFmtId="0" fontId="66" fillId="0" borderId="31" xfId="48" applyFont="1" applyBorder="1" applyProtection="1">
      <protection hidden="1"/>
    </xf>
    <xf numFmtId="0" fontId="62" fillId="0" borderId="31" xfId="48" applyFont="1" applyBorder="1" applyProtection="1">
      <protection hidden="1"/>
    </xf>
    <xf numFmtId="170" fontId="61" fillId="0" borderId="0" xfId="0" applyNumberFormat="1" applyFont="1"/>
    <xf numFmtId="0" fontId="0" fillId="34" borderId="0" xfId="0" applyFill="1"/>
    <xf numFmtId="177" fontId="25" fillId="0" borderId="0" xfId="2" applyNumberFormat="1"/>
    <xf numFmtId="0" fontId="0" fillId="0" borderId="29" xfId="0" applyBorder="1" applyAlignment="1">
      <alignment horizontal="left" indent="1"/>
    </xf>
    <xf numFmtId="0" fontId="88" fillId="0" borderId="0" xfId="0" applyFont="1"/>
    <xf numFmtId="0" fontId="89" fillId="0" borderId="0" xfId="0" applyFont="1"/>
    <xf numFmtId="0" fontId="90" fillId="0" borderId="0" xfId="0" applyFont="1"/>
    <xf numFmtId="0" fontId="91" fillId="0" borderId="0" xfId="0" applyFont="1"/>
    <xf numFmtId="0" fontId="0" fillId="33" borderId="0" xfId="0" applyFill="1" applyAlignment="1">
      <alignment vertical="center"/>
    </xf>
    <xf numFmtId="0" fontId="0" fillId="34" borderId="0" xfId="0" applyFill="1" applyAlignment="1">
      <alignment vertical="center"/>
    </xf>
    <xf numFmtId="0" fontId="25" fillId="33" borderId="0" xfId="0" applyFont="1" applyFill="1"/>
    <xf numFmtId="0" fontId="63" fillId="34" borderId="0" xfId="0" applyFont="1" applyFill="1" applyAlignment="1">
      <alignment vertical="center"/>
    </xf>
    <xf numFmtId="0" fontId="63" fillId="0" borderId="0" xfId="0" applyFont="1" applyAlignment="1">
      <alignment vertical="center"/>
    </xf>
    <xf numFmtId="0" fontId="76" fillId="34" borderId="0" xfId="0" applyFont="1" applyFill="1" applyAlignment="1">
      <alignment vertical="center"/>
    </xf>
    <xf numFmtId="10" fontId="85" fillId="0" borderId="0" xfId="0" applyNumberFormat="1" applyFont="1" applyAlignment="1">
      <alignment horizontal="right"/>
    </xf>
    <xf numFmtId="0" fontId="92" fillId="0" borderId="0" xfId="48" applyFont="1" applyProtection="1">
      <protection hidden="1"/>
    </xf>
    <xf numFmtId="0" fontId="93" fillId="0" borderId="0" xfId="48" applyFont="1" applyAlignment="1" applyProtection="1">
      <alignment horizontal="center"/>
      <protection hidden="1"/>
    </xf>
    <xf numFmtId="0" fontId="79" fillId="33" borderId="0" xfId="0" applyFont="1" applyFill="1"/>
    <xf numFmtId="172" fontId="79" fillId="33" borderId="0" xfId="0" applyNumberFormat="1" applyFont="1" applyFill="1"/>
    <xf numFmtId="174" fontId="62" fillId="0" borderId="0" xfId="48" applyNumberFormat="1" applyFont="1" applyAlignment="1" applyProtection="1">
      <alignment horizontal="center"/>
      <protection hidden="1"/>
    </xf>
    <xf numFmtId="0" fontId="97" fillId="0" borderId="0" xfId="0" applyFont="1"/>
    <xf numFmtId="175" fontId="97" fillId="0" borderId="0" xfId="0" applyNumberFormat="1" applyFont="1"/>
    <xf numFmtId="0" fontId="66" fillId="0" borderId="10" xfId="0" applyFont="1" applyBorder="1"/>
    <xf numFmtId="166" fontId="66" fillId="33" borderId="21" xfId="60" applyNumberFormat="1" applyFont="1" applyFill="1" applyBorder="1"/>
    <xf numFmtId="0" fontId="76" fillId="35" borderId="0" xfId="0" applyFont="1" applyFill="1"/>
    <xf numFmtId="0" fontId="66" fillId="0" borderId="0" xfId="0" applyFont="1"/>
    <xf numFmtId="0" fontId="107" fillId="0" borderId="0" xfId="63" applyFont="1"/>
    <xf numFmtId="0" fontId="66" fillId="0" borderId="43" xfId="0" applyFont="1" applyBorder="1"/>
    <xf numFmtId="0" fontId="66" fillId="0" borderId="44" xfId="0" applyFont="1" applyBorder="1"/>
    <xf numFmtId="0" fontId="67" fillId="33" borderId="12" xfId="0" applyFont="1" applyFill="1" applyBorder="1"/>
    <xf numFmtId="0" fontId="66" fillId="33" borderId="19" xfId="0" applyFont="1" applyFill="1" applyBorder="1"/>
    <xf numFmtId="0" fontId="66" fillId="33" borderId="18" xfId="0" applyFont="1" applyFill="1" applyBorder="1"/>
    <xf numFmtId="0" fontId="66" fillId="33" borderId="14" xfId="0" applyFont="1" applyFill="1" applyBorder="1"/>
    <xf numFmtId="0" fontId="67" fillId="0" borderId="11" xfId="0" applyFont="1" applyBorder="1"/>
    <xf numFmtId="0" fontId="67" fillId="0" borderId="15" xfId="0" applyFont="1" applyBorder="1"/>
    <xf numFmtId="0" fontId="67" fillId="0" borderId="0" xfId="0" applyFont="1"/>
    <xf numFmtId="0" fontId="66" fillId="33" borderId="12" xfId="0" applyFont="1" applyFill="1" applyBorder="1"/>
    <xf numFmtId="0" fontId="66" fillId="33" borderId="20" xfId="0" applyFont="1" applyFill="1" applyBorder="1"/>
    <xf numFmtId="0" fontId="66" fillId="33" borderId="0" xfId="0" applyFont="1" applyFill="1"/>
    <xf numFmtId="0" fontId="66" fillId="33" borderId="17" xfId="0" applyFont="1" applyFill="1" applyBorder="1"/>
    <xf numFmtId="0" fontId="66" fillId="33" borderId="13" xfId="0" applyFont="1" applyFill="1" applyBorder="1"/>
    <xf numFmtId="0" fontId="66" fillId="33" borderId="16" xfId="0" applyFont="1" applyFill="1" applyBorder="1"/>
    <xf numFmtId="0" fontId="66" fillId="0" borderId="12" xfId="0" applyFont="1" applyBorder="1"/>
    <xf numFmtId="166" fontId="66" fillId="0" borderId="19" xfId="0" applyNumberFormat="1" applyFont="1" applyBorder="1"/>
    <xf numFmtId="0" fontId="66" fillId="0" borderId="14" xfId="0" applyFont="1" applyBorder="1"/>
    <xf numFmtId="166" fontId="66" fillId="0" borderId="16" xfId="0" applyNumberFormat="1" applyFont="1" applyBorder="1"/>
    <xf numFmtId="0" fontId="67" fillId="0" borderId="10" xfId="0" applyFont="1" applyBorder="1"/>
    <xf numFmtId="9" fontId="66" fillId="33" borderId="43" xfId="2" applyFont="1" applyFill="1" applyBorder="1"/>
    <xf numFmtId="9" fontId="66" fillId="33" borderId="44" xfId="2" applyFont="1" applyFill="1" applyBorder="1"/>
    <xf numFmtId="9" fontId="66" fillId="0" borderId="0" xfId="2" applyFont="1"/>
    <xf numFmtId="9" fontId="66" fillId="0" borderId="43" xfId="2" applyFont="1" applyBorder="1"/>
    <xf numFmtId="9" fontId="66" fillId="0" borderId="44" xfId="2" applyFont="1" applyBorder="1"/>
    <xf numFmtId="0" fontId="66" fillId="0" borderId="19" xfId="0" applyFont="1" applyBorder="1"/>
    <xf numFmtId="0" fontId="66" fillId="0" borderId="20" xfId="0" applyFont="1" applyBorder="1"/>
    <xf numFmtId="0" fontId="66" fillId="0" borderId="18" xfId="0" applyFont="1" applyBorder="1"/>
    <xf numFmtId="10" fontId="66" fillId="0" borderId="16" xfId="2" applyNumberFormat="1" applyFont="1" applyBorder="1"/>
    <xf numFmtId="0" fontId="67" fillId="0" borderId="42" xfId="0" applyFont="1" applyBorder="1"/>
    <xf numFmtId="0" fontId="67" fillId="0" borderId="12" xfId="0" applyFont="1" applyBorder="1"/>
    <xf numFmtId="0" fontId="67" fillId="0" borderId="20" xfId="0" applyFont="1" applyBorder="1"/>
    <xf numFmtId="10" fontId="66" fillId="0" borderId="0" xfId="2" applyNumberFormat="1" applyFont="1"/>
    <xf numFmtId="173" fontId="67" fillId="0" borderId="42" xfId="0" applyNumberFormat="1" applyFont="1" applyBorder="1"/>
    <xf numFmtId="3" fontId="63" fillId="0" borderId="0" xfId="0" applyNumberFormat="1" applyFont="1" applyAlignment="1">
      <alignment horizontal="left"/>
    </xf>
    <xf numFmtId="0" fontId="56" fillId="0" borderId="0" xfId="0" applyFont="1"/>
    <xf numFmtId="174" fontId="63" fillId="0" borderId="0" xfId="0" applyNumberFormat="1" applyFont="1"/>
    <xf numFmtId="43" fontId="66" fillId="0" borderId="0" xfId="1" applyFont="1"/>
    <xf numFmtId="0" fontId="26" fillId="0" borderId="40" xfId="0" applyFont="1" applyBorder="1"/>
    <xf numFmtId="0" fontId="111" fillId="0" borderId="0" xfId="0" applyFont="1"/>
    <xf numFmtId="175" fontId="56" fillId="0" borderId="0" xfId="1" applyNumberFormat="1" applyFont="1"/>
    <xf numFmtId="175" fontId="56" fillId="0" borderId="31" xfId="1" applyNumberFormat="1" applyFont="1" applyBorder="1"/>
    <xf numFmtId="175" fontId="56" fillId="0" borderId="23" xfId="1" applyNumberFormat="1" applyFont="1" applyBorder="1"/>
    <xf numFmtId="0" fontId="111" fillId="0" borderId="0" xfId="0" applyFont="1" applyAlignment="1">
      <alignment horizontal="center"/>
    </xf>
    <xf numFmtId="3" fontId="51" fillId="0" borderId="0" xfId="1" applyNumberFormat="1" applyFont="1"/>
    <xf numFmtId="0" fontId="54" fillId="34" borderId="0" xfId="0" applyFont="1" applyFill="1"/>
    <xf numFmtId="0" fontId="70" fillId="0" borderId="0" xfId="0" applyFont="1" applyAlignment="1">
      <alignment vertical="center"/>
    </xf>
    <xf numFmtId="0" fontId="63" fillId="0" borderId="0" xfId="0" applyFont="1" applyAlignment="1">
      <alignment horizontal="right" vertical="center"/>
    </xf>
    <xf numFmtId="0" fontId="115" fillId="34" borderId="0" xfId="0" applyFont="1" applyFill="1"/>
    <xf numFmtId="0" fontId="65" fillId="0" borderId="0" xfId="0" applyFont="1" applyAlignment="1">
      <alignment horizontal="left"/>
    </xf>
    <xf numFmtId="0" fontId="76" fillId="0" borderId="0" xfId="0" applyFont="1"/>
    <xf numFmtId="174" fontId="62" fillId="0" borderId="0" xfId="48" applyNumberFormat="1" applyFont="1" applyProtection="1">
      <protection hidden="1"/>
    </xf>
    <xf numFmtId="0" fontId="116" fillId="0" borderId="0" xfId="48" applyFont="1" applyProtection="1">
      <protection hidden="1"/>
    </xf>
    <xf numFmtId="0" fontId="117" fillId="0" borderId="0" xfId="48" applyFont="1" applyProtection="1">
      <protection hidden="1"/>
    </xf>
    <xf numFmtId="0" fontId="118" fillId="0" borderId="0" xfId="0" applyFont="1"/>
    <xf numFmtId="0" fontId="21" fillId="34" borderId="0" xfId="0" applyFont="1" applyFill="1" applyAlignment="1">
      <alignment vertical="center" wrapText="1"/>
    </xf>
    <xf numFmtId="0" fontId="21" fillId="0" borderId="0" xfId="0" applyFont="1" applyAlignment="1">
      <alignment vertical="center" wrapText="1"/>
    </xf>
    <xf numFmtId="0" fontId="39" fillId="35" borderId="0" xfId="0" applyFont="1" applyFill="1" applyAlignment="1">
      <alignment horizontal="right" vertical="center" wrapText="1"/>
    </xf>
    <xf numFmtId="172" fontId="39" fillId="35" borderId="0" xfId="0" applyNumberFormat="1" applyFont="1" applyFill="1" applyAlignment="1">
      <alignment horizontal="right" vertical="center" wrapText="1"/>
    </xf>
    <xf numFmtId="172" fontId="43" fillId="35" borderId="0" xfId="0" applyNumberFormat="1" applyFont="1" applyFill="1" applyAlignment="1">
      <alignment vertical="center" wrapText="1"/>
    </xf>
    <xf numFmtId="0" fontId="43" fillId="34" borderId="0" xfId="0" applyFont="1" applyFill="1" applyAlignment="1">
      <alignment vertical="center" wrapText="1"/>
    </xf>
    <xf numFmtId="0" fontId="0" fillId="0" borderId="28" xfId="0" applyBorder="1" applyAlignment="1">
      <alignment horizontal="left" indent="1"/>
    </xf>
    <xf numFmtId="0" fontId="25" fillId="0" borderId="31" xfId="0" applyFont="1" applyBorder="1" applyAlignment="1">
      <alignment horizontal="left" indent="1"/>
    </xf>
    <xf numFmtId="0" fontId="51" fillId="0" borderId="28" xfId="0" applyFont="1" applyBorder="1" applyAlignment="1">
      <alignment horizontal="left" indent="1"/>
    </xf>
    <xf numFmtId="0" fontId="51" fillId="0" borderId="31" xfId="0" applyFont="1" applyBorder="1" applyAlignment="1">
      <alignment horizontal="left" indent="1"/>
    </xf>
    <xf numFmtId="0" fontId="51" fillId="0" borderId="0" xfId="0" applyFont="1" applyAlignment="1">
      <alignment horizontal="left" indent="1"/>
    </xf>
    <xf numFmtId="0" fontId="66" fillId="0" borderId="0" xfId="0" applyFont="1" applyAlignment="1">
      <alignment horizontal="right"/>
    </xf>
    <xf numFmtId="0" fontId="66" fillId="0" borderId="43" xfId="0" applyFont="1" applyBorder="1" applyAlignment="1">
      <alignment horizontal="right"/>
    </xf>
    <xf numFmtId="0" fontId="66" fillId="0" borderId="44" xfId="0" applyFont="1" applyBorder="1" applyAlignment="1">
      <alignment horizontal="right"/>
    </xf>
    <xf numFmtId="49" fontId="0" fillId="0" borderId="17" xfId="0" applyNumberFormat="1" applyBorder="1" applyAlignment="1">
      <alignment horizontal="right"/>
    </xf>
    <xf numFmtId="49" fontId="0" fillId="0" borderId="16" xfId="0" applyNumberFormat="1" applyBorder="1" applyAlignment="1">
      <alignment horizontal="right"/>
    </xf>
    <xf numFmtId="49" fontId="66" fillId="0" borderId="0" xfId="0" applyNumberFormat="1" applyFont="1"/>
    <xf numFmtId="49" fontId="0" fillId="0" borderId="0" xfId="0" applyNumberFormat="1" applyAlignment="1">
      <alignment horizontal="right"/>
    </xf>
    <xf numFmtId="49" fontId="53" fillId="0" borderId="0" xfId="0" applyNumberFormat="1" applyFont="1" applyAlignment="1">
      <alignment horizontal="right"/>
    </xf>
    <xf numFmtId="49" fontId="53" fillId="0" borderId="0" xfId="0" applyNumberFormat="1" applyFont="1" applyAlignment="1">
      <alignment horizontal="left" vertical="center"/>
    </xf>
    <xf numFmtId="49" fontId="53" fillId="0" borderId="18" xfId="0" applyNumberFormat="1" applyFont="1" applyBorder="1" applyAlignment="1">
      <alignment horizontal="left" vertical="center"/>
    </xf>
    <xf numFmtId="49" fontId="53" fillId="0" borderId="17" xfId="0" applyNumberFormat="1" applyFont="1" applyBorder="1" applyAlignment="1">
      <alignment horizontal="left" vertical="center"/>
    </xf>
    <xf numFmtId="49" fontId="53" fillId="0" borderId="18" xfId="0" applyNumberFormat="1" applyFont="1" applyBorder="1" applyAlignment="1">
      <alignment horizontal="right"/>
    </xf>
    <xf numFmtId="49" fontId="53" fillId="0" borderId="17" xfId="0" applyNumberFormat="1" applyFont="1" applyBorder="1" applyAlignment="1">
      <alignment horizontal="right" vertical="center"/>
    </xf>
    <xf numFmtId="0" fontId="66" fillId="0" borderId="18" xfId="0" applyFont="1" applyBorder="1" applyAlignment="1">
      <alignment horizontal="right"/>
    </xf>
    <xf numFmtId="0" fontId="66" fillId="0" borderId="17" xfId="0" applyFont="1" applyBorder="1" applyAlignment="1">
      <alignment horizontal="right"/>
    </xf>
    <xf numFmtId="0" fontId="66" fillId="0" borderId="14" xfId="0" applyFont="1" applyBorder="1" applyAlignment="1">
      <alignment horizontal="right"/>
    </xf>
    <xf numFmtId="0" fontId="66" fillId="0" borderId="16" xfId="0" applyFont="1" applyBorder="1" applyAlignment="1">
      <alignment horizontal="right"/>
    </xf>
    <xf numFmtId="0" fontId="67" fillId="0" borderId="19" xfId="0" applyFont="1" applyBorder="1"/>
    <xf numFmtId="49" fontId="53" fillId="0" borderId="17" xfId="0" applyNumberFormat="1" applyFont="1" applyBorder="1" applyAlignment="1">
      <alignment horizontal="right"/>
    </xf>
    <xf numFmtId="49" fontId="53" fillId="0" borderId="14" xfId="0" applyNumberFormat="1" applyFont="1" applyBorder="1" applyAlignment="1">
      <alignment horizontal="right"/>
    </xf>
    <xf numFmtId="0" fontId="119" fillId="0" borderId="18" xfId="0" applyFont="1" applyBorder="1" applyAlignment="1">
      <alignment horizontal="right"/>
    </xf>
    <xf numFmtId="0" fontId="67" fillId="0" borderId="0" xfId="0" applyFont="1" applyAlignment="1">
      <alignment horizontal="left"/>
    </xf>
    <xf numFmtId="49" fontId="0" fillId="0" borderId="13" xfId="0" applyNumberFormat="1" applyBorder="1" applyAlignment="1">
      <alignment horizontal="right"/>
    </xf>
    <xf numFmtId="49" fontId="53" fillId="0" borderId="13" xfId="0" applyNumberFormat="1" applyFont="1" applyBorder="1" applyAlignment="1">
      <alignment horizontal="right"/>
    </xf>
    <xf numFmtId="0" fontId="0" fillId="0" borderId="0" xfId="0" applyAlignment="1">
      <alignment horizontal="left" vertical="center" indent="3"/>
    </xf>
    <xf numFmtId="0" fontId="120" fillId="0" borderId="0" xfId="0" applyFont="1" applyAlignment="1">
      <alignment horizontal="left" vertical="center" indent="3"/>
    </xf>
    <xf numFmtId="0" fontId="53" fillId="0" borderId="12" xfId="0" applyFont="1" applyBorder="1" applyAlignment="1">
      <alignment horizontal="right"/>
    </xf>
    <xf numFmtId="0" fontId="66" fillId="0" borderId="19" xfId="0" applyFont="1" applyBorder="1" applyAlignment="1">
      <alignment horizontal="right"/>
    </xf>
    <xf numFmtId="0" fontId="53" fillId="0" borderId="18" xfId="0" applyFont="1" applyBorder="1" applyAlignment="1">
      <alignment horizontal="right"/>
    </xf>
    <xf numFmtId="176" fontId="123" fillId="0" borderId="42" xfId="2" applyNumberFormat="1" applyFont="1" applyBorder="1"/>
    <xf numFmtId="167" fontId="66" fillId="0" borderId="0" xfId="0" applyNumberFormat="1" applyFont="1"/>
    <xf numFmtId="0" fontId="66" fillId="0" borderId="10" xfId="0" applyFont="1" applyBorder="1" applyAlignment="1">
      <alignment horizontal="left"/>
    </xf>
    <xf numFmtId="179" fontId="66" fillId="0" borderId="0" xfId="1" applyNumberFormat="1" applyFont="1"/>
    <xf numFmtId="179" fontId="66" fillId="0" borderId="0" xfId="0" applyNumberFormat="1" applyFont="1"/>
    <xf numFmtId="1" fontId="0" fillId="0" borderId="0" xfId="0" applyNumberFormat="1"/>
    <xf numFmtId="168" fontId="0" fillId="0" borderId="0" xfId="0" applyNumberFormat="1"/>
    <xf numFmtId="180" fontId="45" fillId="0" borderId="0" xfId="1" applyNumberFormat="1" applyFont="1"/>
    <xf numFmtId="0" fontId="45" fillId="0" borderId="0" xfId="0" applyFont="1"/>
    <xf numFmtId="0" fontId="128" fillId="0" borderId="0" xfId="0" applyFont="1"/>
    <xf numFmtId="0" fontId="66" fillId="39" borderId="10" xfId="0" applyFont="1" applyFill="1" applyBorder="1"/>
    <xf numFmtId="0" fontId="66" fillId="39" borderId="10" xfId="0" applyFont="1" applyFill="1" applyBorder="1" applyAlignment="1">
      <alignment horizontal="right"/>
    </xf>
    <xf numFmtId="0" fontId="119" fillId="39" borderId="10" xfId="0" applyFont="1" applyFill="1" applyBorder="1" applyAlignment="1">
      <alignment horizontal="right"/>
    </xf>
    <xf numFmtId="0" fontId="66" fillId="39" borderId="10" xfId="0" applyFont="1" applyFill="1" applyBorder="1" applyAlignment="1">
      <alignment horizontal="left"/>
    </xf>
    <xf numFmtId="0" fontId="42" fillId="0" borderId="0" xfId="0" applyFont="1"/>
    <xf numFmtId="0" fontId="95" fillId="0" borderId="0" xfId="0" applyFont="1" applyAlignment="1">
      <alignment horizontal="right"/>
    </xf>
    <xf numFmtId="0" fontId="25" fillId="0" borderId="51" xfId="0" applyFont="1" applyBorder="1"/>
    <xf numFmtId="0" fontId="95" fillId="0" borderId="51" xfId="0" applyFont="1" applyBorder="1" applyAlignment="1">
      <alignment horizontal="right"/>
    </xf>
    <xf numFmtId="0" fontId="127" fillId="0" borderId="18" xfId="0" applyFont="1" applyBorder="1"/>
    <xf numFmtId="0" fontId="128" fillId="0" borderId="17" xfId="0" applyFont="1" applyBorder="1"/>
    <xf numFmtId="168" fontId="127" fillId="0" borderId="17" xfId="0" applyNumberFormat="1" applyFont="1" applyBorder="1"/>
    <xf numFmtId="0" fontId="129" fillId="0" borderId="18" xfId="0" applyFont="1" applyBorder="1"/>
    <xf numFmtId="0" fontId="127" fillId="0" borderId="14" xfId="0" applyFont="1" applyBorder="1"/>
    <xf numFmtId="168" fontId="127" fillId="0" borderId="16" xfId="0" applyNumberFormat="1" applyFont="1" applyBorder="1"/>
    <xf numFmtId="0" fontId="127" fillId="0" borderId="0" xfId="0" applyFont="1"/>
    <xf numFmtId="9" fontId="66" fillId="0" borderId="0" xfId="0" applyNumberFormat="1" applyFont="1"/>
    <xf numFmtId="0" fontId="127" fillId="0" borderId="42" xfId="0" applyFont="1" applyBorder="1"/>
    <xf numFmtId="0" fontId="132" fillId="0" borderId="0" xfId="0" applyFont="1" applyAlignment="1">
      <alignment horizontal="left" indent="1"/>
    </xf>
    <xf numFmtId="0" fontId="132" fillId="0" borderId="0" xfId="0" applyFont="1"/>
    <xf numFmtId="172" fontId="132" fillId="0" borderId="0" xfId="0" applyNumberFormat="1" applyFont="1"/>
    <xf numFmtId="10" fontId="132" fillId="0" borderId="0" xfId="0" applyNumberFormat="1" applyFont="1" applyAlignment="1">
      <alignment horizontal="left" indent="1"/>
    </xf>
    <xf numFmtId="0" fontId="132" fillId="0" borderId="52" xfId="0" applyFont="1" applyBorder="1" applyAlignment="1">
      <alignment horizontal="left" indent="1"/>
    </xf>
    <xf numFmtId="0" fontId="132" fillId="0" borderId="53" xfId="0" applyFont="1" applyBorder="1" applyAlignment="1">
      <alignment horizontal="left" indent="1"/>
    </xf>
    <xf numFmtId="0" fontId="132" fillId="0" borderId="53" xfId="0" applyFont="1" applyBorder="1"/>
    <xf numFmtId="172" fontId="132" fillId="0" borderId="54" xfId="0" applyNumberFormat="1" applyFont="1" applyBorder="1"/>
    <xf numFmtId="0" fontId="132" fillId="0" borderId="55" xfId="0" applyFont="1" applyBorder="1" applyAlignment="1">
      <alignment horizontal="left" indent="1"/>
    </xf>
    <xf numFmtId="172" fontId="132" fillId="0" borderId="56" xfId="0" applyNumberFormat="1" applyFont="1" applyBorder="1"/>
    <xf numFmtId="10" fontId="132" fillId="0" borderId="55" xfId="0" applyNumberFormat="1" applyFont="1" applyBorder="1" applyAlignment="1">
      <alignment horizontal="left" indent="1"/>
    </xf>
    <xf numFmtId="0" fontId="132" fillId="0" borderId="57" xfId="0" applyFont="1" applyBorder="1" applyAlignment="1">
      <alignment horizontal="left" indent="2"/>
    </xf>
    <xf numFmtId="0" fontId="132" fillId="0" borderId="48" xfId="0" applyFont="1" applyBorder="1" applyAlignment="1">
      <alignment horizontal="left" indent="1"/>
    </xf>
    <xf numFmtId="0" fontId="132" fillId="0" borderId="48" xfId="0" applyFont="1" applyBorder="1"/>
    <xf numFmtId="172" fontId="132" fillId="0" borderId="58" xfId="0" applyNumberFormat="1" applyFont="1" applyBorder="1"/>
    <xf numFmtId="0" fontId="98" fillId="35" borderId="0" xfId="46" applyFont="1" applyFill="1"/>
    <xf numFmtId="0" fontId="99" fillId="35" borderId="0" xfId="0" applyFont="1" applyFill="1" applyAlignment="1">
      <alignment horizontal="left" vertical="center"/>
    </xf>
    <xf numFmtId="0" fontId="100" fillId="35" borderId="0" xfId="0" applyFont="1" applyFill="1" applyAlignment="1">
      <alignment horizontal="left" vertical="center"/>
    </xf>
    <xf numFmtId="172" fontId="98" fillId="35" borderId="0" xfId="46" applyNumberFormat="1" applyFont="1" applyFill="1"/>
    <xf numFmtId="0" fontId="101" fillId="35" borderId="0" xfId="46" applyFont="1" applyFill="1"/>
    <xf numFmtId="172" fontId="98" fillId="35" borderId="0" xfId="1" applyNumberFormat="1" applyFont="1" applyFill="1" applyAlignment="1">
      <alignment horizontal="right"/>
    </xf>
    <xf numFmtId="0" fontId="102" fillId="35" borderId="0" xfId="46" applyFont="1" applyFill="1"/>
    <xf numFmtId="177" fontId="53" fillId="0" borderId="0" xfId="2" applyNumberFormat="1" applyFont="1"/>
    <xf numFmtId="0" fontId="63" fillId="0" borderId="29" xfId="0" applyFont="1" applyBorder="1" applyAlignment="1">
      <alignment horizontal="left" vertical="center"/>
    </xf>
    <xf numFmtId="0" fontId="63" fillId="0" borderId="28" xfId="0" applyFont="1" applyBorder="1" applyAlignment="1">
      <alignment vertical="center"/>
    </xf>
    <xf numFmtId="0" fontId="63" fillId="0" borderId="32" xfId="0" applyFont="1" applyBorder="1" applyAlignment="1">
      <alignment horizontal="left" vertical="center"/>
    </xf>
    <xf numFmtId="0" fontId="63" fillId="0" borderId="31" xfId="0" applyFont="1" applyBorder="1" applyAlignment="1">
      <alignment vertical="center"/>
    </xf>
    <xf numFmtId="170" fontId="70" fillId="0" borderId="28" xfId="2" applyNumberFormat="1" applyFont="1" applyBorder="1" applyAlignment="1">
      <alignment vertical="center"/>
    </xf>
    <xf numFmtId="0" fontId="63" fillId="0" borderId="26" xfId="0" applyFont="1" applyBorder="1" applyAlignment="1">
      <alignment horizontal="left" vertical="center"/>
    </xf>
    <xf numFmtId="170" fontId="70" fillId="0" borderId="0" xfId="2" applyNumberFormat="1" applyFont="1" applyAlignment="1">
      <alignment vertical="center"/>
    </xf>
    <xf numFmtId="172" fontId="63" fillId="0" borderId="0" xfId="0" applyNumberFormat="1" applyFont="1" applyAlignment="1">
      <alignment vertical="center"/>
    </xf>
    <xf numFmtId="170" fontId="70" fillId="0" borderId="31" xfId="2" applyNumberFormat="1" applyFont="1" applyBorder="1" applyAlignment="1">
      <alignment vertical="center"/>
    </xf>
    <xf numFmtId="172" fontId="63" fillId="0" borderId="0" xfId="2" applyNumberFormat="1" applyFont="1" applyAlignment="1">
      <alignment horizontal="right" vertical="center"/>
    </xf>
    <xf numFmtId="10" fontId="63" fillId="0" borderId="0" xfId="2" applyNumberFormat="1" applyFont="1" applyAlignment="1">
      <alignment horizontal="right" vertical="center"/>
    </xf>
    <xf numFmtId="0" fontId="63" fillId="33" borderId="0" xfId="0" applyFont="1" applyFill="1" applyAlignment="1">
      <alignment vertical="center"/>
    </xf>
    <xf numFmtId="1" fontId="63" fillId="33" borderId="0" xfId="0" applyNumberFormat="1" applyFont="1" applyFill="1" applyAlignment="1">
      <alignment horizontal="right" vertical="center"/>
    </xf>
    <xf numFmtId="0" fontId="81" fillId="0" borderId="0" xfId="0" applyFont="1" applyAlignment="1">
      <alignment vertical="center"/>
    </xf>
    <xf numFmtId="0" fontId="63" fillId="0" borderId="0" xfId="0" applyFont="1" applyAlignment="1">
      <alignment horizontal="left" vertical="center"/>
    </xf>
    <xf numFmtId="0" fontId="63" fillId="0" borderId="13" xfId="0" applyFont="1" applyBorder="1" applyAlignment="1">
      <alignment horizontal="left" indent="2"/>
    </xf>
    <xf numFmtId="0" fontId="76" fillId="41" borderId="50" xfId="0" applyFont="1" applyFill="1" applyBorder="1" applyAlignment="1">
      <alignment vertical="center"/>
    </xf>
    <xf numFmtId="0" fontId="67" fillId="41" borderId="46" xfId="0" applyFont="1" applyFill="1" applyBorder="1" applyAlignment="1">
      <alignment vertical="center"/>
    </xf>
    <xf numFmtId="0" fontId="66" fillId="41" borderId="46" xfId="0" applyFont="1" applyFill="1" applyBorder="1" applyAlignment="1">
      <alignment vertical="center"/>
    </xf>
    <xf numFmtId="0" fontId="78" fillId="35" borderId="0" xfId="46" applyFont="1" applyFill="1"/>
    <xf numFmtId="0" fontId="96" fillId="35" borderId="0" xfId="0" applyFont="1" applyFill="1" applyAlignment="1">
      <alignment horizontal="left" vertical="center"/>
    </xf>
    <xf numFmtId="172" fontId="77" fillId="35" borderId="0" xfId="46" applyNumberFormat="1" applyFont="1" applyFill="1"/>
    <xf numFmtId="172" fontId="78" fillId="35" borderId="0" xfId="1" applyNumberFormat="1" applyFont="1" applyFill="1" applyAlignment="1">
      <alignment horizontal="right"/>
    </xf>
    <xf numFmtId="0" fontId="76" fillId="35" borderId="0" xfId="46" applyFont="1" applyFill="1"/>
    <xf numFmtId="0" fontId="63" fillId="0" borderId="59" xfId="0" applyFont="1" applyBorder="1"/>
    <xf numFmtId="0" fontId="63" fillId="0" borderId="59" xfId="0" applyFont="1" applyBorder="1" applyAlignment="1">
      <alignment horizontal="right"/>
    </xf>
    <xf numFmtId="172" fontId="63" fillId="0" borderId="59" xfId="0" applyNumberFormat="1" applyFont="1" applyBorder="1" applyAlignment="1">
      <alignment horizontal="right"/>
    </xf>
    <xf numFmtId="0" fontId="70" fillId="0" borderId="59" xfId="0" applyFont="1" applyBorder="1" applyAlignment="1">
      <alignment horizontal="right"/>
    </xf>
    <xf numFmtId="0" fontId="63" fillId="0" borderId="0" xfId="0" applyFont="1" applyAlignment="1">
      <alignment horizontal="right"/>
    </xf>
    <xf numFmtId="0" fontId="76" fillId="40" borderId="36" xfId="0" applyFont="1" applyFill="1" applyBorder="1" applyAlignment="1">
      <alignment vertical="center"/>
    </xf>
    <xf numFmtId="0" fontId="81" fillId="40" borderId="38" xfId="0" applyFont="1" applyFill="1" applyBorder="1" applyAlignment="1">
      <alignment vertical="center"/>
    </xf>
    <xf numFmtId="0" fontId="63" fillId="0" borderId="60" xfId="0" applyFont="1" applyBorder="1"/>
    <xf numFmtId="0" fontId="63" fillId="0" borderId="61" xfId="0" applyFont="1" applyBorder="1"/>
    <xf numFmtId="0" fontId="76" fillId="40" borderId="63" xfId="0" applyFont="1" applyFill="1" applyBorder="1" applyAlignment="1">
      <alignment vertical="center"/>
    </xf>
    <xf numFmtId="0" fontId="63" fillId="0" borderId="37" xfId="0" applyFont="1" applyBorder="1" applyAlignment="1">
      <alignment horizontal="left" vertical="center"/>
    </xf>
    <xf numFmtId="0" fontId="63" fillId="0" borderId="38" xfId="0" applyFont="1" applyBorder="1" applyAlignment="1">
      <alignment vertical="center"/>
    </xf>
    <xf numFmtId="0" fontId="66" fillId="0" borderId="37" xfId="0" applyFont="1" applyBorder="1" applyAlignment="1">
      <alignment horizontal="left" vertical="center"/>
    </xf>
    <xf numFmtId="0" fontId="70" fillId="0" borderId="38" xfId="0" applyFont="1" applyBorder="1" applyAlignment="1">
      <alignment vertical="center"/>
    </xf>
    <xf numFmtId="0" fontId="63" fillId="33" borderId="38" xfId="0" applyFont="1" applyFill="1" applyBorder="1" applyAlignment="1">
      <alignment vertical="center"/>
    </xf>
    <xf numFmtId="0" fontId="66" fillId="0" borderId="39" xfId="0" applyFont="1" applyBorder="1" applyAlignment="1">
      <alignment horizontal="left" vertical="center"/>
    </xf>
    <xf numFmtId="0" fontId="70" fillId="0" borderId="40" xfId="0" applyFont="1" applyBorder="1" applyAlignment="1">
      <alignment vertical="center"/>
    </xf>
    <xf numFmtId="0" fontId="63" fillId="0" borderId="40" xfId="0" applyFont="1" applyBorder="1" applyAlignment="1">
      <alignment horizontal="right" vertical="center"/>
    </xf>
    <xf numFmtId="0" fontId="70" fillId="0" borderId="41" xfId="0" applyFont="1" applyBorder="1" applyAlignment="1">
      <alignment vertical="center"/>
    </xf>
    <xf numFmtId="0" fontId="67" fillId="0" borderId="34" xfId="0" applyFont="1" applyBorder="1" applyAlignment="1">
      <alignment vertical="center"/>
    </xf>
    <xf numFmtId="0" fontId="63" fillId="0" borderId="35" xfId="0" applyFont="1" applyBorder="1" applyAlignment="1">
      <alignment vertical="center"/>
    </xf>
    <xf numFmtId="0" fontId="63" fillId="0" borderId="35" xfId="0" applyFont="1" applyBorder="1" applyAlignment="1">
      <alignment horizontal="right" vertical="center"/>
    </xf>
    <xf numFmtId="0" fontId="63" fillId="0" borderId="36" xfId="0" applyFont="1" applyBorder="1" applyAlignment="1">
      <alignment vertical="center"/>
    </xf>
    <xf numFmtId="0" fontId="67" fillId="0" borderId="37" xfId="0" applyFont="1" applyBorder="1" applyAlignment="1">
      <alignment vertical="center"/>
    </xf>
    <xf numFmtId="0" fontId="81" fillId="0" borderId="38" xfId="0" applyFont="1" applyBorder="1" applyAlignment="1">
      <alignment vertical="center"/>
    </xf>
    <xf numFmtId="0" fontId="63" fillId="0" borderId="40" xfId="0" applyFont="1" applyBorder="1" applyAlignment="1">
      <alignment vertical="center"/>
    </xf>
    <xf numFmtId="3" fontId="63" fillId="0" borderId="40" xfId="0" applyNumberFormat="1" applyFont="1" applyBorder="1" applyAlignment="1">
      <alignment horizontal="right" vertical="center"/>
    </xf>
    <xf numFmtId="0" fontId="63" fillId="0" borderId="41" xfId="0" applyFont="1" applyBorder="1" applyAlignment="1">
      <alignment vertical="center"/>
    </xf>
    <xf numFmtId="0" fontId="81" fillId="35" borderId="37" xfId="0" applyFont="1" applyFill="1" applyBorder="1" applyAlignment="1">
      <alignment vertical="center"/>
    </xf>
    <xf numFmtId="0" fontId="81" fillId="35" borderId="0" xfId="0" applyFont="1" applyFill="1" applyAlignment="1">
      <alignment vertical="center"/>
    </xf>
    <xf numFmtId="0" fontId="76" fillId="35" borderId="0" xfId="0" applyFont="1" applyFill="1" applyAlignment="1">
      <alignment horizontal="right" vertical="center"/>
    </xf>
    <xf numFmtId="172" fontId="76" fillId="35" borderId="0" xfId="0" applyNumberFormat="1" applyFont="1" applyFill="1" applyAlignment="1">
      <alignment horizontal="right" vertical="center"/>
    </xf>
    <xf numFmtId="0" fontId="81" fillId="35" borderId="38" xfId="0" applyFont="1" applyFill="1" applyBorder="1" applyAlignment="1">
      <alignment vertical="center"/>
    </xf>
    <xf numFmtId="0" fontId="76" fillId="40" borderId="38" xfId="0" applyFont="1" applyFill="1" applyBorder="1" applyAlignment="1">
      <alignment vertical="center"/>
    </xf>
    <xf numFmtId="0" fontId="25" fillId="0" borderId="59" xfId="0" applyFont="1" applyBorder="1"/>
    <xf numFmtId="0" fontId="95" fillId="0" borderId="59" xfId="0" applyFont="1" applyBorder="1" applyAlignment="1">
      <alignment horizontal="right"/>
    </xf>
    <xf numFmtId="0" fontId="82" fillId="40" borderId="0" xfId="0" applyFont="1" applyFill="1" applyAlignment="1">
      <alignment vertical="center"/>
    </xf>
    <xf numFmtId="0" fontId="60" fillId="40" borderId="0" xfId="0" applyFont="1" applyFill="1" applyAlignment="1">
      <alignment vertical="center"/>
    </xf>
    <xf numFmtId="0" fontId="130" fillId="40" borderId="0" xfId="0" applyFont="1" applyFill="1" applyAlignment="1">
      <alignment vertical="center"/>
    </xf>
    <xf numFmtId="0" fontId="60" fillId="35" borderId="0" xfId="46" applyFont="1" applyFill="1"/>
    <xf numFmtId="0" fontId="87" fillId="35" borderId="0" xfId="0" applyFont="1" applyFill="1" applyAlignment="1">
      <alignment horizontal="center" vertical="center"/>
    </xf>
    <xf numFmtId="0" fontId="74" fillId="35" borderId="0" xfId="46" applyFont="1" applyFill="1"/>
    <xf numFmtId="0" fontId="133" fillId="0" borderId="0" xfId="0" applyFont="1"/>
    <xf numFmtId="0" fontId="135" fillId="33" borderId="0" xfId="0" applyFont="1" applyFill="1"/>
    <xf numFmtId="0" fontId="136" fillId="33" borderId="0" xfId="0" applyFont="1" applyFill="1" applyAlignment="1">
      <alignment horizontal="center"/>
    </xf>
    <xf numFmtId="0" fontId="137" fillId="33" borderId="0" xfId="0" applyFont="1" applyFill="1" applyAlignment="1">
      <alignment horizontal="right"/>
    </xf>
    <xf numFmtId="171" fontId="23" fillId="33" borderId="15" xfId="1" applyNumberFormat="1" applyFont="1" applyFill="1" applyBorder="1" applyAlignment="1" applyProtection="1">
      <alignment horizontal="right" vertical="center"/>
      <protection locked="0"/>
    </xf>
    <xf numFmtId="0" fontId="103" fillId="35" borderId="0" xfId="46" applyFont="1" applyFill="1"/>
    <xf numFmtId="0" fontId="124" fillId="35" borderId="0" xfId="0" applyFont="1" applyFill="1" applyAlignment="1">
      <alignment horizontal="left" vertical="center"/>
    </xf>
    <xf numFmtId="172" fontId="103" fillId="35" borderId="0" xfId="46" applyNumberFormat="1" applyFont="1" applyFill="1"/>
    <xf numFmtId="0" fontId="104" fillId="35" borderId="0" xfId="0" applyFont="1" applyFill="1" applyAlignment="1">
      <alignment horizontal="right" vertical="center"/>
    </xf>
    <xf numFmtId="0" fontId="101" fillId="38" borderId="0" xfId="0" applyFont="1" applyFill="1"/>
    <xf numFmtId="0" fontId="40" fillId="35" borderId="0" xfId="46" applyFont="1" applyFill="1"/>
    <xf numFmtId="0" fontId="57" fillId="34" borderId="0" xfId="46" applyFont="1" applyFill="1"/>
    <xf numFmtId="0" fontId="60" fillId="34" borderId="0" xfId="46" applyFont="1" applyFill="1"/>
    <xf numFmtId="172" fontId="57" fillId="34" borderId="0" xfId="46" applyNumberFormat="1" applyFont="1" applyFill="1"/>
    <xf numFmtId="0" fontId="58" fillId="34" borderId="0" xfId="46" applyFont="1" applyFill="1"/>
    <xf numFmtId="0" fontId="83" fillId="34" borderId="0" xfId="46" applyFont="1" applyFill="1"/>
    <xf numFmtId="0" fontId="40" fillId="34" borderId="0" xfId="46" applyFont="1" applyFill="1"/>
    <xf numFmtId="0" fontId="23" fillId="0" borderId="0" xfId="0" applyFont="1"/>
    <xf numFmtId="0" fontId="60" fillId="0" borderId="0" xfId="0" applyFont="1"/>
    <xf numFmtId="172" fontId="23" fillId="0" borderId="0" xfId="0" applyNumberFormat="1" applyFont="1"/>
    <xf numFmtId="0" fontId="83" fillId="34" borderId="0" xfId="0" applyFont="1" applyFill="1"/>
    <xf numFmtId="0" fontId="40" fillId="34" borderId="0" xfId="0" applyFont="1" applyFill="1"/>
    <xf numFmtId="0" fontId="23" fillId="34" borderId="0" xfId="0" applyFont="1" applyFill="1"/>
    <xf numFmtId="0" fontId="69" fillId="0" borderId="0" xfId="46" applyFont="1" applyAlignment="1">
      <alignment vertical="center"/>
    </xf>
    <xf numFmtId="0" fontId="23" fillId="0" borderId="0" xfId="0" applyFont="1" applyAlignment="1">
      <alignment vertical="center"/>
    </xf>
    <xf numFmtId="0" fontId="60" fillId="0" borderId="0" xfId="0" applyFont="1" applyAlignment="1">
      <alignment vertical="center"/>
    </xf>
    <xf numFmtId="0" fontId="23" fillId="0" borderId="0" xfId="0" applyFont="1" applyAlignment="1">
      <alignment horizontal="left" vertical="center"/>
    </xf>
    <xf numFmtId="0" fontId="62" fillId="0" borderId="0" xfId="0" applyFont="1" applyAlignment="1">
      <alignment vertical="center"/>
    </xf>
    <xf numFmtId="0" fontId="112" fillId="0" borderId="0" xfId="0" applyFont="1" applyAlignment="1">
      <alignment vertical="center"/>
    </xf>
    <xf numFmtId="174" fontId="60" fillId="0" borderId="0" xfId="0" applyNumberFormat="1" applyFont="1" applyAlignment="1">
      <alignment horizontal="left" vertical="center"/>
    </xf>
    <xf numFmtId="174" fontId="23" fillId="0" borderId="0" xfId="0" applyNumberFormat="1" applyFont="1" applyAlignment="1">
      <alignment horizontal="right" vertical="center"/>
    </xf>
    <xf numFmtId="174" fontId="60" fillId="0" borderId="0" xfId="0" applyNumberFormat="1" applyFont="1" applyAlignment="1">
      <alignment horizontal="right" vertical="center"/>
    </xf>
    <xf numFmtId="174" fontId="23" fillId="0" borderId="0" xfId="0" applyNumberFormat="1" applyFont="1" applyAlignment="1">
      <alignment horizontal="left" vertical="center"/>
    </xf>
    <xf numFmtId="0" fontId="69" fillId="0" borderId="0" xfId="46" applyFont="1"/>
    <xf numFmtId="0" fontId="112" fillId="0" borderId="0" xfId="0" applyFont="1"/>
    <xf numFmtId="0" fontId="69" fillId="0" borderId="51" xfId="46" applyFont="1" applyBorder="1"/>
    <xf numFmtId="0" fontId="23" fillId="0" borderId="51" xfId="0" applyFont="1" applyBorder="1"/>
    <xf numFmtId="0" fontId="60" fillId="0" borderId="51" xfId="0" applyFont="1" applyBorder="1"/>
    <xf numFmtId="172" fontId="23" fillId="0" borderId="51" xfId="0" applyNumberFormat="1" applyFont="1" applyBorder="1"/>
    <xf numFmtId="172" fontId="64" fillId="0" borderId="51" xfId="0" applyNumberFormat="1" applyFont="1" applyBorder="1" applyAlignment="1">
      <alignment horizontal="right"/>
    </xf>
    <xf numFmtId="172" fontId="42" fillId="0" borderId="0" xfId="0" applyNumberFormat="1" applyFont="1" applyAlignment="1">
      <alignment horizontal="center"/>
    </xf>
    <xf numFmtId="0" fontId="42" fillId="0" borderId="0" xfId="0" applyFont="1" applyAlignment="1">
      <alignment horizontal="center"/>
    </xf>
    <xf numFmtId="0" fontId="47" fillId="0" borderId="0" xfId="48" applyFont="1" applyAlignment="1">
      <alignment horizontal="left" vertical="center"/>
    </xf>
    <xf numFmtId="172" fontId="23" fillId="36" borderId="10" xfId="0" applyNumberFormat="1" applyFont="1" applyFill="1" applyBorder="1" applyAlignment="1">
      <alignment vertical="center"/>
    </xf>
    <xf numFmtId="172" fontId="23" fillId="0" borderId="0" xfId="0" applyNumberFormat="1" applyFont="1" applyAlignment="1">
      <alignment vertical="center"/>
    </xf>
    <xf numFmtId="0" fontId="18" fillId="0" borderId="0" xfId="0" applyFont="1" applyAlignment="1">
      <alignment vertical="center"/>
    </xf>
    <xf numFmtId="172" fontId="40" fillId="34" borderId="0" xfId="0" applyNumberFormat="1" applyFont="1" applyFill="1"/>
    <xf numFmtId="0" fontId="71" fillId="0" borderId="0" xfId="48" applyFont="1" applyAlignment="1">
      <alignment horizontal="left" indent="2"/>
    </xf>
    <xf numFmtId="0" fontId="72" fillId="35" borderId="0" xfId="48" applyFont="1" applyFill="1"/>
    <xf numFmtId="0" fontId="43" fillId="35" borderId="0" xfId="0" applyFont="1" applyFill="1"/>
    <xf numFmtId="0" fontId="60" fillId="35" borderId="0" xfId="0" applyFont="1" applyFill="1"/>
    <xf numFmtId="172" fontId="43" fillId="35" borderId="0" xfId="0" applyNumberFormat="1" applyFont="1" applyFill="1"/>
    <xf numFmtId="0" fontId="39" fillId="40" borderId="0" xfId="48" applyFont="1" applyFill="1" applyAlignment="1">
      <alignment horizontal="left" vertical="center"/>
    </xf>
    <xf numFmtId="0" fontId="43" fillId="40" borderId="0" xfId="0" applyFont="1" applyFill="1"/>
    <xf numFmtId="172" fontId="43" fillId="40" borderId="0" xfId="0" applyNumberFormat="1" applyFont="1" applyFill="1"/>
    <xf numFmtId="0" fontId="47" fillId="0" borderId="0" xfId="48" applyFont="1" applyAlignment="1">
      <alignment horizontal="left" indent="2"/>
    </xf>
    <xf numFmtId="0" fontId="60" fillId="0" borderId="0" xfId="48" applyFont="1" applyAlignment="1">
      <alignment horizontal="left" vertical="center"/>
    </xf>
    <xf numFmtId="9" fontId="125" fillId="0" borderId="0" xfId="2" applyFont="1" applyAlignment="1">
      <alignment horizontal="right" vertical="center"/>
    </xf>
    <xf numFmtId="0" fontId="125" fillId="0" borderId="0" xfId="0" applyFont="1" applyAlignment="1">
      <alignment horizontal="center" vertical="center"/>
    </xf>
    <xf numFmtId="0" fontId="40" fillId="0" borderId="0" xfId="0" applyFont="1" applyAlignment="1">
      <alignment vertical="center"/>
    </xf>
    <xf numFmtId="172" fontId="23" fillId="33" borderId="0" xfId="0" applyNumberFormat="1" applyFont="1" applyFill="1" applyAlignment="1">
      <alignment vertical="center"/>
    </xf>
    <xf numFmtId="0" fontId="23" fillId="33" borderId="0" xfId="0" applyFont="1" applyFill="1" applyAlignment="1">
      <alignment vertical="center"/>
    </xf>
    <xf numFmtId="0" fontId="122" fillId="33" borderId="0" xfId="0" applyFont="1" applyFill="1" applyAlignment="1">
      <alignment vertical="center"/>
    </xf>
    <xf numFmtId="0" fontId="60" fillId="0" borderId="0" xfId="48" applyFont="1" applyAlignment="1">
      <alignment horizontal="left" indent="3"/>
    </xf>
    <xf numFmtId="0" fontId="23" fillId="33" borderId="0" xfId="0" applyFont="1" applyFill="1"/>
    <xf numFmtId="0" fontId="43" fillId="40" borderId="0" xfId="0" applyFont="1" applyFill="1" applyAlignment="1">
      <alignment vertical="center"/>
    </xf>
    <xf numFmtId="172" fontId="43" fillId="40" borderId="0" xfId="0" applyNumberFormat="1" applyFont="1" applyFill="1" applyAlignment="1">
      <alignment vertical="center"/>
    </xf>
    <xf numFmtId="10" fontId="23" fillId="33" borderId="0" xfId="2" applyNumberFormat="1" applyFont="1" applyFill="1" applyAlignment="1">
      <alignment horizontal="right" vertical="center"/>
    </xf>
    <xf numFmtId="0" fontId="83" fillId="34" borderId="0" xfId="0" applyFont="1" applyFill="1" applyAlignment="1">
      <alignment vertical="center"/>
    </xf>
    <xf numFmtId="0" fontId="40" fillId="34" borderId="0" xfId="0" applyFont="1" applyFill="1" applyAlignment="1">
      <alignment vertical="center"/>
    </xf>
    <xf numFmtId="0" fontId="23" fillId="34" borderId="0" xfId="0" applyFont="1" applyFill="1" applyAlignment="1">
      <alignment vertical="center"/>
    </xf>
    <xf numFmtId="0" fontId="108" fillId="0" borderId="0" xfId="0" applyFont="1" applyAlignment="1">
      <alignment horizontal="right" vertical="center"/>
    </xf>
    <xf numFmtId="170" fontId="125" fillId="0" borderId="0" xfId="2" applyNumberFormat="1" applyFont="1" applyAlignment="1">
      <alignment horizontal="right" vertical="center"/>
    </xf>
    <xf numFmtId="0" fontId="60" fillId="0" borderId="0" xfId="0" applyFont="1" applyAlignment="1">
      <alignment horizontal="right" vertical="center"/>
    </xf>
    <xf numFmtId="172" fontId="75" fillId="0" borderId="0" xfId="0" applyNumberFormat="1" applyFont="1" applyAlignment="1">
      <alignment horizontal="right" vertical="center"/>
    </xf>
    <xf numFmtId="0" fontId="43" fillId="33" borderId="0" xfId="0" applyFont="1" applyFill="1" applyAlignment="1">
      <alignment vertical="center"/>
    </xf>
    <xf numFmtId="43" fontId="60" fillId="0" borderId="0" xfId="48" applyNumberFormat="1" applyFont="1" applyAlignment="1">
      <alignment horizontal="left" vertical="center"/>
    </xf>
    <xf numFmtId="0" fontId="22" fillId="0" borderId="0" xfId="0" applyFont="1" applyAlignment="1">
      <alignment vertical="center"/>
    </xf>
    <xf numFmtId="173" fontId="23" fillId="36" borderId="10" xfId="0" applyNumberFormat="1" applyFont="1" applyFill="1" applyBorder="1" applyAlignment="1">
      <alignment vertical="center"/>
    </xf>
    <xf numFmtId="0" fontId="72" fillId="35" borderId="0" xfId="48" applyFont="1" applyFill="1" applyAlignment="1">
      <alignment vertical="center"/>
    </xf>
    <xf numFmtId="0" fontId="43" fillId="35" borderId="0" xfId="0" applyFont="1" applyFill="1" applyAlignment="1">
      <alignment vertical="center"/>
    </xf>
    <xf numFmtId="0" fontId="60" fillId="35" borderId="0" xfId="0" applyFont="1" applyFill="1" applyAlignment="1">
      <alignment vertical="center"/>
    </xf>
    <xf numFmtId="172" fontId="43" fillId="35" borderId="0" xfId="0" applyNumberFormat="1" applyFont="1" applyFill="1" applyAlignment="1">
      <alignment vertical="center"/>
    </xf>
    <xf numFmtId="172" fontId="40" fillId="35" borderId="0" xfId="0" applyNumberFormat="1" applyFont="1" applyFill="1" applyAlignment="1">
      <alignment horizontal="right" vertical="center"/>
    </xf>
    <xf numFmtId="0" fontId="84" fillId="0" borderId="0" xfId="0" applyFont="1" applyAlignment="1">
      <alignment horizontal="right" vertical="center"/>
    </xf>
    <xf numFmtId="172" fontId="23" fillId="33" borderId="11" xfId="0" applyNumberFormat="1" applyFont="1" applyFill="1" applyBorder="1" applyAlignment="1">
      <alignment vertical="center"/>
    </xf>
    <xf numFmtId="0" fontId="23" fillId="33" borderId="33" xfId="0" applyFont="1" applyFill="1" applyBorder="1" applyAlignment="1">
      <alignment vertical="center"/>
    </xf>
    <xf numFmtId="172" fontId="23" fillId="36" borderId="11" xfId="0" applyNumberFormat="1" applyFont="1" applyFill="1" applyBorder="1" applyAlignment="1">
      <alignment vertical="center"/>
    </xf>
    <xf numFmtId="172" fontId="23" fillId="36" borderId="33" xfId="0" applyNumberFormat="1" applyFont="1" applyFill="1" applyBorder="1" applyAlignment="1">
      <alignment vertical="center"/>
    </xf>
    <xf numFmtId="0" fontId="23" fillId="36" borderId="33" xfId="0" applyFont="1" applyFill="1" applyBorder="1" applyAlignment="1">
      <alignment vertical="center"/>
    </xf>
    <xf numFmtId="0" fontId="16" fillId="0" borderId="0" xfId="0" applyFont="1" applyAlignment="1">
      <alignment horizontal="left" vertical="center"/>
    </xf>
    <xf numFmtId="0" fontId="17" fillId="0" borderId="0" xfId="0" applyFont="1" applyAlignment="1">
      <alignment horizontal="left" vertical="center"/>
    </xf>
    <xf numFmtId="171" fontId="23" fillId="33" borderId="0" xfId="1" applyNumberFormat="1" applyFont="1" applyFill="1" applyAlignment="1">
      <alignment horizontal="right" vertical="center"/>
    </xf>
    <xf numFmtId="0" fontId="60" fillId="0" borderId="0" xfId="0" applyFont="1" applyAlignment="1">
      <alignment horizontal="left" vertical="center"/>
    </xf>
    <xf numFmtId="0" fontId="43" fillId="35" borderId="11" xfId="0" applyFont="1" applyFill="1" applyBorder="1" applyAlignment="1">
      <alignment vertical="center"/>
    </xf>
    <xf numFmtId="172" fontId="43" fillId="35" borderId="33" xfId="0" applyNumberFormat="1" applyFont="1" applyFill="1" applyBorder="1" applyAlignment="1">
      <alignment vertical="center"/>
    </xf>
    <xf numFmtId="0" fontId="43" fillId="35" borderId="33" xfId="0" applyFont="1" applyFill="1" applyBorder="1" applyAlignment="1">
      <alignment vertical="center"/>
    </xf>
    <xf numFmtId="0" fontId="43" fillId="35" borderId="15" xfId="0" applyFont="1" applyFill="1" applyBorder="1"/>
    <xf numFmtId="0" fontId="18" fillId="0" borderId="0" xfId="0" applyFont="1" applyAlignment="1">
      <alignment horizontal="left" vertical="center"/>
    </xf>
    <xf numFmtId="0" fontId="18" fillId="0" borderId="0" xfId="0" applyFont="1"/>
    <xf numFmtId="172" fontId="23" fillId="33" borderId="0" xfId="0" applyNumberFormat="1" applyFont="1" applyFill="1"/>
    <xf numFmtId="171" fontId="23" fillId="33" borderId="0" xfId="1" applyNumberFormat="1" applyFont="1" applyFill="1" applyAlignment="1">
      <alignment horizontal="right"/>
    </xf>
    <xf numFmtId="0" fontId="60" fillId="34" borderId="0" xfId="0" applyFont="1" applyFill="1"/>
    <xf numFmtId="172" fontId="23" fillId="34" borderId="0" xfId="0" applyNumberFormat="1" applyFont="1" applyFill="1"/>
    <xf numFmtId="0" fontId="47" fillId="0" borderId="0" xfId="46" applyFont="1" applyAlignment="1">
      <alignment vertical="center"/>
    </xf>
    <xf numFmtId="0" fontId="138" fillId="0" borderId="0" xfId="0" applyFont="1" applyAlignment="1">
      <alignment horizontal="right" vertical="center"/>
    </xf>
    <xf numFmtId="0" fontId="140" fillId="0" borderId="0" xfId="0" applyFont="1" applyAlignment="1">
      <alignment vertical="center"/>
    </xf>
    <xf numFmtId="172" fontId="138" fillId="33" borderId="0" xfId="0" applyNumberFormat="1" applyFont="1" applyFill="1" applyAlignment="1">
      <alignment horizontal="right"/>
    </xf>
    <xf numFmtId="0" fontId="15" fillId="0" borderId="0" xfId="0" applyFont="1"/>
    <xf numFmtId="0" fontId="126" fillId="0" borderId="0" xfId="0" applyFont="1"/>
    <xf numFmtId="0" fontId="73" fillId="0" borderId="0" xfId="0" applyFont="1"/>
    <xf numFmtId="172" fontId="126" fillId="33" borderId="0" xfId="0" applyNumberFormat="1" applyFont="1" applyFill="1"/>
    <xf numFmtId="0" fontId="126" fillId="33" borderId="0" xfId="0" applyFont="1" applyFill="1"/>
    <xf numFmtId="171" fontId="126" fillId="33" borderId="0" xfId="1" applyNumberFormat="1" applyFont="1" applyFill="1" applyAlignment="1">
      <alignment horizontal="right"/>
    </xf>
    <xf numFmtId="0" fontId="141" fillId="34" borderId="0" xfId="0" applyFont="1" applyFill="1"/>
    <xf numFmtId="0" fontId="131" fillId="34" borderId="0" xfId="0" applyFont="1" applyFill="1"/>
    <xf numFmtId="0" fontId="126" fillId="34" borderId="0" xfId="0" applyFont="1" applyFill="1"/>
    <xf numFmtId="0" fontId="139" fillId="0" borderId="0" xfId="0" applyFont="1"/>
    <xf numFmtId="1" fontId="25" fillId="0" borderId="0" xfId="0" applyNumberFormat="1" applyFont="1" applyAlignment="1">
      <alignment horizontal="left"/>
    </xf>
    <xf numFmtId="0" fontId="26" fillId="0" borderId="0" xfId="0" applyFont="1" applyAlignment="1">
      <alignment vertical="center"/>
    </xf>
    <xf numFmtId="0" fontId="26" fillId="34" borderId="0" xfId="0" applyFont="1" applyFill="1" applyAlignment="1">
      <alignment vertical="center"/>
    </xf>
    <xf numFmtId="0" fontId="25" fillId="0" borderId="0" xfId="0" applyFont="1" applyAlignment="1">
      <alignment vertical="center"/>
    </xf>
    <xf numFmtId="175" fontId="25" fillId="0" borderId="0" xfId="1" applyNumberFormat="1" applyAlignment="1">
      <alignment vertical="center"/>
    </xf>
    <xf numFmtId="0" fontId="25" fillId="34" borderId="0" xfId="0" applyFont="1" applyFill="1" applyAlignment="1">
      <alignment vertical="center"/>
    </xf>
    <xf numFmtId="175" fontId="95" fillId="0" borderId="0" xfId="1" applyNumberFormat="1" applyFont="1" applyAlignment="1">
      <alignment vertical="center"/>
    </xf>
    <xf numFmtId="175" fontId="143" fillId="0" borderId="0" xfId="1" applyNumberFormat="1" applyFont="1"/>
    <xf numFmtId="0" fontId="95" fillId="33" borderId="0" xfId="0" applyFont="1" applyFill="1"/>
    <xf numFmtId="9" fontId="143" fillId="0" borderId="0" xfId="2" applyFont="1" applyAlignment="1">
      <alignment horizontal="left"/>
    </xf>
    <xf numFmtId="9" fontId="143" fillId="0" borderId="0" xfId="2" applyFont="1"/>
    <xf numFmtId="3" fontId="66" fillId="0" borderId="0" xfId="0" applyNumberFormat="1" applyFont="1"/>
    <xf numFmtId="166" fontId="66" fillId="0" borderId="0" xfId="0" applyNumberFormat="1" applyFont="1"/>
    <xf numFmtId="0" fontId="130" fillId="0" borderId="0" xfId="0" applyFont="1"/>
    <xf numFmtId="0" fontId="130" fillId="34" borderId="0" xfId="0" applyFont="1" applyFill="1"/>
    <xf numFmtId="0" fontId="63" fillId="0" borderId="37" xfId="0" applyFont="1" applyBorder="1" applyAlignment="1">
      <alignment horizontal="left" vertical="center" indent="1"/>
    </xf>
    <xf numFmtId="0" fontId="66" fillId="34" borderId="0" xfId="0" applyFont="1" applyFill="1"/>
    <xf numFmtId="0" fontId="66" fillId="0" borderId="0" xfId="0" applyFont="1" applyAlignment="1">
      <alignment vertical="center"/>
    </xf>
    <xf numFmtId="0" fontId="66" fillId="0" borderId="38" xfId="0" applyFont="1" applyBorder="1" applyAlignment="1">
      <alignment vertical="center"/>
    </xf>
    <xf numFmtId="9" fontId="66" fillId="0" borderId="0" xfId="0" applyNumberFormat="1" applyFont="1" applyAlignment="1">
      <alignment horizontal="right" vertical="center"/>
    </xf>
    <xf numFmtId="0" fontId="66" fillId="0" borderId="37" xfId="0" applyFont="1" applyBorder="1" applyAlignment="1">
      <alignment horizontal="left" vertical="center" indent="2"/>
    </xf>
    <xf numFmtId="0" fontId="63" fillId="0" borderId="39" xfId="0" applyFont="1" applyBorder="1" applyAlignment="1">
      <alignment horizontal="left" vertical="center" indent="1"/>
    </xf>
    <xf numFmtId="0" fontId="139" fillId="33" borderId="0" xfId="0" applyFont="1" applyFill="1"/>
    <xf numFmtId="0" fontId="66" fillId="37" borderId="17" xfId="52" applyFont="1" applyFill="1" applyBorder="1" applyAlignment="1">
      <alignment horizontal="right"/>
    </xf>
    <xf numFmtId="0" fontId="66" fillId="37" borderId="16" xfId="52" applyFont="1" applyFill="1" applyBorder="1" applyAlignment="1">
      <alignment horizontal="right"/>
    </xf>
    <xf numFmtId="166" fontId="66" fillId="37" borderId="18" xfId="60" applyNumberFormat="1" applyFont="1" applyFill="1" applyBorder="1"/>
    <xf numFmtId="166" fontId="66" fillId="37" borderId="0" xfId="60" applyNumberFormat="1" applyFont="1" applyFill="1"/>
    <xf numFmtId="0" fontId="66" fillId="37" borderId="0" xfId="0" applyFont="1" applyFill="1"/>
    <xf numFmtId="15" fontId="66" fillId="37" borderId="20" xfId="52" applyNumberFormat="1" applyFont="1" applyFill="1" applyBorder="1" applyAlignment="1">
      <alignment horizontal="left"/>
    </xf>
    <xf numFmtId="3" fontId="66" fillId="37" borderId="10" xfId="56" applyNumberFormat="1" applyFont="1" applyFill="1" applyBorder="1"/>
    <xf numFmtId="171" fontId="66" fillId="37" borderId="10" xfId="1" applyNumberFormat="1" applyFont="1" applyFill="1" applyBorder="1" applyAlignment="1">
      <alignment horizontal="right"/>
    </xf>
    <xf numFmtId="178" fontId="66" fillId="37" borderId="10" xfId="56" applyNumberFormat="1" applyFont="1" applyFill="1" applyBorder="1"/>
    <xf numFmtId="0" fontId="66" fillId="37" borderId="43" xfId="0" applyFont="1" applyFill="1" applyBorder="1"/>
    <xf numFmtId="0" fontId="66" fillId="37" borderId="44" xfId="52" applyFont="1" applyFill="1" applyBorder="1" applyAlignment="1">
      <alignment horizontal="right"/>
    </xf>
    <xf numFmtId="10" fontId="66" fillId="37" borderId="17" xfId="2" applyNumberFormat="1" applyFont="1" applyFill="1" applyBorder="1"/>
    <xf numFmtId="9" fontId="66" fillId="37" borderId="17" xfId="2" applyFont="1" applyFill="1" applyBorder="1"/>
    <xf numFmtId="9" fontId="66" fillId="37" borderId="17" xfId="0" applyNumberFormat="1" applyFont="1" applyFill="1" applyBorder="1"/>
    <xf numFmtId="9" fontId="66" fillId="37" borderId="16" xfId="0" applyNumberFormat="1" applyFont="1" applyFill="1" applyBorder="1"/>
    <xf numFmtId="1" fontId="127" fillId="42" borderId="10" xfId="0" applyNumberFormat="1" applyFont="1" applyFill="1" applyBorder="1"/>
    <xf numFmtId="180" fontId="129" fillId="42" borderId="10" xfId="1" applyNumberFormat="1" applyFont="1" applyFill="1" applyBorder="1"/>
    <xf numFmtId="0" fontId="127" fillId="37" borderId="44" xfId="0" applyFont="1" applyFill="1" applyBorder="1"/>
    <xf numFmtId="0" fontId="66" fillId="37" borderId="13" xfId="0" applyFont="1" applyFill="1" applyBorder="1"/>
    <xf numFmtId="0" fontId="66" fillId="37" borderId="16" xfId="0" applyFont="1" applyFill="1" applyBorder="1"/>
    <xf numFmtId="176" fontId="66" fillId="37" borderId="43" xfId="2" applyNumberFormat="1" applyFont="1" applyFill="1" applyBorder="1"/>
    <xf numFmtId="176" fontId="66" fillId="37" borderId="44" xfId="2" applyNumberFormat="1" applyFont="1" applyFill="1" applyBorder="1"/>
    <xf numFmtId="0" fontId="66" fillId="37" borderId="43" xfId="0" applyFont="1" applyFill="1" applyBorder="1" applyAlignment="1">
      <alignment horizontal="right"/>
    </xf>
    <xf numFmtId="0" fontId="66" fillId="37" borderId="44" xfId="0" applyFont="1" applyFill="1" applyBorder="1" applyAlignment="1">
      <alignment horizontal="right"/>
    </xf>
    <xf numFmtId="0" fontId="66" fillId="37" borderId="10" xfId="0" applyFont="1" applyFill="1" applyBorder="1"/>
    <xf numFmtId="9" fontId="0" fillId="37" borderId="0" xfId="0" applyNumberFormat="1" applyFill="1"/>
    <xf numFmtId="10" fontId="125" fillId="0" borderId="0" xfId="2" applyNumberFormat="1" applyFont="1" applyAlignment="1">
      <alignment horizontal="left" vertical="center"/>
    </xf>
    <xf numFmtId="172" fontId="23" fillId="33" borderId="15" xfId="0" applyNumberFormat="1" applyFont="1" applyFill="1" applyBorder="1" applyAlignment="1" applyProtection="1">
      <alignment horizontal="right" vertical="center"/>
      <protection locked="0"/>
    </xf>
    <xf numFmtId="0" fontId="15" fillId="0" borderId="0" xfId="0" applyFont="1" applyAlignment="1">
      <alignment horizontal="left" vertical="center"/>
    </xf>
    <xf numFmtId="0" fontId="142" fillId="33" borderId="0" xfId="0" applyFont="1" applyFill="1"/>
    <xf numFmtId="0" fontId="145" fillId="33" borderId="0" xfId="0" applyFont="1" applyFill="1"/>
    <xf numFmtId="10" fontId="70" fillId="0" borderId="0" xfId="0" applyNumberFormat="1" applyFont="1" applyAlignment="1">
      <alignment vertical="center"/>
    </xf>
    <xf numFmtId="0" fontId="14" fillId="0" borderId="0" xfId="0" applyFont="1" applyAlignment="1">
      <alignment horizontal="left" vertical="center"/>
    </xf>
    <xf numFmtId="0" fontId="147" fillId="43" borderId="45" xfId="0" applyFont="1" applyFill="1" applyBorder="1" applyAlignment="1">
      <alignment vertical="center"/>
    </xf>
    <xf numFmtId="0" fontId="147" fillId="43" borderId="50" xfId="0" applyFont="1" applyFill="1" applyBorder="1" applyAlignment="1">
      <alignment vertical="center"/>
    </xf>
    <xf numFmtId="0" fontId="91" fillId="0" borderId="64" xfId="0" applyFont="1" applyBorder="1" applyAlignment="1">
      <alignment vertical="center"/>
    </xf>
    <xf numFmtId="0" fontId="91" fillId="0" borderId="41" xfId="0" applyFont="1" applyBorder="1" applyAlignment="1">
      <alignment horizontal="right" vertical="center"/>
    </xf>
    <xf numFmtId="0" fontId="91" fillId="0" borderId="41" xfId="0" applyFont="1" applyBorder="1" applyAlignment="1">
      <alignment vertical="center"/>
    </xf>
    <xf numFmtId="0" fontId="147" fillId="43" borderId="64" xfId="0" applyFont="1" applyFill="1" applyBorder="1" applyAlignment="1">
      <alignment vertical="center"/>
    </xf>
    <xf numFmtId="0" fontId="91" fillId="43" borderId="41" xfId="0" applyFont="1" applyFill="1" applyBorder="1" applyAlignment="1">
      <alignment vertical="center"/>
    </xf>
    <xf numFmtId="172" fontId="66" fillId="0" borderId="0" xfId="0" applyNumberFormat="1" applyFont="1"/>
    <xf numFmtId="172" fontId="39" fillId="33" borderId="0" xfId="0" applyNumberFormat="1" applyFont="1" applyFill="1" applyAlignment="1">
      <alignment horizontal="center" vertical="center" wrapText="1"/>
    </xf>
    <xf numFmtId="0" fontId="91" fillId="0" borderId="64" xfId="0" applyFont="1" applyBorder="1" applyAlignment="1">
      <alignment horizontal="center" vertical="center"/>
    </xf>
    <xf numFmtId="0" fontId="91" fillId="0" borderId="41" xfId="0" applyFont="1" applyBorder="1" applyAlignment="1">
      <alignment horizontal="center" vertical="center"/>
    </xf>
    <xf numFmtId="0" fontId="66" fillId="35" borderId="0" xfId="0" applyFont="1" applyFill="1"/>
    <xf numFmtId="0" fontId="62" fillId="0" borderId="0" xfId="0" applyFont="1" applyAlignment="1">
      <alignment horizontal="right" vertical="center"/>
    </xf>
    <xf numFmtId="0" fontId="12" fillId="0" borderId="0" xfId="0" applyFont="1" applyAlignment="1" applyProtection="1">
      <alignment vertical="center"/>
      <protection locked="0"/>
    </xf>
    <xf numFmtId="171" fontId="23" fillId="36" borderId="15" xfId="1" applyNumberFormat="1" applyFont="1" applyFill="1" applyBorder="1" applyAlignment="1" applyProtection="1">
      <alignment horizontal="right" vertical="center"/>
      <protection locked="0"/>
    </xf>
    <xf numFmtId="173" fontId="23" fillId="0" borderId="0" xfId="0" applyNumberFormat="1" applyFont="1" applyAlignment="1">
      <alignment vertical="center"/>
    </xf>
    <xf numFmtId="173" fontId="23" fillId="36" borderId="10" xfId="2" applyNumberFormat="1" applyFont="1" applyFill="1" applyBorder="1" applyAlignment="1">
      <alignment horizontal="right" vertical="center"/>
    </xf>
    <xf numFmtId="173" fontId="23" fillId="36" borderId="15" xfId="0" applyNumberFormat="1" applyFont="1" applyFill="1" applyBorder="1" applyAlignment="1">
      <alignment vertical="center"/>
    </xf>
    <xf numFmtId="43" fontId="25" fillId="0" borderId="0" xfId="1"/>
    <xf numFmtId="43" fontId="25" fillId="0" borderId="20" xfId="1" applyBorder="1"/>
    <xf numFmtId="43" fontId="25" fillId="0" borderId="31" xfId="1" applyBorder="1"/>
    <xf numFmtId="43" fontId="25" fillId="0" borderId="30" xfId="1" applyBorder="1"/>
    <xf numFmtId="43" fontId="130" fillId="0" borderId="0" xfId="1" applyFont="1"/>
    <xf numFmtId="43" fontId="25" fillId="0" borderId="0" xfId="1" applyAlignment="1">
      <alignment vertical="center"/>
    </xf>
    <xf numFmtId="43" fontId="26" fillId="0" borderId="0" xfId="1" applyFont="1" applyAlignment="1">
      <alignment vertical="center"/>
    </xf>
    <xf numFmtId="4" fontId="51" fillId="0" borderId="0" xfId="1" applyNumberFormat="1" applyFont="1"/>
    <xf numFmtId="4" fontId="51" fillId="0" borderId="20" xfId="0" applyNumberFormat="1" applyFont="1" applyBorder="1"/>
    <xf numFmtId="4" fontId="51" fillId="0" borderId="0" xfId="0" applyNumberFormat="1" applyFont="1"/>
    <xf numFmtId="4" fontId="52" fillId="0" borderId="20" xfId="0" applyNumberFormat="1" applyFont="1" applyBorder="1"/>
    <xf numFmtId="4" fontId="52" fillId="0" borderId="0" xfId="0" applyNumberFormat="1" applyFont="1"/>
    <xf numFmtId="4" fontId="51" fillId="0" borderId="21" xfId="0" applyNumberFormat="1" applyFont="1" applyBorder="1"/>
    <xf numFmtId="4" fontId="51" fillId="0" borderId="31" xfId="0" applyNumberFormat="1" applyFont="1" applyBorder="1"/>
    <xf numFmtId="4" fontId="51" fillId="0" borderId="30" xfId="0" applyNumberFormat="1" applyFont="1" applyBorder="1"/>
    <xf numFmtId="4" fontId="51" fillId="0" borderId="25" xfId="0" applyNumberFormat="1" applyFont="1" applyBorder="1"/>
    <xf numFmtId="173" fontId="63" fillId="0" borderId="0" xfId="0" applyNumberFormat="1" applyFont="1"/>
    <xf numFmtId="173" fontId="65" fillId="0" borderId="0" xfId="0" applyNumberFormat="1" applyFont="1"/>
    <xf numFmtId="173" fontId="63" fillId="0" borderId="28" xfId="0" applyNumberFormat="1" applyFont="1" applyBorder="1" applyAlignment="1">
      <alignment vertical="center"/>
    </xf>
    <xf numFmtId="173" fontId="63" fillId="0" borderId="27" xfId="0" applyNumberFormat="1" applyFont="1" applyBorder="1" applyAlignment="1">
      <alignment vertical="center"/>
    </xf>
    <xf numFmtId="173" fontId="63" fillId="0" borderId="0" xfId="0" applyNumberFormat="1" applyFont="1" applyAlignment="1">
      <alignment vertical="center"/>
    </xf>
    <xf numFmtId="173" fontId="63" fillId="0" borderId="25" xfId="0" applyNumberFormat="1" applyFont="1" applyBorder="1" applyAlignment="1">
      <alignment vertical="center"/>
    </xf>
    <xf numFmtId="173" fontId="63" fillId="0" borderId="31" xfId="0" applyNumberFormat="1" applyFont="1" applyBorder="1" applyAlignment="1">
      <alignment vertical="center"/>
    </xf>
    <xf numFmtId="173" fontId="63" fillId="0" borderId="30" xfId="0" applyNumberFormat="1" applyFont="1" applyBorder="1" applyAlignment="1">
      <alignment vertical="center"/>
    </xf>
    <xf numFmtId="173" fontId="63" fillId="0" borderId="0" xfId="2" applyNumberFormat="1" applyFont="1" applyAlignment="1">
      <alignment horizontal="right" vertical="center"/>
    </xf>
    <xf numFmtId="173" fontId="63" fillId="0" borderId="0" xfId="2" applyNumberFormat="1" applyFont="1" applyAlignment="1">
      <alignment vertical="center"/>
    </xf>
    <xf numFmtId="173" fontId="66" fillId="0" borderId="0" xfId="0" applyNumberFormat="1" applyFont="1" applyAlignment="1">
      <alignment horizontal="right" vertical="center"/>
    </xf>
    <xf numFmtId="173" fontId="63" fillId="0" borderId="0" xfId="0" applyNumberFormat="1" applyFont="1" applyAlignment="1">
      <alignment horizontal="right" vertical="center"/>
    </xf>
    <xf numFmtId="0" fontId="148" fillId="0" borderId="0" xfId="0" applyFont="1" applyAlignment="1">
      <alignment horizontal="right" vertical="center"/>
    </xf>
    <xf numFmtId="0" fontId="149" fillId="0" borderId="0" xfId="0" applyFont="1" applyAlignment="1">
      <alignment horizontal="right" vertical="center"/>
    </xf>
    <xf numFmtId="0" fontId="0" fillId="34" borderId="0" xfId="0" applyFill="1" applyAlignment="1">
      <alignment horizontal="right"/>
    </xf>
    <xf numFmtId="0" fontId="0" fillId="35" borderId="0" xfId="0" applyFill="1"/>
    <xf numFmtId="0" fontId="150" fillId="35" borderId="0" xfId="0" applyFont="1" applyFill="1"/>
    <xf numFmtId="0" fontId="67" fillId="34" borderId="12" xfId="0" applyFont="1" applyFill="1" applyBorder="1"/>
    <xf numFmtId="0" fontId="66" fillId="34" borderId="19" xfId="0" applyFont="1" applyFill="1" applyBorder="1"/>
    <xf numFmtId="0" fontId="66" fillId="34" borderId="18" xfId="0" applyFont="1" applyFill="1" applyBorder="1"/>
    <xf numFmtId="0" fontId="66" fillId="34" borderId="14" xfId="0" applyFont="1" applyFill="1" applyBorder="1"/>
    <xf numFmtId="0" fontId="67" fillId="34" borderId="11" xfId="0" applyFont="1" applyFill="1" applyBorder="1"/>
    <xf numFmtId="0" fontId="67" fillId="34" borderId="15" xfId="0" applyFont="1" applyFill="1" applyBorder="1"/>
    <xf numFmtId="0" fontId="67" fillId="34" borderId="0" xfId="0" applyFont="1" applyFill="1"/>
    <xf numFmtId="0" fontId="66" fillId="34" borderId="20" xfId="0" applyFont="1" applyFill="1" applyBorder="1"/>
    <xf numFmtId="0" fontId="66" fillId="34" borderId="17" xfId="0" applyFont="1" applyFill="1" applyBorder="1"/>
    <xf numFmtId="166" fontId="66" fillId="34" borderId="21" xfId="60" applyNumberFormat="1" applyFont="1" applyFill="1" applyBorder="1"/>
    <xf numFmtId="0" fontId="66" fillId="34" borderId="13" xfId="0" applyFont="1" applyFill="1" applyBorder="1"/>
    <xf numFmtId="0" fontId="66" fillId="34" borderId="16" xfId="0" applyFont="1" applyFill="1" applyBorder="1"/>
    <xf numFmtId="10" fontId="66" fillId="34" borderId="0" xfId="2" applyNumberFormat="1" applyFont="1" applyFill="1"/>
    <xf numFmtId="0" fontId="10" fillId="0" borderId="0" xfId="0" applyFont="1" applyAlignment="1">
      <alignment horizontal="left" vertical="center"/>
    </xf>
    <xf numFmtId="0" fontId="43" fillId="37" borderId="0" xfId="0" applyFont="1" applyFill="1" applyAlignment="1">
      <alignment vertical="center"/>
    </xf>
    <xf numFmtId="10" fontId="53" fillId="33" borderId="10" xfId="0" applyNumberFormat="1" applyFont="1" applyFill="1" applyBorder="1"/>
    <xf numFmtId="2" fontId="53" fillId="33" borderId="10" xfId="0" applyNumberFormat="1" applyFont="1" applyFill="1" applyBorder="1"/>
    <xf numFmtId="0" fontId="86" fillId="34" borderId="0" xfId="0" applyFont="1" applyFill="1"/>
    <xf numFmtId="176" fontId="67" fillId="34" borderId="10" xfId="2" applyNumberFormat="1" applyFont="1" applyFill="1" applyBorder="1"/>
    <xf numFmtId="0" fontId="66" fillId="34" borderId="10" xfId="0" applyFont="1" applyFill="1" applyBorder="1"/>
    <xf numFmtId="10" fontId="66" fillId="33" borderId="10" xfId="2" applyNumberFormat="1" applyFont="1" applyFill="1" applyBorder="1"/>
    <xf numFmtId="10" fontId="66" fillId="34" borderId="10" xfId="2" applyNumberFormat="1" applyFont="1" applyFill="1" applyBorder="1"/>
    <xf numFmtId="0" fontId="54" fillId="0" borderId="0" xfId="0" applyFont="1" applyProtection="1">
      <protection locked="0"/>
    </xf>
    <xf numFmtId="0" fontId="56" fillId="0" borderId="0" xfId="0" applyFont="1" applyProtection="1">
      <protection locked="0"/>
    </xf>
    <xf numFmtId="0" fontId="113" fillId="0" borderId="0" xfId="0" applyFont="1" applyAlignment="1" applyProtection="1">
      <alignment horizontal="left"/>
      <protection locked="0"/>
    </xf>
    <xf numFmtId="0" fontId="114" fillId="0" borderId="0" xfId="0" applyFont="1" applyProtection="1">
      <protection locked="0"/>
    </xf>
    <xf numFmtId="0" fontId="110" fillId="0" borderId="0" xfId="0" applyFont="1" applyProtection="1">
      <protection locked="0"/>
    </xf>
    <xf numFmtId="0" fontId="109" fillId="0" borderId="0" xfId="0" applyFont="1" applyProtection="1">
      <protection locked="0"/>
    </xf>
    <xf numFmtId="4" fontId="25" fillId="0" borderId="0" xfId="1" applyNumberFormat="1"/>
    <xf numFmtId="4" fontId="25" fillId="0" borderId="28" xfId="1" applyNumberFormat="1" applyBorder="1"/>
    <xf numFmtId="4" fontId="25" fillId="0" borderId="27" xfId="1" applyNumberFormat="1" applyBorder="1"/>
    <xf numFmtId="4" fontId="25" fillId="0" borderId="25" xfId="1" applyNumberFormat="1" applyBorder="1"/>
    <xf numFmtId="4" fontId="25" fillId="0" borderId="23" xfId="1" applyNumberFormat="1" applyBorder="1"/>
    <xf numFmtId="4" fontId="25" fillId="0" borderId="22" xfId="1" applyNumberFormat="1" applyBorder="1"/>
    <xf numFmtId="4" fontId="97" fillId="0" borderId="0" xfId="0" applyNumberFormat="1" applyFont="1"/>
    <xf numFmtId="0" fontId="0" fillId="34" borderId="11" xfId="0" applyFill="1" applyBorder="1"/>
    <xf numFmtId="0" fontId="0" fillId="34" borderId="15" xfId="0" applyFill="1" applyBorder="1"/>
    <xf numFmtId="0" fontId="0" fillId="33" borderId="10" xfId="0" applyFill="1" applyBorder="1"/>
    <xf numFmtId="0" fontId="151" fillId="35" borderId="0" xfId="0" applyFont="1" applyFill="1"/>
    <xf numFmtId="0" fontId="151" fillId="0" borderId="0" xfId="0" applyFont="1"/>
    <xf numFmtId="0" fontId="123" fillId="0" borderId="0" xfId="0" applyFont="1" applyAlignment="1">
      <alignment vertical="top" wrapText="1"/>
    </xf>
    <xf numFmtId="0" fontId="123" fillId="0" borderId="0" xfId="0" applyFont="1"/>
    <xf numFmtId="0" fontId="151" fillId="0" borderId="10" xfId="0" applyFont="1" applyBorder="1" applyAlignment="1">
      <alignment horizontal="right"/>
    </xf>
    <xf numFmtId="0" fontId="151" fillId="0" borderId="10" xfId="0" applyFont="1" applyBorder="1"/>
    <xf numFmtId="14" fontId="151" fillId="0" borderId="0" xfId="0" applyNumberFormat="1" applyFont="1"/>
    <xf numFmtId="43" fontId="151" fillId="0" borderId="0" xfId="1" applyFont="1"/>
    <xf numFmtId="4" fontId="151" fillId="0" borderId="0" xfId="0" applyNumberFormat="1" applyFont="1"/>
    <xf numFmtId="0" fontId="123" fillId="0" borderId="10" xfId="0" applyFont="1" applyBorder="1" applyAlignment="1">
      <alignment horizontal="right" vertical="top" wrapText="1"/>
    </xf>
    <xf numFmtId="0" fontId="123" fillId="0" borderId="10" xfId="0" applyFont="1" applyBorder="1" applyAlignment="1">
      <alignment vertical="top" wrapText="1"/>
    </xf>
    <xf numFmtId="4" fontId="123" fillId="0" borderId="10" xfId="0" applyNumberFormat="1" applyFont="1" applyBorder="1" applyAlignment="1">
      <alignment horizontal="center" vertical="top" wrapText="1"/>
    </xf>
    <xf numFmtId="43" fontId="151" fillId="0" borderId="10" xfId="1" applyFont="1" applyBorder="1"/>
    <xf numFmtId="43" fontId="151" fillId="0" borderId="10" xfId="0" applyNumberFormat="1" applyFont="1" applyBorder="1"/>
    <xf numFmtId="168" fontId="151" fillId="0" borderId="10" xfId="0" applyNumberFormat="1" applyFont="1" applyBorder="1"/>
    <xf numFmtId="4" fontId="54" fillId="34" borderId="0" xfId="0" applyNumberFormat="1" applyFont="1" applyFill="1"/>
    <xf numFmtId="43" fontId="151" fillId="37" borderId="10" xfId="0" applyNumberFormat="1" applyFont="1" applyFill="1" applyBorder="1"/>
    <xf numFmtId="174" fontId="25" fillId="0" borderId="0" xfId="0" applyNumberFormat="1" applyFont="1" applyAlignment="1">
      <alignment horizontal="left"/>
    </xf>
    <xf numFmtId="0" fontId="151" fillId="37" borderId="0" xfId="0" applyFont="1" applyFill="1"/>
    <xf numFmtId="2" fontId="151" fillId="0" borderId="10" xfId="0" applyNumberFormat="1" applyFont="1" applyBorder="1"/>
    <xf numFmtId="174" fontId="63" fillId="0" borderId="0" xfId="0" applyNumberFormat="1" applyFont="1" applyAlignment="1">
      <alignment horizontal="left"/>
    </xf>
    <xf numFmtId="0" fontId="60" fillId="0" borderId="0" xfId="48" applyFont="1" applyAlignment="1">
      <alignment horizontal="left" vertical="center" indent="1"/>
    </xf>
    <xf numFmtId="0" fontId="119" fillId="0" borderId="10" xfId="0" applyFont="1" applyBorder="1" applyAlignment="1">
      <alignment horizontal="left"/>
    </xf>
    <xf numFmtId="2" fontId="66" fillId="0" borderId="10" xfId="0" applyNumberFormat="1" applyFont="1" applyBorder="1" applyAlignment="1">
      <alignment horizontal="right"/>
    </xf>
    <xf numFmtId="43" fontId="67" fillId="37" borderId="10" xfId="1" applyFont="1" applyFill="1" applyBorder="1"/>
    <xf numFmtId="2" fontId="121" fillId="0" borderId="10" xfId="0" applyNumberFormat="1" applyFont="1" applyBorder="1" applyAlignment="1">
      <alignment horizontal="right"/>
    </xf>
    <xf numFmtId="0" fontId="67" fillId="34" borderId="10" xfId="0" applyFont="1" applyFill="1" applyBorder="1" applyAlignment="1">
      <alignment horizontal="center"/>
    </xf>
    <xf numFmtId="0" fontId="0" fillId="0" borderId="29" xfId="0" applyBorder="1" applyAlignment="1">
      <alignment horizontal="left" indent="2"/>
    </xf>
    <xf numFmtId="0" fontId="25" fillId="0" borderId="28" xfId="0" applyFont="1" applyBorder="1" applyAlignment="1">
      <alignment horizontal="left" indent="1"/>
    </xf>
    <xf numFmtId="177" fontId="53" fillId="0" borderId="28" xfId="2" applyNumberFormat="1" applyFont="1" applyBorder="1"/>
    <xf numFmtId="0" fontId="25" fillId="33" borderId="28" xfId="0" applyFont="1" applyFill="1" applyBorder="1"/>
    <xf numFmtId="43" fontId="25" fillId="0" borderId="28" xfId="1" applyBorder="1"/>
    <xf numFmtId="43" fontId="130" fillId="0" borderId="27" xfId="1" applyFont="1" applyBorder="1"/>
    <xf numFmtId="0" fontId="0" fillId="0" borderId="32" xfId="0" applyBorder="1" applyAlignment="1">
      <alignment horizontal="left" indent="2"/>
    </xf>
    <xf numFmtId="0" fontId="25" fillId="33" borderId="31" xfId="0" applyFont="1" applyFill="1" applyBorder="1"/>
    <xf numFmtId="43" fontId="130" fillId="0" borderId="30" xfId="1" applyFont="1" applyBorder="1"/>
    <xf numFmtId="0" fontId="26" fillId="33" borderId="0" xfId="0" applyFont="1" applyFill="1"/>
    <xf numFmtId="173" fontId="132" fillId="0" borderId="53" xfId="0" applyNumberFormat="1" applyFont="1" applyBorder="1" applyAlignment="1">
      <alignment shrinkToFit="1"/>
    </xf>
    <xf numFmtId="173" fontId="132" fillId="0" borderId="0" xfId="0" applyNumberFormat="1" applyFont="1" applyAlignment="1">
      <alignment shrinkToFit="1"/>
    </xf>
    <xf numFmtId="173" fontId="132" fillId="0" borderId="48" xfId="0" applyNumberFormat="1" applyFont="1" applyBorder="1" applyAlignment="1">
      <alignment shrinkToFit="1"/>
    </xf>
    <xf numFmtId="173" fontId="132" fillId="0" borderId="0" xfId="0" applyNumberFormat="1" applyFont="1" applyAlignment="1">
      <alignment horizontal="left" shrinkToFit="1"/>
    </xf>
    <xf numFmtId="0" fontId="137" fillId="33" borderId="0" xfId="0" applyFont="1" applyFill="1"/>
    <xf numFmtId="0" fontId="144" fillId="0" borderId="29" xfId="0" applyFont="1" applyBorder="1" applyAlignment="1">
      <alignment horizontal="left" indent="1"/>
    </xf>
    <xf numFmtId="0" fontId="144" fillId="0" borderId="28" xfId="0" applyFont="1" applyBorder="1" applyAlignment="1">
      <alignment horizontal="left" indent="1"/>
    </xf>
    <xf numFmtId="0" fontId="144" fillId="0" borderId="28" xfId="0" applyFont="1" applyBorder="1"/>
    <xf numFmtId="4" fontId="144" fillId="0" borderId="28" xfId="0" applyNumberFormat="1" applyFont="1" applyBorder="1"/>
    <xf numFmtId="4" fontId="144" fillId="0" borderId="27" xfId="0" applyNumberFormat="1" applyFont="1" applyBorder="1"/>
    <xf numFmtId="0" fontId="144" fillId="0" borderId="32" xfId="0" applyFont="1" applyBorder="1" applyAlignment="1">
      <alignment horizontal="left" indent="1"/>
    </xf>
    <xf numFmtId="0" fontId="144" fillId="0" borderId="31" xfId="0" applyFont="1" applyBorder="1" applyAlignment="1">
      <alignment horizontal="left" indent="1"/>
    </xf>
    <xf numFmtId="0" fontId="144" fillId="0" borderId="31" xfId="0" applyFont="1" applyBorder="1"/>
    <xf numFmtId="4" fontId="144" fillId="0" borderId="31" xfId="0" applyNumberFormat="1" applyFont="1" applyBorder="1"/>
    <xf numFmtId="4" fontId="144" fillId="0" borderId="30" xfId="0" applyNumberFormat="1" applyFont="1" applyBorder="1"/>
    <xf numFmtId="0" fontId="152" fillId="33" borderId="0" xfId="0" applyFont="1" applyFill="1"/>
    <xf numFmtId="0" fontId="40" fillId="33" borderId="0" xfId="0" applyFont="1" applyFill="1" applyAlignment="1">
      <alignment vertical="center"/>
    </xf>
    <xf numFmtId="9" fontId="153" fillId="0" borderId="0" xfId="2" applyFont="1" applyAlignment="1">
      <alignment horizontal="right" vertical="center"/>
    </xf>
    <xf numFmtId="0" fontId="153" fillId="0" borderId="0" xfId="0" applyFont="1" applyAlignment="1">
      <alignment horizontal="left" vertical="center"/>
    </xf>
    <xf numFmtId="0" fontId="66" fillId="0" borderId="10" xfId="0" applyFont="1" applyBorder="1" applyAlignment="1">
      <alignment horizontal="right"/>
    </xf>
    <xf numFmtId="179" fontId="40" fillId="34" borderId="0" xfId="0" applyNumberFormat="1" applyFont="1" applyFill="1"/>
    <xf numFmtId="181" fontId="54" fillId="34" borderId="0" xfId="0" applyNumberFormat="1" applyFont="1" applyFill="1"/>
    <xf numFmtId="0" fontId="154" fillId="34" borderId="0" xfId="0" applyFont="1" applyFill="1"/>
    <xf numFmtId="173" fontId="40" fillId="34" borderId="0" xfId="0" applyNumberFormat="1" applyFont="1" applyFill="1"/>
    <xf numFmtId="177" fontId="25" fillId="0" borderId="0" xfId="0" applyNumberFormat="1" applyFont="1"/>
    <xf numFmtId="10" fontId="25" fillId="0" borderId="0" xfId="2" applyNumberFormat="1"/>
    <xf numFmtId="177" fontId="53" fillId="0" borderId="31" xfId="2" applyNumberFormat="1" applyFont="1" applyBorder="1"/>
    <xf numFmtId="0" fontId="119" fillId="0" borderId="10" xfId="0" applyFont="1" applyBorder="1" applyAlignment="1">
      <alignment horizontal="right"/>
    </xf>
    <xf numFmtId="0" fontId="146" fillId="0" borderId="10" xfId="0" applyFont="1" applyBorder="1" applyAlignment="1">
      <alignment horizontal="right" vertical="center"/>
    </xf>
    <xf numFmtId="0" fontId="0" fillId="0" borderId="26" xfId="0" applyBorder="1" applyAlignment="1">
      <alignment horizontal="left" indent="2"/>
    </xf>
    <xf numFmtId="43" fontId="130" fillId="0" borderId="25" xfId="1" applyFont="1" applyBorder="1"/>
    <xf numFmtId="165" fontId="40" fillId="34" borderId="0" xfId="0" applyNumberFormat="1" applyFont="1" applyFill="1"/>
    <xf numFmtId="0" fontId="66" fillId="44" borderId="0" xfId="0" applyFont="1" applyFill="1"/>
    <xf numFmtId="0" fontId="155" fillId="0" borderId="0" xfId="0" applyFont="1"/>
    <xf numFmtId="9" fontId="156" fillId="0" borderId="0" xfId="2" applyFont="1"/>
    <xf numFmtId="175" fontId="156" fillId="0" borderId="0" xfId="1" applyNumberFormat="1" applyFont="1"/>
    <xf numFmtId="175" fontId="155" fillId="0" borderId="0" xfId="1" applyNumberFormat="1" applyFont="1"/>
    <xf numFmtId="4" fontId="155" fillId="0" borderId="0" xfId="1" applyNumberFormat="1" applyFont="1"/>
    <xf numFmtId="0" fontId="66" fillId="44" borderId="43" xfId="0" applyFont="1" applyFill="1" applyBorder="1" applyAlignment="1">
      <alignment horizontal="right"/>
    </xf>
    <xf numFmtId="0" fontId="43" fillId="0" borderId="0" xfId="0" applyFont="1" applyAlignment="1">
      <alignment vertical="center"/>
    </xf>
    <xf numFmtId="43" fontId="25" fillId="0" borderId="13" xfId="1" applyBorder="1"/>
    <xf numFmtId="43" fontId="25" fillId="0" borderId="35" xfId="1" applyBorder="1" applyAlignment="1">
      <alignment vertical="center"/>
    </xf>
    <xf numFmtId="0" fontId="157" fillId="0" borderId="0" xfId="46" applyFont="1"/>
    <xf numFmtId="4" fontId="56" fillId="0" borderId="0" xfId="0" applyNumberFormat="1" applyFont="1" applyAlignment="1">
      <alignment horizontal="right"/>
    </xf>
    <xf numFmtId="4" fontId="56" fillId="0" borderId="0" xfId="0" applyNumberFormat="1" applyFont="1"/>
    <xf numFmtId="43" fontId="56" fillId="0" borderId="0" xfId="1" applyFont="1"/>
    <xf numFmtId="9" fontId="56" fillId="0" borderId="0" xfId="0" applyNumberFormat="1" applyFont="1"/>
    <xf numFmtId="2" fontId="56" fillId="0" borderId="0" xfId="0" applyNumberFormat="1" applyFont="1"/>
    <xf numFmtId="0" fontId="158" fillId="40" borderId="0" xfId="0" applyFont="1" applyFill="1"/>
    <xf numFmtId="175" fontId="158" fillId="40" borderId="0" xfId="1" applyNumberFormat="1" applyFont="1" applyFill="1"/>
    <xf numFmtId="43" fontId="158" fillId="40" borderId="21" xfId="1" applyFont="1" applyFill="1" applyBorder="1"/>
    <xf numFmtId="43" fontId="158" fillId="40" borderId="0" xfId="1" applyFont="1" applyFill="1"/>
    <xf numFmtId="0" fontId="158" fillId="40" borderId="0" xfId="0" applyFont="1" applyFill="1" applyAlignment="1">
      <alignment vertical="center"/>
    </xf>
    <xf numFmtId="175" fontId="158" fillId="40" borderId="0" xfId="1" applyNumberFormat="1" applyFont="1" applyFill="1" applyAlignment="1">
      <alignment vertical="center"/>
    </xf>
    <xf numFmtId="43" fontId="158" fillId="40" borderId="20" xfId="1" applyFont="1" applyFill="1" applyBorder="1" applyAlignment="1">
      <alignment vertical="center"/>
    </xf>
    <xf numFmtId="43" fontId="158" fillId="40" borderId="0" xfId="1" applyFont="1" applyFill="1" applyAlignment="1">
      <alignment vertical="center"/>
    </xf>
    <xf numFmtId="0" fontId="130" fillId="41" borderId="0" xfId="0" applyFont="1" applyFill="1" applyAlignment="1">
      <alignment vertical="center"/>
    </xf>
    <xf numFmtId="175" fontId="130" fillId="41" borderId="0" xfId="1" applyNumberFormat="1" applyFont="1" applyFill="1" applyAlignment="1">
      <alignment vertical="center"/>
    </xf>
    <xf numFmtId="43" fontId="158" fillId="41" borderId="0" xfId="1" applyFont="1" applyFill="1" applyAlignment="1">
      <alignment vertical="center"/>
    </xf>
    <xf numFmtId="43" fontId="158" fillId="41" borderId="20" xfId="1" applyFont="1" applyFill="1" applyBorder="1" applyAlignment="1">
      <alignment vertical="center"/>
    </xf>
    <xf numFmtId="175" fontId="130" fillId="40" borderId="0" xfId="1" applyNumberFormat="1" applyFont="1" applyFill="1" applyAlignment="1">
      <alignment vertical="center"/>
    </xf>
    <xf numFmtId="175" fontId="159" fillId="40" borderId="0" xfId="1" applyNumberFormat="1" applyFont="1" applyFill="1" applyAlignment="1">
      <alignment vertical="center"/>
    </xf>
    <xf numFmtId="9" fontId="159" fillId="40" borderId="0" xfId="2" applyFont="1" applyFill="1" applyAlignment="1">
      <alignment vertical="center"/>
    </xf>
    <xf numFmtId="0" fontId="158" fillId="40" borderId="0" xfId="0" applyFont="1" applyFill="1" applyAlignment="1">
      <alignment horizontal="left" vertical="center"/>
    </xf>
    <xf numFmtId="0" fontId="130" fillId="40" borderId="0" xfId="0" applyFont="1" applyFill="1" applyAlignment="1">
      <alignment horizontal="left" vertical="center"/>
    </xf>
    <xf numFmtId="10" fontId="159" fillId="40" borderId="0" xfId="1" applyNumberFormat="1" applyFont="1" applyFill="1" applyAlignment="1">
      <alignment vertical="center"/>
    </xf>
    <xf numFmtId="0" fontId="67" fillId="41" borderId="49" xfId="0" applyFont="1" applyFill="1" applyBorder="1" applyAlignment="1">
      <alignment vertical="center"/>
    </xf>
    <xf numFmtId="173" fontId="67" fillId="41" borderId="46" xfId="0" applyNumberFormat="1" applyFont="1" applyFill="1" applyBorder="1" applyAlignment="1">
      <alignment vertical="center"/>
    </xf>
    <xf numFmtId="0" fontId="66" fillId="40" borderId="34" xfId="0" applyFont="1" applyFill="1" applyBorder="1" applyAlignment="1">
      <alignment vertical="center"/>
    </xf>
    <xf numFmtId="0" fontId="67" fillId="40" borderId="35" xfId="46" applyFont="1" applyFill="1" applyBorder="1" applyAlignment="1" applyProtection="1">
      <alignment vertical="center"/>
      <protection hidden="1"/>
    </xf>
    <xf numFmtId="0" fontId="66" fillId="40" borderId="35" xfId="0" applyFont="1" applyFill="1" applyBorder="1" applyAlignment="1">
      <alignment vertical="center"/>
    </xf>
    <xf numFmtId="173" fontId="67" fillId="40" borderId="35" xfId="0" applyNumberFormat="1" applyFont="1" applyFill="1" applyBorder="1" applyAlignment="1">
      <alignment vertical="center"/>
    </xf>
    <xf numFmtId="0" fontId="67" fillId="40" borderId="37" xfId="0" applyFont="1" applyFill="1" applyBorder="1" applyAlignment="1">
      <alignment vertical="center"/>
    </xf>
    <xf numFmtId="0" fontId="67" fillId="40" borderId="0" xfId="0" applyFont="1" applyFill="1" applyAlignment="1">
      <alignment vertical="center"/>
    </xf>
    <xf numFmtId="170" fontId="160" fillId="40" borderId="0" xfId="0" applyNumberFormat="1" applyFont="1" applyFill="1" applyAlignment="1">
      <alignment vertical="center"/>
    </xf>
    <xf numFmtId="173" fontId="67" fillId="40" borderId="0" xfId="0" applyNumberFormat="1" applyFont="1" applyFill="1" applyAlignment="1">
      <alignment vertical="center"/>
    </xf>
    <xf numFmtId="0" fontId="67" fillId="40" borderId="62" xfId="0" applyFont="1" applyFill="1" applyBorder="1" applyAlignment="1">
      <alignment vertical="center"/>
    </xf>
    <xf numFmtId="0" fontId="66" fillId="40" borderId="20" xfId="0" applyFont="1" applyFill="1" applyBorder="1" applyAlignment="1">
      <alignment vertical="center"/>
    </xf>
    <xf numFmtId="172" fontId="67" fillId="40" borderId="20" xfId="2" applyNumberFormat="1" applyFont="1" applyFill="1" applyBorder="1" applyAlignment="1">
      <alignment horizontal="right" vertical="center"/>
    </xf>
    <xf numFmtId="0" fontId="66" fillId="40" borderId="0" xfId="0" applyFont="1" applyFill="1" applyAlignment="1">
      <alignment vertical="center"/>
    </xf>
    <xf numFmtId="173" fontId="66" fillId="40" borderId="0" xfId="0" applyNumberFormat="1" applyFont="1" applyFill="1" applyAlignment="1">
      <alignment vertical="center"/>
    </xf>
    <xf numFmtId="173" fontId="67" fillId="40" borderId="20" xfId="2" applyNumberFormat="1" applyFont="1" applyFill="1" applyBorder="1" applyAlignment="1">
      <alignment horizontal="right" vertical="center"/>
    </xf>
    <xf numFmtId="173" fontId="67" fillId="40" borderId="0" xfId="2" applyNumberFormat="1" applyFont="1" applyFill="1" applyAlignment="1">
      <alignment horizontal="right" vertical="center"/>
    </xf>
    <xf numFmtId="172" fontId="66" fillId="40" borderId="0" xfId="0" applyNumberFormat="1" applyFont="1" applyFill="1" applyAlignment="1">
      <alignment vertical="center"/>
    </xf>
    <xf numFmtId="173" fontId="23" fillId="0" borderId="10" xfId="0" applyNumberFormat="1" applyFont="1" applyBorder="1" applyAlignment="1" applyProtection="1">
      <alignment vertical="center"/>
      <protection locked="0"/>
    </xf>
    <xf numFmtId="170" fontId="66" fillId="45" borderId="10" xfId="2" applyNumberFormat="1" applyFont="1" applyFill="1" applyBorder="1"/>
    <xf numFmtId="0" fontId="78" fillId="34" borderId="0" xfId="0" applyFont="1" applyFill="1"/>
    <xf numFmtId="0" fontId="78" fillId="34" borderId="12" xfId="0" applyFont="1" applyFill="1" applyBorder="1"/>
    <xf numFmtId="0" fontId="78" fillId="34" borderId="19" xfId="0" applyFont="1" applyFill="1" applyBorder="1"/>
    <xf numFmtId="0" fontId="78" fillId="34" borderId="18" xfId="0" applyFont="1" applyFill="1" applyBorder="1"/>
    <xf numFmtId="0" fontId="78" fillId="34" borderId="14" xfId="0" applyFont="1" applyFill="1" applyBorder="1"/>
    <xf numFmtId="0" fontId="80" fillId="34" borderId="10" xfId="0" applyFont="1" applyFill="1" applyBorder="1"/>
    <xf numFmtId="0" fontId="78" fillId="34" borderId="10" xfId="0" applyFont="1" applyFill="1" applyBorder="1"/>
    <xf numFmtId="43" fontId="25" fillId="34" borderId="0" xfId="1" applyFill="1"/>
    <xf numFmtId="43" fontId="54" fillId="34" borderId="0" xfId="1" applyFont="1" applyFill="1"/>
    <xf numFmtId="43" fontId="0" fillId="34" borderId="0" xfId="1" applyFont="1" applyFill="1"/>
    <xf numFmtId="43" fontId="26" fillId="34" borderId="0" xfId="1" applyFont="1" applyFill="1"/>
    <xf numFmtId="43" fontId="54" fillId="34" borderId="0" xfId="0" applyNumberFormat="1" applyFont="1" applyFill="1"/>
    <xf numFmtId="0" fontId="43" fillId="0" borderId="0" xfId="0" applyFont="1"/>
    <xf numFmtId="43" fontId="151" fillId="46" borderId="10" xfId="1" applyFont="1" applyFill="1" applyBorder="1"/>
    <xf numFmtId="43" fontId="151" fillId="46" borderId="0" xfId="1" applyFont="1" applyFill="1"/>
    <xf numFmtId="0" fontId="78" fillId="47" borderId="17" xfId="0" applyFont="1" applyFill="1" applyBorder="1"/>
    <xf numFmtId="0" fontId="78" fillId="47" borderId="16" xfId="0" applyFont="1" applyFill="1" applyBorder="1"/>
    <xf numFmtId="0" fontId="80" fillId="47" borderId="12" xfId="0" applyFont="1" applyFill="1" applyBorder="1"/>
    <xf numFmtId="14" fontId="78" fillId="47" borderId="20" xfId="0" applyNumberFormat="1" applyFont="1" applyFill="1" applyBorder="1"/>
    <xf numFmtId="0" fontId="78" fillId="47" borderId="20" xfId="0" applyFont="1" applyFill="1" applyBorder="1"/>
    <xf numFmtId="0" fontId="78" fillId="47" borderId="19" xfId="0" applyFont="1" applyFill="1" applyBorder="1"/>
    <xf numFmtId="0" fontId="78" fillId="47" borderId="18" xfId="0" applyFont="1" applyFill="1" applyBorder="1"/>
    <xf numFmtId="0" fontId="78" fillId="47" borderId="0" xfId="0" applyFont="1" applyFill="1"/>
    <xf numFmtId="9" fontId="78" fillId="47" borderId="17" xfId="2" applyFont="1" applyFill="1" applyBorder="1"/>
    <xf numFmtId="171" fontId="78" fillId="47" borderId="18" xfId="1" applyNumberFormat="1" applyFont="1" applyFill="1" applyBorder="1"/>
    <xf numFmtId="171" fontId="78" fillId="47" borderId="0" xfId="1" applyNumberFormat="1" applyFont="1" applyFill="1"/>
    <xf numFmtId="171" fontId="78" fillId="47" borderId="10" xfId="1" applyNumberFormat="1" applyFont="1" applyFill="1" applyBorder="1"/>
    <xf numFmtId="182" fontId="78" fillId="47" borderId="10" xfId="1" applyNumberFormat="1" applyFont="1" applyFill="1" applyBorder="1"/>
    <xf numFmtId="171" fontId="78" fillId="37" borderId="0" xfId="1" applyNumberFormat="1" applyFont="1" applyFill="1"/>
    <xf numFmtId="183" fontId="0" fillId="34" borderId="0" xfId="0" applyNumberFormat="1" applyFill="1"/>
    <xf numFmtId="0" fontId="91" fillId="47" borderId="64" xfId="0" applyFont="1" applyFill="1" applyBorder="1" applyAlignment="1">
      <alignment vertical="center"/>
    </xf>
    <xf numFmtId="0" fontId="91" fillId="47" borderId="41" xfId="0" applyFont="1" applyFill="1" applyBorder="1" applyAlignment="1">
      <alignment horizontal="right" vertical="center"/>
    </xf>
    <xf numFmtId="0" fontId="6" fillId="0" borderId="0" xfId="0" applyFont="1" applyAlignment="1">
      <alignment horizontal="left" vertical="center"/>
    </xf>
    <xf numFmtId="0" fontId="42" fillId="0" borderId="0" xfId="0" applyFont="1" applyAlignment="1">
      <alignment horizontal="left" vertical="center"/>
    </xf>
    <xf numFmtId="0" fontId="8" fillId="0" borderId="0" xfId="0" applyFont="1" applyAlignment="1">
      <alignment horizontal="left" vertical="center" indent="1"/>
    </xf>
    <xf numFmtId="0" fontId="23" fillId="0" borderId="0" xfId="0" applyFont="1" applyAlignment="1">
      <alignment horizontal="left" vertical="center" indent="1"/>
    </xf>
    <xf numFmtId="0" fontId="6" fillId="0" borderId="0" xfId="0" applyFont="1" applyAlignment="1">
      <alignment horizontal="left" vertical="center" indent="1"/>
    </xf>
    <xf numFmtId="0" fontId="0" fillId="34" borderId="0" xfId="0" applyFill="1" applyAlignment="1">
      <alignment horizontal="left" indent="1"/>
    </xf>
    <xf numFmtId="0" fontId="0" fillId="34" borderId="0" xfId="0" applyFill="1" applyAlignment="1">
      <alignment horizontal="left"/>
    </xf>
    <xf numFmtId="184" fontId="0" fillId="34" borderId="0" xfId="1" applyNumberFormat="1" applyFont="1" applyFill="1" applyAlignment="1">
      <alignment horizontal="left"/>
    </xf>
    <xf numFmtId="0" fontId="0" fillId="34" borderId="0" xfId="0" applyFill="1" applyAlignment="1">
      <alignment wrapText="1"/>
    </xf>
    <xf numFmtId="0" fontId="26" fillId="36" borderId="0" xfId="0" applyFont="1" applyFill="1" applyAlignment="1">
      <alignment horizontal="right" wrapText="1"/>
    </xf>
    <xf numFmtId="0" fontId="26" fillId="36" borderId="0" xfId="0" applyFont="1" applyFill="1" applyAlignment="1">
      <alignment horizontal="right"/>
    </xf>
    <xf numFmtId="9" fontId="26" fillId="36" borderId="0" xfId="0" applyNumberFormat="1" applyFont="1" applyFill="1" applyAlignment="1">
      <alignment horizontal="right"/>
    </xf>
    <xf numFmtId="0" fontId="26" fillId="36" borderId="21" xfId="0" applyFont="1" applyFill="1" applyBorder="1" applyAlignment="1">
      <alignment horizontal="right"/>
    </xf>
    <xf numFmtId="0" fontId="70" fillId="0" borderId="0" xfId="0" applyFont="1" applyAlignment="1">
      <alignment horizontal="right" vertical="center"/>
    </xf>
    <xf numFmtId="0" fontId="5" fillId="0" borderId="0" xfId="0" applyFont="1" applyAlignment="1">
      <alignment horizontal="left" vertical="center" indent="1"/>
    </xf>
    <xf numFmtId="184" fontId="66" fillId="0" borderId="10" xfId="0" applyNumberFormat="1" applyFont="1" applyBorder="1"/>
    <xf numFmtId="0" fontId="66" fillId="0" borderId="10" xfId="0" applyFont="1" applyFill="1" applyBorder="1"/>
    <xf numFmtId="184" fontId="66" fillId="0" borderId="10" xfId="0" applyNumberFormat="1" applyFont="1" applyFill="1" applyBorder="1"/>
    <xf numFmtId="179" fontId="0" fillId="34" borderId="0" xfId="1" applyNumberFormat="1" applyFont="1" applyFill="1"/>
    <xf numFmtId="179" fontId="66" fillId="34" borderId="10" xfId="1" applyNumberFormat="1" applyFont="1" applyFill="1" applyBorder="1"/>
    <xf numFmtId="179" fontId="161" fillId="34" borderId="10" xfId="1" applyNumberFormat="1" applyFont="1" applyFill="1" applyBorder="1"/>
    <xf numFmtId="179" fontId="151" fillId="33" borderId="10" xfId="1" applyNumberFormat="1" applyFont="1" applyFill="1" applyBorder="1"/>
    <xf numFmtId="179" fontId="66" fillId="33" borderId="10" xfId="1" applyNumberFormat="1" applyFont="1" applyFill="1" applyBorder="1"/>
    <xf numFmtId="179" fontId="161" fillId="33" borderId="10" xfId="1" applyNumberFormat="1" applyFont="1" applyFill="1" applyBorder="1"/>
    <xf numFmtId="179" fontId="66" fillId="34" borderId="0" xfId="1" applyNumberFormat="1" applyFont="1" applyFill="1"/>
    <xf numFmtId="179" fontId="161" fillId="34" borderId="0" xfId="1" applyNumberFormat="1" applyFont="1" applyFill="1"/>
    <xf numFmtId="179" fontId="67" fillId="34" borderId="0" xfId="1" applyNumberFormat="1" applyFont="1" applyFill="1"/>
    <xf numFmtId="173" fontId="3" fillId="0" borderId="10" xfId="0" applyNumberFormat="1" applyFont="1" applyBorder="1" applyAlignment="1" applyProtection="1">
      <alignment vertical="center"/>
      <protection locked="0"/>
    </xf>
    <xf numFmtId="0" fontId="94" fillId="33" borderId="0" xfId="0" applyFont="1" applyFill="1" applyAlignment="1">
      <alignment horizontal="left" vertical="center"/>
    </xf>
    <xf numFmtId="0" fontId="88" fillId="0" borderId="0" xfId="0" applyFont="1" applyAlignment="1">
      <alignment horizontal="left" wrapText="1"/>
    </xf>
    <xf numFmtId="0" fontId="60" fillId="33" borderId="11" xfId="0" applyFont="1" applyFill="1" applyBorder="1" applyAlignment="1" applyProtection="1">
      <alignment horizontal="right" vertical="center"/>
      <protection locked="0"/>
    </xf>
    <xf numFmtId="0" fontId="60" fillId="33" borderId="33" xfId="0" applyFont="1" applyFill="1" applyBorder="1" applyAlignment="1" applyProtection="1">
      <alignment horizontal="right" vertical="center"/>
      <protection locked="0"/>
    </xf>
    <xf numFmtId="0" fontId="60" fillId="33" borderId="15" xfId="0" applyFont="1" applyFill="1" applyBorder="1" applyAlignment="1" applyProtection="1">
      <alignment horizontal="right" vertical="center"/>
      <protection locked="0"/>
    </xf>
    <xf numFmtId="0" fontId="2" fillId="0" borderId="11" xfId="0" applyFont="1" applyBorder="1" applyAlignment="1" applyProtection="1">
      <alignment horizontal="right" vertical="center"/>
      <protection locked="0"/>
    </xf>
    <xf numFmtId="0" fontId="20" fillId="0" borderId="33" xfId="0" applyFont="1" applyBorder="1" applyAlignment="1" applyProtection="1">
      <alignment horizontal="right" vertical="center"/>
      <protection locked="0"/>
    </xf>
    <xf numFmtId="0" fontId="20" fillId="0" borderId="15" xfId="0" applyFont="1" applyBorder="1" applyAlignment="1" applyProtection="1">
      <alignment horizontal="right" vertical="center"/>
      <protection locked="0"/>
    </xf>
    <xf numFmtId="0" fontId="19" fillId="33" borderId="11" xfId="0" applyFont="1" applyFill="1" applyBorder="1" applyAlignment="1" applyProtection="1">
      <alignment horizontal="right" vertical="center"/>
      <protection locked="0"/>
    </xf>
    <xf numFmtId="0" fontId="23" fillId="33" borderId="33" xfId="0" applyFont="1" applyFill="1" applyBorder="1" applyAlignment="1" applyProtection="1">
      <alignment horizontal="right" vertical="center"/>
      <protection locked="0"/>
    </xf>
    <xf numFmtId="0" fontId="23" fillId="33" borderId="15" xfId="0" applyFont="1" applyFill="1" applyBorder="1" applyAlignment="1" applyProtection="1">
      <alignment horizontal="right" vertical="center"/>
      <protection locked="0"/>
    </xf>
    <xf numFmtId="0" fontId="23" fillId="33" borderId="11" xfId="0" applyFont="1" applyFill="1" applyBorder="1" applyAlignment="1" applyProtection="1">
      <alignment horizontal="right" vertical="center"/>
      <protection locked="0"/>
    </xf>
    <xf numFmtId="49" fontId="23" fillId="0" borderId="33" xfId="1" applyNumberFormat="1" applyFont="1" applyBorder="1" applyAlignment="1" applyProtection="1">
      <alignment horizontal="right" vertical="center"/>
      <protection locked="0"/>
    </xf>
    <xf numFmtId="49" fontId="23" fillId="0" borderId="15" xfId="1" applyNumberFormat="1" applyFont="1" applyBorder="1" applyAlignment="1" applyProtection="1">
      <alignment horizontal="right" vertical="center"/>
      <protection locked="0"/>
    </xf>
    <xf numFmtId="174" fontId="4" fillId="0" borderId="11" xfId="0" applyNumberFormat="1" applyFont="1" applyBorder="1" applyAlignment="1" applyProtection="1">
      <alignment horizontal="right" vertical="center"/>
      <protection locked="0"/>
    </xf>
    <xf numFmtId="174" fontId="23" fillId="0" borderId="33" xfId="0" applyNumberFormat="1" applyFont="1" applyBorder="1" applyAlignment="1" applyProtection="1">
      <alignment horizontal="right" vertical="center"/>
      <protection locked="0"/>
    </xf>
    <xf numFmtId="174" fontId="23" fillId="0" borderId="15" xfId="0" applyNumberFormat="1" applyFont="1" applyBorder="1" applyAlignment="1" applyProtection="1">
      <alignment horizontal="right" vertical="center"/>
      <protection locked="0"/>
    </xf>
    <xf numFmtId="171" fontId="23" fillId="36" borderId="11" xfId="1" applyNumberFormat="1" applyFont="1" applyFill="1" applyBorder="1" applyAlignment="1" applyProtection="1">
      <alignment horizontal="right" vertical="center"/>
      <protection locked="0"/>
    </xf>
    <xf numFmtId="171" fontId="23" fillId="36" borderId="33" xfId="1" applyNumberFormat="1" applyFont="1" applyFill="1" applyBorder="1" applyAlignment="1" applyProtection="1">
      <alignment horizontal="right" vertical="center"/>
      <protection locked="0"/>
    </xf>
    <xf numFmtId="171" fontId="23" fillId="36" borderId="15" xfId="1" applyNumberFormat="1" applyFont="1" applyFill="1" applyBorder="1" applyAlignment="1" applyProtection="1">
      <alignment horizontal="right" vertical="center"/>
      <protection locked="0"/>
    </xf>
    <xf numFmtId="174" fontId="23" fillId="0" borderId="11" xfId="0" applyNumberFormat="1" applyFont="1" applyBorder="1" applyAlignment="1" applyProtection="1">
      <alignment horizontal="right" vertical="center"/>
      <protection locked="0"/>
    </xf>
    <xf numFmtId="9" fontId="23" fillId="36" borderId="11" xfId="2" applyFont="1" applyFill="1" applyBorder="1" applyAlignment="1">
      <alignment horizontal="right" vertical="center"/>
    </xf>
    <xf numFmtId="9" fontId="23" fillId="36" borderId="33" xfId="2" applyFont="1" applyFill="1" applyBorder="1" applyAlignment="1">
      <alignment horizontal="right" vertical="center"/>
    </xf>
    <xf numFmtId="9" fontId="23" fillId="36" borderId="15" xfId="2" applyFont="1" applyFill="1" applyBorder="1" applyAlignment="1">
      <alignment horizontal="right" vertical="center"/>
    </xf>
    <xf numFmtId="0" fontId="7" fillId="33" borderId="11" xfId="0" applyFont="1" applyFill="1" applyBorder="1" applyAlignment="1" applyProtection="1">
      <alignment horizontal="right" vertical="center"/>
      <protection locked="0"/>
    </xf>
    <xf numFmtId="0" fontId="3" fillId="0" borderId="11" xfId="0" applyFont="1" applyBorder="1" applyAlignment="1" applyProtection="1">
      <alignment horizontal="right" vertical="center"/>
      <protection locked="0"/>
    </xf>
    <xf numFmtId="174" fontId="60" fillId="0" borderId="11" xfId="0" applyNumberFormat="1" applyFont="1" applyBorder="1" applyAlignment="1">
      <alignment horizontal="right" vertical="center"/>
    </xf>
    <xf numFmtId="174" fontId="60" fillId="0" borderId="33" xfId="0" applyNumberFormat="1" applyFont="1" applyBorder="1" applyAlignment="1">
      <alignment horizontal="right" vertical="center"/>
    </xf>
    <xf numFmtId="174" fontId="60" fillId="0" borderId="15" xfId="0" applyNumberFormat="1" applyFont="1" applyBorder="1" applyAlignment="1">
      <alignment horizontal="right" vertical="center"/>
    </xf>
    <xf numFmtId="174" fontId="60" fillId="0" borderId="11" xfId="0" applyNumberFormat="1" applyFont="1" applyBorder="1" applyAlignment="1" applyProtection="1">
      <alignment horizontal="right" vertical="center"/>
      <protection locked="0"/>
    </xf>
    <xf numFmtId="174" fontId="60" fillId="0" borderId="33" xfId="0" applyNumberFormat="1" applyFont="1" applyBorder="1" applyAlignment="1" applyProtection="1">
      <alignment horizontal="right" vertical="center"/>
      <protection locked="0"/>
    </xf>
    <xf numFmtId="174" fontId="60" fillId="0" borderId="15" xfId="0" applyNumberFormat="1" applyFont="1" applyBorder="1" applyAlignment="1" applyProtection="1">
      <alignment horizontal="right" vertical="center"/>
      <protection locked="0"/>
    </xf>
    <xf numFmtId="174" fontId="23" fillId="33" borderId="11" xfId="0" applyNumberFormat="1" applyFont="1" applyFill="1" applyBorder="1" applyAlignment="1" applyProtection="1">
      <alignment horizontal="right" vertical="center"/>
      <protection locked="0"/>
    </xf>
    <xf numFmtId="174" fontId="23" fillId="33" borderId="33" xfId="0" applyNumberFormat="1" applyFont="1" applyFill="1" applyBorder="1" applyAlignment="1" applyProtection="1">
      <alignment horizontal="right" vertical="center"/>
      <protection locked="0"/>
    </xf>
    <xf numFmtId="174" fontId="23" fillId="33" borderId="15" xfId="0" applyNumberFormat="1" applyFont="1" applyFill="1" applyBorder="1" applyAlignment="1" applyProtection="1">
      <alignment horizontal="right" vertical="center"/>
      <protection locked="0"/>
    </xf>
    <xf numFmtId="10" fontId="16" fillId="36" borderId="11" xfId="2" applyNumberFormat="1" applyFont="1" applyFill="1" applyBorder="1" applyAlignment="1">
      <alignment horizontal="right" vertical="center"/>
    </xf>
    <xf numFmtId="10" fontId="23" fillId="36" borderId="33" xfId="2" applyNumberFormat="1" applyFont="1" applyFill="1" applyBorder="1" applyAlignment="1">
      <alignment horizontal="right" vertical="center"/>
    </xf>
    <xf numFmtId="10" fontId="23" fillId="36" borderId="15" xfId="2" applyNumberFormat="1" applyFont="1" applyFill="1" applyBorder="1" applyAlignment="1">
      <alignment horizontal="right" vertical="center"/>
    </xf>
    <xf numFmtId="10" fontId="23" fillId="36" borderId="11" xfId="2" applyNumberFormat="1" applyFont="1" applyFill="1" applyBorder="1" applyAlignment="1" applyProtection="1">
      <alignment horizontal="right" vertical="center"/>
      <protection locked="0"/>
    </xf>
    <xf numFmtId="10" fontId="23" fillId="36" borderId="33" xfId="2" applyNumberFormat="1" applyFont="1" applyFill="1" applyBorder="1" applyAlignment="1" applyProtection="1">
      <alignment horizontal="right" vertical="center"/>
      <protection locked="0"/>
    </xf>
    <xf numFmtId="10" fontId="23" fillId="36" borderId="15" xfId="2" applyNumberFormat="1" applyFont="1" applyFill="1" applyBorder="1" applyAlignment="1" applyProtection="1">
      <alignment horizontal="right" vertical="center"/>
      <protection locked="0"/>
    </xf>
    <xf numFmtId="10" fontId="23" fillId="36" borderId="11" xfId="2" applyNumberFormat="1" applyFont="1" applyFill="1" applyBorder="1" applyAlignment="1">
      <alignment horizontal="right" vertical="center"/>
    </xf>
    <xf numFmtId="10" fontId="15" fillId="33" borderId="11" xfId="2" applyNumberFormat="1" applyFont="1" applyFill="1" applyBorder="1" applyAlignment="1" applyProtection="1">
      <alignment horizontal="right" vertical="center"/>
      <protection locked="0"/>
    </xf>
    <xf numFmtId="10" fontId="23" fillId="33" borderId="33" xfId="2" applyNumberFormat="1" applyFont="1" applyFill="1" applyBorder="1" applyAlignment="1" applyProtection="1">
      <alignment horizontal="right" vertical="center"/>
      <protection locked="0"/>
    </xf>
    <xf numFmtId="10" fontId="23" fillId="33" borderId="15" xfId="2" applyNumberFormat="1" applyFont="1" applyFill="1" applyBorder="1" applyAlignment="1" applyProtection="1">
      <alignment horizontal="right" vertical="center"/>
      <protection locked="0"/>
    </xf>
    <xf numFmtId="179" fontId="23" fillId="33" borderId="11" xfId="1" applyNumberFormat="1" applyFont="1" applyFill="1" applyBorder="1" applyAlignment="1">
      <alignment horizontal="right" vertical="center"/>
    </xf>
    <xf numFmtId="179" fontId="23" fillId="33" borderId="33" xfId="1" applyNumberFormat="1" applyFont="1" applyFill="1" applyBorder="1" applyAlignment="1">
      <alignment horizontal="right" vertical="center"/>
    </xf>
    <xf numFmtId="179" fontId="23" fillId="33" borderId="15" xfId="1" applyNumberFormat="1" applyFont="1" applyFill="1" applyBorder="1" applyAlignment="1">
      <alignment horizontal="right" vertical="center"/>
    </xf>
    <xf numFmtId="43" fontId="23" fillId="36" borderId="11" xfId="1" applyFont="1" applyFill="1" applyBorder="1" applyAlignment="1">
      <alignment horizontal="right" vertical="center"/>
    </xf>
    <xf numFmtId="43" fontId="23" fillId="36" borderId="33" xfId="1" applyFont="1" applyFill="1" applyBorder="1" applyAlignment="1">
      <alignment horizontal="right" vertical="center"/>
    </xf>
    <xf numFmtId="43" fontId="23" fillId="36" borderId="15" xfId="1" applyFont="1" applyFill="1" applyBorder="1" applyAlignment="1">
      <alignment horizontal="right" vertical="center"/>
    </xf>
    <xf numFmtId="174" fontId="23" fillId="36" borderId="11" xfId="0" applyNumberFormat="1" applyFont="1" applyFill="1" applyBorder="1" applyAlignment="1">
      <alignment horizontal="right" vertical="center"/>
    </xf>
    <xf numFmtId="174" fontId="23" fillId="36" borderId="33" xfId="0" applyNumberFormat="1" applyFont="1" applyFill="1" applyBorder="1" applyAlignment="1">
      <alignment horizontal="right" vertical="center"/>
    </xf>
    <xf numFmtId="174" fontId="23" fillId="36" borderId="15" xfId="0" applyNumberFormat="1" applyFont="1" applyFill="1" applyBorder="1" applyAlignment="1">
      <alignment horizontal="right" vertical="center"/>
    </xf>
    <xf numFmtId="179" fontId="9" fillId="36" borderId="11" xfId="1" applyNumberFormat="1" applyFont="1" applyFill="1" applyBorder="1" applyAlignment="1">
      <alignment horizontal="right" vertical="center"/>
    </xf>
    <xf numFmtId="179" fontId="23" fillId="36" borderId="33" xfId="1" applyNumberFormat="1" applyFont="1" applyFill="1" applyBorder="1" applyAlignment="1">
      <alignment horizontal="right" vertical="center"/>
    </xf>
    <xf numFmtId="179" fontId="23" fillId="36" borderId="15" xfId="1" applyNumberFormat="1" applyFont="1" applyFill="1" applyBorder="1" applyAlignment="1">
      <alignment horizontal="right" vertical="center"/>
    </xf>
    <xf numFmtId="0" fontId="122" fillId="0" borderId="0" xfId="0" applyFont="1" applyAlignment="1">
      <alignment horizontal="right" vertical="center"/>
    </xf>
    <xf numFmtId="164" fontId="15" fillId="33" borderId="11" xfId="1" applyNumberFormat="1" applyFont="1" applyFill="1" applyBorder="1" applyAlignment="1">
      <alignment horizontal="right"/>
    </xf>
    <xf numFmtId="164" fontId="23" fillId="33" borderId="33" xfId="1" applyNumberFormat="1" applyFont="1" applyFill="1" applyBorder="1" applyAlignment="1">
      <alignment horizontal="right"/>
    </xf>
    <xf numFmtId="164" fontId="23" fillId="33" borderId="15" xfId="1" applyNumberFormat="1" applyFont="1" applyFill="1" applyBorder="1" applyAlignment="1">
      <alignment horizontal="right"/>
    </xf>
    <xf numFmtId="165" fontId="13" fillId="36" borderId="11" xfId="1" applyNumberFormat="1" applyFont="1" applyFill="1" applyBorder="1" applyAlignment="1">
      <alignment horizontal="right"/>
    </xf>
    <xf numFmtId="165" fontId="13" fillId="36" borderId="33" xfId="1" applyNumberFormat="1" applyFont="1" applyFill="1" applyBorder="1" applyAlignment="1">
      <alignment horizontal="right"/>
    </xf>
    <xf numFmtId="165" fontId="13" fillId="36" borderId="15" xfId="1" applyNumberFormat="1" applyFont="1" applyFill="1" applyBorder="1" applyAlignment="1">
      <alignment horizontal="right"/>
    </xf>
    <xf numFmtId="172" fontId="23" fillId="0" borderId="11" xfId="0" applyNumberFormat="1" applyFont="1" applyBorder="1" applyAlignment="1" applyProtection="1">
      <alignment horizontal="right" vertical="center"/>
      <protection locked="0"/>
    </xf>
    <xf numFmtId="172" fontId="23" fillId="0" borderId="33" xfId="0" applyNumberFormat="1" applyFont="1" applyBorder="1" applyAlignment="1" applyProtection="1">
      <alignment horizontal="right" vertical="center"/>
      <protection locked="0"/>
    </xf>
    <xf numFmtId="172" fontId="23" fillId="0" borderId="15" xfId="0" applyNumberFormat="1" applyFont="1" applyBorder="1" applyAlignment="1" applyProtection="1">
      <alignment horizontal="right" vertical="center"/>
      <protection locked="0"/>
    </xf>
    <xf numFmtId="9" fontId="23" fillId="33" borderId="11" xfId="2" applyFont="1" applyFill="1" applyBorder="1" applyAlignment="1">
      <alignment horizontal="right" vertical="center"/>
    </xf>
    <xf numFmtId="9" fontId="23" fillId="33" borderId="33" xfId="2" applyFont="1" applyFill="1" applyBorder="1" applyAlignment="1">
      <alignment horizontal="right" vertical="center"/>
    </xf>
    <xf numFmtId="9" fontId="23" fillId="33" borderId="15" xfId="2" applyFont="1" applyFill="1" applyBorder="1" applyAlignment="1">
      <alignment horizontal="right" vertical="center"/>
    </xf>
    <xf numFmtId="172" fontId="11" fillId="36" borderId="11" xfId="0" applyNumberFormat="1" applyFont="1" applyFill="1" applyBorder="1" applyAlignment="1" applyProtection="1">
      <alignment horizontal="right" vertical="center"/>
      <protection locked="0"/>
    </xf>
    <xf numFmtId="172" fontId="23" fillId="36" borderId="33" xfId="0" applyNumberFormat="1" applyFont="1" applyFill="1" applyBorder="1" applyAlignment="1" applyProtection="1">
      <alignment horizontal="right" vertical="center"/>
      <protection locked="0"/>
    </xf>
    <xf numFmtId="172" fontId="23" fillId="36" borderId="15" xfId="0" applyNumberFormat="1" applyFont="1" applyFill="1" applyBorder="1" applyAlignment="1" applyProtection="1">
      <alignment horizontal="right" vertical="center"/>
      <protection locked="0"/>
    </xf>
    <xf numFmtId="179" fontId="23" fillId="36" borderId="11" xfId="1" applyNumberFormat="1" applyFont="1" applyFill="1" applyBorder="1" applyAlignment="1">
      <alignment horizontal="right" vertical="center"/>
    </xf>
    <xf numFmtId="10" fontId="16" fillId="33" borderId="11" xfId="2" applyNumberFormat="1" applyFont="1" applyFill="1" applyBorder="1" applyAlignment="1" applyProtection="1">
      <alignment horizontal="right" vertical="center"/>
      <protection locked="0"/>
    </xf>
    <xf numFmtId="0" fontId="26" fillId="0" borderId="40" xfId="0" applyFont="1" applyBorder="1" applyAlignment="1">
      <alignment horizontal="center"/>
    </xf>
    <xf numFmtId="174" fontId="25" fillId="0" borderId="0" xfId="0" applyNumberFormat="1" applyFont="1" applyAlignment="1">
      <alignment horizontal="left"/>
    </xf>
    <xf numFmtId="0" fontId="135" fillId="0" borderId="28" xfId="0" applyFont="1" applyBorder="1" applyAlignment="1">
      <alignment horizontal="left"/>
    </xf>
    <xf numFmtId="174" fontId="63" fillId="0" borderId="0" xfId="0" applyNumberFormat="1" applyFont="1" applyAlignment="1">
      <alignment horizontal="left"/>
    </xf>
    <xf numFmtId="0" fontId="106" fillId="0" borderId="0" xfId="0" applyFont="1" applyAlignment="1">
      <alignment horizontal="left" vertical="center"/>
    </xf>
    <xf numFmtId="0" fontId="105" fillId="0" borderId="0" xfId="0" applyFont="1" applyAlignment="1">
      <alignment horizontal="left" vertical="center" wrapText="1" readingOrder="1"/>
    </xf>
    <xf numFmtId="0" fontId="63" fillId="0" borderId="11" xfId="0" applyFont="1" applyBorder="1" applyAlignment="1" applyProtection="1">
      <alignment horizontal="left" vertical="top"/>
      <protection locked="0"/>
    </xf>
    <xf numFmtId="0" fontId="63" fillId="0" borderId="33" xfId="0" applyFont="1" applyBorder="1" applyAlignment="1" applyProtection="1">
      <alignment horizontal="left" vertical="top"/>
      <protection locked="0"/>
    </xf>
    <xf numFmtId="0" fontId="63" fillId="0" borderId="15" xfId="0" applyFont="1" applyBorder="1" applyAlignment="1" applyProtection="1">
      <alignment horizontal="left" vertical="top"/>
      <protection locked="0"/>
    </xf>
    <xf numFmtId="174" fontId="62" fillId="0" borderId="31" xfId="48" applyNumberFormat="1" applyFont="1" applyBorder="1" applyAlignment="1" applyProtection="1">
      <alignment horizontal="center"/>
      <protection hidden="1"/>
    </xf>
    <xf numFmtId="3" fontId="62" fillId="0" borderId="28" xfId="48" applyNumberFormat="1" applyFont="1" applyBorder="1" applyAlignment="1" applyProtection="1">
      <alignment horizontal="center"/>
      <protection hidden="1"/>
    </xf>
    <xf numFmtId="0" fontId="39" fillId="35" borderId="0" xfId="0" applyFont="1" applyFill="1" applyAlignment="1">
      <alignment horizontal="left" vertical="center" wrapText="1"/>
    </xf>
    <xf numFmtId="0" fontId="62" fillId="0" borderId="28" xfId="48" applyFont="1" applyBorder="1" applyAlignment="1" applyProtection="1">
      <alignment horizontal="center"/>
      <protection hidden="1"/>
    </xf>
    <xf numFmtId="172" fontId="113" fillId="0" borderId="0" xfId="0" applyNumberFormat="1" applyFont="1" applyAlignment="1" applyProtection="1">
      <alignment horizontal="right"/>
      <protection locked="0"/>
    </xf>
    <xf numFmtId="0" fontId="113" fillId="0" borderId="0" xfId="0" applyFont="1" applyAlignment="1" applyProtection="1">
      <alignment horizontal="left" vertical="center" wrapText="1"/>
      <protection locked="0"/>
    </xf>
    <xf numFmtId="0" fontId="147" fillId="0" borderId="49" xfId="0" applyFont="1" applyBorder="1" applyAlignment="1">
      <alignment horizontal="center" vertical="center"/>
    </xf>
    <xf numFmtId="0" fontId="147" fillId="0" borderId="50" xfId="0" applyFont="1" applyBorder="1" applyAlignment="1">
      <alignment horizontal="center" vertical="center"/>
    </xf>
    <xf numFmtId="49" fontId="1" fillId="0" borderId="11" xfId="1" applyNumberFormat="1" applyFont="1" applyBorder="1" applyAlignment="1" applyProtection="1">
      <alignment horizontal="right" vertical="center"/>
      <protection locked="0"/>
    </xf>
  </cellXfs>
  <cellStyles count="66">
    <cellStyle name=" _x0007_LÓ_x0018_ÄþÍN^NuNVþˆHÁ_x0001__x0018_(n" xfId="48" xr:uid="{00000000-0005-0000-0000-000000000000}"/>
    <cellStyle name=" _x0007_LÓ_x0018_ÄþÍN^NuNVþˆHÁ_x0001__x0018_(n 2" xfId="49" xr:uid="{00000000-0005-0000-0000-000001000000}"/>
    <cellStyle name="20% - Accent1 2" xfId="4" xr:uid="{00000000-0005-0000-0000-000002000000}"/>
    <cellStyle name="20% - Accent2 2" xfId="5" xr:uid="{00000000-0005-0000-0000-000003000000}"/>
    <cellStyle name="20% - Accent3 2" xfId="6" xr:uid="{00000000-0005-0000-0000-000004000000}"/>
    <cellStyle name="20% - Accent4 2" xfId="7" xr:uid="{00000000-0005-0000-0000-000005000000}"/>
    <cellStyle name="20% - Accent5 2" xfId="8" xr:uid="{00000000-0005-0000-0000-000006000000}"/>
    <cellStyle name="20% - Accent6 2" xfId="9" xr:uid="{00000000-0005-0000-0000-000007000000}"/>
    <cellStyle name="40% - Accent1 2" xfId="10" xr:uid="{00000000-0005-0000-0000-000008000000}"/>
    <cellStyle name="40% - Accent2 2" xfId="11" xr:uid="{00000000-0005-0000-0000-000009000000}"/>
    <cellStyle name="40% - Accent3 2" xfId="12" xr:uid="{00000000-0005-0000-0000-00000A000000}"/>
    <cellStyle name="40% - Accent4 2" xfId="13" xr:uid="{00000000-0005-0000-0000-00000B000000}"/>
    <cellStyle name="40% - Accent5 2" xfId="14" xr:uid="{00000000-0005-0000-0000-00000C000000}"/>
    <cellStyle name="40% - Accent6 2" xfId="15" xr:uid="{00000000-0005-0000-0000-00000D000000}"/>
    <cellStyle name="60% - Accent1 2" xfId="16" xr:uid="{00000000-0005-0000-0000-00000E000000}"/>
    <cellStyle name="60% - Accent2 2" xfId="17" xr:uid="{00000000-0005-0000-0000-00000F000000}"/>
    <cellStyle name="60% - Accent3 2" xfId="18" xr:uid="{00000000-0005-0000-0000-000010000000}"/>
    <cellStyle name="60% - Accent4 2" xfId="19" xr:uid="{00000000-0005-0000-0000-000011000000}"/>
    <cellStyle name="60% - Accent5 2" xfId="20" xr:uid="{00000000-0005-0000-0000-000012000000}"/>
    <cellStyle name="60% - Accent6 2" xfId="21" xr:uid="{00000000-0005-0000-0000-000013000000}"/>
    <cellStyle name="Accent1 2" xfId="22" xr:uid="{00000000-0005-0000-0000-000014000000}"/>
    <cellStyle name="Accent2 2" xfId="23" xr:uid="{00000000-0005-0000-0000-000015000000}"/>
    <cellStyle name="Accent3 2" xfId="24" xr:uid="{00000000-0005-0000-0000-000016000000}"/>
    <cellStyle name="Accent4 2" xfId="25" xr:uid="{00000000-0005-0000-0000-000017000000}"/>
    <cellStyle name="Accent5 2" xfId="26" xr:uid="{00000000-0005-0000-0000-000018000000}"/>
    <cellStyle name="Accent6 2" xfId="27" xr:uid="{00000000-0005-0000-0000-000019000000}"/>
    <cellStyle name="Bad 2" xfId="28" xr:uid="{00000000-0005-0000-0000-00001A000000}"/>
    <cellStyle name="Calculation 2" xfId="29" xr:uid="{00000000-0005-0000-0000-00001B000000}"/>
    <cellStyle name="Check Cell 2" xfId="30" xr:uid="{00000000-0005-0000-0000-00001C000000}"/>
    <cellStyle name="Comma" xfId="1" builtinId="3"/>
    <cellStyle name="Comma 2" xfId="45" xr:uid="{00000000-0005-0000-0000-00001E000000}"/>
    <cellStyle name="Comma 2 2" xfId="60" xr:uid="{00000000-0005-0000-0000-00001F000000}"/>
    <cellStyle name="Comma 3" xfId="47" xr:uid="{00000000-0005-0000-0000-000020000000}"/>
    <cellStyle name="Comma 4" xfId="57" xr:uid="{00000000-0005-0000-0000-000021000000}"/>
    <cellStyle name="Comma 5" xfId="59" xr:uid="{00000000-0005-0000-0000-000022000000}"/>
    <cellStyle name="Currency 2" xfId="62" xr:uid="{00000000-0005-0000-0000-000023000000}"/>
    <cellStyle name="Currency 3" xfId="61" xr:uid="{00000000-0005-0000-0000-000024000000}"/>
    <cellStyle name="Explanatory Text 2" xfId="31" xr:uid="{00000000-0005-0000-0000-000025000000}"/>
    <cellStyle name="Good 2" xfId="32" xr:uid="{00000000-0005-0000-0000-000026000000}"/>
    <cellStyle name="Heading 1 2" xfId="33" xr:uid="{00000000-0005-0000-0000-000027000000}"/>
    <cellStyle name="Heading 2 2" xfId="34" xr:uid="{00000000-0005-0000-0000-000028000000}"/>
    <cellStyle name="Heading 3 2" xfId="35" xr:uid="{00000000-0005-0000-0000-000029000000}"/>
    <cellStyle name="Heading 4 2" xfId="36" xr:uid="{00000000-0005-0000-0000-00002A000000}"/>
    <cellStyle name="Hyperlink" xfId="63" builtinId="8"/>
    <cellStyle name="Input 2" xfId="37" xr:uid="{00000000-0005-0000-0000-00002C000000}"/>
    <cellStyle name="Linked Cell 2" xfId="38" xr:uid="{00000000-0005-0000-0000-00002D000000}"/>
    <cellStyle name="Neutral 2" xfId="39" xr:uid="{00000000-0005-0000-0000-00002E000000}"/>
    <cellStyle name="Normal" xfId="0" builtinId="0"/>
    <cellStyle name="Normal 2" xfId="3" xr:uid="{00000000-0005-0000-0000-000030000000}"/>
    <cellStyle name="Normal 2 10" xfId="52" xr:uid="{00000000-0005-0000-0000-000031000000}"/>
    <cellStyle name="Normal 2 2" xfId="53" xr:uid="{00000000-0005-0000-0000-000032000000}"/>
    <cellStyle name="Normal 3" xfId="46" xr:uid="{00000000-0005-0000-0000-000033000000}"/>
    <cellStyle name="Normal 3 2" xfId="56" xr:uid="{00000000-0005-0000-0000-000034000000}"/>
    <cellStyle name="Normal 3 3" xfId="50" xr:uid="{00000000-0005-0000-0000-000035000000}"/>
    <cellStyle name="Normal 4" xfId="51" xr:uid="{00000000-0005-0000-0000-000036000000}"/>
    <cellStyle name="Normal 4 2" xfId="55" xr:uid="{00000000-0005-0000-0000-000037000000}"/>
    <cellStyle name="Normal 5" xfId="58" xr:uid="{00000000-0005-0000-0000-000038000000}"/>
    <cellStyle name="Normal 9" xfId="64" xr:uid="{00000000-0005-0000-0000-000039000000}"/>
    <cellStyle name="Note 2" xfId="40" xr:uid="{00000000-0005-0000-0000-00003A000000}"/>
    <cellStyle name="Output 2" xfId="41" xr:uid="{00000000-0005-0000-0000-00003B000000}"/>
    <cellStyle name="Percent" xfId="2" builtinId="5"/>
    <cellStyle name="Percent 2" xfId="54" xr:uid="{00000000-0005-0000-0000-00003D000000}"/>
    <cellStyle name="Percent 2 2" xfId="65" xr:uid="{00000000-0005-0000-0000-00003E000000}"/>
    <cellStyle name="Title 2" xfId="42" xr:uid="{00000000-0005-0000-0000-00003F000000}"/>
    <cellStyle name="Total 2" xfId="43" xr:uid="{00000000-0005-0000-0000-000040000000}"/>
    <cellStyle name="Warning Text 2" xfId="44" xr:uid="{00000000-0005-0000-0000-000041000000}"/>
  </cellStyles>
  <dxfs count="62">
    <dxf>
      <border>
        <left/>
        <right/>
        <top/>
        <bottom/>
        <vertical/>
        <horizontal/>
      </border>
    </dxf>
    <dxf>
      <font>
        <color theme="0"/>
      </font>
    </dxf>
    <dxf>
      <font>
        <b/>
        <i val="0"/>
        <condense val="0"/>
        <extend val="0"/>
        <color indexed="9"/>
      </font>
      <fill>
        <patternFill>
          <bgColor indexed="10"/>
        </patternFill>
      </fill>
      <border>
        <left style="thin">
          <color indexed="64"/>
        </left>
        <right style="thin">
          <color indexed="64"/>
        </right>
        <top style="thin">
          <color indexed="64"/>
        </top>
        <bottom style="thin">
          <color indexed="64"/>
        </bottom>
      </border>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border>
        <left/>
        <right/>
        <top/>
        <bottom/>
        <vertical/>
        <horizontal/>
      </border>
    </dxf>
    <dxf>
      <font>
        <color theme="0"/>
      </font>
    </dxf>
    <dxf>
      <font>
        <color theme="0"/>
      </font>
    </dxf>
    <dxf>
      <font>
        <color theme="0"/>
      </font>
      <fill>
        <patternFill>
          <bgColor theme="0"/>
        </patternFill>
      </fill>
      <border>
        <left/>
        <right/>
        <top/>
        <bottom/>
        <vertical/>
        <horizontal/>
      </border>
    </dxf>
    <dxf>
      <font>
        <color theme="0"/>
      </font>
      <border>
        <left/>
        <right/>
        <top/>
        <bottom/>
        <vertical/>
        <horizontal/>
      </border>
    </dxf>
    <dxf>
      <font>
        <color theme="0"/>
      </font>
    </dxf>
    <dxf>
      <font>
        <color rgb="FFFF000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ont>
        <color theme="0"/>
      </font>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ill>
        <patternFill>
          <bgColor theme="0"/>
        </patternFill>
      </fill>
    </dxf>
    <dxf>
      <font>
        <color theme="0"/>
      </font>
      <fill>
        <patternFill>
          <fgColor theme="0"/>
          <bgColor theme="0"/>
        </patternFill>
      </fill>
      <border>
        <left/>
        <right/>
        <top/>
        <bottom/>
        <vertical/>
        <horizontal/>
      </border>
    </dxf>
    <dxf>
      <fill>
        <patternFill>
          <bgColor theme="0"/>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ill>
        <patternFill>
          <bgColor theme="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auto="1"/>
      </font>
      <fill>
        <patternFill>
          <bgColor theme="0"/>
        </patternFill>
      </fill>
    </dxf>
    <dxf>
      <fill>
        <patternFill>
          <bgColor theme="0"/>
        </patternFill>
      </fill>
    </dxf>
  </dxfs>
  <tableStyles count="0" defaultTableStyle="TableStyleMedium2" defaultPivotStyle="PivotStyleLight16"/>
  <colors>
    <mruColors>
      <color rgb="FFABA35B"/>
      <color rgb="FFFFAB97"/>
      <color rgb="FFD81E05"/>
      <color rgb="FFADA35B"/>
      <color rgb="FFA49C54"/>
      <color rgb="FF9C995C"/>
      <color rgb="FFE93F7C"/>
      <color rgb="FF9790EC"/>
      <color rgb="FFCC00FF"/>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view3D>
      <c:rotX val="30"/>
      <c:rotY val="14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1"/>
          <c:dPt>
            <c:idx val="0"/>
            <c:bubble3D val="0"/>
            <c:spPr>
              <a:solidFill>
                <a:srgbClr val="002060"/>
              </a:solidFill>
              <a:ln>
                <a:solidFill>
                  <a:srgbClr val="002060"/>
                </a:solid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73E-4B5B-A5A8-E64BB278C1C9}"/>
              </c:ext>
            </c:extLst>
          </c:dPt>
          <c:dPt>
            <c:idx val="1"/>
            <c:bubble3D val="0"/>
            <c:spPr>
              <a:solidFill>
                <a:srgbClr val="FF0000"/>
              </a:solidFill>
              <a:ln>
                <a:solidFill>
                  <a:srgbClr val="FF0000"/>
                </a:solid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73E-4B5B-A5A8-E64BB278C1C9}"/>
              </c:ext>
            </c:extLst>
          </c:dPt>
          <c:dPt>
            <c:idx val="3"/>
            <c:bubble3D val="0"/>
            <c:spPr>
              <a:solidFill>
                <a:schemeClr val="accent1">
                  <a:lumMod val="60000"/>
                  <a:lumOff val="40000"/>
                </a:schemeClr>
              </a:solidFill>
              <a:ln>
                <a:solidFill>
                  <a:schemeClr val="accent1">
                    <a:lumMod val="60000"/>
                    <a:lumOff val="40000"/>
                  </a:schemeClr>
                </a:solid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73E-4B5B-A5A8-E64BB278C1C9}"/>
              </c:ext>
            </c:extLst>
          </c:dPt>
          <c:dLbls>
            <c:dLbl>
              <c:idx val="0"/>
              <c:dLblPos val="outEnd"/>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73E-4B5B-A5A8-E64BB278C1C9}"/>
                </c:ext>
              </c:extLst>
            </c:dLbl>
            <c:dLbl>
              <c:idx val="1"/>
              <c:layout>
                <c:manualLayout>
                  <c:x val="7.470632572744525E-3"/>
                  <c:y val="-4.55670313938030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73E-4B5B-A5A8-E64BB278C1C9}"/>
                </c:ext>
              </c:extLst>
            </c:dLbl>
            <c:dLbl>
              <c:idx val="3"/>
              <c:numFmt formatCode="0.00%" sourceLinked="0"/>
              <c:spPr>
                <a:noFill/>
                <a:ln>
                  <a:noFill/>
                </a:ln>
                <a:effectLst/>
              </c:spPr>
              <c:txPr>
                <a:bodyPr rot="0" spcFirstLastPara="1" vertOverflow="ellipsis" vert="horz" wrap="square" lIns="38100" tIns="19050" rIns="38100" bIns="19050" anchor="ctr" anchorCtr="1">
                  <a:noAutofit/>
                </a:bodyPr>
                <a:lstStyle/>
                <a:p>
                  <a:pPr>
                    <a:defRPr sz="1000" b="0" i="0" u="none" strike="noStrike" kern="1200" spc="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973E-4B5B-A5A8-E64BB278C1C9}"/>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spc="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 Data'!$A$2:$A$5</c:f>
              <c:strCache>
                <c:ptCount val="4"/>
                <c:pt idx="0">
                  <c:v>Cash</c:v>
                </c:pt>
                <c:pt idx="1">
                  <c:v>Bakkie All.</c:v>
                </c:pt>
                <c:pt idx="2">
                  <c:v>Bonus</c:v>
                </c:pt>
                <c:pt idx="3">
                  <c:v>Benefits</c:v>
                </c:pt>
              </c:strCache>
            </c:strRef>
          </c:cat>
          <c:val>
            <c:numRef>
              <c:f>'Pie Chart Data'!$B$2:$B$5</c:f>
              <c:numCache>
                <c:formatCode>#,##0.00</c:formatCode>
                <c:ptCount val="4"/>
              </c:numCache>
            </c:numRef>
          </c:val>
          <c:extLst>
            <c:ext xmlns:c16="http://schemas.microsoft.com/office/drawing/2014/chart" uri="{C3380CC4-5D6E-409C-BE32-E72D297353CC}">
              <c16:uniqueId val="{00000006-973E-4B5B-A5A8-E64BB278C1C9}"/>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1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250489143402527"/>
          <c:y val="0.15599702300920182"/>
          <c:w val="0.68092812640844125"/>
          <c:h val="0.64894543811162675"/>
        </c:manualLayout>
      </c:layout>
      <c:pie3DChart>
        <c:varyColors val="1"/>
        <c:ser>
          <c:idx val="0"/>
          <c:order val="0"/>
          <c:explosion val="14"/>
          <c:dPt>
            <c:idx val="0"/>
            <c:bubble3D val="0"/>
            <c:spPr>
              <a:solidFill>
                <a:srgbClr val="ADA35B"/>
              </a:solidFill>
              <a:ln w="25400">
                <a:solidFill>
                  <a:srgbClr val="ADA35B"/>
                </a:solidFill>
              </a:ln>
              <a:effectLst/>
              <a:sp3d contourW="25400">
                <a:contourClr>
                  <a:srgbClr val="ADA35B"/>
                </a:contourClr>
              </a:sp3d>
            </c:spPr>
            <c:extLst>
              <c:ext xmlns:c16="http://schemas.microsoft.com/office/drawing/2014/chart" uri="{C3380CC4-5D6E-409C-BE32-E72D297353CC}">
                <c16:uniqueId val="{00000001-4ACB-4192-9D0A-4E65B9CB8E74}"/>
              </c:ext>
            </c:extLst>
          </c:dPt>
          <c:dPt>
            <c:idx val="1"/>
            <c:bubble3D val="0"/>
            <c:spPr>
              <a:solidFill>
                <a:schemeClr val="tx1"/>
              </a:solidFill>
              <a:ln w="25400">
                <a:solidFill>
                  <a:sysClr val="windowText" lastClr="000000"/>
                </a:solidFill>
              </a:ln>
              <a:effectLst/>
              <a:sp3d contourW="25400">
                <a:contourClr>
                  <a:sysClr val="windowText" lastClr="000000"/>
                </a:contourClr>
              </a:sp3d>
            </c:spPr>
            <c:extLst>
              <c:ext xmlns:c16="http://schemas.microsoft.com/office/drawing/2014/chart" uri="{C3380CC4-5D6E-409C-BE32-E72D297353CC}">
                <c16:uniqueId val="{00000003-4ACB-4192-9D0A-4E65B9CB8E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ACB-4192-9D0A-4E65B9CB8E74}"/>
              </c:ext>
            </c:extLst>
          </c:dPt>
          <c:dPt>
            <c:idx val="3"/>
            <c:bubble3D val="0"/>
            <c:spPr>
              <a:solidFill>
                <a:srgbClr val="D81E05"/>
              </a:solidFill>
              <a:ln w="25400">
                <a:solidFill>
                  <a:srgbClr val="D81E05"/>
                </a:solidFill>
              </a:ln>
              <a:effectLst/>
              <a:sp3d contourW="25400">
                <a:contourClr>
                  <a:srgbClr val="D81E05"/>
                </a:contourClr>
              </a:sp3d>
            </c:spPr>
            <c:extLst>
              <c:ext xmlns:c16="http://schemas.microsoft.com/office/drawing/2014/chart" uri="{C3380CC4-5D6E-409C-BE32-E72D297353CC}">
                <c16:uniqueId val="{00000007-4ACB-4192-9D0A-4E65B9CB8E74}"/>
              </c:ext>
            </c:extLst>
          </c:dPt>
          <c:dLbls>
            <c:dLbl>
              <c:idx val="1"/>
              <c:layout>
                <c:manualLayout>
                  <c:x val="-0.13737373737373737"/>
                  <c:y val="-1.7660044150110375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4ACB-4192-9D0A-4E65B9CB8E74}"/>
                </c:ext>
              </c:extLst>
            </c:dLbl>
            <c:dLbl>
              <c:idx val="2"/>
              <c:layout>
                <c:manualLayout>
                  <c:x val="2.6936026936025949E-3"/>
                  <c:y val="-2.9433406916851163E-3"/>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4ACB-4192-9D0A-4E65B9CB8E74}"/>
                </c:ext>
              </c:extLst>
            </c:dLbl>
            <c:dLbl>
              <c:idx val="3"/>
              <c:layout>
                <c:manualLayout>
                  <c:x val="-2.6936026936027922E-3"/>
                  <c:y val="-4.1206769683590987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4ACB-4192-9D0A-4E65B9CB8E74}"/>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 Data'!$A$2:$A$5</c:f>
              <c:strCache>
                <c:ptCount val="4"/>
                <c:pt idx="0">
                  <c:v>Cash</c:v>
                </c:pt>
                <c:pt idx="1">
                  <c:v>Bakkie All.</c:v>
                </c:pt>
                <c:pt idx="2">
                  <c:v>Bonus</c:v>
                </c:pt>
                <c:pt idx="3">
                  <c:v>Benefits</c:v>
                </c:pt>
              </c:strCache>
            </c:strRef>
          </c:cat>
          <c:val>
            <c:numRef>
              <c:f>'Pie Chart Data'!$D$2:$D$5</c:f>
              <c:numCache>
                <c:formatCode>_(* #,##0.00_);_(* \(#,##0.00\);_(* "-"??_);_(@_)</c:formatCode>
                <c:ptCount val="4"/>
                <c:pt idx="0">
                  <c:v>55817.144400000005</c:v>
                </c:pt>
                <c:pt idx="1">
                  <c:v>#N/A</c:v>
                </c:pt>
                <c:pt idx="2">
                  <c:v>5392.71</c:v>
                </c:pt>
                <c:pt idx="3">
                  <c:v>22024.544999999998</c:v>
                </c:pt>
              </c:numCache>
            </c:numRef>
          </c:val>
          <c:extLst>
            <c:ext xmlns:c16="http://schemas.microsoft.com/office/drawing/2014/chart" uri="{C3380CC4-5D6E-409C-BE32-E72D297353CC}">
              <c16:uniqueId val="{00000008-4ACB-4192-9D0A-4E65B9CB8E74}"/>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165"/>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4945529069140315E-2"/>
          <c:y val="0.10160416391805287"/>
          <c:w val="0.73199918503337769"/>
          <c:h val="0.69586117380186396"/>
        </c:manualLayout>
      </c:layout>
      <c:pie3DChart>
        <c:varyColors val="1"/>
        <c:ser>
          <c:idx val="0"/>
          <c:order val="0"/>
          <c:spPr>
            <a:ln>
              <a:noFill/>
            </a:ln>
          </c:spPr>
          <c:explosion val="16"/>
          <c:dPt>
            <c:idx val="0"/>
            <c:bubble3D val="0"/>
            <c:spPr>
              <a:solidFill>
                <a:schemeClr val="bg1">
                  <a:lumMod val="65000"/>
                </a:schemeClr>
              </a:solidFill>
              <a:ln w="25400">
                <a:noFill/>
              </a:ln>
              <a:effectLst/>
              <a:sp3d>
                <a:contourClr>
                  <a:srgbClr val="D81E05"/>
                </a:contourClr>
              </a:sp3d>
            </c:spPr>
            <c:extLst>
              <c:ext xmlns:c16="http://schemas.microsoft.com/office/drawing/2014/chart" uri="{C3380CC4-5D6E-409C-BE32-E72D297353CC}">
                <c16:uniqueId val="{00000001-91AC-4FDF-9F24-B8954EB36BC4}"/>
              </c:ext>
            </c:extLst>
          </c:dPt>
          <c:dPt>
            <c:idx val="1"/>
            <c:bubble3D val="0"/>
            <c:spPr>
              <a:solidFill>
                <a:schemeClr val="bg1">
                  <a:lumMod val="85000"/>
                </a:schemeClr>
              </a:solidFill>
              <a:ln w="25400">
                <a:noFill/>
              </a:ln>
              <a:effectLst/>
              <a:sp3d/>
            </c:spPr>
            <c:extLst>
              <c:ext xmlns:c16="http://schemas.microsoft.com/office/drawing/2014/chart" uri="{C3380CC4-5D6E-409C-BE32-E72D297353CC}">
                <c16:uniqueId val="{00000003-91AC-4FDF-9F24-B8954EB36BC4}"/>
              </c:ext>
            </c:extLst>
          </c:dPt>
          <c:dPt>
            <c:idx val="2"/>
            <c:bubble3D val="0"/>
            <c:spPr>
              <a:solidFill>
                <a:schemeClr val="tx1"/>
              </a:solidFill>
              <a:ln w="25400">
                <a:noFill/>
              </a:ln>
              <a:effectLst/>
              <a:sp3d>
                <a:contourClr>
                  <a:srgbClr val="ADA35B"/>
                </a:contourClr>
              </a:sp3d>
            </c:spPr>
            <c:extLst>
              <c:ext xmlns:c16="http://schemas.microsoft.com/office/drawing/2014/chart" uri="{C3380CC4-5D6E-409C-BE32-E72D297353CC}">
                <c16:uniqueId val="{00000005-91AC-4FDF-9F24-B8954EB36BC4}"/>
              </c:ext>
            </c:extLst>
          </c:dPt>
          <c:dPt>
            <c:idx val="3"/>
            <c:bubble3D val="0"/>
            <c:spPr>
              <a:solidFill>
                <a:srgbClr val="D81E05"/>
              </a:solidFill>
              <a:ln w="25400">
                <a:noFill/>
              </a:ln>
              <a:effectLst/>
              <a:sp3d>
                <a:contourClr>
                  <a:schemeClr val="bg1">
                    <a:lumMod val="50000"/>
                  </a:schemeClr>
                </a:contourClr>
              </a:sp3d>
            </c:spPr>
            <c:extLst>
              <c:ext xmlns:c16="http://schemas.microsoft.com/office/drawing/2014/chart" uri="{C3380CC4-5D6E-409C-BE32-E72D297353CC}">
                <c16:uniqueId val="{00000007-91AC-4FDF-9F24-B8954EB36BC4}"/>
              </c:ext>
            </c:extLst>
          </c:dPt>
          <c:dPt>
            <c:idx val="4"/>
            <c:bubble3D val="0"/>
            <c:spPr>
              <a:solidFill>
                <a:schemeClr val="accent5"/>
              </a:solidFill>
              <a:ln w="25400">
                <a:noFill/>
              </a:ln>
              <a:effectLst/>
              <a:sp3d/>
            </c:spPr>
            <c:extLst>
              <c:ext xmlns:c16="http://schemas.microsoft.com/office/drawing/2014/chart" uri="{C3380CC4-5D6E-409C-BE32-E72D297353CC}">
                <c16:uniqueId val="{00000009-DB44-470E-BADB-5A99AE1F0A8A}"/>
              </c:ext>
            </c:extLst>
          </c:dPt>
          <c:dPt>
            <c:idx val="5"/>
            <c:bubble3D val="0"/>
            <c:spPr>
              <a:solidFill>
                <a:srgbClr val="ABA35B"/>
              </a:solidFill>
              <a:ln w="25400">
                <a:noFill/>
              </a:ln>
              <a:effectLst/>
              <a:sp3d/>
            </c:spPr>
            <c:extLst>
              <c:ext xmlns:c16="http://schemas.microsoft.com/office/drawing/2014/chart" uri="{C3380CC4-5D6E-409C-BE32-E72D297353CC}">
                <c16:uniqueId val="{00000003-91AC-4FDF-9F24-B8954EB36BC4}"/>
              </c:ext>
            </c:extLst>
          </c:dPt>
          <c:dLbls>
            <c:dLbl>
              <c:idx val="0"/>
              <c:layout>
                <c:manualLayout>
                  <c:x val="0.12675812903299752"/>
                  <c:y val="-7.2542157500031457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91AC-4FDF-9F24-B8954EB36BC4}"/>
                </c:ext>
              </c:extLst>
            </c:dLbl>
            <c:dLbl>
              <c:idx val="1"/>
              <c:layout>
                <c:manualLayout>
                  <c:x val="0.17176128093158655"/>
                  <c:y val="5.627703709410059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91AC-4FDF-9F24-B8954EB36BC4}"/>
                </c:ext>
              </c:extLst>
            </c:dLbl>
            <c:dLbl>
              <c:idx val="5"/>
              <c:layout>
                <c:manualLayout>
                  <c:x val="-6.7340212610410002E-3"/>
                  <c:y val="0.1096017114254729"/>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91AC-4FDF-9F24-B8954EB36BC4}"/>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 Data'!$A$10:$A$15</c:f>
              <c:strCache>
                <c:ptCount val="6"/>
                <c:pt idx="0">
                  <c:v>Death</c:v>
                </c:pt>
                <c:pt idx="1">
                  <c:v>Disability</c:v>
                </c:pt>
                <c:pt idx="2">
                  <c:v>Funeral</c:v>
                </c:pt>
                <c:pt idx="3">
                  <c:v>Medical</c:v>
                </c:pt>
                <c:pt idx="4">
                  <c:v>Admin</c:v>
                </c:pt>
                <c:pt idx="5">
                  <c:v>Provident</c:v>
                </c:pt>
              </c:strCache>
            </c:strRef>
          </c:cat>
          <c:val>
            <c:numRef>
              <c:f>'Pie Chart Data'!$D$10:$D$15</c:f>
              <c:numCache>
                <c:formatCode>_(* #,##0.00_);_(* \(#,##0.00\);_(* "-"??_);_(@_)</c:formatCode>
                <c:ptCount val="6"/>
                <c:pt idx="0">
                  <c:v>627.71144400000003</c:v>
                </c:pt>
                <c:pt idx="1">
                  <c:v>401.217624</c:v>
                </c:pt>
                <c:pt idx="2">
                  <c:v>27.48</c:v>
                </c:pt>
                <c:pt idx="3">
                  <c:v>13908</c:v>
                </c:pt>
                <c:pt idx="4">
                  <c:v>310.62009599999999</c:v>
                </c:pt>
                <c:pt idx="5">
                  <c:v>6749.5158360000005</c:v>
                </c:pt>
              </c:numCache>
            </c:numRef>
          </c:val>
          <c:extLst>
            <c:ext xmlns:c16="http://schemas.microsoft.com/office/drawing/2014/chart" uri="{C3380CC4-5D6E-409C-BE32-E72D297353CC}">
              <c16:uniqueId val="{0000000E-91AC-4FDF-9F24-B8954EB36BC4}"/>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4.xml.rels><?xml version="1.0" encoding="UTF-8" standalone="yes"?>
<Relationships xmlns="http://schemas.openxmlformats.org/package/2006/relationships"><Relationship Id="rId7" Type="http://schemas.openxmlformats.org/officeDocument/2006/relationships/image" Target="../media/image9.png"/><Relationship Id="rId1" Type="http://schemas.openxmlformats.org/officeDocument/2006/relationships/customXml" Target="../ink/ink1.xml"/><Relationship Id="rId6"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40.emf"/></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image" Target="../media/image12.jpeg"/><Relationship Id="rId7" Type="http://schemas.openxmlformats.org/officeDocument/2006/relationships/image" Target="../media/image15.png"/><Relationship Id="rId2" Type="http://schemas.openxmlformats.org/officeDocument/2006/relationships/image" Target="../media/image11.jpeg"/><Relationship Id="rId1" Type="http://schemas.openxmlformats.org/officeDocument/2006/relationships/image" Target="../media/image10.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cid:image013.jpg@01D1787F.D9A453E0"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4</xdr:col>
      <xdr:colOff>2362200</xdr:colOff>
      <xdr:row>8</xdr:row>
      <xdr:rowOff>28575</xdr:rowOff>
    </xdr:from>
    <xdr:ext cx="184731" cy="264560"/>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857875" y="3076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ZA" sz="1100"/>
        </a:p>
      </xdr:txBody>
    </xdr:sp>
    <xdr:clientData/>
  </xdr:oneCellAnchor>
  <mc:AlternateContent xmlns:mc="http://schemas.openxmlformats.org/markup-compatibility/2006">
    <mc:Choice xmlns:a14="http://schemas.microsoft.com/office/drawing/2010/main" Requires="a14">
      <xdr:twoCellAnchor editAs="oneCell">
        <xdr:from>
          <xdr:col>2</xdr:col>
          <xdr:colOff>7620</xdr:colOff>
          <xdr:row>0</xdr:row>
          <xdr:rowOff>1</xdr:rowOff>
        </xdr:from>
        <xdr:to>
          <xdr:col>3</xdr:col>
          <xdr:colOff>1570477</xdr:colOff>
          <xdr:row>0</xdr:row>
          <xdr:rowOff>1238251</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mypicture" spid="_x0000_s1561"/>
                </a:ext>
              </a:extLst>
            </xdr:cNvPicPr>
          </xdr:nvPicPr>
          <xdr:blipFill>
            <a:blip xmlns:r="http://schemas.openxmlformats.org/officeDocument/2006/relationships" r:embed="rId1"/>
            <a:srcRect/>
            <a:stretch>
              <a:fillRect/>
            </a:stretch>
          </xdr:blipFill>
          <xdr:spPr bwMode="auto">
            <a:xfrm>
              <a:off x="302895" y="1"/>
              <a:ext cx="2153407" cy="12382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1695450</xdr:colOff>
          <xdr:row>0</xdr:row>
          <xdr:rowOff>0</xdr:rowOff>
        </xdr:from>
        <xdr:to>
          <xdr:col>10</xdr:col>
          <xdr:colOff>95673</xdr:colOff>
          <xdr:row>3</xdr:row>
          <xdr:rowOff>8983</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a:extLst>
                <a:ext uri="{84589F7E-364E-4C9E-8A38-B11213B215E9}">
                  <a14:cameraTool cellRange="Ribbon" spid="_x0000_s1562"/>
                </a:ext>
              </a:extLst>
            </xdr:cNvPicPr>
          </xdr:nvPicPr>
          <xdr:blipFill>
            <a:blip xmlns:r="http://schemas.openxmlformats.org/officeDocument/2006/relationships" r:embed="rId2"/>
            <a:srcRect/>
            <a:stretch>
              <a:fillRect/>
            </a:stretch>
          </xdr:blipFill>
          <xdr:spPr bwMode="auto">
            <a:xfrm>
              <a:off x="2581275" y="0"/>
              <a:ext cx="9934998" cy="147583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104775</xdr:rowOff>
        </xdr:from>
        <xdr:to>
          <xdr:col>4</xdr:col>
          <xdr:colOff>102533</xdr:colOff>
          <xdr:row>0</xdr:row>
          <xdr:rowOff>1418964</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mypicture" spid="_x0000_s2898"/>
                </a:ext>
              </a:extLst>
            </xdr:cNvPicPr>
          </xdr:nvPicPr>
          <xdr:blipFill>
            <a:blip xmlns:r="http://schemas.openxmlformats.org/officeDocument/2006/relationships" r:embed="rId1"/>
            <a:srcRect/>
            <a:stretch>
              <a:fillRect/>
            </a:stretch>
          </xdr:blipFill>
          <xdr:spPr bwMode="auto">
            <a:xfrm>
              <a:off x="0" y="104775"/>
              <a:ext cx="2236133" cy="131418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272860</xdr:colOff>
          <xdr:row>0</xdr:row>
          <xdr:rowOff>95250</xdr:rowOff>
        </xdr:from>
        <xdr:to>
          <xdr:col>21</xdr:col>
          <xdr:colOff>45383</xdr:colOff>
          <xdr:row>0</xdr:row>
          <xdr:rowOff>1531744</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Ribbon" spid="_x0000_s2899"/>
                </a:ext>
              </a:extLst>
            </xdr:cNvPicPr>
          </xdr:nvPicPr>
          <xdr:blipFill>
            <a:blip xmlns:r="http://schemas.openxmlformats.org/officeDocument/2006/relationships" r:embed="rId2"/>
            <a:srcRect/>
            <a:stretch>
              <a:fillRect/>
            </a:stretch>
          </xdr:blipFill>
          <xdr:spPr bwMode="auto">
            <a:xfrm>
              <a:off x="2406460" y="95250"/>
              <a:ext cx="9640423" cy="143649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87</xdr:row>
      <xdr:rowOff>0</xdr:rowOff>
    </xdr:from>
    <xdr:to>
      <xdr:col>19</xdr:col>
      <xdr:colOff>466725</xdr:colOff>
      <xdr:row>87</xdr:row>
      <xdr:rowOff>0</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3</xdr:row>
      <xdr:rowOff>0</xdr:rowOff>
    </xdr:from>
    <xdr:to>
      <xdr:col>10</xdr:col>
      <xdr:colOff>304800</xdr:colOff>
      <xdr:row>4</xdr:row>
      <xdr:rowOff>95250</xdr:rowOff>
    </xdr:to>
    <xdr:sp macro="" textlink="">
      <xdr:nvSpPr>
        <xdr:cNvPr id="7099" name="AutoShape 955" descr="Image result for sab miller">
          <a:extLst>
            <a:ext uri="{FF2B5EF4-FFF2-40B4-BE49-F238E27FC236}">
              <a16:creationId xmlns:a16="http://schemas.microsoft.com/office/drawing/2014/main" id="{00000000-0008-0000-0200-0000BB1B0000}"/>
            </a:ext>
          </a:extLst>
        </xdr:cNvPr>
        <xdr:cNvSpPr>
          <a:spLocks noChangeAspect="1" noChangeArrowheads="1"/>
        </xdr:cNvSpPr>
      </xdr:nvSpPr>
      <xdr:spPr bwMode="auto">
        <a:xfrm>
          <a:off x="60483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0</xdr:rowOff>
    </xdr:from>
    <xdr:to>
      <xdr:col>10</xdr:col>
      <xdr:colOff>304800</xdr:colOff>
      <xdr:row>6</xdr:row>
      <xdr:rowOff>95250</xdr:rowOff>
    </xdr:to>
    <xdr:sp macro="" textlink="">
      <xdr:nvSpPr>
        <xdr:cNvPr id="7100" name="AutoShape 956" descr="Image result for sab miller">
          <a:extLst>
            <a:ext uri="{FF2B5EF4-FFF2-40B4-BE49-F238E27FC236}">
              <a16:creationId xmlns:a16="http://schemas.microsoft.com/office/drawing/2014/main" id="{00000000-0008-0000-0200-0000BC1B0000}"/>
            </a:ext>
          </a:extLst>
        </xdr:cNvPr>
        <xdr:cNvSpPr>
          <a:spLocks noChangeAspect="1" noChangeArrowheads="1"/>
        </xdr:cNvSpPr>
      </xdr:nvSpPr>
      <xdr:spPr bwMode="auto">
        <a:xfrm>
          <a:off x="6048375" y="1962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0</xdr:rowOff>
    </xdr:from>
    <xdr:to>
      <xdr:col>10</xdr:col>
      <xdr:colOff>304800</xdr:colOff>
      <xdr:row>6</xdr:row>
      <xdr:rowOff>95250</xdr:rowOff>
    </xdr:to>
    <xdr:sp macro="" textlink="">
      <xdr:nvSpPr>
        <xdr:cNvPr id="7101" name="AutoShape 957" descr="Image result for sab miller">
          <a:extLst>
            <a:ext uri="{FF2B5EF4-FFF2-40B4-BE49-F238E27FC236}">
              <a16:creationId xmlns:a16="http://schemas.microsoft.com/office/drawing/2014/main" id="{00000000-0008-0000-0200-0000BD1B0000}"/>
            </a:ext>
          </a:extLst>
        </xdr:cNvPr>
        <xdr:cNvSpPr>
          <a:spLocks noChangeAspect="1" noChangeArrowheads="1"/>
        </xdr:cNvSpPr>
      </xdr:nvSpPr>
      <xdr:spPr bwMode="auto">
        <a:xfrm>
          <a:off x="6048375" y="1962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xdr:row>
      <xdr:rowOff>0</xdr:rowOff>
    </xdr:from>
    <xdr:to>
      <xdr:col>8</xdr:col>
      <xdr:colOff>304800</xdr:colOff>
      <xdr:row>9</xdr:row>
      <xdr:rowOff>95250</xdr:rowOff>
    </xdr:to>
    <xdr:sp macro="" textlink="">
      <xdr:nvSpPr>
        <xdr:cNvPr id="7102" name="AutoShape 958" descr="Image result for sab miller logo">
          <a:extLst>
            <a:ext uri="{FF2B5EF4-FFF2-40B4-BE49-F238E27FC236}">
              <a16:creationId xmlns:a16="http://schemas.microsoft.com/office/drawing/2014/main" id="{00000000-0008-0000-0200-0000BE1B0000}"/>
            </a:ext>
          </a:extLst>
        </xdr:cNvPr>
        <xdr:cNvSpPr>
          <a:spLocks noChangeAspect="1" noChangeArrowheads="1"/>
        </xdr:cNvSpPr>
      </xdr:nvSpPr>
      <xdr:spPr bwMode="auto">
        <a:xfrm>
          <a:off x="5400675" y="259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78317</xdr:rowOff>
        </xdr:from>
        <xdr:to>
          <xdr:col>4</xdr:col>
          <xdr:colOff>1023408</xdr:colOff>
          <xdr:row>1</xdr:row>
          <xdr:rowOff>6011</xdr:rowOff>
        </xdr:to>
        <xdr:pic>
          <xdr:nvPicPr>
            <xdr:cNvPr id="16" name="Pictur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mypicture" spid="_x0000_s12608"/>
                </a:ext>
              </a:extLst>
            </xdr:cNvPicPr>
          </xdr:nvPicPr>
          <xdr:blipFill>
            <a:blip xmlns:r="http://schemas.openxmlformats.org/officeDocument/2006/relationships" r:embed="rId2"/>
            <a:srcRect/>
            <a:stretch>
              <a:fillRect/>
            </a:stretch>
          </xdr:blipFill>
          <xdr:spPr bwMode="auto">
            <a:xfrm>
              <a:off x="0" y="78317"/>
              <a:ext cx="2155825" cy="128500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900642</xdr:colOff>
          <xdr:row>3</xdr:row>
          <xdr:rowOff>71967</xdr:rowOff>
        </xdr:from>
        <xdr:to>
          <xdr:col>16</xdr:col>
          <xdr:colOff>1074209</xdr:colOff>
          <xdr:row>10</xdr:row>
          <xdr:rowOff>203200</xdr:rowOff>
        </xdr:to>
        <xdr:pic>
          <xdr:nvPicPr>
            <xdr:cNvPr id="13" name="Picture 12">
              <a:extLst>
                <a:ext uri="{FF2B5EF4-FFF2-40B4-BE49-F238E27FC236}">
                  <a16:creationId xmlns:a16="http://schemas.microsoft.com/office/drawing/2014/main" id="{00000000-0008-0000-0200-00000D000000}"/>
                </a:ext>
              </a:extLst>
            </xdr:cNvPr>
            <xdr:cNvPicPr>
              <a:picLocks noChangeAspect="1" noChangeArrowheads="1"/>
              <a:extLst>
                <a:ext uri="{84589F7E-364E-4C9E-8A38-B11213B215E9}">
                  <a14:cameraTool cellRange="mypicture" spid="_x0000_s12609"/>
                </a:ext>
              </a:extLst>
            </xdr:cNvPicPr>
          </xdr:nvPicPr>
          <xdr:blipFill>
            <a:blip xmlns:r="http://schemas.openxmlformats.org/officeDocument/2006/relationships" r:embed="rId2"/>
            <a:srcRect/>
            <a:stretch>
              <a:fillRect/>
            </a:stretch>
          </xdr:blipFill>
          <xdr:spPr bwMode="auto">
            <a:xfrm>
              <a:off x="8287809" y="1543050"/>
              <a:ext cx="2671233" cy="1612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1366662</xdr:colOff>
          <xdr:row>0</xdr:row>
          <xdr:rowOff>0</xdr:rowOff>
        </xdr:from>
        <xdr:to>
          <xdr:col>19</xdr:col>
          <xdr:colOff>338667</xdr:colOff>
          <xdr:row>1</xdr:row>
          <xdr:rowOff>139</xdr:rowOff>
        </xdr:to>
        <xdr:pic>
          <xdr:nvPicPr>
            <xdr:cNvPr id="17" name="Picture 16">
              <a:extLst>
                <a:ext uri="{FF2B5EF4-FFF2-40B4-BE49-F238E27FC236}">
                  <a16:creationId xmlns:a16="http://schemas.microsoft.com/office/drawing/2014/main" id="{00000000-0008-0000-0200-000011000000}"/>
                </a:ext>
              </a:extLst>
            </xdr:cNvPr>
            <xdr:cNvPicPr>
              <a:picLocks noChangeAspect="1" noChangeArrowheads="1"/>
              <a:extLst>
                <a:ext uri="{84589F7E-364E-4C9E-8A38-B11213B215E9}">
                  <a14:cameraTool cellRange="Ribbon" spid="_x0000_s12610"/>
                </a:ext>
              </a:extLst>
            </xdr:cNvPicPr>
          </xdr:nvPicPr>
          <xdr:blipFill>
            <a:blip xmlns:r="http://schemas.openxmlformats.org/officeDocument/2006/relationships" r:embed="rId3"/>
            <a:srcRect/>
            <a:stretch>
              <a:fillRect/>
            </a:stretch>
          </xdr:blipFill>
          <xdr:spPr bwMode="auto">
            <a:xfrm>
              <a:off x="2499079" y="0"/>
              <a:ext cx="9079088" cy="135745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92</xdr:row>
          <xdr:rowOff>0</xdr:rowOff>
        </xdr:from>
        <xdr:to>
          <xdr:col>16</xdr:col>
          <xdr:colOff>1095375</xdr:colOff>
          <xdr:row>108</xdr:row>
          <xdr:rowOff>9525</xdr:rowOff>
        </xdr:to>
        <xdr:pic>
          <xdr:nvPicPr>
            <xdr:cNvPr id="19" name="Picture 18">
              <a:extLst>
                <a:ext uri="{FF2B5EF4-FFF2-40B4-BE49-F238E27FC236}">
                  <a16:creationId xmlns:a16="http://schemas.microsoft.com/office/drawing/2014/main" id="{00000000-0008-0000-0200-000013000000}"/>
                </a:ext>
              </a:extLst>
            </xdr:cNvPr>
            <xdr:cNvPicPr>
              <a:picLocks noChangeAspect="1" noChangeArrowheads="1"/>
              <a:extLst>
                <a:ext uri="{84589F7E-364E-4C9E-8A38-B11213B215E9}">
                  <a14:cameraTool cellRange="'Pie Chart Data'!$A$44:$D$59" spid="_x0000_s12611"/>
                </a:ext>
              </a:extLst>
            </xdr:cNvPicPr>
          </xdr:nvPicPr>
          <xdr:blipFill>
            <a:blip xmlns:r="http://schemas.openxmlformats.org/officeDocument/2006/relationships" r:embed="rId4"/>
            <a:srcRect/>
            <a:stretch>
              <a:fillRect/>
            </a:stretch>
          </xdr:blipFill>
          <xdr:spPr bwMode="auto">
            <a:xfrm>
              <a:off x="6134100" y="17335500"/>
              <a:ext cx="4867275" cy="3057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92</xdr:row>
          <xdr:rowOff>0</xdr:rowOff>
        </xdr:from>
        <xdr:to>
          <xdr:col>7</xdr:col>
          <xdr:colOff>485775</xdr:colOff>
          <xdr:row>108</xdr:row>
          <xdr:rowOff>9525</xdr:rowOff>
        </xdr:to>
        <xdr:pic>
          <xdr:nvPicPr>
            <xdr:cNvPr id="21" name="Picture 20">
              <a:extLst>
                <a:ext uri="{FF2B5EF4-FFF2-40B4-BE49-F238E27FC236}">
                  <a16:creationId xmlns:a16="http://schemas.microsoft.com/office/drawing/2014/main" id="{00000000-0008-0000-0200-000015000000}"/>
                </a:ext>
              </a:extLst>
            </xdr:cNvPr>
            <xdr:cNvPicPr>
              <a:picLocks noChangeAspect="1" noChangeArrowheads="1"/>
              <a:extLst>
                <a:ext uri="{84589F7E-364E-4C9E-8A38-B11213B215E9}">
                  <a14:cameraTool cellRange="'Pie Chart Data'!$A$25:$D$40" spid="_x0000_s12612"/>
                </a:ext>
              </a:extLst>
            </xdr:cNvPicPr>
          </xdr:nvPicPr>
          <xdr:blipFill>
            <a:blip xmlns:r="http://schemas.openxmlformats.org/officeDocument/2006/relationships" r:embed="rId5"/>
            <a:srcRect/>
            <a:stretch>
              <a:fillRect/>
            </a:stretch>
          </xdr:blipFill>
          <xdr:spPr bwMode="auto">
            <a:xfrm>
              <a:off x="247650" y="17335500"/>
              <a:ext cx="4867275" cy="30575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47790</xdr:colOff>
      <xdr:row>59</xdr:row>
      <xdr:rowOff>38115</xdr:rowOff>
    </xdr:from>
    <xdr:to>
      <xdr:col>4</xdr:col>
      <xdr:colOff>295530</xdr:colOff>
      <xdr:row>61</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895515" y="8658240"/>
            <a:ext cx="971640" cy="343080"/>
          </xdr14:xfrm>
        </xdr:contentPart>
      </mc:Choice>
      <mc:Fallback xmlns="">
        <xdr:pic>
          <xdr:nvPicPr>
            <xdr:cNvPr id="6" name="Ink 5"/>
            <xdr:cNvPicPr/>
          </xdr:nvPicPr>
          <xdr:blipFill>
            <a:blip xmlns:r="http://schemas.openxmlformats.org/officeDocument/2006/relationships" r:embed="rId4"/>
            <a:stretch>
              <a:fillRect/>
            </a:stretch>
          </xdr:blipFill>
          <xdr:spPr>
            <a:xfrm>
              <a:off x="894075" y="8656512"/>
              <a:ext cx="974520" cy="346537"/>
            </a:xfrm>
            <a:prstGeom prst="rect">
              <a:avLst/>
            </a:prstGeom>
          </xdr:spPr>
        </xdr:pic>
      </mc:Fallback>
    </mc:AlternateContent>
    <xdr:clientData/>
  </xdr:twoCellAnchor>
  <xdr:twoCellAnchor>
    <xdr:from>
      <xdr:col>2</xdr:col>
      <xdr:colOff>28575</xdr:colOff>
      <xdr:row>68</xdr:row>
      <xdr:rowOff>53340</xdr:rowOff>
    </xdr:from>
    <xdr:to>
      <xdr:col>12</xdr:col>
      <xdr:colOff>66675</xdr:colOff>
      <xdr:row>68</xdr:row>
      <xdr:rowOff>1343025</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417195" y="13609320"/>
          <a:ext cx="9662160" cy="12896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900"/>
            <a:t>I acknowledge that this agreement correctly reflects the components of my remuneration as agreed with the Company. I accept that the remuneration and any fringe benefits offered by the Company in terms of this agreement may be subjected to taxation as determined by applicable legislation. It is furthermore confirmed that any changes to benefit fund contributions, will be part of this agreement.</a:t>
          </a:r>
        </a:p>
        <a:p>
          <a:endParaRPr lang="en-ZA" sz="900"/>
        </a:p>
        <a:p>
          <a:r>
            <a:rPr lang="en-ZA" sz="900"/>
            <a:t>I confirm that I understand the personal tax implications of electing the Bakkie Allowance. I recognise that the portion of my package which I allocate to this option will have to be justified to the South African Revenue Service at the end of the tax year. I declare that my intention in allocating towards this amount is to receive a justifiable Bakkie Allowance for the tax year, rather than the deferment of tax. This allowance will be used to defray personal expenditure incurred in the using of my private vehicle for employment purposes, which I confirm to be necessary in the performance of my employment duties. Furthermore, I confirm that I am aware that I have to keep a logbook from 01 March 2010 onwards to qualify for a Bakkie Allowance and that this will be made available by me to the</a:t>
          </a:r>
          <a:r>
            <a:rPr lang="en-ZA" sz="900" baseline="0"/>
            <a:t> Company</a:t>
          </a:r>
          <a:r>
            <a:rPr lang="en-ZA" sz="900"/>
            <a:t> upon request for a period of 7 years after the end of the relevant year of assessment, even where I have left employment</a:t>
          </a:r>
          <a:r>
            <a:rPr lang="en-ZA" sz="1100"/>
            <a:t>.</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57150</xdr:rowOff>
        </xdr:from>
        <xdr:to>
          <xdr:col>4</xdr:col>
          <xdr:colOff>375559</xdr:colOff>
          <xdr:row>0</xdr:row>
          <xdr:rowOff>1438275</xdr:rowOff>
        </xdr:to>
        <xdr:pic>
          <xdr:nvPicPr>
            <xdr:cNvPr id="28" name="Picture 27">
              <a:extLst>
                <a:ext uri="{FF2B5EF4-FFF2-40B4-BE49-F238E27FC236}">
                  <a16:creationId xmlns:a16="http://schemas.microsoft.com/office/drawing/2014/main" id="{00000000-0008-0000-0300-00001C000000}"/>
                </a:ext>
              </a:extLst>
            </xdr:cNvPr>
            <xdr:cNvPicPr>
              <a:picLocks noChangeAspect="1" noChangeArrowheads="1"/>
              <a:extLst>
                <a:ext uri="{84589F7E-364E-4C9E-8A38-B11213B215E9}">
                  <a14:cameraTool cellRange="mypicture" spid="_x0000_s18460"/>
                </a:ext>
              </a:extLst>
            </xdr:cNvPicPr>
          </xdr:nvPicPr>
          <xdr:blipFill>
            <a:blip xmlns:r="http://schemas.openxmlformats.org/officeDocument/2006/relationships" r:embed="rId5"/>
            <a:srcRect/>
            <a:stretch>
              <a:fillRect/>
            </a:stretch>
          </xdr:blipFill>
          <xdr:spPr bwMode="auto">
            <a:xfrm>
              <a:off x="0" y="57150"/>
              <a:ext cx="2337709" cy="13811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833562</xdr:colOff>
          <xdr:row>3</xdr:row>
          <xdr:rowOff>38100</xdr:rowOff>
        </xdr:from>
        <xdr:to>
          <xdr:col>13</xdr:col>
          <xdr:colOff>74082</xdr:colOff>
          <xdr:row>9</xdr:row>
          <xdr:rowOff>114300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a:extLst>
                <a:ext uri="{84589F7E-364E-4C9E-8A38-B11213B215E9}">
                  <a14:cameraTool cellRange="mypicture" spid="_x0000_s18461"/>
                </a:ext>
              </a:extLst>
            </xdr:cNvPicPr>
          </xdr:nvPicPr>
          <xdr:blipFill>
            <a:blip xmlns:r="http://schemas.openxmlformats.org/officeDocument/2006/relationships" r:embed="rId5"/>
            <a:srcRect/>
            <a:stretch>
              <a:fillRect/>
            </a:stretch>
          </xdr:blipFill>
          <xdr:spPr bwMode="auto">
            <a:xfrm>
              <a:off x="8367837" y="1695450"/>
              <a:ext cx="2278995" cy="1390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114301</xdr:rowOff>
        </xdr:from>
        <xdr:to>
          <xdr:col>16</xdr:col>
          <xdr:colOff>474133</xdr:colOff>
          <xdr:row>0</xdr:row>
          <xdr:rowOff>1538521</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a:extLst>
                <a:ext uri="{84589F7E-364E-4C9E-8A38-B11213B215E9}">
                  <a14:cameraTool cellRange="Ribbon" spid="_x0000_s18462"/>
                </a:ext>
              </a:extLst>
            </xdr:cNvPicPr>
          </xdr:nvPicPr>
          <xdr:blipFill>
            <a:blip xmlns:r="http://schemas.openxmlformats.org/officeDocument/2006/relationships" r:embed="rId6"/>
            <a:srcRect/>
            <a:stretch>
              <a:fillRect/>
            </a:stretch>
          </xdr:blipFill>
          <xdr:spPr bwMode="auto">
            <a:xfrm>
              <a:off x="2419350" y="114301"/>
              <a:ext cx="9484783" cy="14242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906780</xdr:colOff>
      <xdr:row>80</xdr:row>
      <xdr:rowOff>121920</xdr:rowOff>
    </xdr:from>
    <xdr:to>
      <xdr:col>4</xdr:col>
      <xdr:colOff>1470660</xdr:colOff>
      <xdr:row>81</xdr:row>
      <xdr:rowOff>167640</xdr:rowOff>
    </xdr:to>
    <xdr:sp macro="" textlink="">
      <xdr:nvSpPr>
        <xdr:cNvPr id="3" name="TextBox 2">
          <a:extLst>
            <a:ext uri="{FF2B5EF4-FFF2-40B4-BE49-F238E27FC236}">
              <a16:creationId xmlns:a16="http://schemas.microsoft.com/office/drawing/2014/main" id="{3961FF25-4536-402A-9176-FC78889A4F0E}"/>
            </a:ext>
          </a:extLst>
        </xdr:cNvPr>
        <xdr:cNvSpPr txBox="1"/>
      </xdr:nvSpPr>
      <xdr:spPr>
        <a:xfrm>
          <a:off x="1424940" y="17221200"/>
          <a:ext cx="2065020" cy="220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03 May 2021</a:t>
          </a:r>
        </a:p>
      </xdr:txBody>
    </xdr:sp>
    <xdr:clientData/>
  </xdr:twoCellAnchor>
  <xdr:twoCellAnchor editAs="oneCell">
    <xdr:from>
      <xdr:col>3</xdr:col>
      <xdr:colOff>845820</xdr:colOff>
      <xdr:row>76</xdr:row>
      <xdr:rowOff>137160</xdr:rowOff>
    </xdr:from>
    <xdr:to>
      <xdr:col>4</xdr:col>
      <xdr:colOff>922020</xdr:colOff>
      <xdr:row>78</xdr:row>
      <xdr:rowOff>154232</xdr:rowOff>
    </xdr:to>
    <xdr:pic>
      <xdr:nvPicPr>
        <xdr:cNvPr id="5" name="Picture 4">
          <a:extLst>
            <a:ext uri="{FF2B5EF4-FFF2-40B4-BE49-F238E27FC236}">
              <a16:creationId xmlns:a16="http://schemas.microsoft.com/office/drawing/2014/main" id="{2521087F-67DC-4EA2-A53D-87F891522E39}"/>
            </a:ext>
          </a:extLst>
        </xdr:cNvPr>
        <xdr:cNvPicPr>
          <a:picLocks noChangeAspect="1"/>
        </xdr:cNvPicPr>
      </xdr:nvPicPr>
      <xdr:blipFill>
        <a:blip xmlns:r="http://schemas.openxmlformats.org/officeDocument/2006/relationships" r:embed="rId7"/>
        <a:stretch>
          <a:fillRect/>
        </a:stretch>
      </xdr:blipFill>
      <xdr:spPr>
        <a:xfrm>
          <a:off x="1363980" y="16520160"/>
          <a:ext cx="1577340" cy="3675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123824</xdr:colOff>
      <xdr:row>24</xdr:row>
      <xdr:rowOff>9525</xdr:rowOff>
    </xdr:from>
    <xdr:to>
      <xdr:col>3</xdr:col>
      <xdr:colOff>1343024</xdr:colOff>
      <xdr:row>40</xdr:row>
      <xdr:rowOff>66674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304800</xdr:colOff>
      <xdr:row>42</xdr:row>
      <xdr:rowOff>180974</xdr:rowOff>
    </xdr:from>
    <xdr:to>
      <xdr:col>4</xdr:col>
      <xdr:colOff>114300</xdr:colOff>
      <xdr:row>59</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446353</xdr:colOff>
      <xdr:row>4</xdr:row>
      <xdr:rowOff>103190</xdr:rowOff>
    </xdr:from>
    <xdr:to>
      <xdr:col>1</xdr:col>
      <xdr:colOff>2287853</xdr:colOff>
      <xdr:row>4</xdr:row>
      <xdr:rowOff>1351957</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2144978" y="6516690"/>
          <a:ext cx="1841500" cy="1248767"/>
        </a:xfrm>
        <a:prstGeom prst="rect">
          <a:avLst/>
        </a:prstGeom>
      </xdr:spPr>
    </xdr:pic>
    <xdr:clientData/>
  </xdr:twoCellAnchor>
  <xdr:twoCellAnchor>
    <xdr:from>
      <xdr:col>1</xdr:col>
      <xdr:colOff>408353</xdr:colOff>
      <xdr:row>2</xdr:row>
      <xdr:rowOff>296862</xdr:rowOff>
    </xdr:from>
    <xdr:to>
      <xdr:col>1</xdr:col>
      <xdr:colOff>2302039</xdr:colOff>
      <xdr:row>2</xdr:row>
      <xdr:rowOff>1242218</xdr:rowOff>
    </xdr:to>
    <xdr:pic>
      <xdr:nvPicPr>
        <xdr:cNvPr id="15" name="Picture 5" descr="Brewex">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2106978" y="3503612"/>
          <a:ext cx="1893686" cy="945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523744</xdr:colOff>
      <xdr:row>1</xdr:row>
      <xdr:rowOff>59531</xdr:rowOff>
    </xdr:from>
    <xdr:to>
      <xdr:col>1</xdr:col>
      <xdr:colOff>2035837</xdr:colOff>
      <xdr:row>1</xdr:row>
      <xdr:rowOff>1523999</xdr:rowOff>
    </xdr:to>
    <xdr:pic>
      <xdr:nvPicPr>
        <xdr:cNvPr id="16" name="Picture 60" descr="cid:image013.jpg@01D1787F.D9A453E0">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3" r:link="rId4" cstate="email">
          <a:extLst>
            <a:ext uri="{28A0092B-C50C-407E-A947-70E740481C1C}">
              <a14:useLocalDpi xmlns:a14="http://schemas.microsoft.com/office/drawing/2010/main"/>
            </a:ext>
          </a:extLst>
        </a:blip>
        <a:srcRect/>
        <a:stretch>
          <a:fillRect/>
        </a:stretch>
      </xdr:blipFill>
      <xdr:spPr bwMode="auto">
        <a:xfrm>
          <a:off x="2226338" y="1654969"/>
          <a:ext cx="1512093" cy="14644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396875</xdr:colOff>
      <xdr:row>3</xdr:row>
      <xdr:rowOff>10585</xdr:rowOff>
    </xdr:from>
    <xdr:to>
      <xdr:col>1</xdr:col>
      <xdr:colOff>2513542</xdr:colOff>
      <xdr:row>3</xdr:row>
      <xdr:rowOff>1426463</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a:ext>
          </a:extLst>
        </a:blip>
        <a:stretch>
          <a:fillRect/>
        </a:stretch>
      </xdr:blipFill>
      <xdr:spPr>
        <a:xfrm>
          <a:off x="2185458" y="4804835"/>
          <a:ext cx="2116667" cy="1415878"/>
        </a:xfrm>
        <a:prstGeom prst="rect">
          <a:avLst/>
        </a:prstGeom>
      </xdr:spPr>
    </xdr:pic>
    <xdr:clientData/>
  </xdr:twoCellAnchor>
  <xdr:twoCellAnchor editAs="oneCell">
    <xdr:from>
      <xdr:col>2</xdr:col>
      <xdr:colOff>31750</xdr:colOff>
      <xdr:row>1</xdr:row>
      <xdr:rowOff>63500</xdr:rowOff>
    </xdr:from>
    <xdr:to>
      <xdr:col>2</xdr:col>
      <xdr:colOff>10670192</xdr:colOff>
      <xdr:row>1</xdr:row>
      <xdr:rowOff>1520570</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413250" y="1666875"/>
          <a:ext cx="10638442" cy="1457070"/>
        </a:xfrm>
        <a:prstGeom prst="rect">
          <a:avLst/>
        </a:prstGeom>
      </xdr:spPr>
    </xdr:pic>
    <xdr:clientData/>
  </xdr:twoCellAnchor>
  <xdr:twoCellAnchor editAs="oneCell">
    <xdr:from>
      <xdr:col>2</xdr:col>
      <xdr:colOff>95250</xdr:colOff>
      <xdr:row>2</xdr:row>
      <xdr:rowOff>63500</xdr:rowOff>
    </xdr:from>
    <xdr:to>
      <xdr:col>3</xdr:col>
      <xdr:colOff>2192</xdr:colOff>
      <xdr:row>2</xdr:row>
      <xdr:rowOff>1520570</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476750" y="3270250"/>
          <a:ext cx="10638442" cy="1457070"/>
        </a:xfrm>
        <a:prstGeom prst="rect">
          <a:avLst/>
        </a:prstGeom>
      </xdr:spPr>
    </xdr:pic>
    <xdr:clientData/>
  </xdr:twoCellAnchor>
  <xdr:twoCellAnchor editAs="oneCell">
    <xdr:from>
      <xdr:col>2</xdr:col>
      <xdr:colOff>158750</xdr:colOff>
      <xdr:row>3</xdr:row>
      <xdr:rowOff>31750</xdr:rowOff>
    </xdr:from>
    <xdr:to>
      <xdr:col>3</xdr:col>
      <xdr:colOff>65692</xdr:colOff>
      <xdr:row>3</xdr:row>
      <xdr:rowOff>1488820</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540250" y="4841875"/>
          <a:ext cx="10638442" cy="1457070"/>
        </a:xfrm>
        <a:prstGeom prst="rect">
          <a:avLst/>
        </a:prstGeom>
      </xdr:spPr>
    </xdr:pic>
    <xdr:clientData/>
  </xdr:twoCellAnchor>
  <xdr:twoCellAnchor editAs="oneCell">
    <xdr:from>
      <xdr:col>2</xdr:col>
      <xdr:colOff>47625</xdr:colOff>
      <xdr:row>4</xdr:row>
      <xdr:rowOff>79375</xdr:rowOff>
    </xdr:from>
    <xdr:to>
      <xdr:col>2</xdr:col>
      <xdr:colOff>10686067</xdr:colOff>
      <xdr:row>4</xdr:row>
      <xdr:rowOff>1536445</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429125" y="6492875"/>
          <a:ext cx="10638442" cy="1457070"/>
        </a:xfrm>
        <a:prstGeom prst="rect">
          <a:avLst/>
        </a:prstGeom>
      </xdr:spPr>
    </xdr:pic>
    <xdr:clientData/>
  </xdr:twoCellAnchor>
  <xdr:twoCellAnchor editAs="oneCell">
    <xdr:from>
      <xdr:col>2</xdr:col>
      <xdr:colOff>95250</xdr:colOff>
      <xdr:row>5</xdr:row>
      <xdr:rowOff>79375</xdr:rowOff>
    </xdr:from>
    <xdr:to>
      <xdr:col>3</xdr:col>
      <xdr:colOff>2192</xdr:colOff>
      <xdr:row>5</xdr:row>
      <xdr:rowOff>1536445</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476750" y="8096250"/>
          <a:ext cx="10638442" cy="1457070"/>
        </a:xfrm>
        <a:prstGeom prst="rect">
          <a:avLst/>
        </a:prstGeom>
      </xdr:spPr>
    </xdr:pic>
    <xdr:clientData/>
  </xdr:twoCellAnchor>
  <xdr:twoCellAnchor editAs="oneCell">
    <xdr:from>
      <xdr:col>1</xdr:col>
      <xdr:colOff>428625</xdr:colOff>
      <xdr:row>5</xdr:row>
      <xdr:rowOff>142875</xdr:rowOff>
    </xdr:from>
    <xdr:to>
      <xdr:col>1</xdr:col>
      <xdr:colOff>2269777</xdr:colOff>
      <xdr:row>5</xdr:row>
      <xdr:rowOff>1392663</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7"/>
        <a:stretch>
          <a:fillRect/>
        </a:stretch>
      </xdr:blipFill>
      <xdr:spPr>
        <a:xfrm>
          <a:off x="2127250" y="8159750"/>
          <a:ext cx="1841152" cy="124978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Users\Paul%20Marais\Desktop\PST%20Danone%201%20March%20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amp; Rates"/>
    </sheetNames>
    <sheetDataSet>
      <sheetData sheetId="0" refreshError="1"/>
    </sheetDataSet>
  </externalBook>
</externalLink>
</file>

<file path=xl/ink/ink1.xml><?xml version="1.0" encoding="utf-8"?>
<inkml:ink xmlns:inkml="http://www.w3.org/2003/InkML">
  <inkml:definitions>
    <inkml:context xml:id="ctx0">
      <inkml:inkSource xml:id="inkSrc0">
        <inkml:traceFormat>
          <inkml:channel name="X" type="integer" max="2646" units="cm"/>
          <inkml:channel name="Y" type="integer" max="768" units="cm"/>
          <inkml:channel name="T" type="integer" max="2.14748E9" units="dev"/>
        </inkml:traceFormat>
        <inkml:channelProperties>
          <inkml:channelProperty channel="X" name="resolution" value="76.9186" units="1/cm"/>
          <inkml:channelProperty channel="Y" name="resolution" value="39.79275" units="1/cm"/>
          <inkml:channelProperty channel="T" name="resolution" value="1" units="1/dev"/>
        </inkml:channelProperties>
      </inkml:inkSource>
      <inkml:timestamp xml:id="ts0" timeString="2015-07-07T02:35:35.413"/>
    </inkml:context>
    <inkml:brush xml:id="br0">
      <inkml:brushProperty name="width" value="0.00882" units="cm"/>
      <inkml:brushProperty name="height" value="0.00882" units="cm"/>
    </inkml:brush>
  </inkml:definitions>
  <inkml:trace contextRef="#ctx0" brushRef="#br0">0 0 0</inkml:trace>
  <inkml:trace contextRef="#ctx0" brushRef="#br0" timeOffset="1">0 0 0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M57"/>
  <sheetViews>
    <sheetView showGridLines="0" showRowColHeaders="0" topLeftCell="A16" zoomScaleNormal="100" zoomScaleSheetLayoutView="100" workbookViewId="0">
      <selection activeCell="C57" sqref="C57"/>
    </sheetView>
  </sheetViews>
  <sheetFormatPr defaultColWidth="8.88671875" defaultRowHeight="14.4"/>
  <cols>
    <col min="1" max="1" width="2.88671875" style="70" customWidth="1"/>
    <col min="2" max="2" width="1.5546875" style="70" customWidth="1"/>
    <col min="3" max="3" width="8.88671875" style="70"/>
    <col min="4" max="4" width="39.109375" style="70" customWidth="1"/>
    <col min="5" max="5" width="118.109375" style="70" customWidth="1"/>
    <col min="6" max="8" width="3.88671875" style="70" customWidth="1"/>
    <col min="9" max="9" width="1.5546875" style="70" customWidth="1"/>
    <col min="10" max="10" width="2.5546875" style="70" customWidth="1"/>
    <col min="11" max="16384" width="8.88671875" style="70"/>
  </cols>
  <sheetData>
    <row r="1" spans="2:13" s="304" customFormat="1" ht="105" customHeight="1">
      <c r="E1" s="305"/>
      <c r="H1" s="306"/>
    </row>
    <row r="2" spans="2:13" ht="5.4" customHeight="1"/>
    <row r="3" spans="2:13" ht="5.25" customHeight="1">
      <c r="B3" s="20"/>
      <c r="C3" s="753"/>
      <c r="D3" s="753"/>
      <c r="E3" s="20"/>
      <c r="F3" s="20"/>
      <c r="G3" s="20"/>
      <c r="H3" s="20"/>
      <c r="I3" s="20"/>
    </row>
    <row r="4" spans="2:13" s="78" customFormat="1" ht="28.35" customHeight="1">
      <c r="B4" s="77"/>
      <c r="C4" s="301" t="s">
        <v>85</v>
      </c>
      <c r="D4" s="302"/>
      <c r="E4" s="302"/>
      <c r="F4" s="303"/>
      <c r="G4" s="303"/>
      <c r="H4" s="303"/>
      <c r="I4" s="77"/>
    </row>
    <row r="5" spans="2:13" ht="9" customHeight="1">
      <c r="B5" s="20"/>
      <c r="C5" s="20"/>
      <c r="D5" s="20"/>
      <c r="E5" s="20"/>
      <c r="F5" s="20"/>
      <c r="G5" s="20"/>
      <c r="H5" s="20"/>
      <c r="I5" s="20"/>
    </row>
    <row r="6" spans="2:13" ht="16.5" customHeight="1">
      <c r="B6" s="20"/>
      <c r="C6" s="73" t="s">
        <v>392</v>
      </c>
      <c r="D6" s="20"/>
      <c r="E6" s="20"/>
      <c r="F6" s="20"/>
      <c r="G6" s="20"/>
      <c r="H6" s="20"/>
      <c r="I6" s="20"/>
    </row>
    <row r="7" spans="2:13" ht="9" customHeight="1">
      <c r="B7" s="20"/>
      <c r="C7" s="73"/>
      <c r="D7" s="20"/>
      <c r="E7" s="20"/>
      <c r="F7" s="20"/>
      <c r="G7" s="20"/>
      <c r="H7" s="20"/>
      <c r="I7" s="20"/>
      <c r="M7" s="70" t="s">
        <v>74</v>
      </c>
    </row>
    <row r="8" spans="2:13" ht="16.5" customHeight="1">
      <c r="B8" s="20"/>
      <c r="C8" s="307" t="s">
        <v>78</v>
      </c>
      <c r="D8" s="20"/>
      <c r="E8" s="20"/>
      <c r="F8" s="20"/>
      <c r="G8" s="20"/>
      <c r="H8" s="20"/>
      <c r="I8" s="20"/>
      <c r="M8" s="70" t="s">
        <v>74</v>
      </c>
    </row>
    <row r="9" spans="2:13" ht="9" customHeight="1">
      <c r="B9" s="20"/>
      <c r="C9" s="74"/>
      <c r="D9" s="20"/>
      <c r="E9" s="20"/>
      <c r="F9" s="20"/>
      <c r="G9" s="20"/>
      <c r="H9" s="20"/>
      <c r="I9" s="20"/>
    </row>
    <row r="10" spans="2:13" ht="16.5" customHeight="1">
      <c r="B10" s="20"/>
      <c r="C10" s="307" t="s">
        <v>89</v>
      </c>
      <c r="D10" s="20"/>
      <c r="E10" s="20"/>
      <c r="F10" s="20"/>
      <c r="G10" s="20"/>
      <c r="H10" s="20"/>
      <c r="I10" s="20"/>
    </row>
    <row r="11" spans="2:13" ht="9" customHeight="1">
      <c r="B11" s="20"/>
      <c r="C11" s="75"/>
      <c r="D11" s="20"/>
      <c r="E11" s="20"/>
      <c r="F11" s="20"/>
      <c r="G11" s="20"/>
      <c r="H11" s="20"/>
      <c r="I11" s="20"/>
    </row>
    <row r="12" spans="2:13" ht="16.5" customHeight="1">
      <c r="B12" s="20"/>
      <c r="C12" s="73" t="s">
        <v>393</v>
      </c>
      <c r="D12" s="20"/>
      <c r="E12" s="20"/>
      <c r="F12" s="20"/>
      <c r="G12" s="20"/>
      <c r="H12" s="20"/>
      <c r="I12" s="20"/>
    </row>
    <row r="13" spans="2:13" ht="9" customHeight="1">
      <c r="B13" s="20"/>
      <c r="C13" s="73"/>
      <c r="D13" s="20"/>
      <c r="E13" s="20"/>
      <c r="F13" s="20"/>
      <c r="G13" s="20"/>
      <c r="H13" s="20"/>
      <c r="I13" s="20"/>
    </row>
    <row r="14" spans="2:13" ht="16.5" customHeight="1">
      <c r="B14" s="20"/>
      <c r="C14" s="73" t="s">
        <v>79</v>
      </c>
      <c r="D14" s="20"/>
      <c r="E14" s="20"/>
      <c r="F14" s="20"/>
      <c r="G14" s="20"/>
      <c r="H14" s="20"/>
      <c r="I14" s="20"/>
    </row>
    <row r="15" spans="2:13" ht="9" customHeight="1">
      <c r="B15" s="20"/>
      <c r="C15" s="73"/>
      <c r="D15" s="20"/>
      <c r="E15" s="20"/>
      <c r="F15" s="20"/>
      <c r="G15" s="20"/>
      <c r="H15" s="20"/>
      <c r="I15" s="20"/>
    </row>
    <row r="16" spans="2:13" ht="16.5" customHeight="1">
      <c r="B16" s="20"/>
      <c r="C16" s="73" t="s">
        <v>86</v>
      </c>
      <c r="D16" s="20"/>
      <c r="E16" s="20"/>
      <c r="F16" s="20"/>
      <c r="G16" s="20"/>
      <c r="H16" s="20"/>
      <c r="I16" s="20"/>
    </row>
    <row r="17" spans="2:9" ht="9" customHeight="1">
      <c r="B17" s="20"/>
      <c r="C17" s="754" t="s">
        <v>344</v>
      </c>
      <c r="D17" s="754"/>
      <c r="E17" s="754"/>
      <c r="F17" s="754"/>
      <c r="G17" s="754"/>
      <c r="H17" s="754"/>
      <c r="I17" s="20"/>
    </row>
    <row r="18" spans="2:9" ht="16.5" customHeight="1">
      <c r="B18" s="20"/>
      <c r="C18" s="754"/>
      <c r="D18" s="754"/>
      <c r="E18" s="754"/>
      <c r="F18" s="754"/>
      <c r="G18" s="754"/>
      <c r="H18" s="754"/>
      <c r="I18" s="20"/>
    </row>
    <row r="19" spans="2:9" ht="9" customHeight="1">
      <c r="B19" s="20"/>
      <c r="C19" s="73"/>
      <c r="D19" s="20"/>
      <c r="E19" s="20"/>
      <c r="F19" s="20"/>
      <c r="G19" s="20"/>
      <c r="H19" s="20"/>
      <c r="I19" s="20"/>
    </row>
    <row r="20" spans="2:9" ht="16.5" customHeight="1">
      <c r="B20" s="20"/>
      <c r="C20" s="307" t="s">
        <v>341</v>
      </c>
      <c r="D20" s="20"/>
      <c r="E20" s="20"/>
      <c r="F20" s="20"/>
      <c r="G20" s="20"/>
      <c r="H20" s="20"/>
      <c r="I20" s="20"/>
    </row>
    <row r="21" spans="2:9" ht="9" customHeight="1">
      <c r="B21" s="20"/>
      <c r="C21" s="75"/>
      <c r="D21" s="20"/>
      <c r="E21" s="20"/>
      <c r="F21" s="20"/>
      <c r="G21" s="20"/>
      <c r="H21" s="20"/>
      <c r="I21" s="20"/>
    </row>
    <row r="22" spans="2:9" ht="16.5" customHeight="1">
      <c r="B22" s="20"/>
      <c r="C22" s="73" t="s">
        <v>80</v>
      </c>
      <c r="D22" s="20"/>
      <c r="E22" s="20"/>
      <c r="F22" s="20"/>
      <c r="G22" s="20"/>
      <c r="H22" s="20"/>
      <c r="I22" s="20"/>
    </row>
    <row r="23" spans="2:9" ht="9" customHeight="1">
      <c r="B23" s="20"/>
      <c r="C23" s="73"/>
      <c r="D23" s="20"/>
      <c r="E23" s="20"/>
      <c r="F23" s="20"/>
      <c r="G23" s="20"/>
      <c r="H23" s="20"/>
      <c r="I23" s="20"/>
    </row>
    <row r="24" spans="2:9" ht="16.5" customHeight="1">
      <c r="B24" s="20"/>
      <c r="C24" s="73" t="s">
        <v>81</v>
      </c>
      <c r="D24" s="20"/>
      <c r="E24" s="20"/>
      <c r="F24" s="20"/>
      <c r="G24" s="20"/>
      <c r="H24" s="20"/>
      <c r="I24" s="20"/>
    </row>
    <row r="25" spans="2:9" ht="9" customHeight="1">
      <c r="B25" s="20"/>
      <c r="C25" s="73"/>
      <c r="D25" s="20"/>
      <c r="E25" s="20"/>
      <c r="F25" s="20"/>
      <c r="G25" s="20"/>
      <c r="H25" s="20"/>
      <c r="I25" s="20"/>
    </row>
    <row r="26" spans="2:9" ht="16.5" customHeight="1">
      <c r="B26" s="20"/>
      <c r="C26" s="73" t="s">
        <v>87</v>
      </c>
      <c r="D26" s="20"/>
      <c r="E26" s="20"/>
      <c r="F26" s="20"/>
      <c r="G26" s="20"/>
      <c r="H26" s="20"/>
      <c r="I26" s="20"/>
    </row>
    <row r="27" spans="2:9" ht="9" customHeight="1">
      <c r="B27" s="20"/>
      <c r="C27" s="73"/>
      <c r="D27" s="20"/>
      <c r="E27" s="20"/>
      <c r="F27" s="20"/>
      <c r="G27" s="20"/>
      <c r="H27" s="20"/>
      <c r="I27" s="20"/>
    </row>
    <row r="28" spans="2:9" ht="16.5" customHeight="1">
      <c r="B28" s="20"/>
      <c r="C28" s="307" t="s">
        <v>342</v>
      </c>
      <c r="D28" s="20"/>
      <c r="E28" s="20"/>
      <c r="F28" s="20"/>
      <c r="G28" s="20"/>
      <c r="H28" s="20"/>
      <c r="I28" s="20"/>
    </row>
    <row r="29" spans="2:9" ht="9" customHeight="1">
      <c r="B29" s="20"/>
      <c r="C29" s="75"/>
      <c r="D29" s="20"/>
      <c r="E29" s="20"/>
      <c r="F29" s="20"/>
      <c r="G29" s="20"/>
      <c r="H29" s="20"/>
      <c r="I29" s="20"/>
    </row>
    <row r="30" spans="2:9" ht="16.5" customHeight="1">
      <c r="B30" s="20"/>
      <c r="C30" s="73" t="s">
        <v>106</v>
      </c>
      <c r="D30" s="20"/>
      <c r="E30" s="20"/>
      <c r="F30" s="20"/>
      <c r="G30" s="20"/>
      <c r="H30" s="20"/>
      <c r="I30" s="20"/>
    </row>
    <row r="31" spans="2:9" ht="9" customHeight="1">
      <c r="B31" s="20"/>
      <c r="C31" s="73"/>
      <c r="D31" s="20"/>
      <c r="E31" s="20"/>
      <c r="F31" s="20"/>
      <c r="G31" s="20"/>
      <c r="H31" s="20"/>
      <c r="I31" s="20"/>
    </row>
    <row r="32" spans="2:9" ht="16.5" customHeight="1">
      <c r="B32" s="20"/>
      <c r="C32" s="73" t="s">
        <v>116</v>
      </c>
      <c r="D32" s="20"/>
      <c r="E32" s="20"/>
      <c r="F32" s="20"/>
      <c r="G32" s="20"/>
      <c r="H32" s="20"/>
      <c r="I32" s="20"/>
    </row>
    <row r="33" spans="2:9" ht="9" customHeight="1">
      <c r="B33" s="20"/>
      <c r="C33" s="73"/>
      <c r="D33" s="20"/>
      <c r="E33" s="20"/>
      <c r="F33" s="20"/>
      <c r="G33" s="20"/>
      <c r="H33" s="20"/>
      <c r="I33" s="20"/>
    </row>
    <row r="34" spans="2:9" ht="16.5" customHeight="1">
      <c r="B34" s="20"/>
      <c r="C34" s="73" t="s">
        <v>394</v>
      </c>
      <c r="D34" s="20"/>
      <c r="E34" s="20"/>
      <c r="F34" s="20"/>
      <c r="G34" s="20"/>
      <c r="H34" s="20"/>
      <c r="I34" s="20"/>
    </row>
    <row r="35" spans="2:9" ht="15.6" hidden="1">
      <c r="B35" s="20"/>
      <c r="C35" s="73"/>
      <c r="D35" s="20"/>
      <c r="E35" s="20"/>
      <c r="F35" s="20"/>
      <c r="G35" s="20"/>
      <c r="H35" s="20"/>
      <c r="I35" s="20"/>
    </row>
    <row r="36" spans="2:9" ht="15.6" hidden="1">
      <c r="B36" s="20"/>
      <c r="C36" s="307" t="s">
        <v>90</v>
      </c>
      <c r="D36" s="20"/>
      <c r="E36" s="20"/>
      <c r="F36" s="20"/>
      <c r="G36" s="20"/>
      <c r="H36" s="20"/>
      <c r="I36" s="20"/>
    </row>
    <row r="37" spans="2:9" ht="15.6" hidden="1">
      <c r="B37" s="20"/>
      <c r="C37" s="75"/>
      <c r="D37" s="20"/>
      <c r="E37" s="20"/>
      <c r="F37" s="20"/>
      <c r="G37" s="20"/>
      <c r="H37" s="20"/>
      <c r="I37" s="20"/>
    </row>
    <row r="38" spans="2:9" ht="15.6" hidden="1">
      <c r="B38" s="20"/>
      <c r="C38" s="73" t="s">
        <v>82</v>
      </c>
      <c r="D38" s="20"/>
      <c r="E38" s="20"/>
      <c r="F38" s="20"/>
      <c r="G38" s="20"/>
      <c r="H38" s="20"/>
      <c r="I38" s="20"/>
    </row>
    <row r="39" spans="2:9" ht="15.6" hidden="1">
      <c r="B39" s="20"/>
      <c r="C39" s="73"/>
      <c r="D39" s="20"/>
      <c r="E39" s="20"/>
      <c r="F39" s="20"/>
      <c r="G39" s="20"/>
      <c r="H39" s="20"/>
      <c r="I39" s="20"/>
    </row>
    <row r="40" spans="2:9" ht="15.6" hidden="1">
      <c r="B40" s="20"/>
      <c r="C40" s="73" t="s">
        <v>88</v>
      </c>
      <c r="D40" s="20"/>
      <c r="E40" s="20"/>
      <c r="F40" s="20"/>
      <c r="G40" s="20"/>
      <c r="H40" s="20"/>
      <c r="I40" s="20"/>
    </row>
    <row r="41" spans="2:9" ht="15.6" hidden="1">
      <c r="B41" s="20"/>
      <c r="C41" s="73"/>
      <c r="D41" s="20"/>
      <c r="E41" s="20"/>
      <c r="F41" s="20"/>
      <c r="G41" s="20"/>
      <c r="H41" s="20"/>
      <c r="I41" s="20"/>
    </row>
    <row r="42" spans="2:9" ht="15.6" hidden="1" customHeight="1">
      <c r="B42" s="20"/>
      <c r="C42" s="754" t="s">
        <v>343</v>
      </c>
      <c r="D42" s="754"/>
      <c r="E42" s="754"/>
      <c r="F42" s="754"/>
      <c r="G42" s="754"/>
      <c r="H42" s="754"/>
      <c r="I42" s="20"/>
    </row>
    <row r="43" spans="2:9" ht="15.6" hidden="1" customHeight="1">
      <c r="B43" s="20"/>
      <c r="C43" s="754"/>
      <c r="D43" s="754"/>
      <c r="E43" s="754"/>
      <c r="F43" s="754"/>
      <c r="G43" s="754"/>
      <c r="H43" s="754"/>
      <c r="I43" s="20"/>
    </row>
    <row r="44" spans="2:9" ht="15.6" hidden="1">
      <c r="B44" s="20"/>
      <c r="C44" s="73"/>
      <c r="D44" s="20"/>
      <c r="E44" s="20"/>
      <c r="F44" s="20"/>
      <c r="G44" s="20"/>
      <c r="H44" s="20"/>
      <c r="I44" s="20"/>
    </row>
    <row r="45" spans="2:9" ht="15.6" hidden="1">
      <c r="B45" s="20"/>
      <c r="C45" s="307" t="s">
        <v>91</v>
      </c>
      <c r="D45" s="20"/>
      <c r="E45" s="20"/>
      <c r="F45" s="20"/>
      <c r="G45" s="20"/>
      <c r="H45" s="20"/>
      <c r="I45" s="20"/>
    </row>
    <row r="46" spans="2:9" ht="15.6" hidden="1">
      <c r="B46" s="20"/>
      <c r="C46" s="75"/>
      <c r="D46" s="20"/>
      <c r="E46" s="20"/>
      <c r="F46" s="20"/>
      <c r="G46" s="20"/>
      <c r="H46" s="20"/>
      <c r="I46" s="20"/>
    </row>
    <row r="47" spans="2:9" ht="15.6" hidden="1">
      <c r="B47" s="20"/>
      <c r="C47" s="73" t="s">
        <v>345</v>
      </c>
      <c r="D47" s="20"/>
      <c r="E47" s="20"/>
      <c r="F47" s="20"/>
      <c r="G47" s="20"/>
      <c r="H47" s="20"/>
      <c r="I47" s="20"/>
    </row>
    <row r="48" spans="2:9" ht="9" customHeight="1">
      <c r="B48" s="20"/>
      <c r="C48" s="76"/>
      <c r="D48" s="20"/>
      <c r="E48" s="20"/>
      <c r="F48" s="20"/>
      <c r="G48" s="20"/>
      <c r="H48" s="20"/>
      <c r="I48" s="20"/>
    </row>
    <row r="49" spans="2:9" ht="16.5" hidden="1" customHeight="1">
      <c r="B49" s="20"/>
      <c r="C49" s="307" t="s">
        <v>71</v>
      </c>
      <c r="D49" s="20"/>
      <c r="E49" s="20"/>
      <c r="F49" s="20"/>
      <c r="G49" s="20"/>
      <c r="H49" s="20"/>
      <c r="I49" s="20"/>
    </row>
    <row r="50" spans="2:9" ht="9" hidden="1" customHeight="1">
      <c r="B50" s="20"/>
      <c r="C50" s="75"/>
      <c r="D50" s="20"/>
      <c r="E50" s="20"/>
      <c r="F50" s="20"/>
      <c r="G50" s="20"/>
      <c r="H50" s="20"/>
      <c r="I50" s="20"/>
    </row>
    <row r="51" spans="2:9" ht="16.5" hidden="1" customHeight="1">
      <c r="B51" s="20"/>
      <c r="C51" s="73" t="s">
        <v>83</v>
      </c>
      <c r="D51" s="20"/>
      <c r="E51" s="20"/>
      <c r="F51" s="20"/>
      <c r="G51" s="20"/>
      <c r="H51" s="20"/>
      <c r="I51" s="20"/>
    </row>
    <row r="52" spans="2:9" ht="9" hidden="1" customHeight="1">
      <c r="B52" s="20"/>
      <c r="C52" s="73"/>
      <c r="D52" s="20"/>
      <c r="E52" s="20"/>
      <c r="F52" s="20"/>
      <c r="G52" s="20"/>
      <c r="H52" s="20"/>
      <c r="I52" s="20"/>
    </row>
    <row r="53" spans="2:9" ht="16.5" customHeight="1">
      <c r="B53" s="20"/>
      <c r="C53" s="307" t="s">
        <v>84</v>
      </c>
      <c r="D53" s="20"/>
      <c r="E53" s="20"/>
      <c r="F53" s="20"/>
      <c r="G53" s="20"/>
      <c r="H53" s="20"/>
      <c r="I53" s="20"/>
    </row>
    <row r="54" spans="2:9" ht="9" customHeight="1">
      <c r="B54" s="20"/>
      <c r="C54" s="75"/>
      <c r="D54" s="20"/>
      <c r="E54" s="20"/>
      <c r="F54" s="20"/>
      <c r="G54" s="20"/>
      <c r="H54" s="20"/>
      <c r="I54" s="20"/>
    </row>
    <row r="55" spans="2:9" ht="16.5" customHeight="1">
      <c r="B55" s="20"/>
      <c r="C55" s="73" t="s">
        <v>373</v>
      </c>
      <c r="D55" s="20"/>
      <c r="E55" s="20"/>
      <c r="F55" s="20"/>
      <c r="G55" s="20"/>
      <c r="H55" s="20"/>
      <c r="I55" s="20"/>
    </row>
    <row r="56" spans="2:9" ht="9" customHeight="1">
      <c r="B56" s="20"/>
      <c r="C56" s="20"/>
      <c r="D56" s="20"/>
      <c r="E56" s="20"/>
      <c r="F56" s="20"/>
      <c r="G56" s="20"/>
      <c r="H56" s="20"/>
      <c r="I56" s="20"/>
    </row>
    <row r="57" spans="2:9" ht="15.75" customHeight="1">
      <c r="B57" s="20"/>
      <c r="C57" s="308" t="s">
        <v>531</v>
      </c>
      <c r="D57" s="20"/>
      <c r="E57" s="309"/>
      <c r="F57" s="310" t="s">
        <v>112</v>
      </c>
      <c r="G57" s="20"/>
      <c r="H57" s="20"/>
      <c r="I57" s="20"/>
    </row>
  </sheetData>
  <sheetProtection algorithmName="SHA-512" hashValue="3NAXp+0H33dnAuOfakZ4ycV0g07FwJbKQzOvmwB4AABhVXm+54n1pJQdGBSds+Sa6IZ64aq7+PeAhUT6wTqZew==" saltValue="LthHQQiw/xZ/7SXK5k011g==" spinCount="100000" sheet="1" objects="1" scenarios="1" selectLockedCells="1"/>
  <mergeCells count="3">
    <mergeCell ref="C3:D3"/>
    <mergeCell ref="C17:H18"/>
    <mergeCell ref="C42:H43"/>
  </mergeCells>
  <printOptions horizontalCentered="1"/>
  <pageMargins left="0" right="0" top="0.19685039370078741" bottom="0.74803149606299213" header="0" footer="0.31496062992125984"/>
  <pageSetup paperSize="9" scale="47"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C00000"/>
    <pageSetUpPr fitToPage="1"/>
  </sheetPr>
  <dimension ref="A1:W142"/>
  <sheetViews>
    <sheetView showGridLines="0" showRowColHeaders="0" topLeftCell="A154" zoomScaleNormal="100" workbookViewId="0">
      <selection activeCell="N8" sqref="N8:Q8"/>
    </sheetView>
  </sheetViews>
  <sheetFormatPr defaultColWidth="9.109375" defaultRowHeight="14.4" outlineLevelRow="1"/>
  <cols>
    <col min="1" max="1" width="3.109375" style="329" customWidth="1"/>
    <col min="2" max="2" width="1.88671875" style="329" customWidth="1"/>
    <col min="3" max="3" width="16.88671875" style="329" customWidth="1"/>
    <col min="4" max="4" width="10.109375" style="329" customWidth="1"/>
    <col min="5" max="5" width="20.109375" style="329" customWidth="1"/>
    <col min="6" max="6" width="17.44140625" style="409" customWidth="1"/>
    <col min="7" max="7" width="5" style="329" customWidth="1"/>
    <col min="8" max="12" width="5.109375" style="329" customWidth="1"/>
    <col min="13" max="13" width="7" style="329" customWidth="1"/>
    <col min="14" max="14" width="1" style="329" customWidth="1"/>
    <col min="15" max="15" width="20.109375" style="410" customWidth="1"/>
    <col min="16" max="16" width="0.88671875" style="329" customWidth="1"/>
    <col min="17" max="17" width="20.109375" style="410" customWidth="1"/>
    <col min="18" max="18" width="2.88671875" style="329" customWidth="1"/>
    <col min="19" max="19" width="1.109375" style="329" customWidth="1"/>
    <col min="20" max="20" width="15" style="327" bestFit="1" customWidth="1"/>
    <col min="21" max="21" width="11.5546875" style="328" bestFit="1" customWidth="1"/>
    <col min="22" max="22" width="10.44140625" style="328" customWidth="1"/>
    <col min="23" max="23" width="9.109375" style="328"/>
    <col min="24" max="16384" width="9.109375" style="329"/>
  </cols>
  <sheetData>
    <row r="1" spans="2:23" s="312" customFormat="1" ht="123.75" customHeight="1">
      <c r="F1" s="313"/>
      <c r="O1" s="314"/>
      <c r="Q1" s="315"/>
      <c r="R1" s="316"/>
      <c r="U1" s="317"/>
      <c r="V1" s="317"/>
      <c r="W1" s="317"/>
    </row>
    <row r="2" spans="2:23" s="318" customFormat="1" ht="4.5" customHeight="1">
      <c r="F2" s="319"/>
      <c r="O2" s="320"/>
      <c r="Q2" s="320"/>
      <c r="R2" s="321"/>
      <c r="T2" s="322"/>
      <c r="U2" s="323"/>
      <c r="V2" s="323"/>
      <c r="W2" s="323"/>
    </row>
    <row r="3" spans="2:23" ht="8.25" customHeight="1">
      <c r="B3" s="324"/>
      <c r="C3" s="324"/>
      <c r="D3" s="324"/>
      <c r="E3" s="324"/>
      <c r="F3" s="325"/>
      <c r="G3" s="324"/>
      <c r="H3" s="324"/>
      <c r="I3" s="324"/>
      <c r="J3" s="324"/>
      <c r="K3" s="324"/>
      <c r="L3" s="324"/>
      <c r="M3" s="324"/>
      <c r="N3" s="324"/>
      <c r="O3" s="326"/>
      <c r="P3" s="324"/>
      <c r="Q3" s="326"/>
      <c r="R3" s="324"/>
      <c r="S3" s="324"/>
    </row>
    <row r="4" spans="2:23" ht="16.5" customHeight="1">
      <c r="B4" s="324"/>
      <c r="C4" s="330" t="s">
        <v>0</v>
      </c>
      <c r="D4" s="331"/>
      <c r="E4" s="331"/>
      <c r="F4" s="332"/>
      <c r="G4" s="331"/>
      <c r="H4" s="331"/>
      <c r="I4" s="331"/>
      <c r="J4" s="331"/>
      <c r="K4" s="331"/>
      <c r="L4" s="331"/>
      <c r="M4" s="331"/>
      <c r="N4" s="758" t="s">
        <v>534</v>
      </c>
      <c r="O4" s="759"/>
      <c r="P4" s="759"/>
      <c r="Q4" s="760"/>
      <c r="R4" s="324"/>
      <c r="S4" s="324"/>
    </row>
    <row r="5" spans="2:23" ht="3" customHeight="1">
      <c r="B5" s="324"/>
      <c r="C5" s="330"/>
      <c r="D5" s="331"/>
      <c r="E5" s="331"/>
      <c r="F5" s="332"/>
      <c r="G5" s="331"/>
      <c r="H5" s="331"/>
      <c r="I5" s="331"/>
      <c r="J5" s="331"/>
      <c r="K5" s="331"/>
      <c r="L5" s="331"/>
      <c r="M5" s="331"/>
      <c r="N5" s="331"/>
      <c r="O5" s="332"/>
      <c r="P5" s="331"/>
      <c r="Q5" s="331"/>
      <c r="R5" s="324"/>
      <c r="S5" s="324"/>
    </row>
    <row r="6" spans="2:23" ht="16.5" customHeight="1">
      <c r="B6" s="324"/>
      <c r="C6" s="330" t="s">
        <v>94</v>
      </c>
      <c r="D6" s="331"/>
      <c r="E6" s="332"/>
      <c r="F6" s="332"/>
      <c r="G6" s="332"/>
      <c r="H6" s="332"/>
      <c r="I6" s="332"/>
      <c r="J6" s="332"/>
      <c r="K6" s="332"/>
      <c r="L6" s="332"/>
      <c r="M6" s="332"/>
      <c r="N6" s="758" t="s">
        <v>535</v>
      </c>
      <c r="O6" s="759"/>
      <c r="P6" s="759"/>
      <c r="Q6" s="760"/>
      <c r="R6" s="324"/>
      <c r="S6" s="324"/>
    </row>
    <row r="7" spans="2:23" ht="3" customHeight="1">
      <c r="B7" s="324"/>
      <c r="C7" s="330"/>
      <c r="D7" s="331"/>
      <c r="E7" s="332"/>
      <c r="F7" s="332"/>
      <c r="G7" s="332"/>
      <c r="H7" s="332"/>
      <c r="I7" s="332"/>
      <c r="J7" s="332"/>
      <c r="K7" s="332"/>
      <c r="L7" s="332"/>
      <c r="M7" s="332"/>
      <c r="N7" s="331"/>
      <c r="O7" s="332"/>
      <c r="P7" s="331"/>
      <c r="Q7" s="331"/>
      <c r="R7" s="324"/>
      <c r="S7" s="324"/>
    </row>
    <row r="8" spans="2:23" ht="16.5" customHeight="1">
      <c r="B8" s="324"/>
      <c r="C8" s="330" t="s">
        <v>17</v>
      </c>
      <c r="D8" s="331"/>
      <c r="E8" s="332"/>
      <c r="F8" s="332"/>
      <c r="G8" s="332"/>
      <c r="H8" s="332"/>
      <c r="I8" s="332"/>
      <c r="J8" s="332"/>
      <c r="K8" s="332"/>
      <c r="L8" s="332"/>
      <c r="M8" s="332"/>
      <c r="N8" s="845" t="s">
        <v>536</v>
      </c>
      <c r="O8" s="765"/>
      <c r="P8" s="765"/>
      <c r="Q8" s="766"/>
      <c r="R8" s="324"/>
      <c r="S8" s="324"/>
    </row>
    <row r="9" spans="2:23" ht="3" customHeight="1">
      <c r="B9" s="324"/>
      <c r="C9" s="330"/>
      <c r="D9" s="331"/>
      <c r="E9" s="332"/>
      <c r="F9" s="332"/>
      <c r="G9" s="332"/>
      <c r="H9" s="332"/>
      <c r="I9" s="332"/>
      <c r="J9" s="332"/>
      <c r="K9" s="332"/>
      <c r="L9" s="332"/>
      <c r="M9" s="332"/>
      <c r="N9" s="331"/>
      <c r="O9" s="332"/>
      <c r="P9" s="331"/>
      <c r="Q9" s="331"/>
      <c r="R9" s="324"/>
      <c r="S9" s="324"/>
    </row>
    <row r="10" spans="2:23" ht="16.5" customHeight="1">
      <c r="B10" s="324"/>
      <c r="C10" s="330" t="s">
        <v>72</v>
      </c>
      <c r="D10" s="331"/>
      <c r="E10" s="332"/>
      <c r="F10" s="332"/>
      <c r="G10" s="332"/>
      <c r="H10" s="332"/>
      <c r="I10" s="332"/>
      <c r="J10" s="332"/>
      <c r="K10" s="332"/>
      <c r="L10" s="332"/>
      <c r="M10" s="332"/>
      <c r="N10" s="761" t="s">
        <v>119</v>
      </c>
      <c r="O10" s="762"/>
      <c r="P10" s="762"/>
      <c r="Q10" s="763"/>
      <c r="R10" s="324"/>
      <c r="S10" s="324"/>
    </row>
    <row r="11" spans="2:23" ht="3" customHeight="1">
      <c r="B11" s="324"/>
      <c r="C11" s="330"/>
      <c r="D11" s="331"/>
      <c r="E11" s="332"/>
      <c r="F11" s="332"/>
      <c r="G11" s="332"/>
      <c r="H11" s="332"/>
      <c r="I11" s="332"/>
      <c r="J11" s="332"/>
      <c r="K11" s="332"/>
      <c r="L11" s="332"/>
      <c r="M11" s="332"/>
      <c r="N11" s="333"/>
      <c r="O11" s="332"/>
      <c r="P11" s="331"/>
      <c r="Q11" s="331"/>
      <c r="R11" s="324"/>
      <c r="S11" s="324"/>
    </row>
    <row r="12" spans="2:23" ht="16.5" customHeight="1">
      <c r="B12" s="324"/>
      <c r="C12" s="330" t="s">
        <v>121</v>
      </c>
      <c r="D12" s="331"/>
      <c r="E12" s="332"/>
      <c r="F12" s="332"/>
      <c r="G12" s="332"/>
      <c r="H12" s="332"/>
      <c r="I12" s="332"/>
      <c r="J12" s="332"/>
      <c r="K12" s="366" t="str">
        <f>IF(OR(N10="SABMiller Africa",N10="SGCS",N10="Alliance Beverages",N10="Brewex"),"None"," ")</f>
        <v xml:space="preserve"> </v>
      </c>
      <c r="L12" s="332"/>
      <c r="M12" s="332"/>
      <c r="N12" s="764" t="s">
        <v>198</v>
      </c>
      <c r="O12" s="762"/>
      <c r="P12" s="762"/>
      <c r="Q12" s="763"/>
      <c r="R12" s="324"/>
      <c r="S12" s="324"/>
    </row>
    <row r="13" spans="2:23" ht="3" customHeight="1">
      <c r="B13" s="324"/>
      <c r="C13" s="330"/>
      <c r="D13" s="331"/>
      <c r="E13" s="332"/>
      <c r="F13" s="332"/>
      <c r="G13" s="332"/>
      <c r="H13" s="332"/>
      <c r="I13" s="332"/>
      <c r="J13" s="332"/>
      <c r="K13" s="332"/>
      <c r="L13" s="332"/>
      <c r="M13" s="332"/>
      <c r="N13" s="333"/>
      <c r="O13" s="332"/>
      <c r="P13" s="331"/>
      <c r="Q13" s="331"/>
      <c r="R13" s="324"/>
      <c r="S13" s="324"/>
    </row>
    <row r="14" spans="2:23" s="409" customFormat="1" ht="16.5" customHeight="1">
      <c r="B14" s="325"/>
      <c r="C14" s="411" t="s">
        <v>225</v>
      </c>
      <c r="D14" s="332"/>
      <c r="E14" s="332"/>
      <c r="F14" s="332"/>
      <c r="G14" s="332"/>
      <c r="H14" s="332"/>
      <c r="I14" s="332"/>
      <c r="J14" s="332"/>
      <c r="K14" s="332" t="str">
        <f>IF(OR(N10="SABMiller Africa",N10="SGCS",N10="Alliance Beverages",N10="Brewex"),"None"," ")</f>
        <v xml:space="preserve"> </v>
      </c>
      <c r="L14" s="332"/>
      <c r="M14" s="332"/>
      <c r="N14" s="755" t="s">
        <v>199</v>
      </c>
      <c r="O14" s="756"/>
      <c r="P14" s="756"/>
      <c r="Q14" s="757"/>
      <c r="R14" s="325"/>
      <c r="S14" s="325"/>
    </row>
    <row r="15" spans="2:23" s="409" customFormat="1" ht="3" customHeight="1">
      <c r="B15" s="325"/>
      <c r="C15" s="411"/>
      <c r="D15" s="332"/>
      <c r="E15" s="332"/>
      <c r="F15" s="332"/>
      <c r="G15" s="332"/>
      <c r="H15" s="332"/>
      <c r="I15" s="332"/>
      <c r="J15" s="332"/>
      <c r="K15" s="332"/>
      <c r="L15" s="332"/>
      <c r="M15" s="332"/>
      <c r="N15" s="400"/>
      <c r="O15" s="332"/>
      <c r="P15" s="332"/>
      <c r="Q15" s="332"/>
      <c r="R15" s="325"/>
      <c r="S15" s="325"/>
    </row>
    <row r="16" spans="2:23" s="409" customFormat="1" ht="16.5" customHeight="1">
      <c r="B16" s="325"/>
      <c r="C16" s="411" t="s">
        <v>400</v>
      </c>
      <c r="D16" s="332"/>
      <c r="E16" s="332"/>
      <c r="F16" s="332"/>
      <c r="G16" s="332"/>
      <c r="H16" s="332"/>
      <c r="I16" s="332"/>
      <c r="J16" s="332"/>
      <c r="K16" s="332"/>
      <c r="L16" s="332"/>
      <c r="M16" s="332"/>
      <c r="N16" s="755" t="s">
        <v>483</v>
      </c>
      <c r="O16" s="756"/>
      <c r="P16" s="756"/>
      <c r="Q16" s="757"/>
      <c r="R16" s="325"/>
      <c r="S16" s="325"/>
    </row>
    <row r="17" spans="1:21" ht="3" customHeight="1">
      <c r="B17" s="324"/>
      <c r="C17" s="330"/>
      <c r="D17" s="331"/>
      <c r="E17" s="332"/>
      <c r="F17" s="332"/>
      <c r="G17" s="332"/>
      <c r="H17" s="332"/>
      <c r="I17" s="332"/>
      <c r="J17" s="332"/>
      <c r="K17" s="332"/>
      <c r="L17" s="332"/>
      <c r="M17" s="332"/>
      <c r="N17" s="333"/>
      <c r="O17" s="332"/>
      <c r="P17" s="331"/>
      <c r="Q17" s="331"/>
      <c r="R17" s="324"/>
      <c r="S17" s="324"/>
    </row>
    <row r="18" spans="1:21" s="409" customFormat="1" ht="16.5" customHeight="1">
      <c r="A18" s="409" t="s">
        <v>458</v>
      </c>
      <c r="B18" s="325"/>
      <c r="C18" s="411" t="s">
        <v>455</v>
      </c>
      <c r="D18" s="332"/>
      <c r="E18" s="332"/>
      <c r="F18" s="332"/>
      <c r="G18" s="332"/>
      <c r="H18" s="332"/>
      <c r="I18" s="332"/>
      <c r="J18" s="332"/>
      <c r="K18" s="332"/>
      <c r="L18" s="332"/>
      <c r="M18" s="332"/>
      <c r="N18" s="755" t="s">
        <v>456</v>
      </c>
      <c r="O18" s="756"/>
      <c r="P18" s="756"/>
      <c r="Q18" s="757"/>
      <c r="R18" s="325"/>
      <c r="S18" s="325"/>
    </row>
    <row r="19" spans="1:21" ht="3" customHeight="1">
      <c r="B19" s="324"/>
      <c r="C19" s="330"/>
      <c r="D19" s="331"/>
      <c r="E19" s="332"/>
      <c r="F19" s="332"/>
      <c r="G19" s="332"/>
      <c r="H19" s="332"/>
      <c r="I19" s="332"/>
      <c r="J19" s="332"/>
      <c r="K19" s="332"/>
      <c r="L19" s="332"/>
      <c r="M19" s="332"/>
      <c r="N19" s="333"/>
      <c r="O19" s="332"/>
      <c r="P19" s="331"/>
      <c r="Q19" s="331"/>
      <c r="R19" s="324"/>
      <c r="S19" s="324"/>
    </row>
    <row r="20" spans="1:21" ht="16.5" customHeight="1">
      <c r="B20" s="324"/>
      <c r="C20" s="330" t="s">
        <v>1</v>
      </c>
      <c r="D20" s="331"/>
      <c r="E20" s="332"/>
      <c r="F20" s="332"/>
      <c r="G20" s="334" t="str">
        <f>IF(N28='Lists &amp; Rates'!A96,"Provide new Grade (if applicable)","")</f>
        <v/>
      </c>
      <c r="H20" s="332"/>
      <c r="I20" s="332"/>
      <c r="J20" s="332"/>
      <c r="K20" s="332"/>
      <c r="L20" s="332"/>
      <c r="M20" s="332"/>
      <c r="N20" s="777" t="s">
        <v>2</v>
      </c>
      <c r="O20" s="762"/>
      <c r="P20" s="762"/>
      <c r="Q20" s="763"/>
      <c r="R20" s="324"/>
      <c r="S20" s="324"/>
      <c r="T20" s="328"/>
    </row>
    <row r="21" spans="1:21" ht="3" customHeight="1">
      <c r="B21" s="324"/>
      <c r="C21" s="330"/>
      <c r="D21" s="331"/>
      <c r="E21" s="331"/>
      <c r="F21" s="332"/>
      <c r="G21" s="332"/>
      <c r="H21" s="331"/>
      <c r="I21" s="331"/>
      <c r="J21" s="331"/>
      <c r="K21" s="331"/>
      <c r="L21" s="331"/>
      <c r="M21" s="335"/>
      <c r="N21" s="333"/>
      <c r="O21" s="332"/>
      <c r="P21" s="331"/>
      <c r="Q21" s="331"/>
      <c r="R21" s="324"/>
      <c r="S21" s="324"/>
    </row>
    <row r="22" spans="1:21" ht="16.5" customHeight="1">
      <c r="B22" s="324"/>
      <c r="C22" s="330" t="s">
        <v>18</v>
      </c>
      <c r="D22" s="331"/>
      <c r="E22" s="331"/>
      <c r="F22" s="332"/>
      <c r="G22" s="334" t="str">
        <f>IF(N28='Lists &amp; Rates'!A96,"Provide new Job Title (if applicable)","")</f>
        <v/>
      </c>
      <c r="H22" s="331"/>
      <c r="I22" s="331"/>
      <c r="J22" s="331"/>
      <c r="K22" s="331"/>
      <c r="L22" s="331"/>
      <c r="M22" s="335"/>
      <c r="N22" s="778" t="s">
        <v>533</v>
      </c>
      <c r="O22" s="759"/>
      <c r="P22" s="759"/>
      <c r="Q22" s="760"/>
      <c r="R22" s="324"/>
      <c r="S22" s="324"/>
      <c r="T22" s="328"/>
      <c r="U22" s="627"/>
    </row>
    <row r="23" spans="1:21" ht="3" customHeight="1">
      <c r="B23" s="324"/>
      <c r="C23" s="330"/>
      <c r="D23" s="331"/>
      <c r="E23" s="331"/>
      <c r="F23" s="332"/>
      <c r="G23" s="332"/>
      <c r="H23" s="331"/>
      <c r="I23" s="331"/>
      <c r="J23" s="331"/>
      <c r="K23" s="331"/>
      <c r="L23" s="331"/>
      <c r="M23" s="335"/>
      <c r="N23" s="336"/>
      <c r="O23" s="332"/>
      <c r="P23" s="331"/>
      <c r="Q23" s="331"/>
      <c r="R23" s="324"/>
      <c r="S23" s="324"/>
    </row>
    <row r="24" spans="1:21" ht="16.5" hidden="1" customHeight="1">
      <c r="B24" s="324"/>
      <c r="C24" s="330" t="s">
        <v>227</v>
      </c>
      <c r="D24" s="331"/>
      <c r="E24" s="331"/>
      <c r="F24" s="332"/>
      <c r="G24" s="332"/>
      <c r="H24" s="331"/>
      <c r="I24" s="331"/>
      <c r="J24" s="331"/>
      <c r="K24" s="331"/>
      <c r="L24" s="331"/>
      <c r="M24" s="412" t="s">
        <v>370</v>
      </c>
      <c r="N24" s="779"/>
      <c r="O24" s="780"/>
      <c r="P24" s="780"/>
      <c r="Q24" s="781"/>
      <c r="R24" s="324"/>
      <c r="S24" s="324"/>
    </row>
    <row r="25" spans="1:21" ht="3" hidden="1" customHeight="1">
      <c r="B25" s="324"/>
      <c r="C25" s="330"/>
      <c r="D25" s="331"/>
      <c r="E25" s="331"/>
      <c r="F25" s="332"/>
      <c r="G25" s="332"/>
      <c r="H25" s="331"/>
      <c r="I25" s="331"/>
      <c r="J25" s="331"/>
      <c r="K25" s="331"/>
      <c r="L25" s="331"/>
      <c r="M25" s="335"/>
      <c r="N25" s="336"/>
      <c r="O25" s="332"/>
      <c r="P25" s="331"/>
      <c r="Q25" s="331"/>
      <c r="R25" s="324"/>
      <c r="S25" s="324"/>
    </row>
    <row r="26" spans="1:21" ht="16.5" customHeight="1">
      <c r="B26" s="324"/>
      <c r="C26" s="330" t="s">
        <v>384</v>
      </c>
      <c r="D26" s="331"/>
      <c r="E26" s="331"/>
      <c r="F26" s="332"/>
      <c r="G26" s="332"/>
      <c r="H26" s="331"/>
      <c r="I26" s="331"/>
      <c r="J26" s="331"/>
      <c r="K26" s="331"/>
      <c r="L26" s="331"/>
      <c r="M26" s="528" t="s">
        <v>371</v>
      </c>
      <c r="N26" s="782">
        <v>44317</v>
      </c>
      <c r="O26" s="783"/>
      <c r="P26" s="783"/>
      <c r="Q26" s="784"/>
      <c r="R26" s="324"/>
      <c r="S26" s="324"/>
      <c r="T26" s="629"/>
      <c r="U26" s="630"/>
    </row>
    <row r="27" spans="1:21" ht="3" customHeight="1">
      <c r="B27" s="324"/>
      <c r="C27" s="330"/>
      <c r="D27" s="331"/>
      <c r="E27" s="331"/>
      <c r="F27" s="332"/>
      <c r="G27" s="332"/>
      <c r="H27" s="331"/>
      <c r="I27" s="331"/>
      <c r="J27" s="331"/>
      <c r="K27" s="331"/>
      <c r="L27" s="331"/>
      <c r="M27" s="335"/>
      <c r="N27" s="337"/>
      <c r="O27" s="338"/>
      <c r="P27" s="337"/>
      <c r="Q27" s="337"/>
      <c r="R27" s="324"/>
      <c r="S27" s="324"/>
    </row>
    <row r="28" spans="1:21" ht="16.5" customHeight="1">
      <c r="B28" s="324"/>
      <c r="C28" s="330" t="s">
        <v>109</v>
      </c>
      <c r="D28" s="331"/>
      <c r="E28" s="331"/>
      <c r="F28" s="332"/>
      <c r="G28" s="334" t="str">
        <f>IF(N28='Lists &amp; Rates'!A96,"Provide new Grade/Job Title (if applicable)","")</f>
        <v/>
      </c>
      <c r="H28" s="331"/>
      <c r="I28" s="331"/>
      <c r="J28" s="331"/>
      <c r="K28" s="331"/>
      <c r="L28" s="331"/>
      <c r="M28" s="335"/>
      <c r="N28" s="785" t="s">
        <v>107</v>
      </c>
      <c r="O28" s="786"/>
      <c r="P28" s="786"/>
      <c r="Q28" s="787"/>
      <c r="R28" s="324"/>
      <c r="S28" s="324"/>
      <c r="T28" s="328"/>
      <c r="U28" s="630"/>
    </row>
    <row r="29" spans="1:21" ht="3" customHeight="1">
      <c r="B29" s="324"/>
      <c r="C29" s="330"/>
      <c r="D29" s="331"/>
      <c r="E29" s="331"/>
      <c r="F29" s="332"/>
      <c r="G29" s="331"/>
      <c r="H29" s="331"/>
      <c r="I29" s="331"/>
      <c r="J29" s="331"/>
      <c r="K29" s="331"/>
      <c r="L29" s="331"/>
      <c r="M29" s="335"/>
      <c r="N29" s="337"/>
      <c r="O29" s="338"/>
      <c r="P29" s="337"/>
      <c r="Q29" s="337"/>
      <c r="R29" s="324"/>
      <c r="S29" s="324"/>
    </row>
    <row r="30" spans="1:21" ht="16.5" customHeight="1">
      <c r="B30" s="324"/>
      <c r="C30" s="330" t="s">
        <v>228</v>
      </c>
      <c r="D30" s="331"/>
      <c r="E30" s="331"/>
      <c r="F30" s="332"/>
      <c r="G30" s="331"/>
      <c r="H30" s="331"/>
      <c r="I30" s="331"/>
      <c r="J30" s="331"/>
      <c r="K30" s="331"/>
      <c r="L30" s="331"/>
      <c r="M30" s="335"/>
      <c r="N30" s="767" t="s">
        <v>532</v>
      </c>
      <c r="O30" s="768"/>
      <c r="P30" s="768"/>
      <c r="Q30" s="769"/>
      <c r="R30" s="324"/>
      <c r="S30" s="324"/>
      <c r="T30" s="328"/>
      <c r="U30" s="638"/>
    </row>
    <row r="31" spans="1:21" ht="3" customHeight="1">
      <c r="B31" s="324"/>
      <c r="C31" s="330"/>
      <c r="D31" s="331"/>
      <c r="E31" s="331"/>
      <c r="F31" s="332"/>
      <c r="G31" s="331"/>
      <c r="H31" s="331"/>
      <c r="I31" s="331"/>
      <c r="J31" s="331"/>
      <c r="K31" s="331"/>
      <c r="L31" s="331"/>
      <c r="M31" s="335"/>
      <c r="N31" s="339"/>
      <c r="O31" s="336"/>
      <c r="P31" s="339"/>
      <c r="Q31" s="339"/>
      <c r="R31" s="324"/>
      <c r="S31" s="324"/>
    </row>
    <row r="32" spans="1:21" ht="16.5" customHeight="1">
      <c r="B32" s="324"/>
      <c r="C32" s="330" t="s">
        <v>270</v>
      </c>
      <c r="D32" s="331"/>
      <c r="E32" s="331"/>
      <c r="F32" s="332"/>
      <c r="G32" s="331"/>
      <c r="H32" s="331"/>
      <c r="I32" s="331"/>
      <c r="J32" s="331"/>
      <c r="K32" s="331"/>
      <c r="L32" s="331"/>
      <c r="M32" s="528" t="s">
        <v>372</v>
      </c>
      <c r="N32" s="773">
        <v>44311</v>
      </c>
      <c r="O32" s="768"/>
      <c r="P32" s="768"/>
      <c r="Q32" s="769"/>
      <c r="R32" s="324"/>
      <c r="S32" s="324"/>
    </row>
    <row r="33" spans="2:22" ht="3" customHeight="1">
      <c r="B33" s="324"/>
      <c r="C33" s="340"/>
      <c r="D33" s="324"/>
      <c r="E33" s="324"/>
      <c r="F33" s="325"/>
      <c r="G33" s="324"/>
      <c r="H33" s="324"/>
      <c r="I33" s="324"/>
      <c r="J33" s="324"/>
      <c r="K33" s="324"/>
      <c r="L33" s="324"/>
      <c r="M33" s="341"/>
      <c r="N33" s="337"/>
      <c r="O33" s="337"/>
      <c r="P33" s="337"/>
      <c r="Q33" s="337"/>
      <c r="R33" s="324"/>
      <c r="S33" s="324"/>
    </row>
    <row r="34" spans="2:22" hidden="1">
      <c r="B34" s="324"/>
      <c r="C34" s="340" t="s">
        <v>426</v>
      </c>
      <c r="D34" s="324"/>
      <c r="E34" s="324"/>
      <c r="F34" s="325"/>
      <c r="G34" s="324"/>
      <c r="H34" s="324"/>
      <c r="I34" s="324"/>
      <c r="J34" s="324"/>
      <c r="K34" s="324"/>
      <c r="L34" s="324"/>
      <c r="M34" s="341"/>
      <c r="N34" s="804" t="str">
        <f>VLOOKUP(N10,'Lists &amp; Rates'!$A$485:$B$489,2,0)</f>
        <v>SAP</v>
      </c>
      <c r="O34" s="805"/>
      <c r="P34" s="805"/>
      <c r="Q34" s="806"/>
      <c r="R34" s="324"/>
      <c r="S34" s="324"/>
    </row>
    <row r="35" spans="2:22" ht="3" hidden="1" customHeight="1">
      <c r="B35" s="324"/>
      <c r="C35" s="340"/>
      <c r="D35" s="324"/>
      <c r="E35" s="324"/>
      <c r="F35" s="325"/>
      <c r="G35" s="324"/>
      <c r="H35" s="324"/>
      <c r="I35" s="324"/>
      <c r="J35" s="324"/>
      <c r="K35" s="324"/>
      <c r="L35" s="324"/>
      <c r="M35" s="341"/>
      <c r="N35" s="337"/>
      <c r="O35" s="337"/>
      <c r="P35" s="337"/>
      <c r="Q35" s="337"/>
      <c r="R35" s="324"/>
      <c r="S35" s="324"/>
    </row>
    <row r="36" spans="2:22" hidden="1">
      <c r="B36" s="324"/>
      <c r="C36" s="340" t="s">
        <v>427</v>
      </c>
      <c r="D36" s="324"/>
      <c r="E36" s="324"/>
      <c r="F36" s="325"/>
      <c r="G36" s="324"/>
      <c r="H36" s="324"/>
      <c r="I36" s="324"/>
      <c r="J36" s="324"/>
      <c r="K36" s="324"/>
      <c r="L36" s="324"/>
      <c r="M36" s="341"/>
      <c r="N36" s="807">
        <f>'Lists &amp; Rates'!A496</f>
        <v>30</v>
      </c>
      <c r="O36" s="808"/>
      <c r="P36" s="808"/>
      <c r="Q36" s="809"/>
      <c r="R36" s="324"/>
      <c r="S36" s="324"/>
    </row>
    <row r="37" spans="2:22" ht="24.75" customHeight="1" thickBot="1">
      <c r="B37" s="324"/>
      <c r="C37" s="342"/>
      <c r="D37" s="343"/>
      <c r="E37" s="343"/>
      <c r="F37" s="344"/>
      <c r="G37" s="343"/>
      <c r="H37" s="343"/>
      <c r="I37" s="343"/>
      <c r="J37" s="343"/>
      <c r="K37" s="343"/>
      <c r="L37" s="343"/>
      <c r="M37" s="343"/>
      <c r="N37" s="343"/>
      <c r="O37" s="345"/>
      <c r="P37" s="345"/>
      <c r="Q37" s="346" t="s">
        <v>24</v>
      </c>
      <c r="R37" s="343"/>
      <c r="S37" s="324"/>
    </row>
    <row r="38" spans="2:22" ht="3" customHeight="1" thickTop="1">
      <c r="B38" s="324"/>
      <c r="C38" s="340"/>
      <c r="D38" s="324"/>
      <c r="E38" s="324"/>
      <c r="F38" s="325"/>
      <c r="G38" s="324"/>
      <c r="H38" s="324"/>
      <c r="I38" s="324"/>
      <c r="J38" s="324"/>
      <c r="K38" s="324"/>
      <c r="L38" s="324"/>
      <c r="M38" s="324"/>
      <c r="N38" s="324"/>
      <c r="O38" s="324"/>
      <c r="P38" s="324"/>
      <c r="Q38" s="324"/>
      <c r="R38" s="324"/>
      <c r="S38" s="324"/>
    </row>
    <row r="39" spans="2:22" ht="16.5" customHeight="1">
      <c r="B39" s="324"/>
      <c r="C39" s="324"/>
      <c r="D39" s="324"/>
      <c r="E39" s="324"/>
      <c r="F39" s="325"/>
      <c r="G39" s="324"/>
      <c r="H39" s="324"/>
      <c r="I39" s="324"/>
      <c r="J39" s="324"/>
      <c r="K39" s="324"/>
      <c r="L39" s="324"/>
      <c r="M39" s="324"/>
      <c r="N39" s="324"/>
      <c r="O39" s="347" t="s">
        <v>16</v>
      </c>
      <c r="P39" s="348"/>
      <c r="Q39" s="347" t="s">
        <v>10</v>
      </c>
      <c r="R39" s="324"/>
      <c r="S39" s="324"/>
    </row>
    <row r="40" spans="2:22" ht="3" customHeight="1">
      <c r="B40" s="324"/>
      <c r="C40" s="324"/>
      <c r="D40" s="324"/>
      <c r="E40" s="324"/>
      <c r="F40" s="325"/>
      <c r="G40" s="324"/>
      <c r="H40" s="324"/>
      <c r="I40" s="324"/>
      <c r="J40" s="324"/>
      <c r="K40" s="324"/>
      <c r="L40" s="324"/>
      <c r="M40" s="324"/>
      <c r="N40" s="324"/>
      <c r="O40" s="326"/>
      <c r="P40" s="324"/>
      <c r="Q40" s="326"/>
      <c r="R40" s="324"/>
      <c r="S40" s="324"/>
    </row>
    <row r="41" spans="2:22" ht="16.5" customHeight="1">
      <c r="B41" s="324"/>
      <c r="C41" s="349" t="str">
        <f>IFERROR(VLOOKUP(N28,'Lists &amp; Rates'!$A$95:$B$98,2,0),"")</f>
        <v>Basic Salary Offer</v>
      </c>
      <c r="D41" s="331"/>
      <c r="E41" s="331"/>
      <c r="F41" s="332"/>
      <c r="G41" s="331"/>
      <c r="H41" s="331"/>
      <c r="I41" s="331"/>
      <c r="J41" s="331"/>
      <c r="K41" s="331"/>
      <c r="L41" s="331"/>
      <c r="M41" s="527" t="s">
        <v>401</v>
      </c>
      <c r="N41" s="331"/>
      <c r="O41" s="752">
        <v>5392.71</v>
      </c>
      <c r="P41" s="331"/>
      <c r="Q41" s="385">
        <f>O41*12</f>
        <v>64712.520000000004</v>
      </c>
      <c r="R41" s="324"/>
      <c r="S41" s="324"/>
    </row>
    <row r="42" spans="2:22" ht="3" customHeight="1">
      <c r="B42" s="324"/>
      <c r="C42" s="331"/>
      <c r="D42" s="331"/>
      <c r="E42" s="331"/>
      <c r="F42" s="332"/>
      <c r="G42" s="331"/>
      <c r="H42" s="331"/>
      <c r="I42" s="331"/>
      <c r="J42" s="331"/>
      <c r="K42" s="331"/>
      <c r="L42" s="331"/>
      <c r="M42" s="331"/>
      <c r="N42" s="331"/>
      <c r="O42" s="351"/>
      <c r="P42" s="331"/>
      <c r="Q42" s="351"/>
      <c r="R42" s="324"/>
      <c r="S42" s="324"/>
    </row>
    <row r="43" spans="2:22" ht="16.5" customHeight="1">
      <c r="B43" s="324"/>
      <c r="C43" s="349" t="s">
        <v>110</v>
      </c>
      <c r="D43" s="331"/>
      <c r="E43" s="331"/>
      <c r="F43" s="332"/>
      <c r="G43" s="331"/>
      <c r="H43" s="331"/>
      <c r="I43" s="332"/>
      <c r="J43" s="332"/>
      <c r="K43" s="332"/>
      <c r="L43" s="332"/>
      <c r="M43" s="527" t="s">
        <v>496</v>
      </c>
      <c r="N43" s="331"/>
      <c r="O43" s="691"/>
      <c r="P43" s="331"/>
      <c r="Q43" s="385">
        <f>O43*12</f>
        <v>0</v>
      </c>
      <c r="R43" s="324"/>
      <c r="S43" s="324"/>
      <c r="T43" s="328"/>
    </row>
    <row r="44" spans="2:22" ht="3" customHeight="1">
      <c r="B44" s="324"/>
      <c r="C44" s="331"/>
      <c r="D44" s="331"/>
      <c r="E44" s="331"/>
      <c r="F44" s="332"/>
      <c r="G44" s="331"/>
      <c r="H44" s="331"/>
      <c r="I44" s="332"/>
      <c r="J44" s="332"/>
      <c r="K44" s="332"/>
      <c r="L44" s="332"/>
      <c r="M44" s="332"/>
      <c r="N44" s="331"/>
      <c r="O44" s="351"/>
      <c r="P44" s="331"/>
      <c r="Q44" s="351"/>
      <c r="R44" s="324"/>
      <c r="S44" s="324"/>
    </row>
    <row r="45" spans="2:22" ht="16.5" customHeight="1">
      <c r="B45" s="324"/>
      <c r="C45" s="349" t="s">
        <v>101</v>
      </c>
      <c r="D45" s="331"/>
      <c r="E45" s="331"/>
      <c r="F45" s="332"/>
      <c r="G45" s="331"/>
      <c r="H45" s="331"/>
      <c r="I45" s="332"/>
      <c r="J45" s="332" t="str">
        <f>IF(OR(N28="New Appointment",N28="Other: Please Specify"),"None","")</f>
        <v>None</v>
      </c>
      <c r="K45" s="332"/>
      <c r="L45" s="332"/>
      <c r="M45" s="493"/>
      <c r="N45" s="331"/>
      <c r="O45" s="774">
        <f>IFERROR((Q47-Q41)/Q41,"")</f>
        <v>0</v>
      </c>
      <c r="P45" s="775"/>
      <c r="Q45" s="776"/>
      <c r="R45" s="324"/>
      <c r="S45" s="324"/>
      <c r="T45" s="353"/>
    </row>
    <row r="46" spans="2:22" ht="3" customHeight="1">
      <c r="B46" s="324"/>
      <c r="C46" s="331"/>
      <c r="D46" s="331"/>
      <c r="E46" s="331"/>
      <c r="F46" s="332"/>
      <c r="G46" s="331"/>
      <c r="H46" s="331"/>
      <c r="I46" s="332"/>
      <c r="J46" s="332"/>
      <c r="K46" s="332"/>
      <c r="L46" s="332"/>
      <c r="M46" s="332"/>
      <c r="N46" s="331"/>
      <c r="O46" s="351"/>
      <c r="P46" s="331"/>
      <c r="Q46" s="351"/>
      <c r="R46" s="324"/>
      <c r="S46" s="324"/>
    </row>
    <row r="47" spans="2:22" ht="16.5" customHeight="1">
      <c r="B47" s="324"/>
      <c r="C47" s="349" t="s">
        <v>355</v>
      </c>
      <c r="D47" s="331"/>
      <c r="E47" s="331"/>
      <c r="F47" s="332"/>
      <c r="G47" s="331"/>
      <c r="H47" s="331"/>
      <c r="I47" s="332"/>
      <c r="J47" s="332"/>
      <c r="K47" s="332"/>
      <c r="L47" s="332"/>
      <c r="M47" s="332"/>
      <c r="N47" s="331"/>
      <c r="O47" s="385">
        <f>IF(OR(N28='Lists &amp; Rates'!A96,N28='Lists &amp; Rates'!A97),+(O41+O43),Selection!O41)</f>
        <v>5392.71</v>
      </c>
      <c r="P47" s="496"/>
      <c r="Q47" s="385">
        <f>+O47*12</f>
        <v>64712.520000000004</v>
      </c>
      <c r="R47" s="324"/>
      <c r="S47" s="324"/>
      <c r="T47" s="353"/>
      <c r="U47" s="353"/>
      <c r="V47" s="353"/>
    </row>
    <row r="48" spans="2:22" ht="3" customHeight="1">
      <c r="B48" s="324"/>
      <c r="C48" s="349"/>
      <c r="D48" s="331"/>
      <c r="E48" s="331"/>
      <c r="F48" s="332"/>
      <c r="G48" s="331"/>
      <c r="H48" s="331"/>
      <c r="I48" s="331"/>
      <c r="J48" s="331"/>
      <c r="K48" s="331"/>
      <c r="L48" s="331"/>
      <c r="M48" s="331"/>
      <c r="N48" s="331"/>
      <c r="O48" s="367"/>
      <c r="P48" s="368"/>
      <c r="Q48" s="367"/>
      <c r="R48" s="324"/>
      <c r="S48" s="324"/>
      <c r="T48" s="353"/>
      <c r="U48" s="353"/>
      <c r="V48" s="353"/>
    </row>
    <row r="49" spans="2:22" ht="16.5" customHeight="1">
      <c r="B49" s="324"/>
      <c r="C49" s="349" t="s">
        <v>385</v>
      </c>
      <c r="D49" s="331"/>
      <c r="E49" s="331"/>
      <c r="F49" s="332"/>
      <c r="G49" s="331"/>
      <c r="H49" s="331"/>
      <c r="I49" s="331"/>
      <c r="J49" s="331"/>
      <c r="K49" s="331"/>
      <c r="L49" s="331"/>
      <c r="M49" s="331"/>
      <c r="N49" s="331"/>
      <c r="O49" s="798">
        <v>45</v>
      </c>
      <c r="P49" s="799"/>
      <c r="Q49" s="800"/>
      <c r="R49" s="324"/>
      <c r="S49" s="324"/>
      <c r="T49" s="353"/>
      <c r="U49" s="353"/>
      <c r="V49" s="353"/>
    </row>
    <row r="50" spans="2:22" ht="3" customHeight="1">
      <c r="B50" s="324"/>
      <c r="C50" s="349"/>
      <c r="D50" s="331"/>
      <c r="E50" s="331"/>
      <c r="F50" s="332"/>
      <c r="G50" s="331"/>
      <c r="H50" s="331"/>
      <c r="I50" s="331"/>
      <c r="J50" s="331"/>
      <c r="K50" s="331"/>
      <c r="L50" s="331"/>
      <c r="M50" s="331"/>
      <c r="N50" s="331"/>
      <c r="O50" s="367"/>
      <c r="P50" s="368"/>
      <c r="Q50" s="367"/>
      <c r="R50" s="324"/>
      <c r="S50" s="324"/>
      <c r="T50" s="353"/>
      <c r="U50" s="353"/>
      <c r="V50" s="353"/>
    </row>
    <row r="51" spans="2:22" ht="16.5" customHeight="1">
      <c r="B51" s="324"/>
      <c r="C51" s="349" t="s">
        <v>387</v>
      </c>
      <c r="D51" s="331"/>
      <c r="E51" s="331"/>
      <c r="F51" s="332"/>
      <c r="G51" s="331"/>
      <c r="H51" s="331"/>
      <c r="I51" s="331"/>
      <c r="J51" s="331"/>
      <c r="K51" s="331"/>
      <c r="L51" s="331"/>
      <c r="M51" s="331"/>
      <c r="N51" s="331"/>
      <c r="O51" s="801">
        <f>'Lists &amp; Rates'!A467</f>
        <v>0</v>
      </c>
      <c r="P51" s="802"/>
      <c r="Q51" s="803"/>
      <c r="R51" s="324"/>
      <c r="S51" s="324"/>
      <c r="T51" s="353"/>
      <c r="U51" s="353"/>
      <c r="V51" s="353"/>
    </row>
    <row r="52" spans="2:22" ht="3" customHeight="1">
      <c r="B52" s="324"/>
      <c r="C52" s="349"/>
      <c r="D52" s="331"/>
      <c r="E52" s="331"/>
      <c r="F52" s="332"/>
      <c r="G52" s="331"/>
      <c r="H52" s="331"/>
      <c r="I52" s="331"/>
      <c r="J52" s="331"/>
      <c r="K52" s="331"/>
      <c r="L52" s="331"/>
      <c r="M52" s="331"/>
      <c r="N52" s="331"/>
      <c r="O52" s="367"/>
      <c r="P52" s="368"/>
      <c r="Q52" s="367"/>
      <c r="R52" s="324"/>
      <c r="S52" s="324"/>
      <c r="T52" s="353"/>
      <c r="U52" s="353"/>
      <c r="V52" s="353"/>
    </row>
    <row r="53" spans="2:22" ht="16.5" customHeight="1">
      <c r="B53" s="324"/>
      <c r="C53" s="349" t="s">
        <v>388</v>
      </c>
      <c r="D53" s="331"/>
      <c r="E53" s="331"/>
      <c r="F53" s="332"/>
      <c r="G53" s="331"/>
      <c r="H53" s="331"/>
      <c r="I53" s="331"/>
      <c r="J53" s="331"/>
      <c r="K53" s="331"/>
      <c r="L53" s="331"/>
      <c r="M53" s="331"/>
      <c r="N53" s="331"/>
      <c r="O53" s="350">
        <f>(O51*O49)*4.3333</f>
        <v>0</v>
      </c>
      <c r="P53" s="331"/>
      <c r="Q53" s="350">
        <f>O53*12</f>
        <v>0</v>
      </c>
      <c r="R53" s="324"/>
      <c r="S53" s="324"/>
      <c r="T53" s="353"/>
      <c r="U53" s="353"/>
      <c r="V53" s="353"/>
    </row>
    <row r="54" spans="2:22" ht="3" customHeight="1">
      <c r="B54" s="324"/>
      <c r="C54" s="354"/>
      <c r="D54" s="324"/>
      <c r="E54" s="324"/>
      <c r="F54" s="325"/>
      <c r="G54" s="324"/>
      <c r="H54" s="324"/>
      <c r="I54" s="324"/>
      <c r="J54" s="324"/>
      <c r="K54" s="324"/>
      <c r="L54" s="324"/>
      <c r="M54" s="324"/>
      <c r="N54" s="324"/>
      <c r="O54" s="326"/>
      <c r="P54" s="324"/>
      <c r="Q54" s="326"/>
      <c r="R54" s="324"/>
      <c r="S54" s="324"/>
      <c r="T54" s="328"/>
    </row>
    <row r="55" spans="2:22" ht="16.5" customHeight="1">
      <c r="B55" s="324"/>
      <c r="C55" s="355" t="s">
        <v>25</v>
      </c>
      <c r="D55" s="356"/>
      <c r="E55" s="356"/>
      <c r="F55" s="357"/>
      <c r="G55" s="356"/>
      <c r="H55" s="356"/>
      <c r="I55" s="356"/>
      <c r="J55" s="356"/>
      <c r="K55" s="356"/>
      <c r="L55" s="356"/>
      <c r="M55" s="356"/>
      <c r="N55" s="356"/>
      <c r="O55" s="358"/>
      <c r="P55" s="356"/>
      <c r="Q55" s="358"/>
      <c r="R55" s="356"/>
      <c r="S55" s="324"/>
    </row>
    <row r="56" spans="2:22" ht="9.75" customHeight="1">
      <c r="B56" s="324"/>
      <c r="C56" s="354"/>
      <c r="D56" s="324"/>
      <c r="E56" s="324"/>
      <c r="F56" s="325"/>
      <c r="G56" s="324"/>
      <c r="H56" s="324"/>
      <c r="I56" s="324"/>
      <c r="J56" s="324"/>
      <c r="K56" s="324"/>
      <c r="L56" s="324"/>
      <c r="M56" s="324"/>
      <c r="N56" s="324"/>
      <c r="O56" s="326"/>
      <c r="P56" s="324"/>
      <c r="Q56" s="326"/>
      <c r="R56" s="324"/>
      <c r="S56" s="324"/>
    </row>
    <row r="57" spans="2:22" ht="16.5" customHeight="1">
      <c r="B57" s="324"/>
      <c r="C57" s="359" t="s">
        <v>293</v>
      </c>
      <c r="D57" s="360"/>
      <c r="E57" s="360"/>
      <c r="F57" s="360"/>
      <c r="G57" s="360"/>
      <c r="H57" s="360"/>
      <c r="I57" s="360"/>
      <c r="J57" s="360"/>
      <c r="K57" s="360"/>
      <c r="L57" s="360"/>
      <c r="M57" s="360"/>
      <c r="N57" s="360"/>
      <c r="O57" s="361"/>
      <c r="P57" s="360"/>
      <c r="Q57" s="361"/>
      <c r="R57" s="324"/>
      <c r="S57" s="324"/>
    </row>
    <row r="58" spans="2:22" ht="9.75" customHeight="1">
      <c r="B58" s="324"/>
      <c r="C58" s="362"/>
      <c r="D58" s="324"/>
      <c r="E58" s="324"/>
      <c r="F58" s="325"/>
      <c r="G58" s="324"/>
      <c r="H58" s="324"/>
      <c r="I58" s="324"/>
      <c r="J58" s="324"/>
      <c r="K58" s="324"/>
      <c r="L58" s="324"/>
      <c r="M58" s="324"/>
      <c r="N58" s="324"/>
      <c r="O58" s="326"/>
      <c r="P58" s="324"/>
      <c r="Q58" s="326"/>
      <c r="R58" s="324"/>
      <c r="S58" s="324"/>
    </row>
    <row r="59" spans="2:22" ht="3" customHeight="1">
      <c r="B59" s="324"/>
      <c r="C59" s="363"/>
      <c r="D59" s="331"/>
      <c r="E59" s="331"/>
      <c r="F59" s="332"/>
      <c r="G59" s="331"/>
      <c r="H59" s="331"/>
      <c r="I59" s="331"/>
      <c r="J59" s="331"/>
      <c r="K59" s="331"/>
      <c r="L59" s="331"/>
      <c r="M59" s="331"/>
      <c r="N59" s="331"/>
      <c r="O59" s="351"/>
      <c r="P59" s="331"/>
      <c r="Q59" s="351"/>
      <c r="R59" s="324"/>
      <c r="S59" s="324"/>
    </row>
    <row r="60" spans="2:22" ht="16.5" customHeight="1">
      <c r="B60" s="324"/>
      <c r="C60" s="363" t="s">
        <v>287</v>
      </c>
      <c r="D60" s="331"/>
      <c r="E60" s="331"/>
      <c r="F60" s="332"/>
      <c r="G60" s="331"/>
      <c r="H60" s="366"/>
      <c r="I60" s="366"/>
      <c r="J60" s="646">
        <f>IF(N10="ABI",13,12)</f>
        <v>12</v>
      </c>
      <c r="K60" s="366"/>
      <c r="L60" s="366"/>
      <c r="M60" s="366"/>
      <c r="N60" s="331"/>
      <c r="O60" s="385">
        <f>+Q60/J60</f>
        <v>5392.71</v>
      </c>
      <c r="P60" s="331"/>
      <c r="Q60" s="385">
        <f>IF(N18='Lists &amp; Rates'!A521,0,IFERROR('Lists &amp; Rates'!B220,0))</f>
        <v>64712.520000000004</v>
      </c>
      <c r="R60" s="324"/>
      <c r="S60" s="324"/>
      <c r="T60" s="328"/>
    </row>
    <row r="61" spans="2:22" ht="3" customHeight="1">
      <c r="B61" s="324"/>
      <c r="C61" s="363"/>
      <c r="D61" s="331"/>
      <c r="E61" s="331"/>
      <c r="F61" s="332"/>
      <c r="G61" s="331"/>
      <c r="H61" s="366"/>
      <c r="I61" s="366"/>
      <c r="J61" s="366"/>
      <c r="K61" s="366"/>
      <c r="L61" s="366"/>
      <c r="M61" s="366"/>
      <c r="N61" s="331"/>
      <c r="O61" s="367"/>
      <c r="P61" s="368"/>
      <c r="Q61" s="367"/>
      <c r="R61" s="324"/>
      <c r="S61" s="324"/>
    </row>
    <row r="62" spans="2:22" ht="16.5" customHeight="1">
      <c r="B62" s="324"/>
      <c r="C62" s="363" t="s">
        <v>288</v>
      </c>
      <c r="D62" s="331"/>
      <c r="E62" s="331"/>
      <c r="F62" s="369"/>
      <c r="G62" s="368"/>
      <c r="H62" s="623"/>
      <c r="I62" s="366"/>
      <c r="J62" s="366"/>
      <c r="K62" s="366"/>
      <c r="L62" s="624"/>
      <c r="M62" s="625"/>
      <c r="N62" s="331"/>
      <c r="O62" s="385">
        <f>+Q62/J60</f>
        <v>5392.71</v>
      </c>
      <c r="P62" s="368"/>
      <c r="Q62" s="385">
        <f>Q60</f>
        <v>64712.520000000004</v>
      </c>
      <c r="R62" s="324"/>
      <c r="S62" s="324"/>
      <c r="T62" s="629"/>
    </row>
    <row r="63" spans="2:22" ht="9.75" customHeight="1">
      <c r="B63" s="324"/>
      <c r="C63" s="370"/>
      <c r="D63" s="324"/>
      <c r="E63" s="324"/>
      <c r="F63" s="325"/>
      <c r="G63" s="324"/>
      <c r="H63" s="324"/>
      <c r="I63" s="324"/>
      <c r="J63" s="324"/>
      <c r="K63" s="324"/>
      <c r="L63" s="324"/>
      <c r="M63" s="371"/>
      <c r="N63" s="371"/>
      <c r="O63" s="371"/>
      <c r="P63" s="371"/>
      <c r="Q63" s="371"/>
      <c r="R63" s="324"/>
      <c r="S63" s="324"/>
    </row>
    <row r="64" spans="2:22" ht="16.5" customHeight="1">
      <c r="B64" s="324"/>
      <c r="C64" s="359" t="s">
        <v>286</v>
      </c>
      <c r="D64" s="372"/>
      <c r="E64" s="372"/>
      <c r="F64" s="372"/>
      <c r="G64" s="372"/>
      <c r="H64" s="372"/>
      <c r="I64" s="372"/>
      <c r="J64" s="372"/>
      <c r="K64" s="372"/>
      <c r="L64" s="372"/>
      <c r="M64" s="372"/>
      <c r="N64" s="372"/>
      <c r="O64" s="373"/>
      <c r="P64" s="372"/>
      <c r="Q64" s="373"/>
      <c r="R64" s="324"/>
      <c r="S64" s="324"/>
    </row>
    <row r="65" spans="2:23" ht="9.75" customHeight="1">
      <c r="B65" s="324"/>
      <c r="C65" s="363"/>
      <c r="D65" s="332"/>
      <c r="E65" s="332"/>
      <c r="F65" s="332"/>
      <c r="G65" s="331"/>
      <c r="H65" s="331"/>
      <c r="I65" s="331"/>
      <c r="J65" s="331"/>
      <c r="K65" s="331"/>
      <c r="L65" s="331"/>
      <c r="M65" s="331"/>
      <c r="N65" s="331"/>
      <c r="O65" s="351"/>
      <c r="P65" s="331"/>
      <c r="Q65" s="351"/>
      <c r="R65" s="324"/>
      <c r="S65" s="324"/>
    </row>
    <row r="66" spans="2:23" ht="16.5" customHeight="1">
      <c r="B66" s="324"/>
      <c r="C66" s="349" t="s">
        <v>459</v>
      </c>
      <c r="D66" s="331"/>
      <c r="E66" s="331"/>
      <c r="F66" s="332"/>
      <c r="G66" s="331"/>
      <c r="H66" s="331"/>
      <c r="I66" s="331"/>
      <c r="J66" s="331"/>
      <c r="K66" s="331"/>
      <c r="L66" s="331"/>
      <c r="M66" s="331"/>
      <c r="N66" s="331"/>
      <c r="O66" s="351"/>
      <c r="P66" s="331"/>
      <c r="Q66" s="351"/>
      <c r="R66" s="324"/>
      <c r="S66" s="324"/>
    </row>
    <row r="67" spans="2:23" ht="3" customHeight="1">
      <c r="B67" s="324"/>
      <c r="C67" s="363"/>
      <c r="D67" s="331"/>
      <c r="E67" s="331"/>
      <c r="F67" s="332"/>
      <c r="G67" s="331"/>
      <c r="H67" s="331"/>
      <c r="I67" s="331"/>
      <c r="J67" s="331"/>
      <c r="K67" s="331"/>
      <c r="L67" s="331"/>
      <c r="M67" s="331"/>
      <c r="N67" s="331"/>
      <c r="O67" s="351"/>
      <c r="P67" s="331"/>
      <c r="Q67" s="351"/>
      <c r="R67" s="324"/>
      <c r="S67" s="324"/>
    </row>
    <row r="68" spans="2:23" ht="15.75" customHeight="1">
      <c r="B68" s="324"/>
      <c r="C68" s="363" t="s">
        <v>460</v>
      </c>
      <c r="D68" s="331"/>
      <c r="E68" s="331"/>
      <c r="F68" s="332"/>
      <c r="G68" s="331"/>
      <c r="H68" s="331"/>
      <c r="I68" s="331"/>
      <c r="J68" s="331"/>
      <c r="K68" s="331"/>
      <c r="L68" s="331"/>
      <c r="M68" s="331"/>
      <c r="N68" s="331"/>
      <c r="O68" s="788">
        <f>IF(N18='Lists &amp; Rates'!A521,0,IF(Q60&gt;0,VLOOKUP(N10,'For Office Use'!B143:C147,2,0),0))</f>
        <v>9.5000000000000001E-2</v>
      </c>
      <c r="P68" s="789"/>
      <c r="Q68" s="790"/>
      <c r="R68" s="324"/>
      <c r="S68" s="324"/>
    </row>
    <row r="69" spans="2:23" ht="3" customHeight="1">
      <c r="B69" s="324"/>
      <c r="C69" s="363"/>
      <c r="D69" s="331"/>
      <c r="E69" s="331"/>
      <c r="F69" s="332"/>
      <c r="G69" s="331"/>
      <c r="H69" s="331"/>
      <c r="I69" s="331"/>
      <c r="J69" s="331"/>
      <c r="K69" s="331"/>
      <c r="L69" s="331"/>
      <c r="M69" s="331"/>
      <c r="N69" s="331"/>
      <c r="O69" s="351"/>
      <c r="P69" s="331"/>
      <c r="Q69" s="351"/>
      <c r="R69" s="324"/>
      <c r="S69" s="324"/>
    </row>
    <row r="70" spans="2:23" ht="15.75" customHeight="1">
      <c r="B70" s="324"/>
      <c r="C70" s="591" t="s">
        <v>462</v>
      </c>
      <c r="D70" s="331"/>
      <c r="E70" s="331"/>
      <c r="F70" s="332"/>
      <c r="G70" s="331"/>
      <c r="H70" s="331"/>
      <c r="I70" s="331"/>
      <c r="J70" s="331"/>
      <c r="K70" s="331"/>
      <c r="L70" s="331"/>
      <c r="M70" s="331"/>
      <c r="N70" s="331"/>
      <c r="O70" s="385">
        <f>O60*O68</f>
        <v>512.30745000000002</v>
      </c>
      <c r="P70" s="331"/>
      <c r="Q70" s="385">
        <f>+Q60*O68</f>
        <v>6147.6894000000002</v>
      </c>
      <c r="R70" s="324"/>
      <c r="S70" s="324"/>
      <c r="T70" s="328"/>
    </row>
    <row r="71" spans="2:23" ht="3" customHeight="1">
      <c r="B71" s="324"/>
      <c r="C71" s="363"/>
      <c r="D71" s="331"/>
      <c r="E71" s="331"/>
      <c r="F71" s="332"/>
      <c r="G71" s="331"/>
      <c r="H71" s="331"/>
      <c r="I71" s="331"/>
      <c r="J71" s="331"/>
      <c r="K71" s="331"/>
      <c r="L71" s="331"/>
      <c r="M71" s="331"/>
      <c r="N71" s="331"/>
      <c r="O71" s="351"/>
      <c r="P71" s="331"/>
      <c r="Q71" s="351"/>
      <c r="R71" s="324"/>
      <c r="S71" s="324"/>
    </row>
    <row r="72" spans="2:23" ht="15.75" customHeight="1">
      <c r="B72" s="324"/>
      <c r="C72" s="363" t="s">
        <v>352</v>
      </c>
      <c r="D72" s="331"/>
      <c r="E72" s="331"/>
      <c r="F72" s="810" t="s">
        <v>275</v>
      </c>
      <c r="G72" s="810"/>
      <c r="H72" s="810"/>
      <c r="I72" s="810"/>
      <c r="J72" s="810"/>
      <c r="K72" s="364">
        <v>0.03</v>
      </c>
      <c r="L72" s="365" t="s">
        <v>274</v>
      </c>
      <c r="M72" s="474">
        <f>'For Office Use'!C150</f>
        <v>7.0000000000000007E-2</v>
      </c>
      <c r="N72" s="331"/>
      <c r="O72" s="827">
        <v>0.03</v>
      </c>
      <c r="P72" s="796"/>
      <c r="Q72" s="797"/>
      <c r="R72" s="324"/>
      <c r="S72" s="324"/>
    </row>
    <row r="73" spans="2:23" ht="3" customHeight="1">
      <c r="B73" s="324"/>
      <c r="C73" s="363"/>
      <c r="D73" s="331"/>
      <c r="E73" s="331"/>
      <c r="F73" s="332"/>
      <c r="G73" s="331"/>
      <c r="H73" s="331"/>
      <c r="I73" s="331"/>
      <c r="J73" s="331"/>
      <c r="K73" s="331"/>
      <c r="L73" s="331"/>
      <c r="M73" s="331"/>
      <c r="N73" s="331"/>
      <c r="O73" s="351"/>
      <c r="P73" s="331"/>
      <c r="Q73" s="351"/>
      <c r="R73" s="324"/>
      <c r="S73" s="324"/>
    </row>
    <row r="74" spans="2:23" ht="15.75" customHeight="1">
      <c r="B74" s="324"/>
      <c r="C74" s="591" t="s">
        <v>463</v>
      </c>
      <c r="D74" s="331"/>
      <c r="E74" s="331"/>
      <c r="F74" s="332"/>
      <c r="G74" s="331"/>
      <c r="H74" s="331"/>
      <c r="I74" s="331"/>
      <c r="J74" s="331"/>
      <c r="K74" s="331"/>
      <c r="L74" s="331"/>
      <c r="M74" s="331"/>
      <c r="N74" s="331"/>
      <c r="O74" s="385">
        <f>O60*O72</f>
        <v>161.78129999999999</v>
      </c>
      <c r="P74" s="331"/>
      <c r="Q74" s="385">
        <f>+Q60*O72</f>
        <v>1941.3756000000001</v>
      </c>
      <c r="R74" s="324"/>
      <c r="S74" s="324"/>
    </row>
    <row r="75" spans="2:23" ht="3" customHeight="1">
      <c r="B75" s="324"/>
      <c r="C75" s="363"/>
      <c r="D75" s="331"/>
      <c r="E75" s="331"/>
      <c r="F75" s="332"/>
      <c r="G75" s="331"/>
      <c r="H75" s="331"/>
      <c r="I75" s="331"/>
      <c r="J75" s="331"/>
      <c r="K75" s="331"/>
      <c r="L75" s="331"/>
      <c r="M75" s="331"/>
      <c r="N75" s="331"/>
      <c r="O75" s="374"/>
      <c r="P75" s="374"/>
      <c r="Q75" s="374"/>
      <c r="R75" s="324"/>
      <c r="S75" s="324"/>
    </row>
    <row r="76" spans="2:23" s="377" customFormat="1" ht="16.5" customHeight="1">
      <c r="B76" s="331"/>
      <c r="C76" s="363" t="s">
        <v>356</v>
      </c>
      <c r="D76" s="331"/>
      <c r="E76" s="331"/>
      <c r="F76" s="332"/>
      <c r="G76" s="331"/>
      <c r="H76" s="331"/>
      <c r="I76" s="331"/>
      <c r="J76" s="331"/>
      <c r="K76" s="331"/>
      <c r="L76" s="331"/>
      <c r="M76" s="528" t="str">
        <f>IF(N18='Lists &amp; Rates'!A521,"","Voluntary")</f>
        <v>Voluntary</v>
      </c>
      <c r="N76" s="331"/>
      <c r="O76" s="795" t="s">
        <v>12</v>
      </c>
      <c r="P76" s="796"/>
      <c r="Q76" s="797"/>
      <c r="R76" s="331"/>
      <c r="S76" s="331"/>
      <c r="T76" s="375"/>
      <c r="U76" s="376"/>
      <c r="V76" s="376"/>
      <c r="W76" s="376"/>
    </row>
    <row r="77" spans="2:23" ht="3" customHeight="1">
      <c r="B77" s="324"/>
      <c r="C77" s="363"/>
      <c r="D77" s="331"/>
      <c r="E77" s="331"/>
      <c r="F77" s="332"/>
      <c r="G77" s="331"/>
      <c r="H77" s="331"/>
      <c r="I77" s="331"/>
      <c r="J77" s="331"/>
      <c r="K77" s="331"/>
      <c r="L77" s="331"/>
      <c r="M77" s="331"/>
      <c r="N77" s="331"/>
      <c r="O77" s="374"/>
      <c r="P77" s="374"/>
      <c r="Q77" s="374"/>
      <c r="R77" s="324"/>
      <c r="S77" s="324"/>
    </row>
    <row r="78" spans="2:23" ht="16.5" customHeight="1">
      <c r="B78" s="324"/>
      <c r="C78" s="591" t="s">
        <v>346</v>
      </c>
      <c r="D78" s="331"/>
      <c r="E78" s="331"/>
      <c r="F78" s="332"/>
      <c r="G78" s="331"/>
      <c r="H78" s="331"/>
      <c r="I78" s="331"/>
      <c r="J78" s="331"/>
      <c r="K78" s="331"/>
      <c r="L78" s="331"/>
      <c r="M78" s="331"/>
      <c r="N78" s="331"/>
      <c r="O78" s="791">
        <v>0.03</v>
      </c>
      <c r="P78" s="792"/>
      <c r="Q78" s="793"/>
      <c r="R78" s="324"/>
      <c r="S78" s="324"/>
    </row>
    <row r="79" spans="2:23" ht="3" customHeight="1">
      <c r="B79" s="324"/>
      <c r="C79" s="363"/>
      <c r="D79" s="331"/>
      <c r="E79" s="331"/>
      <c r="F79" s="332"/>
      <c r="G79" s="331"/>
      <c r="H79" s="331"/>
      <c r="I79" s="331"/>
      <c r="J79" s="331"/>
      <c r="K79" s="331"/>
      <c r="L79" s="331"/>
      <c r="M79" s="331"/>
      <c r="N79" s="331"/>
      <c r="O79" s="374"/>
      <c r="P79" s="374"/>
      <c r="Q79" s="374"/>
      <c r="R79" s="324"/>
      <c r="S79" s="324"/>
    </row>
    <row r="80" spans="2:23" ht="16.5" customHeight="1">
      <c r="B80" s="324"/>
      <c r="C80" s="591" t="s">
        <v>464</v>
      </c>
      <c r="D80" s="331"/>
      <c r="E80" s="331"/>
      <c r="F80" s="332"/>
      <c r="G80" s="331"/>
      <c r="H80" s="331"/>
      <c r="I80" s="331"/>
      <c r="J80" s="331"/>
      <c r="K80" s="331"/>
      <c r="L80" s="331"/>
      <c r="M80" s="331"/>
      <c r="N80" s="331"/>
      <c r="O80" s="497">
        <f>IF(O76="no",0,O60*O78)</f>
        <v>0</v>
      </c>
      <c r="P80" s="374"/>
      <c r="Q80" s="497">
        <f>IF(O76="no",0,Q60*O78)</f>
        <v>0</v>
      </c>
      <c r="R80" s="324"/>
      <c r="S80" s="324"/>
    </row>
    <row r="81" spans="2:20" ht="3" customHeight="1">
      <c r="B81" s="324"/>
      <c r="C81" s="363"/>
      <c r="D81" s="331"/>
      <c r="E81" s="331"/>
      <c r="F81" s="332"/>
      <c r="G81" s="331"/>
      <c r="H81" s="331"/>
      <c r="I81" s="331"/>
      <c r="J81" s="331"/>
      <c r="K81" s="331"/>
      <c r="L81" s="331"/>
      <c r="M81" s="331"/>
      <c r="N81" s="331"/>
      <c r="O81" s="374"/>
      <c r="P81" s="374"/>
      <c r="Q81" s="374"/>
      <c r="R81" s="324"/>
      <c r="S81" s="324"/>
    </row>
    <row r="82" spans="2:20" ht="16.5" customHeight="1">
      <c r="B82" s="324"/>
      <c r="C82" s="591" t="s">
        <v>461</v>
      </c>
      <c r="D82" s="331"/>
      <c r="E82" s="331"/>
      <c r="F82" s="332"/>
      <c r="G82" s="331"/>
      <c r="H82" s="331"/>
      <c r="I82" s="331"/>
      <c r="J82" s="331"/>
      <c r="K82" s="331"/>
      <c r="L82" s="331"/>
      <c r="M82" s="331"/>
      <c r="N82" s="331"/>
      <c r="O82" s="794">
        <f>IFERROR(O72+O78," ")</f>
        <v>0.06</v>
      </c>
      <c r="P82" s="789"/>
      <c r="Q82" s="790"/>
      <c r="R82" s="324"/>
      <c r="S82" s="324"/>
    </row>
    <row r="83" spans="2:20" ht="16.5" hidden="1" customHeight="1">
      <c r="B83" s="324"/>
      <c r="C83" s="349" t="s">
        <v>291</v>
      </c>
      <c r="D83" s="332"/>
      <c r="E83" s="332"/>
      <c r="F83" s="332"/>
      <c r="G83" s="331"/>
      <c r="H83" s="331"/>
      <c r="I83" s="331"/>
      <c r="J83" s="331"/>
      <c r="K83" s="331"/>
      <c r="L83" s="331"/>
      <c r="M83" s="331"/>
      <c r="N83" s="331"/>
      <c r="O83" s="351"/>
      <c r="P83" s="331"/>
      <c r="Q83" s="378"/>
      <c r="R83" s="324"/>
      <c r="S83" s="324"/>
    </row>
    <row r="84" spans="2:20" ht="3" hidden="1" customHeight="1">
      <c r="B84" s="324"/>
      <c r="C84" s="349"/>
      <c r="D84" s="332"/>
      <c r="E84" s="332"/>
      <c r="F84" s="332"/>
      <c r="G84" s="331"/>
      <c r="H84" s="331"/>
      <c r="I84" s="331"/>
      <c r="J84" s="331"/>
      <c r="K84" s="331"/>
      <c r="L84" s="331"/>
      <c r="M84" s="331"/>
      <c r="N84" s="331"/>
      <c r="O84" s="351"/>
      <c r="P84" s="331"/>
      <c r="Q84" s="378"/>
      <c r="R84" s="324"/>
      <c r="S84" s="324"/>
    </row>
    <row r="85" spans="2:20" ht="16.5" hidden="1" customHeight="1">
      <c r="B85" s="324"/>
      <c r="C85" s="363" t="s">
        <v>290</v>
      </c>
      <c r="D85" s="332"/>
      <c r="E85" s="332"/>
      <c r="F85" s="332"/>
      <c r="G85" s="331"/>
      <c r="H85" s="331"/>
      <c r="I85" s="331"/>
      <c r="J85" s="331"/>
      <c r="K85" s="331"/>
      <c r="L85" s="331"/>
      <c r="M85" s="379"/>
      <c r="N85" s="331"/>
      <c r="O85" s="350"/>
      <c r="P85" s="367"/>
      <c r="Q85" s="350">
        <f>O85*12</f>
        <v>0</v>
      </c>
      <c r="R85" s="324"/>
      <c r="S85" s="324"/>
    </row>
    <row r="86" spans="2:20" ht="3" hidden="1" customHeight="1">
      <c r="B86" s="324"/>
      <c r="C86" s="349"/>
      <c r="D86" s="332"/>
      <c r="E86" s="332"/>
      <c r="F86" s="332"/>
      <c r="G86" s="331"/>
      <c r="H86" s="331"/>
      <c r="I86" s="331"/>
      <c r="J86" s="331"/>
      <c r="K86" s="331"/>
      <c r="L86" s="331"/>
      <c r="M86" s="380"/>
      <c r="N86" s="331"/>
      <c r="O86" s="351"/>
      <c r="P86" s="331"/>
      <c r="Q86" s="378"/>
      <c r="R86" s="324"/>
      <c r="S86" s="324"/>
    </row>
    <row r="87" spans="2:20" ht="9.75" customHeight="1">
      <c r="B87" s="324"/>
      <c r="C87" s="383"/>
      <c r="D87" s="331"/>
      <c r="E87" s="331"/>
      <c r="F87" s="332"/>
      <c r="G87" s="331"/>
      <c r="H87" s="331"/>
      <c r="I87" s="331"/>
      <c r="J87" s="331"/>
      <c r="K87" s="331"/>
      <c r="L87" s="331"/>
      <c r="M87" s="331"/>
      <c r="N87" s="331"/>
      <c r="O87" s="351"/>
      <c r="P87" s="331"/>
      <c r="Q87" s="381"/>
      <c r="R87" s="324"/>
      <c r="S87" s="324"/>
    </row>
    <row r="88" spans="2:20" ht="16.5" customHeight="1">
      <c r="B88" s="324"/>
      <c r="C88" s="359" t="s">
        <v>15</v>
      </c>
      <c r="D88" s="372"/>
      <c r="E88" s="372"/>
      <c r="F88" s="372"/>
      <c r="G88" s="372"/>
      <c r="H88" s="372"/>
      <c r="I88" s="372"/>
      <c r="J88" s="372"/>
      <c r="K88" s="372"/>
      <c r="L88" s="372"/>
      <c r="M88" s="372"/>
      <c r="N88" s="372"/>
      <c r="O88" s="373"/>
      <c r="P88" s="372"/>
      <c r="Q88" s="373"/>
      <c r="R88" s="324"/>
      <c r="S88" s="324"/>
    </row>
    <row r="89" spans="2:20" ht="9.75" customHeight="1">
      <c r="B89" s="324"/>
      <c r="C89" s="363"/>
      <c r="D89" s="331"/>
      <c r="E89" s="331"/>
      <c r="F89" s="332"/>
      <c r="G89" s="331"/>
      <c r="H89" s="331"/>
      <c r="I89" s="331"/>
      <c r="J89" s="331"/>
      <c r="K89" s="331"/>
      <c r="L89" s="331"/>
      <c r="M89" s="331"/>
      <c r="N89" s="331"/>
      <c r="O89" s="351"/>
      <c r="P89" s="331"/>
      <c r="Q89" s="351"/>
      <c r="R89" s="324"/>
      <c r="S89" s="324"/>
    </row>
    <row r="90" spans="2:20" ht="16.5" customHeight="1">
      <c r="B90" s="324"/>
      <c r="C90" s="363" t="s">
        <v>289</v>
      </c>
      <c r="D90" s="331"/>
      <c r="E90" s="331"/>
      <c r="F90" s="332"/>
      <c r="G90" s="331"/>
      <c r="H90" s="331"/>
      <c r="I90" s="331"/>
      <c r="J90" s="384"/>
      <c r="K90" s="331"/>
      <c r="L90" s="331"/>
      <c r="M90" s="331"/>
      <c r="N90" s="331"/>
      <c r="O90" s="385">
        <f>IF(N18='Lists &amp; Rates'!A521,0,IF(Q47&gt;0,'For Office Use'!C152,0))</f>
        <v>2.29</v>
      </c>
      <c r="P90" s="331"/>
      <c r="Q90" s="385">
        <f>IFERROR(O90*12,0)</f>
        <v>27.48</v>
      </c>
      <c r="R90" s="324"/>
      <c r="S90" s="324"/>
    </row>
    <row r="91" spans="2:20" ht="9.75" customHeight="1">
      <c r="B91" s="324"/>
      <c r="C91" s="349"/>
      <c r="D91" s="331"/>
      <c r="E91" s="331"/>
      <c r="F91" s="332"/>
      <c r="G91" s="331"/>
      <c r="H91" s="331"/>
      <c r="I91" s="331"/>
      <c r="J91" s="331"/>
      <c r="K91" s="331"/>
      <c r="L91" s="331"/>
      <c r="M91" s="331"/>
      <c r="N91" s="331"/>
      <c r="O91" s="351"/>
      <c r="P91" s="331"/>
      <c r="Q91" s="351"/>
      <c r="R91" s="324"/>
      <c r="S91" s="324"/>
    </row>
    <row r="92" spans="2:20" ht="16.5" customHeight="1">
      <c r="B92" s="324"/>
      <c r="C92" s="386" t="s">
        <v>27</v>
      </c>
      <c r="D92" s="387"/>
      <c r="E92" s="387"/>
      <c r="F92" s="388"/>
      <c r="G92" s="387"/>
      <c r="H92" s="387"/>
      <c r="I92" s="387"/>
      <c r="J92" s="387"/>
      <c r="K92" s="387"/>
      <c r="L92" s="387"/>
      <c r="M92" s="387"/>
      <c r="N92" s="387"/>
      <c r="O92" s="389"/>
      <c r="P92" s="387"/>
      <c r="Q92" s="390"/>
      <c r="R92" s="356"/>
      <c r="S92" s="324"/>
    </row>
    <row r="93" spans="2:20" ht="12.75" customHeight="1">
      <c r="B93" s="324"/>
      <c r="C93" s="331"/>
      <c r="D93" s="331"/>
      <c r="E93" s="331"/>
      <c r="F93" s="332"/>
      <c r="G93" s="331"/>
      <c r="H93" s="331"/>
      <c r="I93" s="331"/>
      <c r="J93" s="331"/>
      <c r="K93" s="331"/>
      <c r="L93" s="331"/>
      <c r="M93" s="331"/>
      <c r="N93" s="331"/>
      <c r="O93" s="351"/>
      <c r="P93" s="331"/>
      <c r="Q93" s="391" t="str">
        <f>IF(Q94="Yes","Please submit letter of confirmation to Human Resources to this effect","Membership on a Medical Aid is compulsory for all staff ")</f>
        <v xml:space="preserve">Membership on a Medical Aid is compulsory for all staff </v>
      </c>
      <c r="R93" s="324"/>
      <c r="S93" s="324"/>
    </row>
    <row r="94" spans="2:20" ht="16.5" customHeight="1">
      <c r="B94" s="324"/>
      <c r="C94" s="545" t="s">
        <v>405</v>
      </c>
      <c r="D94" s="331"/>
      <c r="E94" s="331"/>
      <c r="F94" s="332"/>
      <c r="G94" s="331"/>
      <c r="H94" s="331"/>
      <c r="I94" s="331"/>
      <c r="J94" s="331"/>
      <c r="K94" s="331"/>
      <c r="L94" s="331"/>
      <c r="M94" s="368"/>
      <c r="N94" s="331"/>
      <c r="O94" s="392"/>
      <c r="P94" s="393"/>
      <c r="Q94" s="311" t="s">
        <v>12</v>
      </c>
      <c r="R94" s="324"/>
      <c r="S94" s="324"/>
      <c r="T94" s="630"/>
    </row>
    <row r="95" spans="2:20" ht="3" customHeight="1">
      <c r="B95" s="324"/>
      <c r="C95" s="333"/>
      <c r="D95" s="331"/>
      <c r="E95" s="331"/>
      <c r="F95" s="332"/>
      <c r="G95" s="331"/>
      <c r="H95" s="331"/>
      <c r="I95" s="331"/>
      <c r="J95" s="331"/>
      <c r="K95" s="331"/>
      <c r="L95" s="331"/>
      <c r="M95" s="331"/>
      <c r="N95" s="331"/>
      <c r="O95" s="351"/>
      <c r="P95" s="331"/>
      <c r="Q95" s="351"/>
      <c r="R95" s="324"/>
      <c r="S95" s="324"/>
    </row>
    <row r="96" spans="2:20" ht="16.5" customHeight="1">
      <c r="B96" s="324"/>
      <c r="C96" s="333" t="s">
        <v>14</v>
      </c>
      <c r="D96" s="331"/>
      <c r="E96" s="331"/>
      <c r="F96" s="332"/>
      <c r="G96" s="331"/>
      <c r="H96" s="331"/>
      <c r="I96" s="331"/>
      <c r="J96" s="331"/>
      <c r="K96" s="331"/>
      <c r="L96" s="331"/>
      <c r="M96" s="391"/>
      <c r="N96" s="331"/>
      <c r="O96" s="770" t="s">
        <v>285</v>
      </c>
      <c r="P96" s="771"/>
      <c r="Q96" s="772"/>
      <c r="R96" s="324"/>
      <c r="S96" s="324"/>
    </row>
    <row r="97" spans="2:19">
      <c r="B97" s="324"/>
      <c r="C97" s="726" t="s">
        <v>526</v>
      </c>
      <c r="D97" s="331"/>
      <c r="E97" s="331"/>
      <c r="F97" s="332"/>
      <c r="G97" s="331"/>
      <c r="H97" s="331"/>
      <c r="I97" s="331"/>
      <c r="J97" s="331"/>
      <c r="K97" s="331"/>
      <c r="L97" s="331"/>
      <c r="M97" s="331"/>
      <c r="N97" s="331"/>
      <c r="O97" s="351"/>
      <c r="P97" s="331"/>
      <c r="Q97" s="351"/>
      <c r="R97" s="324"/>
      <c r="S97" s="324"/>
    </row>
    <row r="98" spans="2:19" ht="16.5" customHeight="1">
      <c r="B98" s="324"/>
      <c r="C98" s="727" t="s">
        <v>503</v>
      </c>
      <c r="D98" s="331"/>
      <c r="E98" s="331"/>
      <c r="F98" s="332"/>
      <c r="G98" s="331"/>
      <c r="H98" s="331"/>
      <c r="I98" s="331"/>
      <c r="J98" s="331"/>
      <c r="K98" s="331"/>
      <c r="L98" s="331"/>
      <c r="M98" s="738" t="s">
        <v>509</v>
      </c>
      <c r="N98" s="331"/>
      <c r="O98" s="394"/>
      <c r="P98" s="395"/>
      <c r="Q98" s="495" t="s">
        <v>12</v>
      </c>
      <c r="R98" s="705">
        <f>IF(Q98="YES",1,0)</f>
        <v>0</v>
      </c>
      <c r="S98" s="324"/>
    </row>
    <row r="99" spans="2:19" ht="3" customHeight="1">
      <c r="B99" s="324"/>
      <c r="C99" s="728"/>
      <c r="D99" s="331"/>
      <c r="E99" s="331"/>
      <c r="F99" s="332"/>
      <c r="G99" s="331"/>
      <c r="H99" s="331"/>
      <c r="I99" s="331"/>
      <c r="J99" s="331"/>
      <c r="K99" s="331"/>
      <c r="L99" s="331"/>
      <c r="M99" s="81"/>
      <c r="N99" s="331"/>
      <c r="O99" s="351"/>
      <c r="P99" s="331"/>
      <c r="Q99" s="351"/>
      <c r="R99" s="324"/>
      <c r="S99" s="324"/>
    </row>
    <row r="100" spans="2:19" ht="16.5" customHeight="1">
      <c r="B100" s="324"/>
      <c r="C100" s="729" t="s">
        <v>529</v>
      </c>
      <c r="D100" s="331"/>
      <c r="E100" s="331"/>
      <c r="F100" s="332"/>
      <c r="G100" s="331"/>
      <c r="H100" s="331"/>
      <c r="I100" s="331"/>
      <c r="J100" s="331"/>
      <c r="K100" s="331"/>
      <c r="L100" s="331"/>
      <c r="M100" s="738" t="s">
        <v>509</v>
      </c>
      <c r="N100" s="331"/>
      <c r="O100" s="394"/>
      <c r="P100" s="395"/>
      <c r="Q100" s="495">
        <v>0</v>
      </c>
      <c r="R100" s="324"/>
      <c r="S100" s="324"/>
    </row>
    <row r="101" spans="2:19" ht="3" customHeight="1">
      <c r="B101" s="324"/>
      <c r="C101" s="728"/>
      <c r="D101" s="331"/>
      <c r="E101" s="331"/>
      <c r="F101" s="332"/>
      <c r="G101" s="331"/>
      <c r="H101" s="331"/>
      <c r="I101" s="331"/>
      <c r="J101" s="331"/>
      <c r="K101" s="331"/>
      <c r="L101" s="331"/>
      <c r="M101" s="81"/>
      <c r="N101" s="331"/>
      <c r="O101" s="351"/>
      <c r="P101" s="331"/>
      <c r="Q101" s="351"/>
      <c r="R101" s="324"/>
      <c r="S101" s="324"/>
    </row>
    <row r="102" spans="2:19" ht="16.5" customHeight="1">
      <c r="B102" s="324"/>
      <c r="C102" s="739" t="s">
        <v>530</v>
      </c>
      <c r="D102" s="331"/>
      <c r="E102" s="331"/>
      <c r="F102" s="332"/>
      <c r="G102" s="331"/>
      <c r="H102" s="331"/>
      <c r="I102" s="331"/>
      <c r="J102" s="331"/>
      <c r="K102" s="331"/>
      <c r="L102" s="331"/>
      <c r="M102" s="738" t="s">
        <v>510</v>
      </c>
      <c r="N102" s="331"/>
      <c r="O102" s="394"/>
      <c r="P102" s="395"/>
      <c r="Q102" s="495">
        <v>0</v>
      </c>
      <c r="R102" s="324"/>
      <c r="S102" s="324"/>
    </row>
    <row r="103" spans="2:19">
      <c r="B103" s="324"/>
      <c r="C103" s="726" t="s">
        <v>527</v>
      </c>
      <c r="D103" s="331"/>
      <c r="E103" s="331"/>
      <c r="F103" s="332"/>
      <c r="G103" s="331"/>
      <c r="H103" s="331"/>
      <c r="I103" s="331"/>
      <c r="J103" s="331"/>
      <c r="K103" s="331"/>
      <c r="L103" s="331"/>
      <c r="M103" s="81"/>
      <c r="N103" s="331"/>
      <c r="O103" s="351"/>
      <c r="P103" s="331"/>
      <c r="Q103" s="351"/>
      <c r="R103" s="324"/>
      <c r="S103" s="324"/>
    </row>
    <row r="104" spans="2:19" ht="16.5" customHeight="1">
      <c r="B104" s="324"/>
      <c r="C104" s="729" t="s">
        <v>524</v>
      </c>
      <c r="D104" s="331"/>
      <c r="E104" s="331"/>
      <c r="F104" s="332"/>
      <c r="G104" s="331"/>
      <c r="H104" s="331"/>
      <c r="I104" s="331"/>
      <c r="J104" s="331"/>
      <c r="K104" s="331"/>
      <c r="L104" s="331"/>
      <c r="M104" s="738" t="s">
        <v>509</v>
      </c>
      <c r="N104" s="331"/>
      <c r="O104" s="394"/>
      <c r="P104" s="395"/>
      <c r="Q104" s="495">
        <v>0</v>
      </c>
      <c r="R104" s="324"/>
      <c r="S104" s="324"/>
    </row>
    <row r="105" spans="2:19" ht="3" customHeight="1">
      <c r="B105" s="324"/>
      <c r="C105" s="728"/>
      <c r="D105" s="331"/>
      <c r="E105" s="331"/>
      <c r="F105" s="332"/>
      <c r="G105" s="331"/>
      <c r="H105" s="331"/>
      <c r="I105" s="331"/>
      <c r="J105" s="331"/>
      <c r="K105" s="331"/>
      <c r="L105" s="331"/>
      <c r="M105" s="81"/>
      <c r="N105" s="331"/>
      <c r="O105" s="351"/>
      <c r="P105" s="331"/>
      <c r="Q105" s="351"/>
      <c r="R105" s="324"/>
      <c r="S105" s="324"/>
    </row>
    <row r="106" spans="2:19" ht="16.5" customHeight="1">
      <c r="B106" s="324"/>
      <c r="C106" s="729" t="s">
        <v>525</v>
      </c>
      <c r="D106" s="331"/>
      <c r="E106" s="331"/>
      <c r="F106" s="332"/>
      <c r="G106" s="331"/>
      <c r="H106" s="331"/>
      <c r="I106" s="331"/>
      <c r="J106" s="331"/>
      <c r="K106" s="331"/>
      <c r="L106" s="331"/>
      <c r="M106" s="738" t="s">
        <v>510</v>
      </c>
      <c r="N106" s="331"/>
      <c r="O106" s="394"/>
      <c r="P106" s="395"/>
      <c r="Q106" s="495">
        <v>0</v>
      </c>
      <c r="R106" s="324"/>
      <c r="S106" s="324"/>
    </row>
    <row r="107" spans="2:19" ht="3" customHeight="1">
      <c r="B107" s="324"/>
      <c r="C107" s="333"/>
      <c r="D107" s="331"/>
      <c r="E107" s="331"/>
      <c r="F107" s="332"/>
      <c r="G107" s="331"/>
      <c r="H107" s="331"/>
      <c r="I107" s="331"/>
      <c r="J107" s="331"/>
      <c r="K107" s="331"/>
      <c r="L107" s="331"/>
      <c r="M107" s="331"/>
      <c r="N107" s="331"/>
      <c r="O107" s="351"/>
      <c r="P107" s="331"/>
      <c r="Q107" s="351"/>
      <c r="R107" s="324"/>
      <c r="S107" s="324"/>
    </row>
    <row r="108" spans="2:19" ht="16.5" customHeight="1">
      <c r="B108" s="324"/>
      <c r="C108" s="545" t="s">
        <v>504</v>
      </c>
      <c r="D108" s="331"/>
      <c r="E108" s="331"/>
      <c r="F108" s="332"/>
      <c r="G108" s="331"/>
      <c r="H108" s="331"/>
      <c r="I108" s="331"/>
      <c r="J108" s="331"/>
      <c r="K108" s="331"/>
      <c r="L108" s="331"/>
      <c r="M108" s="331"/>
      <c r="N108" s="331"/>
      <c r="O108" s="385">
        <f>'For Office Use'!I99</f>
        <v>579.5</v>
      </c>
      <c r="P108" s="331"/>
      <c r="Q108" s="385">
        <f>IFERROR(O108*12," ")</f>
        <v>6954</v>
      </c>
      <c r="R108" s="324"/>
      <c r="S108" s="324"/>
    </row>
    <row r="109" spans="2:19" ht="3" customHeight="1">
      <c r="B109" s="324"/>
      <c r="C109" s="333"/>
      <c r="D109" s="331"/>
      <c r="E109" s="331"/>
      <c r="F109" s="332"/>
      <c r="G109" s="331"/>
      <c r="H109" s="331"/>
      <c r="I109" s="331"/>
      <c r="J109" s="331"/>
      <c r="K109" s="331"/>
      <c r="L109" s="331"/>
      <c r="M109" s="331"/>
      <c r="N109" s="331"/>
      <c r="O109" s="351"/>
      <c r="P109" s="331"/>
      <c r="Q109" s="351"/>
      <c r="R109" s="324"/>
      <c r="S109" s="324"/>
    </row>
    <row r="110" spans="2:19" ht="16.5" customHeight="1">
      <c r="B110" s="324"/>
      <c r="C110" s="545" t="s">
        <v>505</v>
      </c>
      <c r="D110" s="331"/>
      <c r="E110" s="331"/>
      <c r="F110" s="332"/>
      <c r="G110" s="331"/>
      <c r="H110" s="331"/>
      <c r="I110" s="331"/>
      <c r="J110" s="331"/>
      <c r="K110" s="331"/>
      <c r="L110" s="331"/>
      <c r="M110" s="331"/>
      <c r="N110" s="331"/>
      <c r="O110" s="385">
        <f>'For Office Use'!I98</f>
        <v>579.5</v>
      </c>
      <c r="P110" s="331"/>
      <c r="Q110" s="385">
        <f>IFERROR(O110*12," ")</f>
        <v>6954</v>
      </c>
      <c r="R110" s="324"/>
      <c r="S110" s="324"/>
    </row>
    <row r="111" spans="2:19" ht="3" customHeight="1">
      <c r="B111" s="324"/>
      <c r="C111" s="333"/>
      <c r="D111" s="331"/>
      <c r="E111" s="331"/>
      <c r="F111" s="332"/>
      <c r="G111" s="331"/>
      <c r="H111" s="331"/>
      <c r="I111" s="331"/>
      <c r="J111" s="331"/>
      <c r="K111" s="331"/>
      <c r="L111" s="331"/>
      <c r="M111" s="331"/>
      <c r="N111" s="331"/>
      <c r="O111" s="351"/>
      <c r="P111" s="331"/>
      <c r="Q111" s="351"/>
      <c r="R111" s="324"/>
      <c r="S111" s="324"/>
    </row>
    <row r="112" spans="2:19" ht="16.5" customHeight="1">
      <c r="B112" s="324"/>
      <c r="C112" s="725" t="s">
        <v>528</v>
      </c>
      <c r="D112" s="331"/>
      <c r="E112" s="331"/>
      <c r="F112" s="332"/>
      <c r="G112" s="331"/>
      <c r="H112" s="331"/>
      <c r="I112" s="331"/>
      <c r="J112" s="331"/>
      <c r="K112" s="331"/>
      <c r="L112" s="331"/>
      <c r="M112" s="331"/>
      <c r="N112" s="331"/>
      <c r="O112" s="385">
        <f>+O110+O108</f>
        <v>1159</v>
      </c>
      <c r="P112" s="331"/>
      <c r="Q112" s="385">
        <f>+Q110+Q108</f>
        <v>13908</v>
      </c>
      <c r="R112" s="324"/>
      <c r="S112" s="324"/>
    </row>
    <row r="113" spans="2:20" ht="9.75" customHeight="1">
      <c r="B113" s="324"/>
      <c r="C113" s="331"/>
      <c r="D113" s="331"/>
      <c r="E113" s="331"/>
      <c r="F113" s="332"/>
      <c r="G113" s="331"/>
      <c r="H113" s="331"/>
      <c r="I113" s="331"/>
      <c r="J113" s="331"/>
      <c r="K113" s="331"/>
      <c r="L113" s="331"/>
      <c r="M113" s="331"/>
      <c r="N113" s="331"/>
      <c r="O113" s="351"/>
      <c r="P113" s="331"/>
      <c r="Q113" s="351"/>
      <c r="R113" s="324"/>
      <c r="S113" s="324"/>
    </row>
    <row r="114" spans="2:20" ht="16.5" customHeight="1">
      <c r="B114" s="324"/>
      <c r="C114" s="386" t="s">
        <v>406</v>
      </c>
      <c r="D114" s="387"/>
      <c r="E114" s="387"/>
      <c r="F114" s="388"/>
      <c r="G114" s="387"/>
      <c r="H114" s="387"/>
      <c r="I114" s="387"/>
      <c r="J114" s="387"/>
      <c r="K114" s="387"/>
      <c r="L114" s="387"/>
      <c r="M114" s="387"/>
      <c r="N114" s="387"/>
      <c r="O114" s="389"/>
      <c r="P114" s="387"/>
      <c r="Q114" s="389"/>
      <c r="R114" s="356"/>
      <c r="S114" s="324"/>
    </row>
    <row r="115" spans="2:20" ht="9.75" customHeight="1">
      <c r="B115" s="324"/>
      <c r="C115" s="331"/>
      <c r="D115" s="331"/>
      <c r="E115" s="331"/>
      <c r="F115" s="332"/>
      <c r="G115" s="331"/>
      <c r="H115" s="331"/>
      <c r="I115" s="331"/>
      <c r="J115" s="331"/>
      <c r="K115" s="331"/>
      <c r="L115" s="331"/>
      <c r="M115" s="331"/>
      <c r="N115" s="331"/>
      <c r="O115" s="351"/>
      <c r="P115" s="331"/>
      <c r="Q115" s="351"/>
      <c r="R115" s="324"/>
      <c r="S115" s="324"/>
    </row>
    <row r="116" spans="2:20" ht="16.5" customHeight="1">
      <c r="B116" s="324"/>
      <c r="C116" s="545" t="s">
        <v>407</v>
      </c>
      <c r="D116" s="331"/>
      <c r="E116" s="331"/>
      <c r="F116" s="332"/>
      <c r="G116" s="331"/>
      <c r="H116" s="331"/>
      <c r="I116" s="331"/>
      <c r="J116" s="331"/>
      <c r="K116" s="331"/>
      <c r="L116" s="331"/>
      <c r="M116" s="412" t="str">
        <f>IF(N10='Lists &amp; Rates'!A13,"If the employee terminates employment before 31 December of the year - will receive pro-rated amount","")</f>
        <v/>
      </c>
      <c r="N116" s="331"/>
      <c r="O116" s="394"/>
      <c r="P116" s="396"/>
      <c r="Q116" s="498">
        <f>IF(N18='Lists &amp; Rates'!A521,0,(IF(OR(N16='Lists &amp; Rates'!A61,N16='Lists &amp; Rates'!A63),'Lists &amp; Rates'!E285,0)))</f>
        <v>5392.71</v>
      </c>
      <c r="R116" s="324"/>
      <c r="S116" s="324"/>
    </row>
    <row r="117" spans="2:20" ht="3" customHeight="1">
      <c r="B117" s="324"/>
      <c r="C117" s="331"/>
      <c r="D117" s="331"/>
      <c r="E117" s="331"/>
      <c r="F117" s="332"/>
      <c r="G117" s="331"/>
      <c r="H117" s="331"/>
      <c r="I117" s="331"/>
      <c r="J117" s="331"/>
      <c r="K117" s="331"/>
      <c r="L117" s="331"/>
      <c r="M117" s="331"/>
      <c r="N117" s="331"/>
      <c r="O117" s="351"/>
      <c r="P117" s="331"/>
      <c r="Q117" s="351"/>
      <c r="R117" s="324"/>
      <c r="S117" s="324"/>
    </row>
    <row r="118" spans="2:20" ht="16.5" customHeight="1">
      <c r="B118" s="324"/>
      <c r="C118" s="333" t="s">
        <v>295</v>
      </c>
      <c r="D118" s="331"/>
      <c r="E118" s="331"/>
      <c r="F118" s="332"/>
      <c r="G118" s="331"/>
      <c r="H118" s="331"/>
      <c r="I118" s="331"/>
      <c r="J118" s="331"/>
      <c r="K118" s="331"/>
      <c r="L118" s="331"/>
      <c r="M118" s="528" t="s">
        <v>357</v>
      </c>
      <c r="N118" s="331"/>
      <c r="O118" s="392"/>
      <c r="P118" s="393"/>
      <c r="Q118" s="475" t="s">
        <v>53</v>
      </c>
      <c r="R118" s="324"/>
      <c r="S118" s="324"/>
    </row>
    <row r="119" spans="2:20" ht="9.75" customHeight="1">
      <c r="B119" s="324"/>
      <c r="C119" s="331"/>
      <c r="D119" s="331"/>
      <c r="E119" s="331"/>
      <c r="F119" s="332"/>
      <c r="G119" s="331"/>
      <c r="H119" s="331"/>
      <c r="I119" s="331"/>
      <c r="J119" s="331"/>
      <c r="K119" s="331"/>
      <c r="L119" s="331"/>
      <c r="M119" s="331"/>
      <c r="N119" s="331"/>
      <c r="O119" s="351"/>
      <c r="P119" s="331"/>
      <c r="Q119" s="351"/>
      <c r="R119" s="324"/>
      <c r="S119" s="324"/>
    </row>
    <row r="120" spans="2:20" ht="16.5" customHeight="1">
      <c r="B120" s="324"/>
      <c r="C120" s="386" t="s">
        <v>410</v>
      </c>
      <c r="D120" s="387"/>
      <c r="E120" s="387"/>
      <c r="F120" s="388"/>
      <c r="G120" s="387"/>
      <c r="H120" s="387"/>
      <c r="I120" s="387"/>
      <c r="J120" s="387"/>
      <c r="K120" s="387"/>
      <c r="L120" s="387"/>
      <c r="M120" s="387"/>
      <c r="N120" s="387"/>
      <c r="O120" s="389"/>
      <c r="P120" s="387"/>
      <c r="Q120" s="389"/>
      <c r="R120" s="356"/>
      <c r="S120" s="324"/>
    </row>
    <row r="121" spans="2:20" ht="9.75" customHeight="1">
      <c r="B121" s="324"/>
      <c r="C121" s="331"/>
      <c r="D121" s="331"/>
      <c r="E121" s="331"/>
      <c r="F121" s="332"/>
      <c r="G121" s="331"/>
      <c r="H121" s="331"/>
      <c r="I121" s="331"/>
      <c r="J121" s="331"/>
      <c r="K121" s="331"/>
      <c r="L121" s="331"/>
      <c r="M121" s="331"/>
      <c r="N121" s="331"/>
      <c r="O121" s="351"/>
      <c r="P121" s="331"/>
      <c r="Q121" s="351"/>
      <c r="R121" s="324"/>
      <c r="S121" s="324"/>
    </row>
    <row r="122" spans="2:20" ht="16.5" customHeight="1">
      <c r="B122" s="324"/>
      <c r="C122" s="397" t="s">
        <v>327</v>
      </c>
      <c r="D122" s="331"/>
      <c r="E122" s="331"/>
      <c r="F122" s="413"/>
      <c r="G122" s="413"/>
      <c r="H122" s="413"/>
      <c r="I122" s="413"/>
      <c r="J122" s="413"/>
      <c r="K122" s="413"/>
      <c r="L122" s="413"/>
      <c r="M122" s="412"/>
      <c r="N122" s="331"/>
      <c r="O122" s="817"/>
      <c r="P122" s="818"/>
      <c r="Q122" s="819"/>
      <c r="R122" s="324"/>
      <c r="S122" s="324"/>
    </row>
    <row r="123" spans="2:20" ht="3" customHeight="1">
      <c r="B123" s="324"/>
      <c r="C123" s="331"/>
      <c r="D123" s="331"/>
      <c r="E123" s="331"/>
      <c r="F123" s="413"/>
      <c r="G123" s="413"/>
      <c r="H123" s="413"/>
      <c r="I123" s="413"/>
      <c r="J123" s="413"/>
      <c r="K123" s="413"/>
      <c r="L123" s="413"/>
      <c r="M123" s="413"/>
      <c r="N123" s="331"/>
      <c r="O123" s="351"/>
      <c r="P123" s="331"/>
      <c r="Q123" s="351"/>
      <c r="R123" s="324"/>
      <c r="S123" s="324"/>
    </row>
    <row r="124" spans="2:20" ht="16.5" customHeight="1">
      <c r="B124" s="324"/>
      <c r="C124" s="480" t="s">
        <v>374</v>
      </c>
      <c r="D124" s="331"/>
      <c r="E124" s="331"/>
      <c r="F124" s="413"/>
      <c r="G124" s="413"/>
      <c r="H124" s="546" t="str">
        <f>IF(O122="Company Car",0,"None")</f>
        <v>None</v>
      </c>
      <c r="I124" s="413"/>
      <c r="J124" s="413"/>
      <c r="K124" s="413" t="str">
        <f>IF(O122="Car Allowance","None"," ")</f>
        <v xml:space="preserve"> </v>
      </c>
      <c r="L124" s="413"/>
      <c r="M124" s="413"/>
      <c r="N124" s="331"/>
      <c r="O124" s="817">
        <v>500000</v>
      </c>
      <c r="P124" s="818"/>
      <c r="Q124" s="819"/>
      <c r="R124" s="324"/>
      <c r="S124" s="324"/>
    </row>
    <row r="125" spans="2:20" ht="3" customHeight="1">
      <c r="B125" s="324"/>
      <c r="C125" s="331"/>
      <c r="D125" s="331"/>
      <c r="E125" s="331"/>
      <c r="F125" s="413"/>
      <c r="G125" s="413"/>
      <c r="H125" s="413"/>
      <c r="I125" s="413"/>
      <c r="J125" s="413"/>
      <c r="K125" s="413"/>
      <c r="L125" s="413"/>
      <c r="M125" s="331"/>
      <c r="N125" s="331"/>
      <c r="O125" s="351"/>
      <c r="P125" s="331"/>
      <c r="Q125" s="351"/>
      <c r="R125" s="324"/>
      <c r="S125" s="324"/>
    </row>
    <row r="126" spans="2:20" ht="16.5" customHeight="1">
      <c r="B126" s="324"/>
      <c r="C126" s="476" t="s">
        <v>358</v>
      </c>
      <c r="D126" s="331"/>
      <c r="E126" s="331"/>
      <c r="F126" s="413"/>
      <c r="G126" s="413"/>
      <c r="H126" s="382" t="str">
        <f>IF(OR(N20="P9",N20="P9A"),0,"None")</f>
        <v>None</v>
      </c>
      <c r="I126" s="413"/>
      <c r="J126" s="413"/>
      <c r="K126" s="413"/>
      <c r="L126" s="413"/>
      <c r="M126" s="413"/>
      <c r="N126" s="331"/>
      <c r="O126" s="385">
        <f>IF(O122='Lists &amp; Rates'!$A$152,'Lists &amp; Rates'!E285*'Lists &amp; Rates'!B184,0)</f>
        <v>0</v>
      </c>
      <c r="P126" s="331"/>
      <c r="Q126" s="385">
        <f>IFERROR(O126*12," ")</f>
        <v>0</v>
      </c>
      <c r="R126" s="324"/>
      <c r="S126" s="324"/>
      <c r="T126" s="328"/>
    </row>
    <row r="127" spans="2:20" ht="3" hidden="1" customHeight="1">
      <c r="B127" s="324"/>
      <c r="C127" s="352"/>
      <c r="D127" s="331"/>
      <c r="E127" s="331"/>
      <c r="F127" s="413"/>
      <c r="G127" s="413"/>
      <c r="H127" s="413"/>
      <c r="I127" s="413"/>
      <c r="J127" s="413"/>
      <c r="K127" s="413"/>
      <c r="L127" s="413"/>
      <c r="M127" s="413"/>
      <c r="N127" s="331"/>
      <c r="O127" s="367"/>
      <c r="P127" s="368"/>
      <c r="Q127" s="367"/>
      <c r="R127" s="324"/>
      <c r="S127" s="324"/>
      <c r="T127" s="328"/>
    </row>
    <row r="128" spans="2:20" ht="16.5" hidden="1" customHeight="1">
      <c r="B128" s="324"/>
      <c r="C128" s="333" t="s">
        <v>296</v>
      </c>
      <c r="D128" s="331"/>
      <c r="E128" s="331"/>
      <c r="F128" s="413"/>
      <c r="G128" s="413"/>
      <c r="H128" s="413"/>
      <c r="I128" s="413"/>
      <c r="J128" s="413"/>
      <c r="K128" s="413"/>
      <c r="L128" s="413"/>
      <c r="M128" s="413"/>
      <c r="N128" s="331"/>
      <c r="O128" s="820">
        <v>0.8</v>
      </c>
      <c r="P128" s="821"/>
      <c r="Q128" s="822"/>
      <c r="R128" s="324"/>
      <c r="S128" s="324"/>
      <c r="T128" s="328"/>
    </row>
    <row r="129" spans="2:23" ht="9.75" customHeight="1">
      <c r="B129" s="324"/>
      <c r="C129" s="352"/>
      <c r="D129" s="331"/>
      <c r="E129" s="331"/>
      <c r="F129" s="413"/>
      <c r="G129" s="413"/>
      <c r="H129" s="413"/>
      <c r="I129" s="413"/>
      <c r="J129" s="413"/>
      <c r="K129" s="413"/>
      <c r="L129" s="413"/>
      <c r="M129" s="413"/>
      <c r="N129" s="331"/>
      <c r="O129" s="367"/>
      <c r="P129" s="368"/>
      <c r="Q129" s="399"/>
      <c r="R129" s="324"/>
      <c r="S129" s="324"/>
    </row>
    <row r="130" spans="2:23" ht="16.5" customHeight="1">
      <c r="B130" s="324"/>
      <c r="C130" s="386" t="s">
        <v>297</v>
      </c>
      <c r="D130" s="387"/>
      <c r="E130" s="387"/>
      <c r="F130" s="388"/>
      <c r="G130" s="387"/>
      <c r="H130" s="387"/>
      <c r="I130" s="387"/>
      <c r="J130" s="387"/>
      <c r="K130" s="387"/>
      <c r="L130" s="387"/>
      <c r="M130" s="387"/>
      <c r="N130" s="401"/>
      <c r="O130" s="402"/>
      <c r="P130" s="403"/>
      <c r="Q130" s="402"/>
      <c r="R130" s="404"/>
      <c r="S130" s="324"/>
    </row>
    <row r="131" spans="2:23" ht="9.75" customHeight="1">
      <c r="B131" s="324"/>
      <c r="C131" s="352"/>
      <c r="D131" s="331"/>
      <c r="E131" s="331"/>
      <c r="F131" s="332"/>
      <c r="G131" s="331"/>
      <c r="H131" s="331"/>
      <c r="I131" s="331"/>
      <c r="J131" s="331"/>
      <c r="K131" s="331"/>
      <c r="L131" s="331"/>
      <c r="M131" s="331"/>
      <c r="N131" s="331"/>
      <c r="O131" s="367"/>
      <c r="P131" s="368"/>
      <c r="Q131" s="399"/>
      <c r="R131" s="324"/>
      <c r="S131" s="324"/>
    </row>
    <row r="132" spans="2:23" ht="16.5" customHeight="1">
      <c r="B132" s="324"/>
      <c r="C132" s="398" t="s">
        <v>305</v>
      </c>
      <c r="D132" s="331"/>
      <c r="E132" s="331"/>
      <c r="F132" s="332"/>
      <c r="G132" s="331"/>
      <c r="H132" s="331"/>
      <c r="I132" s="331"/>
      <c r="J132" s="331"/>
      <c r="K132" s="382" t="str">
        <f>IF(OR(N10="SABMiller Africa",N10="SGCS",N10="SAB Limited",N10="Brewex",N10="Alliance Beverages"),"None"," ")</f>
        <v>None</v>
      </c>
      <c r="L132" s="331"/>
      <c r="M132" s="331"/>
      <c r="N132" s="331"/>
      <c r="O132" s="823" t="s">
        <v>304</v>
      </c>
      <c r="P132" s="824"/>
      <c r="Q132" s="825"/>
      <c r="R132" s="324"/>
      <c r="S132" s="324"/>
    </row>
    <row r="133" spans="2:23" ht="3" customHeight="1">
      <c r="B133" s="324"/>
      <c r="C133" s="352"/>
      <c r="D133" s="331"/>
      <c r="E133" s="331"/>
      <c r="F133" s="332"/>
      <c r="G133" s="331"/>
      <c r="H133" s="331"/>
      <c r="I133" s="331"/>
      <c r="J133" s="331"/>
      <c r="K133" s="331"/>
      <c r="L133" s="331"/>
      <c r="M133" s="331"/>
      <c r="N133" s="331"/>
      <c r="O133" s="367"/>
      <c r="P133" s="368"/>
      <c r="Q133" s="399"/>
      <c r="R133" s="324"/>
      <c r="S133" s="324"/>
    </row>
    <row r="134" spans="2:23" ht="16.5" customHeight="1">
      <c r="B134" s="324"/>
      <c r="C134" s="333" t="s">
        <v>298</v>
      </c>
      <c r="D134" s="331"/>
      <c r="E134" s="331"/>
      <c r="F134" s="332"/>
      <c r="G134" s="331"/>
      <c r="H134" s="331"/>
      <c r="I134" s="331"/>
      <c r="J134" s="331"/>
      <c r="K134" s="331"/>
      <c r="L134" s="331"/>
      <c r="M134" s="331"/>
      <c r="N134" s="331"/>
      <c r="O134" s="826">
        <f>IF(N18='Lists &amp; Rates'!A521,15,(IF(N18='Lists &amp; Rates'!A521,0,IFERROR('Lists &amp; Rates'!C296," "))))</f>
        <v>15</v>
      </c>
      <c r="P134" s="808"/>
      <c r="Q134" s="809"/>
      <c r="R134" s="324"/>
      <c r="S134" s="324"/>
      <c r="T134" s="328"/>
    </row>
    <row r="135" spans="2:23" ht="9.75" customHeight="1">
      <c r="B135" s="324"/>
      <c r="C135" s="352"/>
      <c r="D135" s="331"/>
      <c r="E135" s="331"/>
      <c r="F135" s="332"/>
      <c r="G135" s="331"/>
      <c r="H135" s="331"/>
      <c r="I135" s="331"/>
      <c r="J135" s="331"/>
      <c r="K135" s="331"/>
      <c r="L135" s="331"/>
      <c r="M135" s="331"/>
      <c r="N135" s="331"/>
      <c r="O135" s="367"/>
      <c r="P135" s="368"/>
      <c r="Q135" s="399"/>
      <c r="R135" s="324"/>
      <c r="S135" s="324"/>
    </row>
    <row r="136" spans="2:23" ht="16.5" customHeight="1">
      <c r="B136" s="324"/>
      <c r="C136" s="386" t="s">
        <v>326</v>
      </c>
      <c r="D136" s="387"/>
      <c r="E136" s="387"/>
      <c r="F136" s="388"/>
      <c r="G136" s="387"/>
      <c r="H136" s="387"/>
      <c r="I136" s="387"/>
      <c r="J136" s="387"/>
      <c r="K136" s="387"/>
      <c r="L136" s="387"/>
      <c r="M136" s="387"/>
      <c r="N136" s="401"/>
      <c r="O136" s="402"/>
      <c r="P136" s="403"/>
      <c r="Q136" s="402"/>
      <c r="R136" s="404"/>
      <c r="S136" s="324"/>
    </row>
    <row r="137" spans="2:23" ht="3" customHeight="1">
      <c r="B137" s="324"/>
      <c r="C137" s="352"/>
      <c r="D137" s="331"/>
      <c r="E137" s="331"/>
      <c r="F137" s="332"/>
      <c r="G137" s="331"/>
      <c r="H137" s="331"/>
      <c r="I137" s="331"/>
      <c r="J137" s="331"/>
      <c r="K137" s="331"/>
      <c r="L137" s="331"/>
      <c r="M137" s="331"/>
      <c r="N137" s="331"/>
      <c r="O137" s="367"/>
      <c r="P137" s="368"/>
      <c r="Q137" s="399"/>
      <c r="R137" s="324"/>
      <c r="S137" s="324"/>
    </row>
    <row r="138" spans="2:23" ht="16.5" customHeight="1">
      <c r="B138" s="324"/>
      <c r="C138" s="405" t="s">
        <v>329</v>
      </c>
      <c r="D138" s="324"/>
      <c r="E138" s="324"/>
      <c r="F138" s="325"/>
      <c r="G138" s="324"/>
      <c r="H138" s="324"/>
      <c r="I138" s="324"/>
      <c r="J138" s="324"/>
      <c r="K138" s="324"/>
      <c r="L138" s="324"/>
      <c r="M138" s="414"/>
      <c r="N138" s="324"/>
      <c r="O138" s="814">
        <f>IFERROR((IF(N18='Lists &amp; Rates'!A521,0,VLOOKUP(Selection!N20,'Lists &amp; Rates'!$A$406:$B$456,2,0))),0)</f>
        <v>123.13</v>
      </c>
      <c r="P138" s="815"/>
      <c r="Q138" s="816"/>
      <c r="R138" s="324"/>
      <c r="S138" s="324"/>
    </row>
    <row r="139" spans="2:23" ht="3" customHeight="1">
      <c r="B139" s="324"/>
      <c r="C139" s="406"/>
      <c r="D139" s="324"/>
      <c r="E139" s="324"/>
      <c r="F139" s="325"/>
      <c r="G139" s="324"/>
      <c r="H139" s="324"/>
      <c r="I139" s="324"/>
      <c r="J139" s="324"/>
      <c r="K139" s="324"/>
      <c r="L139" s="324"/>
      <c r="M139" s="324"/>
      <c r="N139" s="324"/>
      <c r="O139" s="407"/>
      <c r="P139" s="371"/>
      <c r="Q139" s="408"/>
      <c r="R139" s="324"/>
      <c r="S139" s="324"/>
    </row>
    <row r="140" spans="2:23" ht="16.5" hidden="1" customHeight="1" outlineLevel="1">
      <c r="B140" s="324"/>
      <c r="C140" s="415" t="s">
        <v>362</v>
      </c>
      <c r="D140" s="324"/>
      <c r="E140" s="324"/>
      <c r="F140" s="325"/>
      <c r="G140" s="324"/>
      <c r="H140" s="324"/>
      <c r="I140" s="324"/>
      <c r="J140" s="324"/>
      <c r="K140" s="324"/>
      <c r="L140" s="324"/>
      <c r="M140" s="414" t="s">
        <v>361</v>
      </c>
      <c r="N140" s="324"/>
      <c r="O140" s="811"/>
      <c r="P140" s="812"/>
      <c r="Q140" s="813"/>
      <c r="R140" s="324"/>
      <c r="S140" s="324"/>
    </row>
    <row r="141" spans="2:23" ht="3" hidden="1" customHeight="1" outlineLevel="1">
      <c r="B141" s="324"/>
      <c r="C141" s="406"/>
      <c r="D141" s="324"/>
      <c r="E141" s="324"/>
      <c r="F141" s="325"/>
      <c r="G141" s="324"/>
      <c r="H141" s="324"/>
      <c r="I141" s="324"/>
      <c r="J141" s="324"/>
      <c r="K141" s="324"/>
      <c r="L141" s="324"/>
      <c r="M141" s="324"/>
      <c r="N141" s="324"/>
      <c r="O141" s="407"/>
      <c r="P141" s="371"/>
      <c r="Q141" s="408"/>
      <c r="R141" s="324"/>
      <c r="S141" s="324"/>
    </row>
    <row r="142" spans="2:23" s="423" customFormat="1" ht="16.5" customHeight="1" collapsed="1">
      <c r="B142" s="416"/>
      <c r="C142" s="424" t="str">
        <f>'Instructions &amp; Glossary'!C57</f>
        <v>1 January 2020 PSM</v>
      </c>
      <c r="D142" s="416"/>
      <c r="E142" s="416"/>
      <c r="F142" s="417"/>
      <c r="G142" s="416"/>
      <c r="H142" s="416"/>
      <c r="I142" s="416"/>
      <c r="J142" s="416"/>
      <c r="K142" s="416"/>
      <c r="L142" s="416"/>
      <c r="M142" s="416"/>
      <c r="N142" s="416"/>
      <c r="O142" s="418"/>
      <c r="P142" s="419"/>
      <c r="Q142" s="420"/>
      <c r="R142" s="416"/>
      <c r="S142" s="416"/>
      <c r="T142" s="421"/>
      <c r="U142" s="422"/>
      <c r="V142" s="422"/>
      <c r="W142" s="422"/>
    </row>
  </sheetData>
  <sheetProtection algorithmName="SHA-512" hashValue="DyeB4sd7bo1NluvRaa8ZsqxhIqSysTUgsQBb/KqZSIBrOFOfrnFhs2hLJEAkUu7rkmWuCggx68TKJK/M74pZRw==" saltValue="yfQsWex4lw7oM+q1DqAPuw==" spinCount="100000" sheet="1" objects="1" scenarios="1" selectLockedCells="1"/>
  <mergeCells count="34">
    <mergeCell ref="N36:Q36"/>
    <mergeCell ref="F72:J72"/>
    <mergeCell ref="O140:Q140"/>
    <mergeCell ref="O138:Q138"/>
    <mergeCell ref="O122:Q122"/>
    <mergeCell ref="O124:Q124"/>
    <mergeCell ref="O128:Q128"/>
    <mergeCell ref="O132:Q132"/>
    <mergeCell ref="O134:Q134"/>
    <mergeCell ref="O72:Q72"/>
    <mergeCell ref="N30:Q30"/>
    <mergeCell ref="O96:Q96"/>
    <mergeCell ref="N32:Q32"/>
    <mergeCell ref="O45:Q45"/>
    <mergeCell ref="N20:Q20"/>
    <mergeCell ref="N22:Q22"/>
    <mergeCell ref="N24:Q24"/>
    <mergeCell ref="N26:Q26"/>
    <mergeCell ref="N28:Q28"/>
    <mergeCell ref="O68:Q68"/>
    <mergeCell ref="O78:Q78"/>
    <mergeCell ref="O82:Q82"/>
    <mergeCell ref="O76:Q76"/>
    <mergeCell ref="O49:Q49"/>
    <mergeCell ref="O51:Q51"/>
    <mergeCell ref="N34:Q34"/>
    <mergeCell ref="N18:Q18"/>
    <mergeCell ref="N4:Q4"/>
    <mergeCell ref="N6:Q6"/>
    <mergeCell ref="N10:Q10"/>
    <mergeCell ref="N12:Q12"/>
    <mergeCell ref="N14:Q14"/>
    <mergeCell ref="N8:Q8"/>
    <mergeCell ref="N16:Q16"/>
  </mergeCells>
  <conditionalFormatting sqref="O96:Q96 O102:Q102 O104:Q104">
    <cfRule type="expression" dxfId="61" priority="103">
      <formula>$Q$94="no"</formula>
    </cfRule>
  </conditionalFormatting>
  <conditionalFormatting sqref="O78">
    <cfRule type="expression" dxfId="60" priority="71">
      <formula>$O$76="Yes"</formula>
    </cfRule>
  </conditionalFormatting>
  <conditionalFormatting sqref="B96:R97 O128 B109:R110 B102:L102 N102:R102 B103:R103 B104:L104 N104:R104">
    <cfRule type="expression" dxfId="59" priority="60">
      <formula>$Q$94="Yes"</formula>
    </cfRule>
  </conditionalFormatting>
  <conditionalFormatting sqref="O126:Q127">
    <cfRule type="expression" dxfId="58" priority="59">
      <formula>$Q$94="Yes"</formula>
    </cfRule>
  </conditionalFormatting>
  <conditionalFormatting sqref="K12:Q14">
    <cfRule type="expression" dxfId="57" priority="55">
      <formula>$K$12="None"</formula>
    </cfRule>
  </conditionalFormatting>
  <conditionalFormatting sqref="K132">
    <cfRule type="expression" dxfId="56" priority="54">
      <formula>$K$12="None"</formula>
    </cfRule>
  </conditionalFormatting>
  <conditionalFormatting sqref="O132:Q132">
    <cfRule type="expression" dxfId="55" priority="53">
      <formula>$K$132="None"</formula>
    </cfRule>
  </conditionalFormatting>
  <conditionalFormatting sqref="C126:Q128">
    <cfRule type="expression" dxfId="54" priority="51">
      <formula>$O$122="Company Car"</formula>
    </cfRule>
  </conditionalFormatting>
  <conditionalFormatting sqref="C12:D14">
    <cfRule type="expression" dxfId="53" priority="44">
      <formula>K12="None"</formula>
    </cfRule>
  </conditionalFormatting>
  <conditionalFormatting sqref="C132">
    <cfRule type="expression" dxfId="52" priority="42">
      <formula>$K$132="none"</formula>
    </cfRule>
  </conditionalFormatting>
  <conditionalFormatting sqref="C78:Q82">
    <cfRule type="expression" dxfId="51" priority="39">
      <formula>OR($O$76="no",$O$76="")</formula>
    </cfRule>
  </conditionalFormatting>
  <conditionalFormatting sqref="C124:Q124">
    <cfRule type="expression" dxfId="50" priority="23">
      <formula>$H$124="None"</formula>
    </cfRule>
    <cfRule type="expression" dxfId="49" priority="37">
      <formula>$O$122="Bakkie Allowance"</formula>
    </cfRule>
  </conditionalFormatting>
  <conditionalFormatting sqref="C124:Q128">
    <cfRule type="expression" dxfId="48" priority="36">
      <formula>$O$122="Not Applicable"</formula>
    </cfRule>
  </conditionalFormatting>
  <conditionalFormatting sqref="C140:Q140">
    <cfRule type="expression" dxfId="47" priority="34">
      <formula>$N$20&lt;&gt;"DA &amp; DM"</formula>
    </cfRule>
  </conditionalFormatting>
  <conditionalFormatting sqref="C88:Q90 B114:R138">
    <cfRule type="expression" dxfId="46" priority="28">
      <formula>$N$16="SAB/Wages"</formula>
    </cfRule>
  </conditionalFormatting>
  <conditionalFormatting sqref="C126:Q126">
    <cfRule type="expression" dxfId="45" priority="26">
      <formula>$H$126="None"</formula>
    </cfRule>
  </conditionalFormatting>
  <conditionalFormatting sqref="H124">
    <cfRule type="expression" dxfId="44" priority="25">
      <formula>$O$122="Company Car"</formula>
    </cfRule>
  </conditionalFormatting>
  <conditionalFormatting sqref="H124">
    <cfRule type="expression" dxfId="43" priority="24">
      <formula>$H$126="None"</formula>
    </cfRule>
  </conditionalFormatting>
  <conditionalFormatting sqref="C34:Q36">
    <cfRule type="expression" dxfId="42" priority="17">
      <formula>$N$10=""</formula>
    </cfRule>
  </conditionalFormatting>
  <conditionalFormatting sqref="C43:Q47">
    <cfRule type="expression" dxfId="41" priority="134">
      <formula>$J$45="None"</formula>
    </cfRule>
  </conditionalFormatting>
  <conditionalFormatting sqref="O98:Q98">
    <cfRule type="expression" dxfId="40" priority="16">
      <formula>$Q$94="no"</formula>
    </cfRule>
  </conditionalFormatting>
  <conditionalFormatting sqref="B98:R99 B101:R101">
    <cfRule type="expression" dxfId="39" priority="15">
      <formula>$Q$94="Yes"</formula>
    </cfRule>
  </conditionalFormatting>
  <conditionalFormatting sqref="B105:R105 B107:R108">
    <cfRule type="expression" dxfId="38" priority="13">
      <formula>$Q$94="Yes"</formula>
    </cfRule>
  </conditionalFormatting>
  <conditionalFormatting sqref="O100:Q100">
    <cfRule type="expression" dxfId="37" priority="12">
      <formula>$Q$94="no"</formula>
    </cfRule>
  </conditionalFormatting>
  <conditionalFormatting sqref="B100:L100 N100:R100">
    <cfRule type="expression" dxfId="36" priority="11">
      <formula>$Q$94="Yes"</formula>
    </cfRule>
  </conditionalFormatting>
  <conditionalFormatting sqref="O106:Q106">
    <cfRule type="expression" dxfId="35" priority="9">
      <formula>$Q$94="no"</formula>
    </cfRule>
  </conditionalFormatting>
  <conditionalFormatting sqref="B106:L106 N106:R106">
    <cfRule type="expression" dxfId="34" priority="8">
      <formula>$Q$94="Yes"</formula>
    </cfRule>
  </conditionalFormatting>
  <conditionalFormatting sqref="M100">
    <cfRule type="expression" dxfId="33" priority="6">
      <formula>$Q$94="Yes"</formula>
    </cfRule>
  </conditionalFormatting>
  <conditionalFormatting sqref="M102">
    <cfRule type="expression" dxfId="32" priority="5">
      <formula>$Q$94="Yes"</formula>
    </cfRule>
  </conditionalFormatting>
  <conditionalFormatting sqref="M104">
    <cfRule type="expression" dxfId="31" priority="4">
      <formula>$Q$94="Yes"</formula>
    </cfRule>
  </conditionalFormatting>
  <conditionalFormatting sqref="M106">
    <cfRule type="expression" dxfId="30" priority="3">
      <formula>$Q$94="Yes"</formula>
    </cfRule>
  </conditionalFormatting>
  <conditionalFormatting sqref="B112:R112">
    <cfRule type="expression" dxfId="29" priority="2">
      <formula>$Q$94="Yes"</formula>
    </cfRule>
  </conditionalFormatting>
  <conditionalFormatting sqref="B111:R111">
    <cfRule type="expression" dxfId="28" priority="1">
      <formula>$Q$94="Yes"</formula>
    </cfRule>
  </conditionalFormatting>
  <dataValidations count="18">
    <dataValidation type="list" allowBlank="1" showInputMessage="1" sqref="Q94 Q137 Q129 Q135 Q131 Q133 Q139 Q141:Q142 Q98" xr:uid="{00000000-0002-0000-0100-000000000000}">
      <formula1>YN</formula1>
    </dataValidation>
    <dataValidation type="list" allowBlank="1" showInputMessage="1" sqref="Q102 Q104 Q100 Q106" xr:uid="{00000000-0002-0000-0100-000001000000}">
      <formula1>Number</formula1>
    </dataValidation>
    <dataValidation type="list" allowBlank="1" showInputMessage="1" showErrorMessage="1" sqref="O76:Q76" xr:uid="{00000000-0002-0000-0100-000002000000}">
      <formula1>YN</formula1>
    </dataValidation>
    <dataValidation type="list" allowBlank="1" showInputMessage="1" showErrorMessage="1" sqref="N29" xr:uid="{00000000-0002-0000-0100-000003000000}">
      <formula1>CHANGE</formula1>
    </dataValidation>
    <dataValidation type="list" allowBlank="1" showInputMessage="1" showErrorMessage="1" sqref="N10:Q10" xr:uid="{00000000-0002-0000-0100-000004000000}">
      <formula1>Company</formula1>
    </dataValidation>
    <dataValidation type="list" allowBlank="1" showInputMessage="1" showErrorMessage="1" sqref="N12:Q12" xr:uid="{00000000-0002-0000-0100-000005000000}">
      <formula1>INDIRECT(SUBSTITUTE(N10," ","_"))</formula1>
    </dataValidation>
    <dataValidation type="list" allowBlank="1" showInputMessage="1" showErrorMessage="1" sqref="N14:Q14" xr:uid="{00000000-0002-0000-0100-000006000000}">
      <formula1>INDIRECT(SUBSTITUTE($N$12," ","_"))</formula1>
    </dataValidation>
    <dataValidation type="list" allowBlank="1" showInputMessage="1" showErrorMessage="1" sqref="N28:Q28" xr:uid="{00000000-0002-0000-0100-000007000000}">
      <formula1>Reasons</formula1>
    </dataValidation>
    <dataValidation type="list" allowBlank="1" showInputMessage="1" showErrorMessage="1" sqref="O96:Q96" xr:uid="{00000000-0002-0000-0100-000008000000}">
      <formula1>Medplan</formula1>
    </dataValidation>
    <dataValidation type="list" allowBlank="1" showInputMessage="1" showErrorMessage="1" sqref="O78 Q78 P78:P79" xr:uid="{00000000-0002-0000-0100-000009000000}">
      <formula1>Flex</formula1>
    </dataValidation>
    <dataValidation type="list" allowBlank="1" showInputMessage="1" showErrorMessage="1" sqref="Q118" xr:uid="{00000000-0002-0000-0100-00000A000000}">
      <formula1>bonus</formula1>
    </dataValidation>
    <dataValidation type="list" allowBlank="1" showInputMessage="1" showErrorMessage="1" sqref="O128:Q128" xr:uid="{00000000-0002-0000-0100-00000B000000}">
      <formula1>travel</formula1>
    </dataValidation>
    <dataValidation type="list" allowBlank="1" showInputMessage="1" showErrorMessage="1" sqref="O132:Q132" xr:uid="{00000000-0002-0000-0100-00000C000000}">
      <formula1>ABIDay</formula1>
    </dataValidation>
    <dataValidation type="list" allowBlank="1" showInputMessage="1" showErrorMessage="1" sqref="O122:Q122" xr:uid="{00000000-0002-0000-0100-00000D000000}">
      <formula1>CarAC</formula1>
    </dataValidation>
    <dataValidation type="decimal" allowBlank="1" showInputMessage="1" showErrorMessage="1" error="Please insert a percentage between the provided percentage range!_x000a_" sqref="O72:Q72" xr:uid="{00000000-0002-0000-0100-00000E000000}">
      <formula1>K72</formula1>
      <formula2>M72</formula2>
    </dataValidation>
    <dataValidation type="list" allowBlank="1" showInputMessage="1" showErrorMessage="1" sqref="O49:Q49" xr:uid="{00000000-0002-0000-0100-00000F000000}">
      <formula1>Wagehours</formula1>
    </dataValidation>
    <dataValidation type="list" allowBlank="1" showInputMessage="1" showErrorMessage="1" sqref="N18:Q18" xr:uid="{00000000-0002-0000-0100-000010000000}">
      <formula1>Status</formula1>
    </dataValidation>
    <dataValidation type="list" allowBlank="1" showInputMessage="1" showErrorMessage="1" sqref="N20:Q20" xr:uid="{00000000-0002-0000-0100-000011000000}">
      <formula1>INDIRECT(SUBSTITUTE($N$16," ","_"))</formula1>
    </dataValidation>
  </dataValidations>
  <printOptions horizontalCentered="1"/>
  <pageMargins left="0.43307086614173229" right="0.43307086614173229" top="0.74803149606299213" bottom="0.74803149606299213" header="0.31496062992125984" footer="0.31496062992125984"/>
  <pageSetup paperSize="9" scale="62" fitToHeight="0" orientation="portrait" r:id="rId1"/>
  <rowBreaks count="1" manualBreakCount="1">
    <brk id="113" min="1" max="18"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3" id="{0A4942A4-D4E9-43DE-A2F9-9BFF8D6DA855}">
            <xm:f>$N$16='Lists &amp; Rates'!$A$62</xm:f>
            <x14:dxf>
              <font>
                <color theme="0"/>
              </font>
              <fill>
                <patternFill>
                  <fgColor theme="0"/>
                  <bgColor theme="0"/>
                </patternFill>
              </fill>
              <border>
                <left/>
                <right/>
                <top/>
                <bottom/>
                <vertical/>
                <horizontal/>
              </border>
            </x14:dxf>
          </x14:cfRule>
          <xm:sqref>C41:Q47</xm:sqref>
        </x14:conditionalFormatting>
        <x14:conditionalFormatting xmlns:xm="http://schemas.microsoft.com/office/excel/2006/main">
          <x14:cfRule type="expression" priority="29" id="{443EF9AE-C100-4FB0-90CD-AE39C8CB3277}">
            <xm:f>$N$16&lt;&gt;'Lists &amp; Rates'!$A$62</xm:f>
            <x14:dxf>
              <font>
                <color theme="0"/>
              </font>
              <fill>
                <patternFill>
                  <fgColor theme="0"/>
                  <bgColor theme="0"/>
                </patternFill>
              </fill>
              <border>
                <left/>
                <right/>
                <top/>
                <bottom/>
                <vertical/>
                <horizontal/>
              </border>
            </x14:dxf>
          </x14:cfRule>
          <xm:sqref>C49:Q53</xm:sqref>
        </x14:conditionalFormatting>
        <x14:conditionalFormatting xmlns:xm="http://schemas.microsoft.com/office/excel/2006/main">
          <x14:cfRule type="expression" priority="22" id="{7E9EF8D8-5D79-46E4-9943-2A2014B577AB}">
            <xm:f>$N$18='Lists &amp; Rates'!$A$521</xm:f>
            <x14:dxf>
              <font>
                <color theme="0"/>
              </font>
            </x14:dxf>
          </x14:cfRule>
          <xm:sqref>F72:M72</xm:sqref>
        </x14:conditionalFormatting>
        <x14:conditionalFormatting xmlns:xm="http://schemas.microsoft.com/office/excel/2006/main">
          <x14:cfRule type="expression" priority="21" id="{F15E3B00-BA67-4004-B358-80717BFE13A1}">
            <xm:f>$N$18='Lists &amp; Rates'!$A$521</xm:f>
            <x14:dxf>
              <fill>
                <patternFill>
                  <bgColor theme="0" tint="-0.24994659260841701"/>
                </patternFill>
              </fill>
            </x14:dxf>
          </x14:cfRule>
          <xm:sqref>O122:Q122 O118:Q118 O104:Q104 O102:Q102 O96:Q96 O94:Q94 Q78 O76:Q76</xm:sqref>
        </x14:conditionalFormatting>
        <x14:conditionalFormatting xmlns:xm="http://schemas.microsoft.com/office/excel/2006/main">
          <x14:cfRule type="expression" priority="20" id="{1551DC9E-B31A-4D09-AB0E-544521FC2E5E}">
            <xm:f>$N$18='Lists &amp; Rates'!$A$521</xm:f>
            <x14:dxf>
              <fill>
                <patternFill>
                  <bgColor theme="0" tint="-0.24994659260841701"/>
                </patternFill>
              </fill>
            </x14:dxf>
          </x14:cfRule>
          <xm:sqref>O72:Q72</xm:sqref>
        </x14:conditionalFormatting>
        <x14:conditionalFormatting xmlns:xm="http://schemas.microsoft.com/office/excel/2006/main">
          <x14:cfRule type="expression" priority="133" id="{9504F125-F121-40EB-AB92-761E9FB03C17}">
            <xm:f>$N$16='Lists &amp; Rates'!#REF!</xm:f>
            <x14:dxf>
              <fill>
                <patternFill>
                  <bgColor theme="0"/>
                </patternFill>
              </fill>
            </x14:dxf>
          </x14:cfRule>
          <xm:sqref>O118:Q118 O122:Q122</xm:sqref>
        </x14:conditionalFormatting>
        <x14:conditionalFormatting xmlns:xm="http://schemas.microsoft.com/office/excel/2006/main">
          <x14:cfRule type="expression" priority="135" id="{69F179D4-DA89-42B7-9EA5-28D4C02C26E9}">
            <xm:f>$N$16='Lists &amp; Rates'!#REF!</xm:f>
            <x14:dxf>
              <fill>
                <patternFill>
                  <bgColor theme="0"/>
                </patternFill>
              </fill>
            </x14:dxf>
          </x14:cfRule>
          <xm:sqref>O132:Q132</xm:sqref>
        </x14:conditionalFormatting>
        <x14:conditionalFormatting xmlns:xm="http://schemas.microsoft.com/office/excel/2006/main">
          <x14:cfRule type="expression" priority="14" id="{CD16F46C-9FBE-44AA-9EA3-F904FF401D5D}">
            <xm:f>$N$18='Lists &amp; Rates'!$A$521</xm:f>
            <x14:dxf>
              <fill>
                <patternFill>
                  <bgColor theme="0" tint="-0.24994659260841701"/>
                </patternFill>
              </fill>
            </x14:dxf>
          </x14:cfRule>
          <xm:sqref>O98:Q98</xm:sqref>
        </x14:conditionalFormatting>
        <x14:conditionalFormatting xmlns:xm="http://schemas.microsoft.com/office/excel/2006/main">
          <x14:cfRule type="expression" priority="10" id="{7FAABCC4-E997-4306-A633-6C83C4EE53C3}">
            <xm:f>$N$18='Lists &amp; Rates'!$A$521</xm:f>
            <x14:dxf>
              <fill>
                <patternFill>
                  <bgColor theme="0" tint="-0.24994659260841701"/>
                </patternFill>
              </fill>
            </x14:dxf>
          </x14:cfRule>
          <xm:sqref>O100:Q100</xm:sqref>
        </x14:conditionalFormatting>
        <x14:conditionalFormatting xmlns:xm="http://schemas.microsoft.com/office/excel/2006/main">
          <x14:cfRule type="expression" priority="7" id="{EB626B58-6786-4E3F-9C98-588743419D6E}">
            <xm:f>$N$18='Lists &amp; Rates'!$A$521</xm:f>
            <x14:dxf>
              <fill>
                <patternFill>
                  <bgColor theme="0" tint="-0.24994659260841701"/>
                </patternFill>
              </fill>
            </x14:dxf>
          </x14:cfRule>
          <xm:sqref>O106:Q106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12000000}">
          <x14:formula1>
            <xm:f>INDIRECT('Lists &amp; Rates'!$B$58)</xm:f>
          </x14:formula1>
          <xm:sqref>N16:Q16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B1:Z109"/>
  <sheetViews>
    <sheetView showGridLines="0" showRowColHeaders="0" topLeftCell="A4" zoomScale="90" zoomScaleNormal="90" workbookViewId="0">
      <selection activeCell="H38" sqref="H35:H38"/>
    </sheetView>
  </sheetViews>
  <sheetFormatPr defaultColWidth="9.109375" defaultRowHeight="14.4" outlineLevelRow="1"/>
  <cols>
    <col min="1" max="1" width="2.109375" style="24" customWidth="1"/>
    <col min="2" max="2" width="1.5546875" style="24" customWidth="1"/>
    <col min="3" max="3" width="9.109375" style="24"/>
    <col min="4" max="4" width="4" style="24" bestFit="1" customWidth="1"/>
    <col min="5" max="5" width="23.5546875" style="24" customWidth="1"/>
    <col min="6" max="6" width="3.88671875" style="24" customWidth="1"/>
    <col min="7" max="7" width="25.109375" style="24" customWidth="1"/>
    <col min="8" max="8" width="12.88671875" style="24" customWidth="1"/>
    <col min="9" max="9" width="8.109375" style="24" customWidth="1"/>
    <col min="10" max="10" width="1.5546875" style="24" customWidth="1"/>
    <col min="11" max="11" width="18" style="24" customWidth="1"/>
    <col min="12" max="12" width="0.88671875" style="24" customWidth="1"/>
    <col min="13" max="13" width="18" style="24" customWidth="1"/>
    <col min="14" max="14" width="0.88671875" style="24" customWidth="1"/>
    <col min="15" max="15" width="18" style="24" customWidth="1"/>
    <col min="16" max="16" width="0.88671875" style="24" customWidth="1"/>
    <col min="17" max="17" width="18" style="24" customWidth="1"/>
    <col min="18" max="18" width="0.88671875" style="24" customWidth="1"/>
    <col min="19" max="19" width="1.5546875" style="24" customWidth="1"/>
    <col min="20" max="20" width="12.44140625" style="24" bestFit="1" customWidth="1"/>
    <col min="21" max="21" width="11.33203125" style="24" bestFit="1" customWidth="1"/>
    <col min="22" max="16384" width="9.109375" style="24"/>
  </cols>
  <sheetData>
    <row r="1" spans="2:26" s="233" customFormat="1" ht="107.25" customHeight="1">
      <c r="G1" s="234"/>
      <c r="H1" s="235"/>
      <c r="S1" s="236"/>
      <c r="U1" s="236"/>
      <c r="V1" s="237"/>
      <c r="W1" s="238"/>
      <c r="X1" s="238"/>
      <c r="Y1" s="239"/>
      <c r="Z1" s="236"/>
    </row>
    <row r="2" spans="2:26" ht="5.0999999999999996" customHeight="1"/>
    <row r="3" spans="2:26" ht="4.3499999999999996" customHeight="1">
      <c r="B3" s="25"/>
      <c r="C3" s="25"/>
      <c r="D3" s="25"/>
      <c r="E3" s="25"/>
      <c r="F3" s="25"/>
      <c r="G3" s="25"/>
      <c r="H3" s="25"/>
      <c r="I3" s="25"/>
      <c r="J3" s="25"/>
      <c r="K3" s="25"/>
      <c r="L3" s="25"/>
      <c r="M3" s="25"/>
      <c r="N3" s="25"/>
      <c r="O3" s="25"/>
      <c r="P3" s="25"/>
      <c r="Q3" s="25"/>
      <c r="R3" s="25"/>
      <c r="S3" s="25"/>
    </row>
    <row r="4" spans="2:26" ht="16.5" customHeight="1">
      <c r="B4" s="25"/>
      <c r="C4" s="26" t="s">
        <v>102</v>
      </c>
      <c r="D4" s="26"/>
      <c r="E4" s="25"/>
      <c r="F4" s="25"/>
      <c r="G4" s="27" t="str">
        <f>CONCATENATE(Selection!N4,", ",Selection!N6)</f>
        <v>Khumalo, Neliswa</v>
      </c>
      <c r="H4" s="25"/>
      <c r="I4" s="25"/>
      <c r="J4" s="25"/>
      <c r="K4"/>
      <c r="L4" s="25"/>
      <c r="M4" s="25"/>
      <c r="N4" s="25"/>
      <c r="O4" s="25"/>
      <c r="P4" s="25"/>
      <c r="Q4" s="25"/>
      <c r="R4" s="25"/>
      <c r="S4" s="25"/>
    </row>
    <row r="5" spans="2:26" ht="16.5" customHeight="1">
      <c r="B5" s="25"/>
      <c r="C5" s="26" t="s">
        <v>17</v>
      </c>
      <c r="D5" s="26"/>
      <c r="E5" s="25"/>
      <c r="F5" s="25"/>
      <c r="G5" s="425" t="str">
        <f>Selection!N8</f>
        <v>16602840</v>
      </c>
      <c r="H5" s="25"/>
      <c r="I5" s="25"/>
      <c r="J5" s="25"/>
      <c r="K5" s="25"/>
      <c r="L5" s="25"/>
      <c r="M5" s="25"/>
      <c r="N5" s="25"/>
      <c r="O5" s="25"/>
      <c r="P5" s="25"/>
      <c r="Q5" s="25"/>
      <c r="R5" s="25"/>
      <c r="S5" s="25"/>
    </row>
    <row r="6" spans="2:26" ht="16.5" customHeight="1">
      <c r="B6" s="25"/>
      <c r="C6" s="26" t="s">
        <v>72</v>
      </c>
      <c r="D6" s="26"/>
      <c r="E6" s="25"/>
      <c r="F6" s="25"/>
      <c r="G6" s="28" t="str">
        <f>Selection!N10</f>
        <v>SAB Limited</v>
      </c>
      <c r="H6" s="25"/>
      <c r="I6" s="25"/>
      <c r="J6" s="25"/>
      <c r="K6"/>
      <c r="L6" s="25"/>
      <c r="M6"/>
      <c r="N6" s="25"/>
      <c r="O6" s="25"/>
      <c r="P6" s="25"/>
      <c r="Q6" s="25"/>
      <c r="R6" s="25"/>
      <c r="S6" s="25"/>
      <c r="T6" s="141"/>
    </row>
    <row r="7" spans="2:26" ht="16.5" customHeight="1">
      <c r="B7" s="25"/>
      <c r="C7" s="26" t="str">
        <f>Selection!C12</f>
        <v>Personnel Area</v>
      </c>
      <c r="D7" s="26"/>
      <c r="E7" s="25"/>
      <c r="F7" s="25"/>
      <c r="G7" s="27" t="str">
        <f>IF(Selection!N12=""," ",Selection!N12)</f>
        <v>SAB Central Office</v>
      </c>
      <c r="H7" s="25"/>
      <c r="I7" s="25"/>
      <c r="J7" s="25"/>
      <c r="K7" s="25"/>
      <c r="L7" s="25"/>
      <c r="M7" s="25"/>
      <c r="N7" s="25"/>
      <c r="O7" s="25"/>
      <c r="P7" s="25"/>
      <c r="Q7" s="25"/>
      <c r="R7" s="25"/>
      <c r="S7" s="25"/>
    </row>
    <row r="8" spans="2:26" ht="16.5" customHeight="1">
      <c r="B8" s="25"/>
      <c r="C8" s="26" t="s">
        <v>105</v>
      </c>
      <c r="D8" s="26"/>
      <c r="E8" s="25"/>
      <c r="F8" s="25"/>
      <c r="G8" s="27" t="str">
        <f>Selection!N20</f>
        <v>B</v>
      </c>
      <c r="H8" s="25"/>
      <c r="I8" s="25"/>
      <c r="J8" s="25"/>
      <c r="K8" s="25"/>
      <c r="L8" s="25"/>
      <c r="M8" s="25"/>
      <c r="N8" s="25"/>
      <c r="O8" s="25"/>
      <c r="P8" s="25"/>
      <c r="Q8" s="25"/>
      <c r="R8" s="25"/>
      <c r="S8" s="25"/>
    </row>
    <row r="9" spans="2:26" ht="16.5" customHeight="1">
      <c r="B9" s="25"/>
      <c r="C9" s="26" t="s">
        <v>18</v>
      </c>
      <c r="D9" s="26"/>
      <c r="E9" s="25"/>
      <c r="F9" s="25"/>
      <c r="G9" s="27" t="str">
        <f>Selection!N22</f>
        <v>Learner</v>
      </c>
      <c r="H9" s="25"/>
      <c r="I9"/>
      <c r="J9" s="25"/>
      <c r="K9" s="25"/>
      <c r="L9" s="25"/>
      <c r="M9" s="25"/>
      <c r="N9" s="25"/>
      <c r="O9" s="25"/>
      <c r="P9" s="25"/>
      <c r="Q9" s="25"/>
      <c r="R9" s="25"/>
      <c r="S9" s="25"/>
    </row>
    <row r="10" spans="2:26" ht="16.5" customHeight="1">
      <c r="B10" s="25"/>
      <c r="C10" s="26" t="s">
        <v>384</v>
      </c>
      <c r="D10" s="26"/>
      <c r="E10" s="25"/>
      <c r="F10" s="25"/>
      <c r="G10" s="587">
        <f>Selection!N26</f>
        <v>44317</v>
      </c>
      <c r="H10" s="25"/>
      <c r="I10" s="25"/>
      <c r="J10" s="25"/>
      <c r="K10" s="25"/>
      <c r="L10" s="25"/>
      <c r="M10" s="25"/>
      <c r="N10" s="25"/>
      <c r="O10" s="25"/>
      <c r="P10" s="25"/>
      <c r="Q10" s="25"/>
      <c r="R10" s="25"/>
      <c r="S10" s="25"/>
    </row>
    <row r="11" spans="2:26" ht="16.5" customHeight="1">
      <c r="B11" s="25"/>
      <c r="C11" s="26" t="str">
        <f>Selection!C32</f>
        <v>Effective Date of Change</v>
      </c>
      <c r="D11" s="26"/>
      <c r="E11" s="25"/>
      <c r="F11" s="25"/>
      <c r="G11" s="829">
        <f>Selection!N32</f>
        <v>44311</v>
      </c>
      <c r="H11" s="829"/>
      <c r="I11" s="25"/>
      <c r="J11" s="25"/>
      <c r="K11" s="25"/>
      <c r="L11" s="25"/>
      <c r="M11" s="25"/>
      <c r="N11" s="25"/>
      <c r="O11" s="25"/>
      <c r="P11" s="25"/>
      <c r="Q11" s="25"/>
      <c r="R11" s="25"/>
      <c r="S11" s="25"/>
    </row>
    <row r="12" spans="2:26" ht="15.75" customHeight="1" thickBot="1">
      <c r="B12" s="25"/>
      <c r="C12" s="207"/>
      <c r="D12" s="207"/>
      <c r="E12" s="207"/>
      <c r="F12" s="207"/>
      <c r="G12" s="207"/>
      <c r="H12" s="207"/>
      <c r="I12" s="207"/>
      <c r="J12" s="207"/>
      <c r="K12" s="207"/>
      <c r="L12" s="207"/>
      <c r="M12" s="207"/>
      <c r="N12" s="207"/>
      <c r="O12" s="207"/>
      <c r="P12" s="207"/>
      <c r="Q12" s="208" t="s">
        <v>24</v>
      </c>
      <c r="R12" s="25"/>
      <c r="S12" s="25"/>
    </row>
    <row r="13" spans="2:26" ht="3" customHeight="1" thickTop="1">
      <c r="B13" s="25"/>
      <c r="C13" s="25"/>
      <c r="D13" s="25"/>
      <c r="E13" s="25"/>
      <c r="F13" s="25"/>
      <c r="G13" s="25"/>
      <c r="H13" s="25"/>
      <c r="I13" s="25"/>
      <c r="J13" s="25"/>
      <c r="K13" s="25"/>
      <c r="L13" s="25"/>
      <c r="M13" s="25"/>
      <c r="N13" s="25"/>
      <c r="O13" s="25"/>
      <c r="P13" s="25"/>
      <c r="Q13" s="25"/>
      <c r="R13" s="25"/>
      <c r="S13" s="25"/>
    </row>
    <row r="14" spans="2:26" s="23" customFormat="1" ht="15.6">
      <c r="B14" s="1"/>
      <c r="C14" s="2" t="s">
        <v>52</v>
      </c>
      <c r="D14" s="2"/>
      <c r="E14" s="2"/>
      <c r="F14" s="2"/>
      <c r="G14" s="2"/>
      <c r="H14" s="2"/>
      <c r="I14" s="2"/>
      <c r="J14" s="2"/>
      <c r="K14" s="2"/>
      <c r="L14" s="2"/>
      <c r="M14" s="2"/>
      <c r="N14" s="2"/>
      <c r="O14" s="2"/>
      <c r="P14" s="2"/>
      <c r="Q14" s="2"/>
      <c r="R14" s="25"/>
      <c r="S14" s="25"/>
    </row>
    <row r="15" spans="2:26" s="21" customFormat="1" ht="15.75" customHeight="1" thickBot="1">
      <c r="B15" s="3"/>
      <c r="C15" s="3"/>
      <c r="D15" s="3"/>
      <c r="E15" s="3"/>
      <c r="F15" s="3"/>
      <c r="G15" s="3"/>
      <c r="H15" s="3"/>
      <c r="I15" s="135"/>
      <c r="J15" s="134"/>
      <c r="K15" s="828" t="s">
        <v>55</v>
      </c>
      <c r="L15" s="828"/>
      <c r="M15" s="828"/>
      <c r="N15" s="3"/>
      <c r="O15" s="828" t="s">
        <v>76</v>
      </c>
      <c r="P15" s="828"/>
      <c r="Q15" s="828"/>
      <c r="R15" s="25"/>
      <c r="S15" s="25"/>
    </row>
    <row r="16" spans="2:26" ht="16.5" customHeight="1">
      <c r="B16" s="25"/>
      <c r="C16" s="3" t="s">
        <v>337</v>
      </c>
      <c r="D16" s="3"/>
      <c r="E16" s="25"/>
      <c r="F16" s="25"/>
      <c r="G16" s="25"/>
      <c r="H16" s="131"/>
      <c r="I16" s="139" t="s">
        <v>53</v>
      </c>
      <c r="J16" s="4"/>
      <c r="K16" s="4" t="s">
        <v>16</v>
      </c>
      <c r="L16" s="4"/>
      <c r="M16" s="4" t="s">
        <v>54</v>
      </c>
      <c r="N16" s="4"/>
      <c r="O16" s="4" t="s">
        <v>16</v>
      </c>
      <c r="P16" s="4"/>
      <c r="Q16" s="4" t="s">
        <v>10</v>
      </c>
      <c r="R16" s="25"/>
      <c r="S16" s="25"/>
    </row>
    <row r="17" spans="2:19" ht="16.5" customHeight="1">
      <c r="B17" s="25"/>
      <c r="C17" s="40" t="s">
        <v>363</v>
      </c>
      <c r="D17" s="29"/>
      <c r="E17" s="25"/>
      <c r="F17" s="25"/>
      <c r="G17" s="25"/>
      <c r="H17"/>
      <c r="I17" s="136"/>
      <c r="J17" s="30"/>
      <c r="K17" s="499">
        <f>O17</f>
        <v>5392.71</v>
      </c>
      <c r="L17" s="499"/>
      <c r="M17" s="499">
        <f>K17*12</f>
        <v>64712.520000000004</v>
      </c>
      <c r="N17" s="499"/>
      <c r="O17" s="499">
        <f>IFERROR('Lists &amp; Rates'!E285,0)</f>
        <v>5392.71</v>
      </c>
      <c r="P17" s="499"/>
      <c r="Q17" s="499">
        <f>IFERROR(O17*12,0)</f>
        <v>64712.520000000004</v>
      </c>
      <c r="R17" s="25"/>
      <c r="S17" s="25"/>
    </row>
    <row r="18" spans="2:19" ht="16.5" hidden="1" customHeight="1" outlineLevel="1">
      <c r="B18" s="25"/>
      <c r="C18" s="40" t="s">
        <v>362</v>
      </c>
      <c r="D18" s="29"/>
      <c r="E18" s="25"/>
      <c r="F18" s="25"/>
      <c r="G18" s="25"/>
      <c r="H18"/>
      <c r="I18" s="136"/>
      <c r="J18" s="30"/>
      <c r="K18" s="499">
        <f>O18</f>
        <v>0</v>
      </c>
      <c r="L18" s="499"/>
      <c r="M18" s="499">
        <f>O18*12</f>
        <v>0</v>
      </c>
      <c r="N18" s="499"/>
      <c r="O18" s="499">
        <f>Selection!O140</f>
        <v>0</v>
      </c>
      <c r="P18" s="499"/>
      <c r="Q18" s="499">
        <f>M18</f>
        <v>0</v>
      </c>
      <c r="R18" s="25"/>
      <c r="S18" s="25"/>
    </row>
    <row r="19" spans="2:19" ht="16.5" customHeight="1" collapsed="1">
      <c r="B19" s="25"/>
      <c r="C19" s="40" t="str">
        <f>IF(Selection!O122="bakkie allowance",'Lists &amp; Rates'!A152,"")</f>
        <v/>
      </c>
      <c r="D19" s="29"/>
      <c r="E19" s="25"/>
      <c r="F19" s="25"/>
      <c r="G19" s="25"/>
      <c r="H19" s="25"/>
      <c r="I19" s="136"/>
      <c r="J19" s="30"/>
      <c r="K19" s="499">
        <f>O19</f>
        <v>0</v>
      </c>
      <c r="L19" s="499"/>
      <c r="M19" s="499">
        <f>K19*12</f>
        <v>0</v>
      </c>
      <c r="N19" s="499"/>
      <c r="O19" s="499">
        <f>Q19/12</f>
        <v>0</v>
      </c>
      <c r="P19" s="499"/>
      <c r="Q19" s="499">
        <f>IF(Selection!O122="Bakkie Allowance",Selection!Q126,0)</f>
        <v>0</v>
      </c>
      <c r="R19" s="25"/>
      <c r="S19" s="25"/>
    </row>
    <row r="20" spans="2:19" ht="16.5" customHeight="1">
      <c r="B20" s="25"/>
      <c r="C20" s="25"/>
      <c r="D20" s="25"/>
      <c r="E20" s="25"/>
      <c r="F20" s="25"/>
      <c r="G20" s="25"/>
      <c r="H20" s="25"/>
      <c r="I20" s="136">
        <f>SUM(I17:I19)</f>
        <v>0</v>
      </c>
      <c r="J20" s="30"/>
      <c r="K20" s="500">
        <f>SUM(K17:K19)</f>
        <v>5392.71</v>
      </c>
      <c r="L20" s="499"/>
      <c r="M20" s="500">
        <f>SUM(M17:M19)</f>
        <v>64712.520000000004</v>
      </c>
      <c r="N20" s="499"/>
      <c r="O20" s="500">
        <f>SUM(O17:O19)</f>
        <v>5392.71</v>
      </c>
      <c r="P20" s="499"/>
      <c r="Q20" s="500">
        <f>SUM(Q17:Q19)</f>
        <v>64712.520000000004</v>
      </c>
      <c r="R20" s="25"/>
      <c r="S20" s="25"/>
    </row>
    <row r="21" spans="2:19" ht="16.5" customHeight="1">
      <c r="B21" s="25"/>
      <c r="C21" s="3" t="s">
        <v>66</v>
      </c>
      <c r="D21" s="3"/>
      <c r="E21" s="25"/>
      <c r="F21" s="25"/>
      <c r="G21" s="25"/>
      <c r="H21" s="25"/>
      <c r="I21" s="136"/>
      <c r="J21" s="30"/>
      <c r="K21" s="30"/>
      <c r="L21" s="30"/>
      <c r="M21" s="30"/>
      <c r="N21" s="30"/>
      <c r="O21" s="30"/>
      <c r="P21" s="30"/>
      <c r="Q21" s="30"/>
      <c r="R21" s="25"/>
      <c r="S21" s="25"/>
    </row>
    <row r="22" spans="2:19" ht="16.5" customHeight="1">
      <c r="B22" s="25"/>
      <c r="C22" s="40" t="s">
        <v>56</v>
      </c>
      <c r="D22" s="3"/>
      <c r="E22" s="25"/>
      <c r="F22" s="25"/>
      <c r="G22" s="25"/>
      <c r="H22" s="25"/>
      <c r="I22" s="136"/>
      <c r="J22" s="30"/>
      <c r="K22" s="560">
        <f>-IF(Selection!Q94="No",Selection!O108,0)</f>
        <v>-579.5</v>
      </c>
      <c r="L22" s="560"/>
      <c r="M22" s="560">
        <f>IFERROR(K22*12,0)</f>
        <v>-6954</v>
      </c>
      <c r="N22" s="30"/>
      <c r="O22" s="30"/>
      <c r="P22" s="30"/>
      <c r="Q22" s="30"/>
      <c r="R22" s="25"/>
      <c r="S22" s="25"/>
    </row>
    <row r="23" spans="2:19" ht="16.5" customHeight="1">
      <c r="B23" s="25"/>
      <c r="C23" s="40" t="s">
        <v>364</v>
      </c>
      <c r="D23" s="29"/>
      <c r="E23" s="25"/>
      <c r="F23" s="25"/>
      <c r="G23" s="25"/>
      <c r="H23" s="19">
        <f>IF(M23&lt;0,Selection!O72,0)</f>
        <v>0.03</v>
      </c>
      <c r="I23" s="136"/>
      <c r="J23" s="30"/>
      <c r="K23" s="560">
        <f>-IFERROR(Selection!O74,0)</f>
        <v>-161.78129999999999</v>
      </c>
      <c r="L23" s="560"/>
      <c r="M23" s="560">
        <f>-Selection!Q74</f>
        <v>-1941.3756000000001</v>
      </c>
      <c r="N23" s="30"/>
      <c r="O23" s="30"/>
      <c r="P23" s="30"/>
      <c r="Q23" s="30"/>
      <c r="R23" s="25"/>
      <c r="S23" s="25"/>
    </row>
    <row r="24" spans="2:19" ht="16.5" customHeight="1">
      <c r="B24" s="25"/>
      <c r="C24" s="40" t="s">
        <v>365</v>
      </c>
      <c r="D24" s="29"/>
      <c r="E24" s="25"/>
      <c r="F24" s="25"/>
      <c r="G24" s="25"/>
      <c r="H24" s="19">
        <f>IF(M24&lt;0,Selection!O78,0)</f>
        <v>0</v>
      </c>
      <c r="I24" s="136"/>
      <c r="J24" s="30"/>
      <c r="K24" s="560">
        <f>-IFERROR(Selection!O80,0)</f>
        <v>0</v>
      </c>
      <c r="L24" s="560"/>
      <c r="M24" s="560">
        <f>-Selection!Q80</f>
        <v>0</v>
      </c>
      <c r="N24" s="30"/>
      <c r="O24" s="30"/>
      <c r="P24" s="30"/>
      <c r="Q24" s="30"/>
      <c r="R24" s="25"/>
      <c r="S24" s="25"/>
    </row>
    <row r="25" spans="2:19" ht="16.5" customHeight="1">
      <c r="B25" s="25"/>
      <c r="C25" s="72" t="s">
        <v>333</v>
      </c>
      <c r="D25" s="157"/>
      <c r="E25" s="31"/>
      <c r="F25" s="31"/>
      <c r="G25" s="830" t="str">
        <f>IF(AND(Selection!N10="abi",'Dummy Payslip'!Q82="monthly"),"Note: PAYE deducted from March to November",IF(Q82="monthly","Note: PAYE deducted from March to January",IF(Q82="bonus month","Bonus PAYE paid on annual bonus during bonus month","")))</f>
        <v>Bonus PAYE paid on annual bonus during bonus month</v>
      </c>
      <c r="H25" s="830"/>
      <c r="I25" s="830"/>
      <c r="J25" s="32"/>
      <c r="K25" s="561">
        <f>-O79</f>
        <v>0</v>
      </c>
      <c r="L25" s="561"/>
      <c r="M25" s="562">
        <f>-Q79</f>
        <v>0</v>
      </c>
      <c r="N25" s="30"/>
      <c r="O25" s="30"/>
      <c r="P25" s="30"/>
      <c r="Q25" s="30"/>
      <c r="R25" s="25"/>
      <c r="S25" s="25"/>
    </row>
    <row r="26" spans="2:19" ht="16.5" customHeight="1">
      <c r="B26" s="25"/>
      <c r="C26" s="33" t="s">
        <v>57</v>
      </c>
      <c r="D26" s="29"/>
      <c r="E26" s="25"/>
      <c r="F26" s="25"/>
      <c r="G26" s="25"/>
      <c r="H26" s="25"/>
      <c r="I26" s="136">
        <f>-M80</f>
        <v>0</v>
      </c>
      <c r="J26" s="30"/>
      <c r="K26" s="560">
        <f>-O80</f>
        <v>0</v>
      </c>
      <c r="L26" s="560"/>
      <c r="M26" s="563">
        <f>-Q80</f>
        <v>0</v>
      </c>
      <c r="N26" s="30"/>
      <c r="O26" s="30"/>
      <c r="P26" s="30"/>
      <c r="Q26" s="30"/>
      <c r="R26" s="25"/>
      <c r="S26" s="25"/>
    </row>
    <row r="27" spans="2:19" ht="16.5" customHeight="1">
      <c r="B27" s="25"/>
      <c r="C27" s="34" t="s">
        <v>58</v>
      </c>
      <c r="D27" s="158"/>
      <c r="E27" s="35"/>
      <c r="F27" s="35"/>
      <c r="G27" s="35"/>
      <c r="H27" s="35"/>
      <c r="I27" s="137">
        <f>M85</f>
        <v>310</v>
      </c>
      <c r="J27" s="36"/>
      <c r="K27" s="501">
        <f>M27/12</f>
        <v>310</v>
      </c>
      <c r="L27" s="501"/>
      <c r="M27" s="502">
        <f>Q85</f>
        <v>3720</v>
      </c>
      <c r="N27" s="30"/>
      <c r="O27" s="30"/>
      <c r="P27" s="30"/>
      <c r="Q27" s="30"/>
      <c r="R27" s="25"/>
      <c r="S27" s="25"/>
    </row>
    <row r="28" spans="2:19" ht="16.5" customHeight="1">
      <c r="B28" s="25"/>
      <c r="C28" s="37" t="s">
        <v>59</v>
      </c>
      <c r="D28" s="38"/>
      <c r="E28" s="38"/>
      <c r="F28" s="38"/>
      <c r="G28" s="38"/>
      <c r="H28" s="38"/>
      <c r="I28" s="138">
        <f>MIN(0,SUM(I25:I27))</f>
        <v>0</v>
      </c>
      <c r="J28" s="39"/>
      <c r="K28" s="564">
        <f>SUM(K25:K27)</f>
        <v>310</v>
      </c>
      <c r="L28" s="564"/>
      <c r="M28" s="565">
        <f>SUM(M25:M27)</f>
        <v>3720</v>
      </c>
      <c r="N28" s="30"/>
      <c r="O28" s="30"/>
      <c r="P28" s="30"/>
      <c r="Q28" s="30"/>
      <c r="R28" s="25"/>
      <c r="S28" s="25"/>
    </row>
    <row r="29" spans="2:19" ht="16.5" customHeight="1">
      <c r="B29" s="25"/>
      <c r="C29" s="29" t="s">
        <v>47</v>
      </c>
      <c r="D29" s="29"/>
      <c r="E29" s="25"/>
      <c r="F29" s="25"/>
      <c r="G29" s="25"/>
      <c r="H29" s="25"/>
      <c r="I29" s="136">
        <f>-M84</f>
        <v>-120.02647450000001</v>
      </c>
      <c r="J29" s="30">
        <f>-N84</f>
        <v>0</v>
      </c>
      <c r="K29" s="560">
        <f>-M84</f>
        <v>-120.02647450000001</v>
      </c>
      <c r="L29" s="560"/>
      <c r="M29" s="560">
        <f>K29*12</f>
        <v>-1440.3176940000001</v>
      </c>
      <c r="N29" s="30"/>
      <c r="O29" s="30"/>
      <c r="P29" s="30"/>
      <c r="Q29" s="30"/>
      <c r="R29" s="25"/>
      <c r="S29" s="25"/>
    </row>
    <row r="30" spans="2:19" ht="16.5" customHeight="1" thickBot="1">
      <c r="B30" s="25"/>
      <c r="C30" s="655" t="s">
        <v>60</v>
      </c>
      <c r="D30" s="655"/>
      <c r="E30" s="655"/>
      <c r="F30" s="655"/>
      <c r="G30" s="655"/>
      <c r="H30" s="655"/>
      <c r="I30" s="656"/>
      <c r="J30" s="656"/>
      <c r="K30" s="657">
        <f>IFERROR(K20+K28+K22+K23+K24+K29,0)</f>
        <v>4841.4022255</v>
      </c>
      <c r="L30" s="658"/>
      <c r="M30" s="657">
        <f>K30*12</f>
        <v>58096.826706</v>
      </c>
      <c r="N30" s="30"/>
      <c r="O30" s="30"/>
      <c r="P30" s="30"/>
      <c r="Q30" s="30"/>
      <c r="R30" s="25"/>
      <c r="S30" s="25"/>
    </row>
    <row r="31" spans="2:19" ht="3" customHeight="1">
      <c r="B31" s="25"/>
      <c r="C31" s="25"/>
      <c r="D31" s="25"/>
      <c r="E31" s="25"/>
      <c r="F31" s="25"/>
      <c r="G31" s="25"/>
      <c r="H31" s="25"/>
      <c r="I31" s="30"/>
      <c r="J31" s="30"/>
      <c r="K31" s="30"/>
      <c r="L31" s="30"/>
      <c r="M31" s="30"/>
      <c r="N31" s="30"/>
      <c r="O31" s="30"/>
      <c r="P31" s="30"/>
      <c r="Q31" s="30"/>
      <c r="R31" s="25"/>
      <c r="S31" s="25"/>
    </row>
    <row r="32" spans="2:19" ht="16.5" customHeight="1">
      <c r="B32" s="25"/>
      <c r="C32" s="3" t="s">
        <v>75</v>
      </c>
      <c r="D32" s="3"/>
      <c r="E32" s="25"/>
      <c r="F32" s="25"/>
      <c r="G32" s="25"/>
      <c r="H32" s="25"/>
      <c r="I32" s="30"/>
      <c r="J32" s="30"/>
      <c r="K32" s="30"/>
      <c r="L32" s="30"/>
      <c r="M32" s="30"/>
      <c r="N32" s="30"/>
      <c r="O32" s="30"/>
      <c r="P32" s="30"/>
      <c r="Q32" s="30"/>
      <c r="R32" s="25"/>
      <c r="S32" s="25"/>
    </row>
    <row r="33" spans="2:20" ht="16.5" customHeight="1">
      <c r="B33" s="25"/>
      <c r="C33" s="29" t="s">
        <v>56</v>
      </c>
      <c r="D33" s="40"/>
      <c r="E33" s="25"/>
      <c r="F33" s="25"/>
      <c r="G33" s="25"/>
      <c r="H33" s="25"/>
      <c r="I33" s="30"/>
      <c r="J33" s="30"/>
      <c r="K33" s="83"/>
      <c r="L33" s="30"/>
      <c r="M33" s="499"/>
      <c r="N33" s="30"/>
      <c r="O33" s="499">
        <f>IF(Selection!Q94="no",Selection!O110,0)</f>
        <v>579.5</v>
      </c>
      <c r="P33" s="499"/>
      <c r="Q33" s="499">
        <f t="shared" ref="Q33" si="0">IFERROR(O33*12,0)</f>
        <v>6954</v>
      </c>
      <c r="R33" s="25"/>
      <c r="S33" s="25"/>
    </row>
    <row r="34" spans="2:20" ht="16.5" customHeight="1">
      <c r="B34" s="25"/>
      <c r="C34" s="40" t="s">
        <v>466</v>
      </c>
      <c r="D34" s="29"/>
      <c r="E34" s="25"/>
      <c r="F34" s="25"/>
      <c r="G34" s="25"/>
      <c r="H34" s="240">
        <f>Selection!O68</f>
        <v>9.5000000000000001E-2</v>
      </c>
      <c r="I34" s="30"/>
      <c r="J34" s="30"/>
      <c r="K34" s="30"/>
      <c r="L34" s="30"/>
      <c r="M34" s="79"/>
      <c r="N34" s="30"/>
      <c r="O34" s="499">
        <f>SUM(O35:O38)</f>
        <v>512.30745000000002</v>
      </c>
      <c r="P34" s="499"/>
      <c r="Q34" s="503">
        <f>SUM(Q35:Q38)</f>
        <v>6147.6894000000002</v>
      </c>
      <c r="R34" s="25"/>
      <c r="S34" s="25"/>
    </row>
    <row r="35" spans="2:20" ht="16.5" customHeight="1">
      <c r="B35" s="25"/>
      <c r="C35" s="597" t="s">
        <v>469</v>
      </c>
      <c r="D35" s="598"/>
      <c r="E35" s="31"/>
      <c r="F35" s="31"/>
      <c r="G35" s="31"/>
      <c r="H35" s="599">
        <f>IF($H$34&gt;0,VLOOKUP(Selection!$N$10,'For Office Use'!$B$143:$F$147,3,0),0)</f>
        <v>6.1999999999999998E-3</v>
      </c>
      <c r="I35" s="32"/>
      <c r="J35" s="32"/>
      <c r="K35" s="32"/>
      <c r="L35" s="32"/>
      <c r="M35" s="600"/>
      <c r="N35" s="32"/>
      <c r="O35" s="601">
        <f>+H35*$O$50</f>
        <v>33.434801999999998</v>
      </c>
      <c r="P35" s="601"/>
      <c r="Q35" s="602">
        <f>+H35*$Q$50</f>
        <v>401.217624</v>
      </c>
      <c r="R35" s="25"/>
      <c r="S35" s="25"/>
      <c r="T35" s="628"/>
    </row>
    <row r="36" spans="2:20" ht="16.5" customHeight="1">
      <c r="B36" s="25"/>
      <c r="C36" s="636" t="s">
        <v>486</v>
      </c>
      <c r="D36" s="29"/>
      <c r="E36" s="25"/>
      <c r="F36" s="25"/>
      <c r="G36" s="25"/>
      <c r="H36" s="240">
        <f>IF($H$34&gt;0,VLOOKUP(Selection!$N$10,'For Office Use'!$B$143:$F$147,4,0),0)</f>
        <v>9.7000000000000003E-3</v>
      </c>
      <c r="I36" s="30"/>
      <c r="J36" s="30"/>
      <c r="K36" s="30"/>
      <c r="L36" s="30"/>
      <c r="M36" s="79"/>
      <c r="N36" s="30"/>
      <c r="O36" s="499">
        <f>+H36*$O$50</f>
        <v>52.309287000000005</v>
      </c>
      <c r="P36" s="499"/>
      <c r="Q36" s="637">
        <f>+H36*$Q$50</f>
        <v>627.71144400000003</v>
      </c>
      <c r="R36" s="25"/>
      <c r="S36" s="25"/>
      <c r="T36" s="628"/>
    </row>
    <row r="37" spans="2:20" ht="16.5" customHeight="1">
      <c r="B37" s="25"/>
      <c r="C37" s="636" t="s">
        <v>487</v>
      </c>
      <c r="D37" s="29"/>
      <c r="E37" s="25"/>
      <c r="F37" s="25"/>
      <c r="G37" s="25"/>
      <c r="H37" s="240">
        <f>IF($H$34&gt;0,VLOOKUP(Selection!$N$10,'For Office Use'!$B$143:$F$147,5,0),0)</f>
        <v>4.7999999999999996E-3</v>
      </c>
      <c r="I37" s="30"/>
      <c r="J37" s="30"/>
      <c r="K37" s="30"/>
      <c r="L37" s="30"/>
      <c r="M37" s="79"/>
      <c r="N37" s="30"/>
      <c r="O37" s="499">
        <f>+H37*$O$50</f>
        <v>25.885007999999999</v>
      </c>
      <c r="P37" s="499"/>
      <c r="Q37" s="637">
        <f>+H37*$Q$50</f>
        <v>310.62009599999999</v>
      </c>
      <c r="R37" s="25"/>
      <c r="S37" s="25"/>
      <c r="T37" s="628"/>
    </row>
    <row r="38" spans="2:20" ht="16.5" customHeight="1">
      <c r="B38" s="25"/>
      <c r="C38" s="603" t="s">
        <v>489</v>
      </c>
      <c r="D38" s="158"/>
      <c r="E38" s="35"/>
      <c r="F38" s="35"/>
      <c r="G38" s="35"/>
      <c r="H38" s="633">
        <f>+H34-H35-H36-H37</f>
        <v>7.4300000000000005E-2</v>
      </c>
      <c r="I38" s="36"/>
      <c r="J38" s="36"/>
      <c r="K38" s="36"/>
      <c r="L38" s="36"/>
      <c r="M38" s="604"/>
      <c r="N38" s="36"/>
      <c r="O38" s="501">
        <f>+H38*$O$50</f>
        <v>400.67835300000002</v>
      </c>
      <c r="P38" s="501"/>
      <c r="Q38" s="605">
        <f>+H38*$Q$50</f>
        <v>4808.1402360000002</v>
      </c>
      <c r="R38" s="25"/>
      <c r="S38" s="25"/>
      <c r="T38" s="141"/>
    </row>
    <row r="39" spans="2:20" ht="16.5" customHeight="1">
      <c r="B39" s="25"/>
      <c r="C39" s="40"/>
      <c r="D39" s="29"/>
      <c r="E39" s="25"/>
      <c r="F39" s="25"/>
      <c r="G39" s="25"/>
      <c r="H39" s="25"/>
      <c r="I39" s="30"/>
      <c r="J39" s="30"/>
      <c r="K39" s="30"/>
      <c r="L39" s="30"/>
      <c r="M39" s="71"/>
      <c r="N39" s="30"/>
      <c r="O39" s="500">
        <f>+O20+O33+O34</f>
        <v>6484.5174500000003</v>
      </c>
      <c r="P39" s="499"/>
      <c r="Q39" s="500">
        <f>+Q20+Q33+Q34</f>
        <v>77814.209400000007</v>
      </c>
      <c r="R39" s="25"/>
      <c r="S39" s="25"/>
    </row>
    <row r="40" spans="2:20" ht="2.25" customHeight="1">
      <c r="B40" s="25"/>
      <c r="C40" s="40"/>
      <c r="D40" s="29"/>
      <c r="E40" s="25"/>
      <c r="F40" s="25"/>
      <c r="G40" s="25"/>
      <c r="H40" s="25"/>
      <c r="I40" s="30"/>
      <c r="J40" s="30"/>
      <c r="K40" s="30"/>
      <c r="L40" s="30"/>
      <c r="M40" s="71"/>
      <c r="N40" s="30"/>
      <c r="O40" s="499"/>
      <c r="P40" s="499"/>
      <c r="Q40" s="499"/>
      <c r="R40" s="25"/>
      <c r="S40" s="25"/>
    </row>
    <row r="41" spans="2:20" ht="16.5" customHeight="1">
      <c r="B41" s="25"/>
      <c r="C41" s="3" t="s">
        <v>375</v>
      </c>
      <c r="D41" s="29"/>
      <c r="E41" s="25"/>
      <c r="F41" s="25"/>
      <c r="G41" s="25"/>
      <c r="H41" s="25"/>
      <c r="I41" s="632"/>
      <c r="J41" s="30"/>
      <c r="K41" s="30"/>
      <c r="L41" s="30"/>
      <c r="M41" s="499"/>
      <c r="N41" s="30"/>
      <c r="O41" s="499"/>
      <c r="P41" s="499"/>
      <c r="Q41" s="499"/>
      <c r="R41" s="25"/>
      <c r="S41" s="25"/>
    </row>
    <row r="42" spans="2:20" ht="16.5" customHeight="1">
      <c r="B42" s="25"/>
      <c r="C42" s="40" t="s">
        <v>408</v>
      </c>
      <c r="D42" s="29"/>
      <c r="E42" s="25"/>
      <c r="F42" s="25"/>
      <c r="G42" s="25"/>
      <c r="H42" s="25"/>
      <c r="I42" s="30"/>
      <c r="J42" s="30"/>
      <c r="K42" s="30"/>
      <c r="L42" s="30"/>
      <c r="M42" s="71"/>
      <c r="N42" s="30"/>
      <c r="O42" s="499">
        <f>Q42/12</f>
        <v>449.39249999999998</v>
      </c>
      <c r="P42" s="499"/>
      <c r="Q42" s="499">
        <f>Selection!Q116</f>
        <v>5392.71</v>
      </c>
      <c r="R42" s="25"/>
      <c r="S42" s="25"/>
    </row>
    <row r="43" spans="2:20" ht="16.5" customHeight="1">
      <c r="B43" s="25"/>
      <c r="C43" s="40" t="s">
        <v>329</v>
      </c>
      <c r="D43" s="29"/>
      <c r="E43" s="25"/>
      <c r="F43" s="25"/>
      <c r="G43" s="25"/>
      <c r="H43" s="25"/>
      <c r="I43" s="30"/>
      <c r="J43" s="30"/>
      <c r="K43" s="30"/>
      <c r="L43" s="30"/>
      <c r="M43" s="71"/>
      <c r="N43" s="30"/>
      <c r="O43" s="499">
        <f>Selection!O138</f>
        <v>123.13</v>
      </c>
      <c r="P43" s="499"/>
      <c r="Q43" s="499">
        <f>O43*12</f>
        <v>1477.56</v>
      </c>
      <c r="R43" s="25"/>
      <c r="S43" s="25"/>
    </row>
    <row r="44" spans="2:20" s="427" customFormat="1" ht="16.5" customHeight="1">
      <c r="B44" s="426"/>
      <c r="C44" s="659" t="s">
        <v>495</v>
      </c>
      <c r="D44" s="659"/>
      <c r="E44" s="659"/>
      <c r="F44" s="659"/>
      <c r="G44" s="659"/>
      <c r="H44" s="659"/>
      <c r="I44" s="660"/>
      <c r="J44" s="660"/>
      <c r="K44" s="660"/>
      <c r="L44" s="660"/>
      <c r="M44" s="660"/>
      <c r="N44" s="660"/>
      <c r="O44" s="661">
        <f>+O42+O39+O43</f>
        <v>7057.0399500000003</v>
      </c>
      <c r="P44" s="662"/>
      <c r="Q44" s="661">
        <f>+Q42+Q39+Q43</f>
        <v>84684.479400000011</v>
      </c>
      <c r="R44" s="426"/>
      <c r="S44" s="426"/>
    </row>
    <row r="45" spans="2:20" s="430" customFormat="1" ht="16.5" customHeight="1">
      <c r="B45" s="428"/>
      <c r="C45" s="40" t="s">
        <v>15</v>
      </c>
      <c r="D45" s="29"/>
      <c r="E45" s="25"/>
      <c r="F45" s="25"/>
      <c r="G45" s="25"/>
      <c r="H45" s="631"/>
      <c r="I45" s="30"/>
      <c r="J45" s="30"/>
      <c r="K45" s="30"/>
      <c r="L45" s="30"/>
      <c r="M45" s="71"/>
      <c r="N45" s="30"/>
      <c r="O45" s="647">
        <f>Selection!O90</f>
        <v>2.29</v>
      </c>
      <c r="P45" s="499"/>
      <c r="Q45" s="503">
        <f>IFERROR(O45*12,0)</f>
        <v>27.48</v>
      </c>
      <c r="R45" s="428"/>
      <c r="S45" s="428"/>
    </row>
    <row r="46" spans="2:20" s="430" customFormat="1" ht="16.5" customHeight="1" thickBot="1">
      <c r="B46" s="428"/>
      <c r="C46" s="659" t="s">
        <v>76</v>
      </c>
      <c r="D46" s="663"/>
      <c r="E46" s="663"/>
      <c r="F46" s="663"/>
      <c r="G46" s="663"/>
      <c r="H46" s="663"/>
      <c r="I46" s="664"/>
      <c r="J46" s="664"/>
      <c r="K46" s="664"/>
      <c r="L46" s="664"/>
      <c r="M46" s="664"/>
      <c r="N46" s="664"/>
      <c r="O46" s="665">
        <f>O44+O45</f>
        <v>7059.3299500000003</v>
      </c>
      <c r="P46" s="665"/>
      <c r="Q46" s="666">
        <f>Q44+Q45</f>
        <v>84711.959400000007</v>
      </c>
      <c r="R46" s="428"/>
      <c r="S46" s="428"/>
    </row>
    <row r="47" spans="2:20" s="430" customFormat="1" ht="16.5" customHeight="1">
      <c r="B47" s="428"/>
      <c r="C47" s="428"/>
      <c r="D47" s="428"/>
      <c r="E47" s="428"/>
      <c r="F47" s="428"/>
      <c r="G47" s="428"/>
      <c r="H47" s="428"/>
      <c r="I47" s="429"/>
      <c r="J47" s="429"/>
      <c r="K47" s="429"/>
      <c r="L47" s="429"/>
      <c r="M47" s="429"/>
      <c r="N47" s="429"/>
      <c r="O47" s="648"/>
      <c r="P47" s="504"/>
      <c r="Q47" s="648"/>
      <c r="R47" s="428"/>
      <c r="S47" s="428"/>
    </row>
    <row r="48" spans="2:20" s="430" customFormat="1" ht="16.5" customHeight="1">
      <c r="B48" s="428"/>
      <c r="C48" s="659" t="s">
        <v>73</v>
      </c>
      <c r="D48" s="659"/>
      <c r="E48" s="303"/>
      <c r="F48" s="303"/>
      <c r="G48" s="303"/>
      <c r="H48" s="303"/>
      <c r="I48" s="667"/>
      <c r="J48" s="667"/>
      <c r="K48" s="668"/>
      <c r="L48" s="668"/>
      <c r="M48" s="669"/>
      <c r="N48" s="667"/>
      <c r="O48" s="662">
        <f>Selection!O60</f>
        <v>5392.71</v>
      </c>
      <c r="P48" s="662"/>
      <c r="Q48" s="662">
        <f>+Selection!Q60</f>
        <v>64712.520000000004</v>
      </c>
      <c r="R48" s="428"/>
      <c r="S48" s="428"/>
    </row>
    <row r="49" spans="2:21" s="430" customFormat="1" ht="3" customHeight="1">
      <c r="B49" s="428"/>
      <c r="C49" s="428"/>
      <c r="D49" s="428"/>
      <c r="E49" s="428"/>
      <c r="F49" s="428"/>
      <c r="G49" s="428"/>
      <c r="H49" s="428"/>
      <c r="I49" s="429"/>
      <c r="J49" s="429"/>
      <c r="K49" s="431"/>
      <c r="L49" s="431"/>
      <c r="M49" s="431"/>
      <c r="N49" s="429"/>
      <c r="O49" s="505"/>
      <c r="P49" s="505"/>
      <c r="Q49" s="505"/>
      <c r="R49" s="428"/>
      <c r="S49" s="428"/>
    </row>
    <row r="50" spans="2:21" s="430" customFormat="1" ht="16.5" customHeight="1">
      <c r="B50" s="428"/>
      <c r="C50" s="659" t="s">
        <v>340</v>
      </c>
      <c r="D50" s="659"/>
      <c r="E50" s="303"/>
      <c r="F50" s="303"/>
      <c r="G50" s="303"/>
      <c r="H50" s="303"/>
      <c r="I50" s="667"/>
      <c r="J50" s="667"/>
      <c r="K50" s="668"/>
      <c r="L50" s="668"/>
      <c r="M50" s="669"/>
      <c r="N50" s="667"/>
      <c r="O50" s="662">
        <f>+Selection!O62</f>
        <v>5392.71</v>
      </c>
      <c r="P50" s="662"/>
      <c r="Q50" s="662">
        <f>Selection!Q62</f>
        <v>64712.520000000004</v>
      </c>
      <c r="R50" s="428"/>
      <c r="S50" s="428"/>
    </row>
    <row r="51" spans="2:21" s="430" customFormat="1" ht="3" customHeight="1">
      <c r="B51" s="428"/>
      <c r="C51" s="428"/>
      <c r="D51" s="428"/>
      <c r="E51" s="428"/>
      <c r="F51" s="428"/>
      <c r="G51" s="428"/>
      <c r="H51" s="428"/>
      <c r="I51" s="429"/>
      <c r="J51" s="429"/>
      <c r="K51" s="431"/>
      <c r="L51" s="431"/>
      <c r="M51" s="431"/>
      <c r="N51" s="429"/>
      <c r="O51" s="505"/>
      <c r="P51" s="505"/>
      <c r="Q51" s="505"/>
      <c r="R51" s="428"/>
      <c r="S51" s="428"/>
    </row>
    <row r="52" spans="2:21" s="430" customFormat="1" ht="16.5" customHeight="1">
      <c r="B52" s="428"/>
      <c r="C52" s="670" t="s">
        <v>347</v>
      </c>
      <c r="D52" s="671"/>
      <c r="E52" s="303"/>
      <c r="F52" s="303"/>
      <c r="G52" s="303"/>
      <c r="H52" s="303"/>
      <c r="I52" s="667"/>
      <c r="J52" s="667"/>
      <c r="K52" s="668" t="str">
        <f>IF(O52&gt;0,"Taxable %","")</f>
        <v/>
      </c>
      <c r="L52" s="668"/>
      <c r="M52" s="672">
        <f>IF(O52&gt;0,3.5%,0%)</f>
        <v>0</v>
      </c>
      <c r="N52" s="667"/>
      <c r="O52" s="662">
        <f>Q52/12</f>
        <v>0</v>
      </c>
      <c r="P52" s="662"/>
      <c r="Q52" s="662">
        <f>IF(Selection!O122='Lists &amp; Rates'!A153,Selection!O124,0)</f>
        <v>0</v>
      </c>
      <c r="R52" s="428"/>
      <c r="S52" s="428"/>
    </row>
    <row r="53" spans="2:21" ht="9" customHeight="1">
      <c r="B53" s="25"/>
      <c r="C53" s="25"/>
      <c r="D53" s="25"/>
      <c r="E53" s="25"/>
      <c r="F53" s="25"/>
      <c r="G53" s="25"/>
      <c r="H53" s="25"/>
      <c r="I53" s="30"/>
      <c r="J53" s="30"/>
      <c r="K53" s="30"/>
      <c r="L53" s="30"/>
      <c r="M53" s="30"/>
      <c r="N53" s="30"/>
      <c r="O53" s="30"/>
      <c r="P53" s="30"/>
      <c r="Q53" s="30"/>
      <c r="R53" s="25"/>
      <c r="S53" s="25"/>
    </row>
    <row r="54" spans="2:21" ht="15.6">
      <c r="B54" s="25"/>
      <c r="C54" s="2" t="s">
        <v>61</v>
      </c>
      <c r="D54" s="2"/>
      <c r="E54" s="2"/>
      <c r="F54" s="2"/>
      <c r="G54" s="2"/>
      <c r="H54" s="2"/>
      <c r="I54" s="2"/>
      <c r="J54" s="2"/>
      <c r="K54" s="2"/>
      <c r="L54" s="2"/>
      <c r="M54" s="2"/>
      <c r="N54" s="2"/>
      <c r="O54" s="2"/>
      <c r="P54" s="2"/>
      <c r="Q54" s="2"/>
      <c r="R54" s="2"/>
      <c r="S54" s="25"/>
    </row>
    <row r="55" spans="2:21" ht="16.5" customHeight="1">
      <c r="B55" s="25"/>
      <c r="C55" s="5"/>
      <c r="D55" s="5"/>
      <c r="E55" s="5"/>
      <c r="F55" s="5"/>
      <c r="G55" s="5"/>
      <c r="H55" s="5"/>
      <c r="I55" s="6"/>
      <c r="J55" s="6"/>
      <c r="K55" s="6"/>
      <c r="L55" s="6"/>
      <c r="M55" s="7" t="s">
        <v>53</v>
      </c>
      <c r="N55" s="7"/>
      <c r="O55" s="7" t="s">
        <v>16</v>
      </c>
      <c r="P55" s="7"/>
      <c r="Q55" s="7" t="s">
        <v>54</v>
      </c>
      <c r="R55" s="25"/>
      <c r="S55" s="25"/>
      <c r="T55" s="141"/>
    </row>
    <row r="56" spans="2:21" ht="16.5" customHeight="1">
      <c r="B56" s="25"/>
      <c r="C56" s="5" t="str">
        <f>C17</f>
        <v>Basic Salary</v>
      </c>
      <c r="D56" s="5"/>
      <c r="E56" s="5"/>
      <c r="F56" s="5"/>
      <c r="G56" s="5"/>
      <c r="H56" s="5"/>
      <c r="I56" s="6"/>
      <c r="J56" s="6"/>
      <c r="K56" s="6"/>
      <c r="L56" s="6"/>
      <c r="M56" s="506">
        <f>O56</f>
        <v>5392.71</v>
      </c>
      <c r="N56" s="506"/>
      <c r="O56" s="506">
        <f>O17</f>
        <v>5392.71</v>
      </c>
      <c r="P56" s="506"/>
      <c r="Q56" s="506">
        <f>O56*12</f>
        <v>64712.520000000004</v>
      </c>
      <c r="R56" s="25"/>
      <c r="S56" s="25"/>
      <c r="T56" s="704"/>
      <c r="U56" s="700"/>
    </row>
    <row r="57" spans="2:21" ht="16.5" hidden="1" customHeight="1" outlineLevel="1">
      <c r="B57" s="25"/>
      <c r="C57" s="5" t="s">
        <v>362</v>
      </c>
      <c r="D57" s="5"/>
      <c r="E57" s="5"/>
      <c r="F57" s="5"/>
      <c r="G57" s="5"/>
      <c r="H57" s="5"/>
      <c r="I57" s="6"/>
      <c r="J57" s="6"/>
      <c r="K57" s="6"/>
      <c r="L57" s="6"/>
      <c r="M57" s="506">
        <f t="shared" ref="M57" si="1">O57</f>
        <v>0</v>
      </c>
      <c r="N57" s="506"/>
      <c r="O57" s="506">
        <f>O18</f>
        <v>0</v>
      </c>
      <c r="P57" s="506"/>
      <c r="Q57" s="506">
        <f t="shared" ref="Q57" si="2">O57*12</f>
        <v>0</v>
      </c>
      <c r="R57" s="25"/>
      <c r="S57" s="25"/>
      <c r="T57" s="141"/>
      <c r="U57" s="700"/>
    </row>
    <row r="58" spans="2:21" ht="16.5" customHeight="1" collapsed="1">
      <c r="B58" s="25"/>
      <c r="C58" s="5" t="str">
        <f>C19</f>
        <v/>
      </c>
      <c r="D58" s="5"/>
      <c r="E58" s="5"/>
      <c r="F58" s="5"/>
      <c r="G58" s="5"/>
      <c r="H58" s="5"/>
      <c r="I58" s="432" t="str">
        <f>IF(K19&gt;0,"Taxed","")</f>
        <v/>
      </c>
      <c r="J58" s="433"/>
      <c r="K58" s="434" t="str">
        <f>IF(K19&gt;0,Selection!O128,"")</f>
        <v/>
      </c>
      <c r="L58" s="6"/>
      <c r="M58" s="506">
        <f t="shared" ref="M58:M63" si="3">O58</f>
        <v>0</v>
      </c>
      <c r="N58" s="506"/>
      <c r="O58" s="506">
        <f>IF(O19&gt;0,O19*K58,0)</f>
        <v>0</v>
      </c>
      <c r="P58" s="506"/>
      <c r="Q58" s="506">
        <f t="shared" ref="Q58:Q64" si="4">O58*12</f>
        <v>0</v>
      </c>
      <c r="R58" s="25"/>
      <c r="S58" s="25"/>
      <c r="T58" s="141"/>
      <c r="U58" s="700"/>
    </row>
    <row r="59" spans="2:21" ht="16.5" customHeight="1">
      <c r="B59" s="25"/>
      <c r="C59" s="5" t="s">
        <v>56</v>
      </c>
      <c r="D59" s="5"/>
      <c r="E59" s="5"/>
      <c r="F59" s="5"/>
      <c r="G59" s="5"/>
      <c r="H59" s="5"/>
      <c r="I59" s="435"/>
      <c r="J59" s="432" t="str">
        <f>IF(I59&gt;0%,"Taxed","")</f>
        <v/>
      </c>
      <c r="K59" s="432"/>
      <c r="L59" s="6"/>
      <c r="M59" s="506">
        <f t="shared" si="3"/>
        <v>579.5</v>
      </c>
      <c r="N59" s="506"/>
      <c r="O59" s="506">
        <f>O33</f>
        <v>579.5</v>
      </c>
      <c r="P59" s="506"/>
      <c r="Q59" s="506">
        <f>+O59*12</f>
        <v>6954</v>
      </c>
      <c r="R59" s="25"/>
      <c r="S59" s="25"/>
      <c r="T59" s="704"/>
      <c r="U59" s="700"/>
    </row>
    <row r="60" spans="2:21" ht="16.5" customHeight="1">
      <c r="B60" s="25"/>
      <c r="C60" s="5" t="s">
        <v>22</v>
      </c>
      <c r="D60" s="5"/>
      <c r="E60" s="5"/>
      <c r="F60" s="5"/>
      <c r="G60" s="5"/>
      <c r="H60" s="5"/>
      <c r="I60" s="432" t="str">
        <f>IF(O52&gt;0,"Taxed","")</f>
        <v/>
      </c>
      <c r="J60" s="433"/>
      <c r="K60" s="434" t="str">
        <f>IF(O52&gt;0,80%,"")</f>
        <v/>
      </c>
      <c r="L60" s="6"/>
      <c r="M60" s="506">
        <f t="shared" si="3"/>
        <v>0</v>
      </c>
      <c r="N60" s="506"/>
      <c r="O60" s="506">
        <f>IFERROR(Q52*M52*K60,0)</f>
        <v>0</v>
      </c>
      <c r="P60" s="506"/>
      <c r="Q60" s="506">
        <f t="shared" si="4"/>
        <v>0</v>
      </c>
      <c r="R60" s="25"/>
      <c r="S60" s="25"/>
      <c r="T60" s="141"/>
      <c r="U60" s="700"/>
    </row>
    <row r="61" spans="2:21" s="439" customFormat="1" ht="16.5" customHeight="1">
      <c r="B61" s="438"/>
      <c r="C61" s="640" t="s">
        <v>490</v>
      </c>
      <c r="D61" s="640"/>
      <c r="E61" s="640"/>
      <c r="F61" s="640"/>
      <c r="G61" s="640"/>
      <c r="H61" s="640"/>
      <c r="I61" s="641"/>
      <c r="J61" s="642"/>
      <c r="K61" s="642"/>
      <c r="L61" s="643"/>
      <c r="M61" s="644">
        <f>(O38+O37+O36)*IF(Selection!$J$60=13,2,1)</f>
        <v>478.87264799999997</v>
      </c>
      <c r="N61" s="644"/>
      <c r="O61" s="644">
        <f>O38+O37+O36</f>
        <v>478.87264799999997</v>
      </c>
      <c r="P61" s="644"/>
      <c r="Q61" s="644">
        <f>Q38+Q37+Q36</f>
        <v>5746.4717760000003</v>
      </c>
      <c r="R61" s="438"/>
      <c r="S61" s="438"/>
      <c r="T61" s="704"/>
      <c r="U61" s="701"/>
    </row>
    <row r="62" spans="2:21" ht="16.5" customHeight="1">
      <c r="B62" s="25"/>
      <c r="C62" s="5" t="s">
        <v>491</v>
      </c>
      <c r="D62" s="5"/>
      <c r="E62" s="5"/>
      <c r="F62" s="5"/>
      <c r="G62" s="5"/>
      <c r="H62" s="5"/>
      <c r="I62" s="435"/>
      <c r="J62" s="432"/>
      <c r="K62" s="432"/>
      <c r="L62" s="6"/>
      <c r="M62" s="506">
        <f>+O35*IF(Selection!$J$60=13,2,1)</f>
        <v>33.434801999999998</v>
      </c>
      <c r="N62" s="506"/>
      <c r="O62" s="506">
        <f>O35</f>
        <v>33.434801999999998</v>
      </c>
      <c r="P62" s="506"/>
      <c r="Q62" s="506">
        <f>Q35</f>
        <v>401.217624</v>
      </c>
      <c r="R62" s="25"/>
      <c r="S62" s="25"/>
      <c r="T62" s="704"/>
      <c r="U62" s="700"/>
    </row>
    <row r="63" spans="2:21" ht="16.5" customHeight="1">
      <c r="B63" s="25"/>
      <c r="C63" s="5" t="s">
        <v>15</v>
      </c>
      <c r="D63" s="5"/>
      <c r="E63" s="5"/>
      <c r="F63" s="5"/>
      <c r="G63" s="5"/>
      <c r="H63" s="5"/>
      <c r="I63" s="8"/>
      <c r="J63" s="6"/>
      <c r="K63" s="6"/>
      <c r="L63" s="6"/>
      <c r="M63" s="506">
        <f t="shared" si="3"/>
        <v>2.29</v>
      </c>
      <c r="N63" s="506"/>
      <c r="O63" s="506">
        <f>O45</f>
        <v>2.29</v>
      </c>
      <c r="P63" s="506"/>
      <c r="Q63" s="506">
        <f>IFERROR(O63*12," ")</f>
        <v>27.48</v>
      </c>
      <c r="R63" s="25"/>
      <c r="S63" s="25"/>
      <c r="T63" s="704"/>
      <c r="U63" s="700"/>
    </row>
    <row r="64" spans="2:21" ht="16.5" customHeight="1">
      <c r="B64" s="25"/>
      <c r="C64" s="5" t="s">
        <v>329</v>
      </c>
      <c r="D64" s="5"/>
      <c r="E64" s="5"/>
      <c r="F64" s="5"/>
      <c r="G64" s="5"/>
      <c r="H64" s="5"/>
      <c r="I64" s="6"/>
      <c r="J64" s="6"/>
      <c r="K64" s="6"/>
      <c r="L64" s="6"/>
      <c r="M64" s="506">
        <f>O64</f>
        <v>123.13</v>
      </c>
      <c r="N64" s="506"/>
      <c r="O64" s="506">
        <f>Selection!O138</f>
        <v>123.13</v>
      </c>
      <c r="P64" s="506"/>
      <c r="Q64" s="506">
        <f t="shared" si="4"/>
        <v>1477.56</v>
      </c>
      <c r="R64" s="25"/>
      <c r="S64" s="25"/>
      <c r="T64" s="704"/>
      <c r="U64" s="700"/>
    </row>
    <row r="65" spans="2:21" ht="16.5" customHeight="1">
      <c r="B65" s="25"/>
      <c r="C65" s="5"/>
      <c r="D65" s="5"/>
      <c r="E65" s="5"/>
      <c r="F65" s="5"/>
      <c r="G65" s="5"/>
      <c r="H65" s="5"/>
      <c r="I65" s="89"/>
      <c r="J65" s="89"/>
      <c r="K65" s="89"/>
      <c r="L65" s="5"/>
      <c r="M65" s="507">
        <f>SUM(M56:M64)</f>
        <v>6609.9374499999994</v>
      </c>
      <c r="N65" s="508"/>
      <c r="O65" s="507">
        <f>SUM(O56:O64)</f>
        <v>6609.9374499999994</v>
      </c>
      <c r="P65" s="508"/>
      <c r="Q65" s="507">
        <f>SUM(Q56:Q64)</f>
        <v>79319.249400000001</v>
      </c>
      <c r="R65" s="25"/>
      <c r="S65" s="25"/>
      <c r="T65" s="704"/>
      <c r="U65" s="702"/>
    </row>
    <row r="66" spans="2:21" ht="16.5" customHeight="1">
      <c r="B66" s="25"/>
      <c r="C66" s="10" t="s">
        <v>115</v>
      </c>
      <c r="D66" s="10"/>
      <c r="E66" s="5"/>
      <c r="F66" s="5"/>
      <c r="G66" s="5"/>
      <c r="H66" s="5"/>
      <c r="I66" s="89"/>
      <c r="J66" s="89"/>
      <c r="K66" s="89"/>
      <c r="L66" s="5"/>
      <c r="M66" s="508">
        <f>O66</f>
        <v>-640.65394800000001</v>
      </c>
      <c r="N66" s="508"/>
      <c r="O66" s="508">
        <f>Q66/12</f>
        <v>-640.65394800000001</v>
      </c>
      <c r="P66" s="508"/>
      <c r="Q66" s="508">
        <f>IFERROR(-MIN(G67,G70),0)</f>
        <v>-7687.8473760000006</v>
      </c>
      <c r="R66" s="25"/>
      <c r="S66" s="25"/>
      <c r="T66" s="704"/>
      <c r="U66" s="701"/>
    </row>
    <row r="67" spans="2:21" ht="16.5" customHeight="1">
      <c r="B67" s="25"/>
      <c r="C67" s="222" t="s">
        <v>367</v>
      </c>
      <c r="D67" s="223"/>
      <c r="E67" s="224"/>
      <c r="F67" s="224" t="s">
        <v>48</v>
      </c>
      <c r="G67" s="607">
        <f>Q61-M23-M24</f>
        <v>7687.8473760000006</v>
      </c>
      <c r="H67" s="225"/>
      <c r="I67" s="89"/>
      <c r="J67" s="89"/>
      <c r="K67" s="89"/>
      <c r="L67" s="5"/>
      <c r="M67" s="16"/>
      <c r="N67" s="16"/>
      <c r="O67" s="16"/>
      <c r="P67" s="16"/>
      <c r="Q67" s="140"/>
      <c r="R67" s="25"/>
      <c r="S67" s="25"/>
      <c r="T67" s="141"/>
      <c r="U67" s="700"/>
    </row>
    <row r="68" spans="2:21" ht="16.5" customHeight="1">
      <c r="B68" s="25"/>
      <c r="C68" s="226" t="s">
        <v>334</v>
      </c>
      <c r="D68" s="218"/>
      <c r="E68" s="219"/>
      <c r="F68" s="219" t="s">
        <v>48</v>
      </c>
      <c r="G68" s="608">
        <v>350000</v>
      </c>
      <c r="H68" s="227" t="s">
        <v>335</v>
      </c>
      <c r="I68" s="89"/>
      <c r="J68" s="89"/>
      <c r="K68" s="89"/>
      <c r="L68" s="5"/>
      <c r="M68" s="16"/>
      <c r="N68" s="16"/>
      <c r="O68" s="16"/>
      <c r="P68" s="16"/>
      <c r="Q68" s="140"/>
      <c r="R68" s="25"/>
      <c r="S68" s="25"/>
      <c r="T68" s="141"/>
      <c r="U68" s="700"/>
    </row>
    <row r="69" spans="2:21" ht="16.5" customHeight="1">
      <c r="B69" s="25"/>
      <c r="C69" s="228">
        <v>0.27500000000000002</v>
      </c>
      <c r="D69" s="221" t="s">
        <v>49</v>
      </c>
      <c r="E69" s="610">
        <f>(+Q65+Q72)</f>
        <v>84711.959400000007</v>
      </c>
      <c r="F69" s="220" t="s">
        <v>48</v>
      </c>
      <c r="G69" s="608">
        <f>+E69*C69</f>
        <v>23295.788835000003</v>
      </c>
      <c r="H69" s="227"/>
      <c r="I69" s="89"/>
      <c r="J69" s="89"/>
      <c r="K69" s="89"/>
      <c r="L69" s="5"/>
      <c r="M69" s="16"/>
      <c r="N69" s="16"/>
      <c r="O69" s="16"/>
      <c r="P69" s="16"/>
      <c r="Q69" s="140"/>
      <c r="R69" s="25"/>
      <c r="S69" s="25"/>
      <c r="T69" s="141"/>
      <c r="U69" s="700"/>
    </row>
    <row r="70" spans="2:21" ht="16.5" customHeight="1">
      <c r="B70" s="25"/>
      <c r="C70" s="229" t="s">
        <v>336</v>
      </c>
      <c r="D70" s="230"/>
      <c r="E70" s="231"/>
      <c r="F70" s="231" t="s">
        <v>48</v>
      </c>
      <c r="G70" s="609">
        <f>+MIN(G68,G69)</f>
        <v>23295.788835000003</v>
      </c>
      <c r="H70" s="232" t="str">
        <f>IFERROR(IF(G67&gt;G70,"Capped",""),0)</f>
        <v/>
      </c>
      <c r="I70" s="89"/>
      <c r="J70" s="89"/>
      <c r="K70" s="89"/>
      <c r="L70" s="5"/>
      <c r="M70" s="16"/>
      <c r="N70" s="16"/>
      <c r="O70" s="16"/>
      <c r="P70" s="16"/>
      <c r="Q70" s="140"/>
      <c r="R70" s="25"/>
      <c r="S70" s="25"/>
      <c r="T70" s="141"/>
      <c r="U70" s="700"/>
    </row>
    <row r="71" spans="2:21" ht="16.5" customHeight="1">
      <c r="B71" s="25"/>
      <c r="C71" s="5"/>
      <c r="D71" s="5"/>
      <c r="E71" s="5"/>
      <c r="F71" s="5"/>
      <c r="G71" s="5"/>
      <c r="H71" s="5"/>
      <c r="I71" s="89"/>
      <c r="J71" s="89"/>
      <c r="K71" s="89"/>
      <c r="L71" s="5"/>
      <c r="M71" s="509">
        <f>SUM(M65:M66)</f>
        <v>5969.2835019999993</v>
      </c>
      <c r="N71" s="510"/>
      <c r="O71" s="509">
        <f>SUM(O65:O66)</f>
        <v>5969.2835019999993</v>
      </c>
      <c r="P71" s="510"/>
      <c r="Q71" s="509">
        <f>SUM(Q65:Q66)</f>
        <v>71631.402023999995</v>
      </c>
      <c r="R71" s="25"/>
      <c r="S71" s="25"/>
      <c r="T71" s="704"/>
      <c r="U71" s="703"/>
    </row>
    <row r="72" spans="2:21" ht="16.5" customHeight="1">
      <c r="B72" s="25"/>
      <c r="C72" s="5" t="s">
        <v>408</v>
      </c>
      <c r="D72" s="5"/>
      <c r="E72" s="5"/>
      <c r="F72" s="5"/>
      <c r="G72" s="5"/>
      <c r="H72" s="5"/>
      <c r="I72" s="90"/>
      <c r="J72" s="89"/>
      <c r="K72" s="89"/>
      <c r="L72" s="5"/>
      <c r="M72" s="508">
        <f>IFERROR((Q72/'Lists &amp; Rates'!C480),Q72)</f>
        <v>5392.71</v>
      </c>
      <c r="N72" s="508"/>
      <c r="O72" s="508">
        <f>IFERROR((Q72/'Lists &amp; Rates'!D480),0)</f>
        <v>0</v>
      </c>
      <c r="P72" s="508"/>
      <c r="Q72" s="508">
        <f>Q42</f>
        <v>5392.71</v>
      </c>
      <c r="R72" s="25"/>
      <c r="S72" s="25"/>
      <c r="T72" s="704"/>
      <c r="U72" s="700"/>
    </row>
    <row r="73" spans="2:21" ht="16.5" customHeight="1" thickBot="1">
      <c r="B73" s="25"/>
      <c r="C73" s="5"/>
      <c r="D73" s="5"/>
      <c r="E73" s="5"/>
      <c r="F73" s="5"/>
      <c r="G73" s="5"/>
      <c r="H73" s="5"/>
      <c r="I73" s="566"/>
      <c r="J73" s="89"/>
      <c r="K73" s="89"/>
      <c r="L73" s="5"/>
      <c r="M73" s="511">
        <f>SUM(M71:M72)</f>
        <v>11361.993501999999</v>
      </c>
      <c r="N73" s="508"/>
      <c r="O73" s="511">
        <f>SUM(O71:O72)</f>
        <v>5969.2835019999993</v>
      </c>
      <c r="P73" s="508"/>
      <c r="Q73" s="511">
        <f>SUM(Q71:Q72)</f>
        <v>77024.112024000002</v>
      </c>
      <c r="R73" s="25"/>
      <c r="S73" s="25"/>
      <c r="T73" s="704"/>
      <c r="U73" s="700"/>
    </row>
    <row r="74" spans="2:21" ht="16.5" customHeight="1">
      <c r="B74" s="25"/>
      <c r="C74" s="10" t="s">
        <v>65</v>
      </c>
      <c r="D74" s="10"/>
      <c r="E74" s="5"/>
      <c r="F74" s="5"/>
      <c r="G74" s="5"/>
      <c r="H74" s="5"/>
      <c r="I74" s="9"/>
      <c r="J74" s="5"/>
      <c r="K74" s="5"/>
      <c r="L74" s="5"/>
      <c r="M74" s="508"/>
      <c r="N74" s="508"/>
      <c r="O74" s="508"/>
      <c r="P74" s="508"/>
      <c r="Q74" s="508"/>
      <c r="R74" s="25"/>
      <c r="S74" s="25"/>
    </row>
    <row r="75" spans="2:21" ht="16.5" customHeight="1" outlineLevel="1">
      <c r="B75" s="25"/>
      <c r="C75" s="612" t="s">
        <v>422</v>
      </c>
      <c r="D75" s="613"/>
      <c r="E75" s="614"/>
      <c r="F75" s="614"/>
      <c r="G75" s="614"/>
      <c r="H75" s="614"/>
      <c r="I75" s="614"/>
      <c r="J75" s="614"/>
      <c r="K75" s="614"/>
      <c r="L75" s="614"/>
      <c r="M75" s="615">
        <f>M71</f>
        <v>5969.2835019999993</v>
      </c>
      <c r="N75" s="615"/>
      <c r="O75" s="615">
        <f>O71</f>
        <v>5969.2835019999993</v>
      </c>
      <c r="P75" s="615"/>
      <c r="Q75" s="616">
        <f>IFERROR(VLOOKUP('Lists &amp; Rates'!$B$498,'Lists &amp; Rates'!$A$510:$J$515,'Lists &amp; Rates'!$B$508,0),0)</f>
        <v>72626.282607666653</v>
      </c>
      <c r="R75" s="25"/>
      <c r="S75" s="25"/>
      <c r="T75" s="585"/>
    </row>
    <row r="76" spans="2:21" ht="16.5" customHeight="1" outlineLevel="1">
      <c r="B76" s="25"/>
      <c r="C76" s="617" t="s">
        <v>423</v>
      </c>
      <c r="D76" s="618"/>
      <c r="E76" s="619"/>
      <c r="F76" s="619"/>
      <c r="G76" s="619"/>
      <c r="H76" s="619"/>
      <c r="I76" s="619"/>
      <c r="J76" s="619"/>
      <c r="K76" s="619"/>
      <c r="L76" s="619"/>
      <c r="M76" s="620">
        <f>M73</f>
        <v>11361.993501999999</v>
      </c>
      <c r="N76" s="620"/>
      <c r="O76" s="620">
        <f>O73</f>
        <v>5969.2835019999993</v>
      </c>
      <c r="P76" s="620"/>
      <c r="Q76" s="621">
        <f>IFERROR(VLOOKUP('Lists &amp; Rates'!$B$498,'Lists &amp; Rates'!$A$510:$J$515,'Lists &amp; Rates'!$H$508,0),0)</f>
        <v>78590.946698575746</v>
      </c>
      <c r="R76" s="25"/>
      <c r="S76" s="25"/>
    </row>
    <row r="77" spans="2:21" ht="16.5" customHeight="1">
      <c r="B77" s="25"/>
      <c r="C77" s="612" t="s">
        <v>424</v>
      </c>
      <c r="D77" s="613"/>
      <c r="E77" s="614"/>
      <c r="F77" s="614"/>
      <c r="G77" s="614"/>
      <c r="H77" s="614"/>
      <c r="I77" s="614"/>
      <c r="J77" s="614"/>
      <c r="K77" s="614"/>
      <c r="L77" s="614"/>
      <c r="M77" s="615">
        <f>O77</f>
        <v>0</v>
      </c>
      <c r="N77" s="615"/>
      <c r="O77" s="615">
        <f>IFERROR(VLOOKUP('Lists &amp; Rates'!B498,'Lists &amp; Rates'!$A$509:$J$515,'Lists &amp; Rates'!$D$508,0),0)</f>
        <v>0</v>
      </c>
      <c r="P77" s="615"/>
      <c r="Q77" s="616">
        <f>IFERROR((MAX(0,((Q75-LOOKUP(Q75,'Lists &amp; Rates'!$A$132:$A$138,'Lists &amp; Rates'!$A$132:$A$138)-1)*LOOKUP(Q75,'Lists &amp; Rates'!$A$132:$A$138,'Lists &amp; Rates'!$D$132:$D$138)+LOOKUP(Q75,'Lists &amp; Rates'!$A$132:$A$138,'Lists &amp; Rates'!$C$132:$C$138)-'Dummy Payslip'!$Q$83))),0)</f>
        <v>0</v>
      </c>
      <c r="R77" s="25"/>
      <c r="S77" s="25"/>
    </row>
    <row r="78" spans="2:21" ht="16.5" customHeight="1">
      <c r="B78" s="25"/>
      <c r="C78" s="617" t="s">
        <v>425</v>
      </c>
      <c r="D78" s="618"/>
      <c r="E78" s="619"/>
      <c r="F78" s="619"/>
      <c r="G78" s="619"/>
      <c r="H78" s="619"/>
      <c r="I78" s="619"/>
      <c r="J78" s="619"/>
      <c r="K78" s="619"/>
      <c r="L78" s="619"/>
      <c r="M78" s="620">
        <f>+M79+M80</f>
        <v>0</v>
      </c>
      <c r="N78" s="620"/>
      <c r="O78" s="620">
        <f>+O79+O80</f>
        <v>0</v>
      </c>
      <c r="P78" s="620"/>
      <c r="Q78" s="621">
        <f>IFERROR((MAX(0,((Q76-LOOKUP(Q76,'Lists &amp; Rates'!$A$132:$A$138,'Lists &amp; Rates'!$A$132:$A$138)-1)*LOOKUP(Q76,'Lists &amp; Rates'!$A$132:$A$138,'Lists &amp; Rates'!$D$132:$D$138)+LOOKUP(Q76,'Lists &amp; Rates'!$A$132:$A$138,'Lists &amp; Rates'!$C$132:$C$138)-'Dummy Payslip'!$Q$83))),0)</f>
        <v>0</v>
      </c>
      <c r="R78" s="25"/>
      <c r="S78" s="25"/>
    </row>
    <row r="79" spans="2:21" ht="16.5" customHeight="1">
      <c r="B79" s="25"/>
      <c r="C79" s="612" t="s">
        <v>333</v>
      </c>
      <c r="D79" s="613"/>
      <c r="E79" s="614"/>
      <c r="F79" s="614"/>
      <c r="G79" s="614"/>
      <c r="H79" s="614"/>
      <c r="I79" s="614"/>
      <c r="J79" s="614"/>
      <c r="K79" s="614"/>
      <c r="L79" s="614"/>
      <c r="M79" s="615">
        <f>IFERROR(VLOOKUP('Lists &amp; Rates'!B498,'Lists &amp; Rates'!$A$509:$J$515,'Lists &amp; Rates'!$G$508,0),0)</f>
        <v>0</v>
      </c>
      <c r="N79" s="615"/>
      <c r="O79" s="615">
        <f>IFERROR(VLOOKUP('Lists &amp; Rates'!B498,'Lists &amp; Rates'!$A$509:$J$515,'Lists &amp; Rates'!$F$508,0),0)</f>
        <v>0</v>
      </c>
      <c r="P79" s="615"/>
      <c r="Q79" s="616">
        <f>IFERROR(VLOOKUP('Lists &amp; Rates'!B498,'Lists &amp; Rates'!$A$509:$J$515,'Lists &amp; Rates'!$E$508,0),0)</f>
        <v>0</v>
      </c>
      <c r="R79" s="25"/>
      <c r="S79" s="25"/>
    </row>
    <row r="80" spans="2:21" ht="16.5" customHeight="1">
      <c r="B80" s="25"/>
      <c r="C80" s="617" t="s">
        <v>62</v>
      </c>
      <c r="D80" s="618"/>
      <c r="E80" s="619"/>
      <c r="F80" s="619"/>
      <c r="G80" s="619"/>
      <c r="H80" s="619"/>
      <c r="I80" s="619"/>
      <c r="J80" s="619"/>
      <c r="K80" s="619"/>
      <c r="L80" s="619"/>
      <c r="M80" s="620">
        <f>+O80</f>
        <v>0</v>
      </c>
      <c r="N80" s="620"/>
      <c r="O80" s="620">
        <f>IFERROR(VLOOKUP('Lists &amp; Rates'!B498,'Lists &amp; Rates'!$A$509:$J$515,'Lists &amp; Rates'!$D$508,0),0)</f>
        <v>0</v>
      </c>
      <c r="P80" s="620"/>
      <c r="Q80" s="621">
        <f>IFERROR(VLOOKUP('Lists &amp; Rates'!B498,'Lists &amp; Rates'!$A$509:$J$515,'Lists &amp; Rates'!$C$508,0),0)</f>
        <v>0</v>
      </c>
      <c r="R80" s="25"/>
      <c r="S80" s="25"/>
    </row>
    <row r="81" spans="2:19" ht="16.5" customHeight="1">
      <c r="B81" s="25"/>
      <c r="C81" s="10" t="s">
        <v>63</v>
      </c>
      <c r="D81" s="10"/>
      <c r="E81" s="5"/>
      <c r="F81" s="5"/>
      <c r="G81" s="5"/>
      <c r="H81" s="5"/>
      <c r="I81" s="5"/>
      <c r="J81" s="5"/>
      <c r="K81" s="5"/>
      <c r="L81" s="5"/>
      <c r="M81" s="16"/>
      <c r="N81" s="16"/>
      <c r="O81" s="16"/>
      <c r="P81" s="16"/>
      <c r="Q81" s="16"/>
      <c r="R81" s="25"/>
      <c r="S81" s="25"/>
    </row>
    <row r="82" spans="2:19" ht="16.5" customHeight="1">
      <c r="B82" s="25"/>
      <c r="C82" s="11" t="s">
        <v>409</v>
      </c>
      <c r="D82" s="159"/>
      <c r="E82" s="12"/>
      <c r="F82" s="12"/>
      <c r="G82" s="12"/>
      <c r="H82" s="12"/>
      <c r="I82" s="12"/>
      <c r="J82" s="12"/>
      <c r="K82" s="12"/>
      <c r="L82" s="12"/>
      <c r="M82" s="13"/>
      <c r="N82" s="13"/>
      <c r="O82" s="13"/>
      <c r="P82" s="13"/>
      <c r="Q82" s="17" t="str">
        <f>Selection!Q118</f>
        <v>Bonus Month</v>
      </c>
      <c r="R82" s="25"/>
      <c r="S82" s="25"/>
    </row>
    <row r="83" spans="2:19" ht="16.5" customHeight="1">
      <c r="B83" s="25"/>
      <c r="C83" s="18" t="s">
        <v>35</v>
      </c>
      <c r="D83" s="161"/>
      <c r="E83" s="5"/>
      <c r="F83" s="5"/>
      <c r="G83" s="5"/>
      <c r="H83" s="5"/>
      <c r="I83" s="5"/>
      <c r="J83" s="5"/>
      <c r="K83" s="5"/>
      <c r="L83" s="5"/>
      <c r="M83" s="16"/>
      <c r="N83" s="16"/>
      <c r="O83" s="16"/>
      <c r="P83" s="16"/>
      <c r="Q83" s="514">
        <f>'Lists &amp; Rates'!B139</f>
        <v>14220</v>
      </c>
      <c r="R83" s="25"/>
      <c r="S83" s="25"/>
    </row>
    <row r="84" spans="2:19" ht="16.5" customHeight="1">
      <c r="B84" s="25"/>
      <c r="C84" s="18" t="s">
        <v>47</v>
      </c>
      <c r="D84" s="161"/>
      <c r="E84" s="5"/>
      <c r="F84" s="5"/>
      <c r="G84" s="5"/>
      <c r="H84" s="5"/>
      <c r="I84" s="5"/>
      <c r="J84" s="5"/>
      <c r="K84" s="5"/>
      <c r="L84" s="5"/>
      <c r="M84" s="508">
        <f>IF((M65+Q72)&gt;'Lists &amp; Rates'!D213/12,'Lists &amp; Rates'!D213/12*'Lists &amp; Rates'!B213,('Dummy Payslip'!M65+Q72)*'Lists &amp; Rates'!B213)</f>
        <v>120.02647450000001</v>
      </c>
      <c r="N84" s="508"/>
      <c r="O84" s="508">
        <f>IF(O65&gt;'Lists &amp; Rates'!D213/12,'Lists &amp; Rates'!D213/12*'Lists &amp; Rates'!B213,'Dummy Payslip'!O65*'Lists &amp; Rates'!B213)</f>
        <v>66.099374499999996</v>
      </c>
      <c r="P84" s="508"/>
      <c r="Q84" s="514">
        <f>O84*12</f>
        <v>793.1924939999999</v>
      </c>
      <c r="R84" s="25"/>
      <c r="S84" s="25"/>
    </row>
    <row r="85" spans="2:19" ht="16.5" customHeight="1">
      <c r="B85" s="25"/>
      <c r="C85" s="14" t="s">
        <v>58</v>
      </c>
      <c r="D85" s="160"/>
      <c r="E85" s="15"/>
      <c r="F85" s="15"/>
      <c r="G85" s="15"/>
      <c r="H85" s="15"/>
      <c r="I85" s="15"/>
      <c r="J85" s="15"/>
      <c r="K85" s="35"/>
      <c r="L85" s="15"/>
      <c r="M85" s="512">
        <f>VLOOKUP('Lists &amp; Rates'!B390,'Lists &amp; Rates'!$A$372:$B$382,2,0)</f>
        <v>310</v>
      </c>
      <c r="N85" s="512"/>
      <c r="O85" s="512">
        <f>M85</f>
        <v>310</v>
      </c>
      <c r="P85" s="512"/>
      <c r="Q85" s="513">
        <f>O85*12</f>
        <v>3720</v>
      </c>
      <c r="R85" s="25"/>
      <c r="S85" s="25"/>
    </row>
    <row r="86" spans="2:19" ht="9" customHeight="1" thickBot="1">
      <c r="B86" s="25"/>
      <c r="C86" s="299"/>
      <c r="D86" s="299"/>
      <c r="E86" s="299"/>
      <c r="F86" s="299"/>
      <c r="G86" s="299"/>
      <c r="H86" s="299"/>
      <c r="I86" s="299"/>
      <c r="J86" s="299"/>
      <c r="K86" s="299"/>
      <c r="L86" s="299"/>
      <c r="M86" s="299"/>
      <c r="N86" s="299"/>
      <c r="O86" s="299"/>
      <c r="P86" s="299"/>
      <c r="Q86" s="300"/>
      <c r="R86" s="25"/>
      <c r="S86" s="25"/>
    </row>
    <row r="87" spans="2:19" ht="3" customHeight="1" thickTop="1">
      <c r="B87" s="25"/>
      <c r="C87" s="25"/>
      <c r="D87" s="25"/>
      <c r="E87" s="25"/>
      <c r="F87" s="25"/>
      <c r="G87" s="25"/>
      <c r="H87" s="25"/>
      <c r="I87" s="25"/>
      <c r="J87" s="25"/>
      <c r="K87" s="25"/>
      <c r="L87" s="25"/>
      <c r="M87" s="25"/>
      <c r="N87" s="25"/>
      <c r="O87" s="25"/>
      <c r="P87" s="25"/>
      <c r="Q87" s="206"/>
      <c r="R87" s="25"/>
      <c r="S87" s="25"/>
    </row>
    <row r="88" spans="2:19" s="23" customFormat="1" ht="15.6">
      <c r="B88" s="1"/>
      <c r="C88" s="2" t="s">
        <v>104</v>
      </c>
      <c r="D88" s="2"/>
      <c r="E88" s="2"/>
      <c r="F88" s="2"/>
      <c r="G88" s="2"/>
      <c r="H88" s="2"/>
      <c r="I88" s="2"/>
      <c r="J88" s="2"/>
      <c r="K88" s="2"/>
      <c r="L88" s="2"/>
      <c r="M88" s="2"/>
      <c r="N88" s="2"/>
      <c r="O88" s="2"/>
      <c r="P88" s="2"/>
      <c r="Q88" s="2"/>
      <c r="R88" s="25"/>
      <c r="S88" s="25"/>
    </row>
    <row r="89" spans="2:19" ht="9" customHeight="1">
      <c r="B89" s="79"/>
      <c r="C89" s="79"/>
      <c r="D89" s="79"/>
      <c r="E89" s="79"/>
      <c r="F89" s="79"/>
      <c r="G89" s="79"/>
      <c r="H89" s="79"/>
      <c r="I89" s="20"/>
      <c r="J89" s="79"/>
      <c r="K89" s="79"/>
      <c r="L89" s="79"/>
      <c r="M89" s="79"/>
      <c r="N89" s="79"/>
      <c r="O89" s="79"/>
      <c r="P89" s="79"/>
      <c r="Q89" s="79"/>
      <c r="R89" s="79"/>
      <c r="S89" s="79"/>
    </row>
    <row r="90" spans="2:19" s="21" customFormat="1">
      <c r="B90" s="606"/>
      <c r="C90" s="606" t="s">
        <v>477</v>
      </c>
      <c r="D90" s="606"/>
      <c r="E90" s="606"/>
      <c r="F90" s="606"/>
      <c r="G90" s="606"/>
      <c r="H90" s="606"/>
      <c r="I90" s="606"/>
      <c r="J90" s="606"/>
      <c r="K90" s="606" t="str">
        <f>IF(Selection!N18='Lists &amp; Rates'!A521,"","Benefit Breakdown")</f>
        <v>Benefit Breakdown</v>
      </c>
      <c r="L90" s="606"/>
      <c r="M90" s="606"/>
      <c r="N90" s="606"/>
      <c r="O90" s="606"/>
      <c r="P90" s="606"/>
      <c r="Q90" s="606"/>
      <c r="R90" s="606"/>
      <c r="S90" s="606"/>
    </row>
    <row r="91" spans="2:19" ht="14.25" customHeight="1">
      <c r="B91" s="79"/>
      <c r="C91" s="79"/>
      <c r="D91" s="79"/>
      <c r="E91" s="79"/>
      <c r="F91" s="79"/>
      <c r="G91" s="79"/>
      <c r="H91" s="79"/>
      <c r="I91" s="79"/>
      <c r="J91" s="79"/>
      <c r="K91" s="79"/>
      <c r="L91" s="79"/>
      <c r="M91" s="79"/>
      <c r="N91" s="79"/>
      <c r="O91" s="79"/>
      <c r="P91" s="79"/>
      <c r="Q91" s="79"/>
      <c r="R91" s="79"/>
      <c r="S91" s="79"/>
    </row>
    <row r="92" spans="2:19" ht="8.25" customHeight="1">
      <c r="B92" s="79"/>
      <c r="C92" s="79"/>
      <c r="D92" s="79"/>
      <c r="E92" s="79"/>
      <c r="F92" s="79"/>
      <c r="G92" s="79"/>
      <c r="H92" s="79"/>
      <c r="I92" s="79"/>
      <c r="J92" s="79"/>
      <c r="K92" s="79"/>
      <c r="L92" s="79"/>
      <c r="M92" s="79"/>
      <c r="N92" s="79"/>
      <c r="O92" s="79"/>
      <c r="P92" s="79"/>
      <c r="Q92" s="79"/>
      <c r="R92" s="79"/>
      <c r="S92" s="79"/>
    </row>
    <row r="93" spans="2:19">
      <c r="B93" s="79"/>
      <c r="C93" s="79"/>
      <c r="D93" s="79"/>
      <c r="E93" s="79"/>
      <c r="F93" s="79"/>
      <c r="G93" s="79"/>
      <c r="H93" s="79"/>
      <c r="I93" s="79"/>
      <c r="J93" s="79"/>
      <c r="K93" s="79"/>
      <c r="L93" s="79"/>
      <c r="M93" s="79"/>
      <c r="N93" s="79"/>
      <c r="O93" s="79"/>
      <c r="P93" s="79"/>
      <c r="Q93" s="79"/>
      <c r="R93" s="79"/>
      <c r="S93" s="79"/>
    </row>
    <row r="94" spans="2:19">
      <c r="B94" s="79"/>
      <c r="C94" s="79"/>
      <c r="D94" s="79"/>
      <c r="E94" s="79"/>
      <c r="F94" s="79"/>
      <c r="G94" s="79"/>
      <c r="H94" s="79"/>
      <c r="I94" s="79"/>
      <c r="J94" s="79"/>
      <c r="K94" s="79"/>
      <c r="L94" s="79"/>
      <c r="M94" s="79"/>
      <c r="N94" s="79"/>
      <c r="O94" s="79"/>
      <c r="P94" s="79"/>
      <c r="Q94" s="79"/>
      <c r="R94" s="79"/>
      <c r="S94" s="79"/>
    </row>
    <row r="95" spans="2:19">
      <c r="B95" s="79"/>
      <c r="C95" s="79"/>
      <c r="D95" s="79"/>
      <c r="E95" s="79"/>
      <c r="F95" s="79"/>
      <c r="G95" s="79"/>
      <c r="H95" s="79"/>
      <c r="I95" s="79"/>
      <c r="J95" s="79"/>
      <c r="K95" s="79"/>
      <c r="L95" s="79"/>
      <c r="M95" s="79"/>
      <c r="N95" s="79"/>
      <c r="O95" s="79"/>
      <c r="P95" s="79"/>
      <c r="Q95" s="79"/>
      <c r="R95" s="79"/>
      <c r="S95" s="79"/>
    </row>
    <row r="96" spans="2:19">
      <c r="B96" s="79"/>
      <c r="C96" s="79"/>
      <c r="D96" s="79"/>
      <c r="E96" s="79"/>
      <c r="F96" s="79"/>
      <c r="G96" s="79"/>
      <c r="H96" s="79"/>
      <c r="I96" s="79"/>
      <c r="J96" s="79"/>
      <c r="K96" s="79"/>
      <c r="L96" s="79"/>
      <c r="M96" s="79"/>
      <c r="N96" s="79"/>
      <c r="O96" s="79"/>
      <c r="P96" s="79"/>
      <c r="Q96" s="79"/>
      <c r="R96" s="79"/>
      <c r="S96" s="79"/>
    </row>
    <row r="97" spans="2:19">
      <c r="B97" s="79"/>
      <c r="C97" s="79"/>
      <c r="D97" s="79"/>
      <c r="E97" s="79"/>
      <c r="F97" s="79"/>
      <c r="G97" s="79"/>
      <c r="H97" s="79"/>
      <c r="I97" s="79"/>
      <c r="J97" s="79"/>
      <c r="K97" s="79"/>
      <c r="L97" s="79"/>
      <c r="M97" s="79"/>
      <c r="N97" s="79"/>
      <c r="O97" s="79"/>
      <c r="P97" s="79"/>
      <c r="Q97" s="79"/>
      <c r="R97" s="79"/>
      <c r="S97" s="79"/>
    </row>
    <row r="98" spans="2:19">
      <c r="B98" s="79"/>
      <c r="C98" s="79"/>
      <c r="D98" s="79"/>
      <c r="E98" s="79"/>
      <c r="F98" s="79"/>
      <c r="G98" s="79"/>
      <c r="H98" s="79"/>
      <c r="I98" s="79"/>
      <c r="J98" s="79"/>
      <c r="K98" s="79"/>
      <c r="L98" s="79"/>
      <c r="M98" s="79"/>
      <c r="N98" s="79"/>
      <c r="O98" s="79"/>
      <c r="P98" s="79"/>
      <c r="Q98" s="79"/>
      <c r="R98" s="79"/>
      <c r="S98" s="79"/>
    </row>
    <row r="99" spans="2:19">
      <c r="B99" s="79"/>
      <c r="C99" s="79"/>
      <c r="D99" s="79"/>
      <c r="E99" s="79"/>
      <c r="F99" s="79"/>
      <c r="G99" s="79"/>
      <c r="H99" s="79"/>
      <c r="I99" s="79"/>
      <c r="J99" s="79"/>
      <c r="K99" s="79"/>
      <c r="L99" s="79"/>
      <c r="M99" s="79"/>
      <c r="N99" s="79"/>
      <c r="O99" s="79"/>
      <c r="P99" s="79"/>
      <c r="Q99" s="79"/>
      <c r="R99" s="79"/>
      <c r="S99" s="79"/>
    </row>
    <row r="100" spans="2:19">
      <c r="B100" s="79"/>
      <c r="C100" s="79"/>
      <c r="D100" s="79"/>
      <c r="E100" s="79"/>
      <c r="F100" s="79"/>
      <c r="G100" s="79"/>
      <c r="H100" s="79"/>
      <c r="I100" s="79"/>
      <c r="J100" s="79"/>
      <c r="K100" s="79"/>
      <c r="L100" s="79"/>
      <c r="M100" s="79"/>
      <c r="N100" s="79"/>
      <c r="O100" s="79"/>
      <c r="P100" s="79"/>
      <c r="Q100" s="79"/>
      <c r="R100" s="79"/>
      <c r="S100" s="79"/>
    </row>
    <row r="101" spans="2:19">
      <c r="B101" s="79"/>
      <c r="C101" s="79"/>
      <c r="D101" s="79"/>
      <c r="E101" s="79"/>
      <c r="F101" s="79"/>
      <c r="G101" s="79"/>
      <c r="H101" s="79"/>
      <c r="I101" s="79"/>
      <c r="J101" s="79"/>
      <c r="K101" s="79"/>
      <c r="L101" s="79"/>
      <c r="M101" s="79"/>
      <c r="N101" s="79"/>
      <c r="O101" s="79"/>
      <c r="P101" s="79"/>
      <c r="Q101" s="79"/>
      <c r="R101" s="79"/>
      <c r="S101" s="79"/>
    </row>
    <row r="102" spans="2:19">
      <c r="B102" s="79"/>
      <c r="C102" s="79"/>
      <c r="D102" s="79"/>
      <c r="E102" s="79"/>
      <c r="F102" s="79"/>
      <c r="G102" s="79"/>
      <c r="H102" s="79"/>
      <c r="I102" s="79"/>
      <c r="J102" s="79"/>
      <c r="K102" s="79"/>
      <c r="L102" s="79"/>
      <c r="M102" s="79"/>
      <c r="N102" s="79"/>
      <c r="O102" s="79"/>
      <c r="P102" s="79"/>
      <c r="Q102" s="79"/>
      <c r="R102" s="79"/>
      <c r="S102" s="79"/>
    </row>
    <row r="103" spans="2:19">
      <c r="B103" s="79"/>
      <c r="C103" s="79"/>
      <c r="D103" s="79"/>
      <c r="E103" s="79"/>
      <c r="F103" s="79"/>
      <c r="G103" s="79"/>
      <c r="H103" s="79"/>
      <c r="I103" s="79"/>
      <c r="J103" s="79"/>
      <c r="K103" s="79"/>
      <c r="L103" s="79"/>
      <c r="M103" s="79"/>
      <c r="N103" s="79"/>
      <c r="O103" s="79"/>
      <c r="P103" s="79"/>
      <c r="Q103" s="79"/>
      <c r="R103" s="79"/>
      <c r="S103" s="79"/>
    </row>
    <row r="104" spans="2:19">
      <c r="B104" s="79"/>
      <c r="C104" s="79"/>
      <c r="D104" s="79"/>
      <c r="E104" s="79"/>
      <c r="F104" s="79"/>
      <c r="G104" s="79"/>
      <c r="H104" s="79"/>
      <c r="I104" s="79"/>
      <c r="J104" s="79"/>
      <c r="K104" s="79"/>
      <c r="L104" s="79"/>
      <c r="M104" s="79"/>
      <c r="N104" s="79"/>
      <c r="O104" s="79"/>
      <c r="P104" s="79"/>
      <c r="Q104" s="79"/>
      <c r="R104" s="79"/>
      <c r="S104" s="79"/>
    </row>
    <row r="105" spans="2:19">
      <c r="B105" s="79"/>
      <c r="C105" s="79"/>
      <c r="D105" s="79"/>
      <c r="E105" s="79"/>
      <c r="F105" s="79"/>
      <c r="G105" s="79"/>
      <c r="H105" s="79"/>
      <c r="I105" s="79"/>
      <c r="J105" s="79"/>
      <c r="K105" s="79"/>
      <c r="L105" s="79"/>
      <c r="M105" s="79"/>
      <c r="N105" s="79"/>
      <c r="O105" s="79"/>
      <c r="P105" s="79"/>
      <c r="Q105" s="79"/>
      <c r="R105" s="79"/>
      <c r="S105" s="79"/>
    </row>
    <row r="106" spans="2:19">
      <c r="B106" s="79"/>
      <c r="C106" s="79"/>
      <c r="D106" s="79"/>
      <c r="E106" s="79"/>
      <c r="F106" s="79"/>
      <c r="G106" s="79"/>
      <c r="H106" s="79"/>
      <c r="I106" s="79"/>
      <c r="J106" s="79"/>
      <c r="K106" s="79"/>
      <c r="L106" s="79"/>
      <c r="M106" s="79"/>
      <c r="N106" s="79"/>
      <c r="O106" s="79"/>
      <c r="P106" s="79"/>
      <c r="Q106" s="79"/>
      <c r="R106" s="79"/>
      <c r="S106" s="79"/>
    </row>
    <row r="107" spans="2:19">
      <c r="B107" s="79"/>
      <c r="C107" s="79"/>
      <c r="D107" s="79"/>
      <c r="E107" s="79"/>
      <c r="F107" s="79"/>
      <c r="G107" s="79"/>
      <c r="H107" s="79"/>
      <c r="I107" s="79"/>
      <c r="J107" s="79"/>
      <c r="K107" s="79"/>
      <c r="L107" s="79"/>
      <c r="M107" s="79"/>
      <c r="N107" s="79"/>
      <c r="O107" s="79"/>
      <c r="P107" s="79"/>
      <c r="Q107" s="79"/>
      <c r="R107" s="79"/>
      <c r="S107" s="79"/>
    </row>
    <row r="108" spans="2:19">
      <c r="B108" s="79"/>
      <c r="C108" s="79"/>
      <c r="D108" s="79"/>
      <c r="E108" s="79"/>
      <c r="F108" s="79"/>
      <c r="G108" s="79"/>
      <c r="H108" s="79"/>
      <c r="I108" s="79"/>
      <c r="J108" s="79"/>
      <c r="K108" s="79"/>
      <c r="L108" s="79"/>
      <c r="M108" s="79"/>
      <c r="N108" s="79"/>
      <c r="O108" s="79"/>
      <c r="P108" s="79"/>
      <c r="Q108" s="79"/>
      <c r="R108" s="79"/>
      <c r="S108" s="79"/>
    </row>
    <row r="109" spans="2:19">
      <c r="B109" s="477"/>
      <c r="C109" s="611" t="str">
        <f>'Instructions &amp; Glossary'!C57</f>
        <v>1 January 2020 PSM</v>
      </c>
      <c r="D109" s="478"/>
      <c r="E109" s="477"/>
      <c r="F109" s="79"/>
      <c r="G109" s="79"/>
      <c r="H109" s="79"/>
      <c r="I109" s="79"/>
      <c r="J109" s="79"/>
      <c r="K109" s="79"/>
      <c r="L109" s="79"/>
      <c r="M109" s="79"/>
      <c r="N109" s="79"/>
      <c r="O109" s="79"/>
      <c r="P109" s="79"/>
      <c r="Q109" s="79"/>
      <c r="R109" s="79"/>
      <c r="S109" s="79"/>
    </row>
  </sheetData>
  <sheetProtection algorithmName="SHA-512" hashValue="9atvy+ycy7CLzOJH0+DvOydrkIjriEV+uoDeFVlY9Nk9KaMzJ5unHr52+HSfDN4Fm/wl9B+K39B+ZYX+Q10Wlg==" saltValue="6839oQgjokVrQrg37KQPVg==" spinCount="100000" sheet="1" selectLockedCells="1"/>
  <mergeCells count="4">
    <mergeCell ref="O15:Q15"/>
    <mergeCell ref="G11:H11"/>
    <mergeCell ref="K15:M15"/>
    <mergeCell ref="G25:I25"/>
  </mergeCells>
  <conditionalFormatting sqref="H70">
    <cfRule type="expression" dxfId="17" priority="16">
      <formula>$H$64="Capped"</formula>
    </cfRule>
  </conditionalFormatting>
  <printOptions horizontalCentered="1" verticalCentered="1"/>
  <pageMargins left="0" right="0" top="0" bottom="0" header="0" footer="0"/>
  <pageSetup paperSize="9" scale="55" fitToHeight="2" orientation="portrait" r:id="rId1"/>
  <ignoredErrors>
    <ignoredError sqref="M65 M18" 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8" id="{A594B7C2-2F30-4092-B023-CF1C784DD3CB}">
            <xm:f>'Lists &amp; Rates'!#REF!=TRUE</xm:f>
            <x14:dxf>
              <font>
                <color theme="0"/>
              </font>
            </x14:dxf>
          </x14:cfRule>
          <xm:sqref>M75:M85 M73 A77:S77 A79:S79 A82:P82 A75:XFD75 R82:S82 U79:XFD79 U82:XFD82 U77:XFD77 M55:M56 M58:M70</xm:sqref>
        </x14:conditionalFormatting>
        <x14:conditionalFormatting xmlns:xm="http://schemas.microsoft.com/office/excel/2006/main">
          <x14:cfRule type="expression" priority="108" id="{C4299D2D-59CE-46DB-8E61-06C7F8879AFC}">
            <xm:f>'Lists &amp; Rates'!#REF!=TRUE</xm:f>
            <x14:dxf>
              <font>
                <color theme="0"/>
              </font>
              <border>
                <left/>
                <right/>
                <top/>
                <bottom/>
                <vertical/>
                <horizontal/>
              </border>
            </x14:dxf>
          </x14:cfRule>
          <xm:sqref>C72:L72 C73:Q73</xm:sqref>
        </x14:conditionalFormatting>
        <x14:conditionalFormatting xmlns:xm="http://schemas.microsoft.com/office/excel/2006/main">
          <x14:cfRule type="expression" priority="18" id="{102AA9DC-63FF-449B-A154-4A6896B2C769}">
            <xm:f>'Lists &amp; Rates'!#REF!=TRUE</xm:f>
            <x14:dxf>
              <font>
                <color theme="0"/>
              </font>
              <fill>
                <patternFill>
                  <bgColor theme="0"/>
                </patternFill>
              </fill>
              <border>
                <left/>
                <right/>
                <top/>
                <bottom/>
                <vertical/>
                <horizontal/>
              </border>
            </x14:dxf>
          </x14:cfRule>
          <xm:sqref>Q71</xm:sqref>
        </x14:conditionalFormatting>
        <x14:conditionalFormatting xmlns:xm="http://schemas.microsoft.com/office/excel/2006/main">
          <x14:cfRule type="expression" priority="15" id="{7C091AAF-3397-4A24-B72B-D03194806D6E}">
            <xm:f>'O:\Users\Paul Marais\Desktop\[PST Danone 1 March 2016.xlsm]Lists &amp; Rates'!#REF!=TRUE</xm:f>
            <x14:dxf>
              <font>
                <color theme="0"/>
              </font>
            </x14:dxf>
          </x14:cfRule>
          <xm:sqref>Q82</xm:sqref>
        </x14:conditionalFormatting>
        <x14:conditionalFormatting xmlns:xm="http://schemas.microsoft.com/office/excel/2006/main">
          <x14:cfRule type="expression" priority="12" id="{16BD00DE-DF4C-4EBF-AF72-B6F013674959}">
            <xm:f>'O:\Users\Paul Marais\Desktop\[PST Danone 1 March 2016.xlsm]Lists &amp; Rates'!#REF!=TRUE</xm:f>
            <x14:dxf>
              <font>
                <color theme="0"/>
              </font>
            </x14:dxf>
          </x14:cfRule>
          <xm:sqref>M72</xm:sqref>
        </x14:conditionalFormatting>
        <x14:conditionalFormatting xmlns:xm="http://schemas.microsoft.com/office/excel/2006/main">
          <x14:cfRule type="expression" priority="14" id="{3C7528A6-053B-4098-BBAF-C551D1E5ECD8}">
            <xm:f>'O:\Users\Paul Marais\Desktop\[PST Danone 1 March 2016.xlsm]Lists &amp; Rates'!#REF!=TRUE</xm:f>
            <x14:dxf>
              <font>
                <color theme="0"/>
              </font>
              <border>
                <left/>
                <right/>
                <top/>
                <bottom/>
                <vertical/>
                <horizontal/>
              </border>
            </x14:dxf>
          </x14:cfRule>
          <xm:sqref>M72:Q72</xm:sqref>
        </x14:conditionalFormatting>
        <x14:conditionalFormatting xmlns:xm="http://schemas.microsoft.com/office/excel/2006/main">
          <x14:cfRule type="expression" priority="11" id="{9E89978C-9155-4190-A5FA-89D0EE94FBD2}">
            <xm:f>'Lists &amp; Rates'!#REF!=TRUE</xm:f>
            <x14:dxf>
              <font>
                <color theme="0"/>
              </font>
              <fill>
                <patternFill>
                  <bgColor theme="0"/>
                </patternFill>
              </fill>
              <border>
                <left/>
                <right/>
                <top/>
                <bottom/>
                <vertical/>
                <horizontal/>
              </border>
            </x14:dxf>
          </x14:cfRule>
          <xm:sqref>O71</xm:sqref>
        </x14:conditionalFormatting>
        <x14:conditionalFormatting xmlns:xm="http://schemas.microsoft.com/office/excel/2006/main">
          <x14:cfRule type="expression" priority="10" id="{66826C18-601D-4A0D-B741-4B352515EF52}">
            <xm:f>'Lists &amp; Rates'!#REF!=TRUE</xm:f>
            <x14:dxf>
              <font>
                <color theme="0"/>
              </font>
              <fill>
                <patternFill>
                  <bgColor theme="0"/>
                </patternFill>
              </fill>
              <border>
                <left/>
                <right/>
                <top/>
                <bottom/>
                <vertical/>
                <horizontal/>
              </border>
            </x14:dxf>
          </x14:cfRule>
          <xm:sqref>M71</xm:sqref>
        </x14:conditionalFormatting>
        <x14:conditionalFormatting xmlns:xm="http://schemas.microsoft.com/office/excel/2006/main">
          <x14:cfRule type="expression" priority="8" id="{AE5ECD3F-7D04-4695-BE56-B66C01B3C968}">
            <xm:f>'Lists &amp; Rates'!#REF!=TRUE</xm:f>
            <x14:dxf>
              <font>
                <color theme="0"/>
              </font>
            </x14:dxf>
          </x14:cfRule>
          <xm:sqref>O73</xm:sqref>
        </x14:conditionalFormatting>
        <x14:conditionalFormatting xmlns:xm="http://schemas.microsoft.com/office/excel/2006/main">
          <x14:cfRule type="expression" priority="6" id="{5379F18E-B08F-4816-BD77-45A4446F7AD6}">
            <xm:f>'Lists &amp; Rates'!#REF!=TRUE</xm:f>
            <x14:dxf>
              <font>
                <color theme="0"/>
              </font>
            </x14:dxf>
          </x14:cfRule>
          <xm:sqref>Q73</xm:sqref>
        </x14:conditionalFormatting>
        <x14:conditionalFormatting xmlns:xm="http://schemas.microsoft.com/office/excel/2006/main">
          <x14:cfRule type="expression" priority="5" id="{9CDF675C-6D92-474B-B28C-250E49209C50}">
            <xm:f>'Lists &amp; Rates'!#REF!=TRUE</xm:f>
            <x14:dxf>
              <font>
                <color theme="0"/>
              </font>
            </x14:dxf>
          </x14:cfRule>
          <xm:sqref>Q78</xm:sqref>
        </x14:conditionalFormatting>
        <x14:conditionalFormatting xmlns:xm="http://schemas.microsoft.com/office/excel/2006/main">
          <x14:cfRule type="expression" priority="3" id="{91740429-762E-44FC-BCB1-B3FCB8A2F741}">
            <xm:f>'Lists &amp; Rates'!#REF!=TRUE</xm:f>
            <x14:dxf>
              <font>
                <color theme="0"/>
              </font>
            </x14:dxf>
          </x14:cfRule>
          <xm:sqref>M57</xm:sqref>
        </x14:conditionalFormatting>
        <x14:conditionalFormatting xmlns:xm="http://schemas.microsoft.com/office/excel/2006/main">
          <x14:cfRule type="expression" priority="2" id="{508A36E9-289A-4A19-90D4-3499461D28FE}">
            <xm:f>'Lists &amp; Rates'!#REF!=TRUE</xm:f>
            <x14:dxf>
              <font>
                <color theme="0"/>
              </font>
            </x14:dxf>
          </x14:cfRule>
          <xm:sqref>O65</xm:sqref>
        </x14:conditionalFormatting>
        <x14:conditionalFormatting xmlns:xm="http://schemas.microsoft.com/office/excel/2006/main">
          <x14:cfRule type="expression" priority="1" id="{2BACC3F4-E442-49F1-9695-374F71B45A00}">
            <xm:f>'Lists &amp; Rates'!#REF!=TRUE</xm:f>
            <x14:dxf>
              <font>
                <color theme="0"/>
              </font>
            </x14:dxf>
          </x14:cfRule>
          <xm:sqref>Q65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1"/>
    <pageSetUpPr fitToPage="1"/>
  </sheetPr>
  <dimension ref="A1:R89"/>
  <sheetViews>
    <sheetView showGridLines="0" showRowColHeaders="0" tabSelected="1" topLeftCell="A68" zoomScaleNormal="100" workbookViewId="0">
      <selection activeCell="C68" sqref="C68:M68"/>
    </sheetView>
  </sheetViews>
  <sheetFormatPr defaultColWidth="9.109375" defaultRowHeight="13.8"/>
  <cols>
    <col min="1" max="1" width="3.5546875" style="42" customWidth="1"/>
    <col min="2" max="2" width="2.109375" style="42" customWidth="1"/>
    <col min="3" max="3" width="1.88671875" style="42" customWidth="1"/>
    <col min="4" max="5" width="21.88671875" style="42" customWidth="1"/>
    <col min="6" max="7" width="4.5546875" style="42" customWidth="1"/>
    <col min="8" max="8" width="21.88671875" style="42" customWidth="1"/>
    <col min="9" max="9" width="21.5546875" style="42" customWidth="1"/>
    <col min="10" max="10" width="9.109375" style="42" customWidth="1"/>
    <col min="11" max="11" width="21.88671875" style="42" customWidth="1"/>
    <col min="12" max="12" width="21.88671875" style="43" customWidth="1"/>
    <col min="13" max="13" width="1.88671875" style="42" customWidth="1"/>
    <col min="14" max="14" width="1.5546875" style="42" customWidth="1"/>
    <col min="15" max="15" width="2.109375" style="42" customWidth="1"/>
    <col min="16" max="16384" width="9.109375" style="44"/>
  </cols>
  <sheetData>
    <row r="1" spans="1:18" s="264" customFormat="1" ht="122.25" customHeight="1">
      <c r="A1" s="260"/>
      <c r="B1" s="260"/>
      <c r="C1" s="260"/>
      <c r="D1" s="260"/>
      <c r="E1" s="260"/>
      <c r="F1" s="260"/>
      <c r="G1" s="261"/>
      <c r="H1" s="260"/>
      <c r="I1" s="260"/>
      <c r="J1" s="260"/>
      <c r="K1" s="260"/>
      <c r="L1" s="262"/>
      <c r="M1" s="263"/>
      <c r="N1" s="260"/>
      <c r="O1" s="260"/>
    </row>
    <row r="2" spans="1:18" ht="5.25" customHeight="1"/>
    <row r="3" spans="1:18" ht="3" customHeight="1">
      <c r="B3" s="22"/>
      <c r="C3" s="22"/>
      <c r="D3" s="22"/>
      <c r="E3" s="22"/>
      <c r="F3" s="22"/>
      <c r="G3" s="22"/>
      <c r="H3" s="22"/>
      <c r="I3" s="22"/>
      <c r="J3" s="22"/>
      <c r="K3" s="22"/>
      <c r="L3" s="45"/>
      <c r="M3" s="22"/>
      <c r="N3" s="22"/>
      <c r="O3" s="22"/>
    </row>
    <row r="4" spans="1:18" ht="17.25" customHeight="1">
      <c r="B4" s="22"/>
      <c r="C4" s="22"/>
      <c r="D4" s="46" t="s">
        <v>8</v>
      </c>
      <c r="E4" s="130" t="str">
        <f>CONCATENATE(Selection!N4,", ",Selection!N6)</f>
        <v>Khumalo, Neliswa</v>
      </c>
      <c r="F4" s="47"/>
      <c r="G4" s="47"/>
      <c r="H4" s="22"/>
      <c r="I4" s="22"/>
      <c r="J4" s="22"/>
      <c r="K4" s="22"/>
      <c r="L4" s="45"/>
      <c r="M4" s="22"/>
      <c r="N4" s="22"/>
      <c r="O4" s="22"/>
    </row>
    <row r="5" spans="1:18" ht="17.25" customHeight="1">
      <c r="B5" s="22"/>
      <c r="C5" s="22"/>
      <c r="D5" s="46" t="s">
        <v>72</v>
      </c>
      <c r="E5" s="48" t="str">
        <f>Selection!N10</f>
        <v>SAB Limited</v>
      </c>
      <c r="F5" s="47"/>
      <c r="G5" s="47"/>
      <c r="H5" s="22"/>
      <c r="I5" s="22"/>
      <c r="J5" s="22"/>
      <c r="K5" s="22"/>
      <c r="L5" s="45"/>
      <c r="M5" s="22"/>
      <c r="N5" s="22"/>
      <c r="O5" s="22"/>
    </row>
    <row r="6" spans="1:18" ht="17.25" customHeight="1">
      <c r="B6" s="22"/>
      <c r="C6" s="22"/>
      <c r="D6" s="46" t="str">
        <f>Selection!C12</f>
        <v>Personnel Area</v>
      </c>
      <c r="E6" s="48" t="str">
        <f>IF(Selection!N12=" "," ",Selection!N12)</f>
        <v>SAB Central Office</v>
      </c>
      <c r="F6" s="47"/>
      <c r="G6" s="47"/>
      <c r="H6" s="22"/>
      <c r="I6" s="22"/>
      <c r="J6" s="22"/>
      <c r="K6" s="22"/>
      <c r="L6" s="45"/>
      <c r="M6" s="22"/>
      <c r="N6" s="22"/>
      <c r="O6" s="22"/>
    </row>
    <row r="7" spans="1:18" ht="17.25" customHeight="1">
      <c r="B7" s="22"/>
      <c r="C7" s="22"/>
      <c r="D7" s="46" t="s">
        <v>105</v>
      </c>
      <c r="E7" s="48" t="str">
        <f>Selection!N20</f>
        <v>B</v>
      </c>
      <c r="F7" s="47"/>
      <c r="G7" s="47"/>
      <c r="H7" s="22"/>
      <c r="I7" s="22"/>
      <c r="J7" s="22"/>
      <c r="K7" s="22"/>
      <c r="L7" s="45"/>
      <c r="M7" s="22"/>
      <c r="N7" s="22"/>
      <c r="O7" s="22"/>
    </row>
    <row r="8" spans="1:18" ht="17.25" customHeight="1">
      <c r="B8" s="22"/>
      <c r="C8" s="22"/>
      <c r="D8" s="46" t="s">
        <v>18</v>
      </c>
      <c r="E8" s="48" t="str">
        <f>Selection!N22</f>
        <v>Learner</v>
      </c>
      <c r="F8" s="47"/>
      <c r="G8" s="47"/>
      <c r="H8" s="22"/>
      <c r="I8" s="22"/>
      <c r="J8" s="22"/>
      <c r="K8" s="22"/>
      <c r="L8" s="45"/>
      <c r="M8" s="22"/>
      <c r="N8" s="22"/>
      <c r="O8" s="22"/>
    </row>
    <row r="9" spans="1:18" ht="17.25" customHeight="1">
      <c r="B9" s="22"/>
      <c r="C9" s="22"/>
      <c r="D9" s="46" t="s">
        <v>384</v>
      </c>
      <c r="E9" s="590">
        <f>Selection!N26</f>
        <v>44317</v>
      </c>
      <c r="F9" s="47"/>
      <c r="G9" s="47"/>
      <c r="H9" s="22"/>
      <c r="I9" s="22"/>
      <c r="J9" s="22"/>
      <c r="K9" s="22"/>
      <c r="L9" s="45"/>
      <c r="M9" s="22"/>
      <c r="N9" s="22"/>
      <c r="O9" s="22"/>
    </row>
    <row r="10" spans="1:18" ht="17.25" customHeight="1">
      <c r="B10" s="22"/>
      <c r="C10" s="22"/>
      <c r="D10" s="46" t="s">
        <v>51</v>
      </c>
      <c r="E10" s="831">
        <f>Selection!N32</f>
        <v>44311</v>
      </c>
      <c r="F10" s="831"/>
      <c r="G10" s="831"/>
      <c r="H10" s="132"/>
      <c r="I10" s="132"/>
      <c r="J10" s="22"/>
      <c r="K10" s="22"/>
      <c r="L10" s="45"/>
      <c r="M10" s="22"/>
      <c r="N10" s="22"/>
      <c r="O10" s="22"/>
    </row>
    <row r="11" spans="1:18" ht="17.25" customHeight="1">
      <c r="B11" s="22"/>
      <c r="C11" s="22"/>
      <c r="D11" s="49" t="str">
        <f>Selection!C28</f>
        <v>Reason for Change</v>
      </c>
      <c r="E11" s="22" t="str">
        <f>Selection!N28</f>
        <v>New Appointment</v>
      </c>
      <c r="F11" s="22"/>
      <c r="G11" s="22"/>
      <c r="H11" s="22"/>
      <c r="I11" s="22"/>
      <c r="J11" s="22"/>
      <c r="K11" s="22"/>
      <c r="L11" s="45"/>
      <c r="M11" s="22"/>
      <c r="N11" s="22"/>
      <c r="O11" s="22"/>
    </row>
    <row r="12" spans="1:18" ht="10.5" customHeight="1" thickBot="1">
      <c r="B12" s="22"/>
      <c r="C12" s="265"/>
      <c r="D12" s="265"/>
      <c r="E12" s="265"/>
      <c r="F12" s="265"/>
      <c r="G12" s="265"/>
      <c r="H12" s="265"/>
      <c r="I12" s="265"/>
      <c r="J12" s="265"/>
      <c r="K12" s="266"/>
      <c r="L12" s="267"/>
      <c r="M12" s="268" t="s">
        <v>24</v>
      </c>
      <c r="N12" s="60"/>
      <c r="O12" s="22"/>
    </row>
    <row r="13" spans="1:18" ht="3" customHeight="1" thickTop="1">
      <c r="B13" s="22"/>
      <c r="C13" s="22"/>
      <c r="D13" s="22"/>
      <c r="E13" s="22"/>
      <c r="F13" s="22"/>
      <c r="G13" s="22"/>
      <c r="H13" s="22"/>
      <c r="I13" s="22"/>
      <c r="J13" s="22"/>
      <c r="K13" s="269"/>
      <c r="L13" s="59"/>
      <c r="M13" s="61"/>
      <c r="N13" s="60"/>
      <c r="O13" s="22"/>
    </row>
    <row r="14" spans="1:18" s="156" customFormat="1" ht="32.25" customHeight="1">
      <c r="A14" s="151"/>
      <c r="B14" s="152"/>
      <c r="C14" s="839" t="s">
        <v>77</v>
      </c>
      <c r="D14" s="839"/>
      <c r="E14" s="839"/>
      <c r="F14" s="839"/>
      <c r="G14" s="839"/>
      <c r="H14" s="839"/>
      <c r="I14" s="839"/>
      <c r="J14" s="839"/>
      <c r="K14" s="153" t="s">
        <v>16</v>
      </c>
      <c r="L14" s="154" t="s">
        <v>10</v>
      </c>
      <c r="M14" s="155"/>
      <c r="N14" s="489" t="s">
        <v>114</v>
      </c>
      <c r="O14" s="152"/>
    </row>
    <row r="15" spans="1:18" ht="17.25" customHeight="1" thickBot="1">
      <c r="B15" s="22"/>
      <c r="C15" s="22"/>
      <c r="D15" s="49"/>
      <c r="E15" s="22"/>
      <c r="F15" s="22"/>
      <c r="G15" s="22"/>
      <c r="H15" s="22"/>
      <c r="I15" s="22"/>
      <c r="J15" s="22"/>
      <c r="K15" s="22"/>
      <c r="L15" s="45"/>
      <c r="M15" s="22"/>
      <c r="N15" s="22"/>
      <c r="O15" s="22"/>
    </row>
    <row r="16" spans="1:18" s="82" customFormat="1" ht="17.25" customHeight="1" thickBot="1">
      <c r="A16" s="80"/>
      <c r="B16" s="81"/>
      <c r="C16" s="673" t="s">
        <v>366</v>
      </c>
      <c r="D16" s="258"/>
      <c r="E16" s="259"/>
      <c r="F16" s="259"/>
      <c r="G16" s="259"/>
      <c r="H16" s="259"/>
      <c r="I16" s="259"/>
      <c r="J16" s="259"/>
      <c r="K16" s="674">
        <f>K18+K24+K30</f>
        <v>7059.3299500000003</v>
      </c>
      <c r="L16" s="674">
        <f>L18+L24+L30</f>
        <v>84711.959400000007</v>
      </c>
      <c r="M16" s="257"/>
      <c r="N16" s="81"/>
      <c r="O16" s="81"/>
      <c r="Q16" s="44"/>
      <c r="R16" s="44"/>
    </row>
    <row r="17" spans="1:15" ht="17.25" customHeight="1" thickBot="1">
      <c r="B17" s="22"/>
      <c r="C17" s="22"/>
      <c r="D17" s="49"/>
      <c r="E17" s="22"/>
      <c r="F17" s="22"/>
      <c r="G17" s="22"/>
      <c r="H17" s="22"/>
      <c r="I17" s="22"/>
      <c r="J17" s="22"/>
      <c r="K17" s="515"/>
      <c r="L17" s="515"/>
      <c r="M17" s="22"/>
      <c r="N17" s="22"/>
      <c r="O17" s="22"/>
    </row>
    <row r="18" spans="1:15" ht="17.25" customHeight="1">
      <c r="B18" s="22"/>
      <c r="C18" s="675"/>
      <c r="D18" s="676" t="s">
        <v>67</v>
      </c>
      <c r="E18" s="677"/>
      <c r="F18" s="677"/>
      <c r="G18" s="677"/>
      <c r="H18" s="677"/>
      <c r="I18" s="677"/>
      <c r="J18" s="677"/>
      <c r="K18" s="678">
        <f>SUM(K20:K22)</f>
        <v>5842.1025</v>
      </c>
      <c r="L18" s="678">
        <f>SUM(L20:L22)</f>
        <v>70105.23000000001</v>
      </c>
      <c r="M18" s="270"/>
      <c r="N18" s="22"/>
      <c r="O18" s="22"/>
    </row>
    <row r="19" spans="1:15" ht="9" customHeight="1">
      <c r="B19" s="22"/>
      <c r="C19" s="50"/>
      <c r="D19" s="46"/>
      <c r="E19" s="22"/>
      <c r="F19" s="22"/>
      <c r="G19" s="22"/>
      <c r="H19" s="22"/>
      <c r="I19" s="22"/>
      <c r="J19" s="22"/>
      <c r="K19" s="516"/>
      <c r="L19" s="516"/>
      <c r="M19" s="51"/>
      <c r="N19" s="22"/>
      <c r="O19" s="22"/>
    </row>
    <row r="20" spans="1:15" ht="17.25" customHeight="1">
      <c r="B20" s="22"/>
      <c r="C20" s="50"/>
      <c r="D20" s="241" t="str">
        <f>'Dummy Payslip'!C17</f>
        <v>Basic Salary</v>
      </c>
      <c r="E20" s="242"/>
      <c r="F20" s="242"/>
      <c r="G20" s="242"/>
      <c r="H20" s="242"/>
      <c r="I20" s="242"/>
      <c r="J20" s="242"/>
      <c r="K20" s="517">
        <f>L20/12</f>
        <v>5392.71</v>
      </c>
      <c r="L20" s="518">
        <f>'Dummy Payslip'!Q17</f>
        <v>64712.520000000004</v>
      </c>
      <c r="M20" s="51"/>
      <c r="N20" s="22"/>
      <c r="O20" s="22"/>
    </row>
    <row r="21" spans="1:15" ht="17.25" customHeight="1">
      <c r="B21" s="22"/>
      <c r="C21" s="50"/>
      <c r="D21" s="246" t="s">
        <v>408</v>
      </c>
      <c r="E21" s="81"/>
      <c r="F21" s="81"/>
      <c r="G21" s="81"/>
      <c r="H21" s="81"/>
      <c r="I21" s="81"/>
      <c r="J21" s="81"/>
      <c r="K21" s="519">
        <f>'Dummy Payslip'!O42</f>
        <v>449.39249999999998</v>
      </c>
      <c r="L21" s="520">
        <f>K21*12</f>
        <v>5392.71</v>
      </c>
      <c r="M21" s="51"/>
      <c r="N21" s="22"/>
      <c r="O21" s="22"/>
    </row>
    <row r="22" spans="1:15" ht="17.25" customHeight="1">
      <c r="B22" s="22"/>
      <c r="C22" s="50"/>
      <c r="D22" s="243" t="str">
        <f>'Dummy Payslip'!C19</f>
        <v/>
      </c>
      <c r="E22" s="244"/>
      <c r="F22" s="244"/>
      <c r="G22" s="244"/>
      <c r="H22" s="244"/>
      <c r="I22" s="244"/>
      <c r="J22" s="244"/>
      <c r="K22" s="521">
        <f>L22/12</f>
        <v>0</v>
      </c>
      <c r="L22" s="522">
        <f>'Dummy Payslip'!Q19</f>
        <v>0</v>
      </c>
      <c r="M22" s="51"/>
      <c r="N22" s="22"/>
      <c r="O22" s="22"/>
    </row>
    <row r="23" spans="1:15" ht="9" customHeight="1">
      <c r="B23" s="22"/>
      <c r="C23" s="50"/>
      <c r="D23" s="52"/>
      <c r="E23" s="22"/>
      <c r="F23" s="22"/>
      <c r="G23" s="22"/>
      <c r="H23" s="22"/>
      <c r="I23" s="22"/>
      <c r="J23" s="22"/>
      <c r="K23" s="45"/>
      <c r="L23" s="45"/>
      <c r="M23" s="51"/>
      <c r="N23" s="22"/>
      <c r="O23" s="22"/>
    </row>
    <row r="24" spans="1:15" s="54" customFormat="1" ht="17.25" customHeight="1">
      <c r="A24" s="53"/>
      <c r="B24" s="49"/>
      <c r="C24" s="679"/>
      <c r="D24" s="680" t="s">
        <v>19</v>
      </c>
      <c r="E24" s="680"/>
      <c r="F24" s="680"/>
      <c r="G24" s="680"/>
      <c r="H24" s="680"/>
      <c r="I24" s="680"/>
      <c r="J24" s="681"/>
      <c r="K24" s="682">
        <f>SUM(K26:K28)</f>
        <v>1091.80745</v>
      </c>
      <c r="L24" s="682">
        <f>SUM(L26:L28)</f>
        <v>13101.689399999999</v>
      </c>
      <c r="M24" s="271"/>
      <c r="N24" s="49"/>
      <c r="O24" s="49"/>
    </row>
    <row r="25" spans="1:15" s="54" customFormat="1" ht="9" customHeight="1">
      <c r="A25" s="53"/>
      <c r="B25" s="49"/>
      <c r="C25" s="55"/>
      <c r="D25" s="49"/>
      <c r="E25" s="49"/>
      <c r="F25" s="49"/>
      <c r="G25" s="49"/>
      <c r="H25" s="49"/>
      <c r="I25" s="49"/>
      <c r="J25" s="69"/>
      <c r="K25" s="516"/>
      <c r="L25" s="516"/>
      <c r="M25" s="56"/>
      <c r="N25" s="49"/>
      <c r="O25" s="49"/>
    </row>
    <row r="26" spans="1:15" ht="17.25" customHeight="1">
      <c r="B26" s="22"/>
      <c r="C26" s="50"/>
      <c r="D26" s="241" t="str">
        <f>'Dummy Payslip'!C33</f>
        <v>Medical Aid</v>
      </c>
      <c r="E26" s="242"/>
      <c r="F26" s="242"/>
      <c r="G26" s="242"/>
      <c r="H26" s="242"/>
      <c r="I26" s="242"/>
      <c r="J26" s="245"/>
      <c r="K26" s="517">
        <f>L26/12</f>
        <v>579.5</v>
      </c>
      <c r="L26" s="518">
        <f>'Dummy Payslip'!Q33</f>
        <v>6954</v>
      </c>
      <c r="M26" s="51"/>
      <c r="N26" s="22"/>
      <c r="O26" s="22"/>
    </row>
    <row r="27" spans="1:15" ht="16.5" customHeight="1">
      <c r="B27" s="22"/>
      <c r="C27" s="50"/>
      <c r="D27" s="246" t="s">
        <v>478</v>
      </c>
      <c r="E27" s="81"/>
      <c r="F27" s="81"/>
      <c r="G27" s="81"/>
      <c r="H27" s="81"/>
      <c r="I27" s="81"/>
      <c r="J27" s="247">
        <f>'Dummy Payslip'!H34</f>
        <v>9.5000000000000001E-2</v>
      </c>
      <c r="K27" s="519">
        <f>'Dummy Payslip'!O34</f>
        <v>512.30745000000002</v>
      </c>
      <c r="L27" s="520">
        <f>'Dummy Payslip'!Q34</f>
        <v>6147.6894000000002</v>
      </c>
      <c r="M27" s="51"/>
      <c r="N27" s="22"/>
      <c r="O27" s="22"/>
    </row>
    <row r="28" spans="1:15" ht="2.25" customHeight="1">
      <c r="B28" s="22"/>
      <c r="C28" s="50"/>
      <c r="D28" s="243"/>
      <c r="E28" s="244"/>
      <c r="F28" s="244"/>
      <c r="G28" s="244"/>
      <c r="H28" s="244"/>
      <c r="I28" s="244"/>
      <c r="J28" s="249"/>
      <c r="K28" s="521"/>
      <c r="L28" s="522"/>
      <c r="M28" s="51"/>
      <c r="N28" s="22"/>
      <c r="O28" s="22"/>
    </row>
    <row r="29" spans="1:15" ht="9" customHeight="1">
      <c r="B29" s="22"/>
      <c r="C29" s="50"/>
      <c r="D29" s="52"/>
      <c r="E29" s="22"/>
      <c r="F29" s="22"/>
      <c r="G29" s="22"/>
      <c r="H29" s="22"/>
      <c r="I29" s="22"/>
      <c r="J29" s="22"/>
      <c r="K29" s="45"/>
      <c r="L29" s="45"/>
      <c r="M29" s="51"/>
      <c r="N29" s="22"/>
      <c r="O29" s="22"/>
    </row>
    <row r="30" spans="1:15" s="54" customFormat="1" ht="17.25" customHeight="1">
      <c r="A30" s="53"/>
      <c r="B30" s="49"/>
      <c r="C30" s="679"/>
      <c r="D30" s="680" t="s">
        <v>20</v>
      </c>
      <c r="E30" s="680"/>
      <c r="F30" s="680"/>
      <c r="G30" s="680"/>
      <c r="H30" s="680"/>
      <c r="I30" s="680"/>
      <c r="J30" s="680"/>
      <c r="K30" s="682">
        <f>SUM(K32:K34)</f>
        <v>125.42</v>
      </c>
      <c r="L30" s="682">
        <f>SUM(L32:L34)</f>
        <v>1505.04</v>
      </c>
      <c r="M30" s="271"/>
      <c r="N30" s="49"/>
      <c r="O30" s="49"/>
    </row>
    <row r="31" spans="1:15" s="54" customFormat="1" ht="9" customHeight="1">
      <c r="A31" s="53"/>
      <c r="B31" s="49"/>
      <c r="C31" s="55"/>
      <c r="D31" s="49"/>
      <c r="E31" s="49"/>
      <c r="F31" s="49"/>
      <c r="G31" s="49"/>
      <c r="H31" s="49"/>
      <c r="I31" s="49"/>
      <c r="J31" s="49"/>
      <c r="K31" s="516"/>
      <c r="L31" s="516"/>
      <c r="M31" s="56"/>
      <c r="N31" s="49"/>
      <c r="O31" s="49"/>
    </row>
    <row r="32" spans="1:15" ht="17.25" customHeight="1">
      <c r="B32" s="22"/>
      <c r="C32" s="50"/>
      <c r="D32" s="241" t="str">
        <f>'Dummy Payslip'!C52</f>
        <v>Value of Company Vehicle</v>
      </c>
      <c r="E32" s="242"/>
      <c r="F32" s="242"/>
      <c r="G32" s="242"/>
      <c r="H32" s="242"/>
      <c r="I32" s="242"/>
      <c r="J32" s="242"/>
      <c r="K32" s="517">
        <f>L32/12</f>
        <v>0</v>
      </c>
      <c r="L32" s="518">
        <f>'Dummy Payslip'!Q52</f>
        <v>0</v>
      </c>
      <c r="M32" s="51"/>
      <c r="N32" s="22"/>
      <c r="O32" s="22"/>
    </row>
    <row r="33" spans="1:15" ht="17.25" customHeight="1">
      <c r="B33" s="22"/>
      <c r="C33" s="50"/>
      <c r="D33" s="246" t="str">
        <f>Selection!C138</f>
        <v>Free Product</v>
      </c>
      <c r="E33" s="81"/>
      <c r="F33" s="81"/>
      <c r="G33" s="81"/>
      <c r="H33" s="81"/>
      <c r="I33" s="81"/>
      <c r="J33" s="81"/>
      <c r="K33" s="519">
        <f>L33/12</f>
        <v>123.13</v>
      </c>
      <c r="L33" s="520">
        <f>Selection!O138*12</f>
        <v>1477.56</v>
      </c>
      <c r="M33" s="51"/>
      <c r="N33" s="22"/>
      <c r="O33" s="22"/>
    </row>
    <row r="34" spans="1:15" ht="17.25" customHeight="1">
      <c r="B34" s="22"/>
      <c r="C34" s="50"/>
      <c r="D34" s="243" t="s">
        <v>15</v>
      </c>
      <c r="E34" s="244"/>
      <c r="F34" s="244"/>
      <c r="G34" s="244"/>
      <c r="H34" s="244"/>
      <c r="I34" s="244"/>
      <c r="J34" s="244"/>
      <c r="K34" s="521">
        <f>L34/12</f>
        <v>2.29</v>
      </c>
      <c r="L34" s="522">
        <f>'Dummy Payslip'!Q45</f>
        <v>27.48</v>
      </c>
      <c r="M34" s="51"/>
      <c r="N34" s="22"/>
      <c r="O34" s="22"/>
    </row>
    <row r="35" spans="1:15" ht="9" customHeight="1">
      <c r="B35" s="22"/>
      <c r="C35" s="272"/>
      <c r="D35" s="256"/>
      <c r="E35" s="57"/>
      <c r="F35" s="57"/>
      <c r="G35" s="57"/>
      <c r="H35" s="57"/>
      <c r="I35" s="57"/>
      <c r="J35" s="57"/>
      <c r="K35" s="58"/>
      <c r="L35" s="58"/>
      <c r="M35" s="273"/>
      <c r="N35" s="22"/>
      <c r="O35" s="22"/>
    </row>
    <row r="36" spans="1:15" ht="9" customHeight="1">
      <c r="B36" s="22"/>
      <c r="C36" s="50"/>
      <c r="D36" s="22"/>
      <c r="E36" s="22"/>
      <c r="F36" s="22"/>
      <c r="G36" s="22"/>
      <c r="H36" s="22"/>
      <c r="I36" s="22"/>
      <c r="J36" s="22"/>
      <c r="K36" s="22"/>
      <c r="L36" s="45"/>
      <c r="M36" s="51"/>
      <c r="N36" s="22"/>
      <c r="O36" s="22"/>
    </row>
    <row r="37" spans="1:15" ht="18" customHeight="1">
      <c r="B37" s="22"/>
      <c r="C37" s="293" t="s">
        <v>368</v>
      </c>
      <c r="D37" s="294"/>
      <c r="E37" s="294"/>
      <c r="F37" s="294"/>
      <c r="G37" s="294"/>
      <c r="H37" s="294"/>
      <c r="I37" s="294"/>
      <c r="J37" s="294"/>
      <c r="K37" s="295" t="s">
        <v>16</v>
      </c>
      <c r="L37" s="296" t="s">
        <v>10</v>
      </c>
      <c r="M37" s="297"/>
      <c r="N37" s="81"/>
      <c r="O37" s="22"/>
    </row>
    <row r="38" spans="1:15" ht="3.75" customHeight="1">
      <c r="B38" s="22"/>
      <c r="C38" s="50"/>
      <c r="D38" s="22"/>
      <c r="E38" s="22"/>
      <c r="F38" s="22"/>
      <c r="G38" s="22"/>
      <c r="H38" s="22"/>
      <c r="I38" s="22"/>
      <c r="J38" s="22"/>
      <c r="K38" s="22"/>
      <c r="L38" s="45"/>
      <c r="M38" s="51"/>
      <c r="N38" s="22"/>
      <c r="O38" s="22"/>
    </row>
    <row r="39" spans="1:15" ht="18" customHeight="1">
      <c r="B39" s="22"/>
      <c r="C39" s="683" t="s">
        <v>56</v>
      </c>
      <c r="D39" s="684"/>
      <c r="E39" s="684"/>
      <c r="F39" s="684"/>
      <c r="G39" s="684"/>
      <c r="H39" s="684"/>
      <c r="I39" s="684"/>
      <c r="J39" s="684"/>
      <c r="K39" s="685"/>
      <c r="L39" s="685"/>
      <c r="M39" s="274"/>
      <c r="N39" s="22"/>
      <c r="O39" s="22"/>
    </row>
    <row r="40" spans="1:15" ht="18" customHeight="1">
      <c r="B40" s="22"/>
      <c r="C40" s="440" t="s">
        <v>369</v>
      </c>
      <c r="D40" s="81"/>
      <c r="E40" s="81"/>
      <c r="F40" s="81"/>
      <c r="G40" s="81"/>
      <c r="H40" s="81"/>
      <c r="I40" s="81"/>
      <c r="J40" s="81"/>
      <c r="K40" s="523">
        <f>-'Dummy Payslip'!K22</f>
        <v>579.5</v>
      </c>
      <c r="L40" s="523">
        <f>K40*12</f>
        <v>6954</v>
      </c>
      <c r="M40" s="276"/>
      <c r="N40" s="22"/>
      <c r="O40" s="22"/>
    </row>
    <row r="41" spans="1:15" ht="18" customHeight="1">
      <c r="B41" s="22"/>
      <c r="C41" s="679" t="s">
        <v>332</v>
      </c>
      <c r="D41" s="686"/>
      <c r="E41" s="686"/>
      <c r="F41" s="686"/>
      <c r="G41" s="686"/>
      <c r="H41" s="686"/>
      <c r="I41" s="686"/>
      <c r="J41" s="686"/>
      <c r="K41" s="687"/>
      <c r="L41" s="687"/>
      <c r="M41" s="298"/>
      <c r="N41" s="22"/>
      <c r="O41" s="22"/>
    </row>
    <row r="42" spans="1:15" ht="18" customHeight="1">
      <c r="B42" s="22"/>
      <c r="C42" s="440" t="s">
        <v>364</v>
      </c>
      <c r="D42" s="81"/>
      <c r="E42" s="81"/>
      <c r="F42" s="81"/>
      <c r="G42" s="81"/>
      <c r="H42" s="81"/>
      <c r="I42" s="81"/>
      <c r="J42" s="479">
        <f>'Dummy Payslip'!H23</f>
        <v>0.03</v>
      </c>
      <c r="K42" s="519">
        <f>-'Dummy Payslip'!K23</f>
        <v>161.78129999999999</v>
      </c>
      <c r="L42" s="524">
        <f>-'Dummy Payslip'!M23</f>
        <v>1941.3756000000001</v>
      </c>
      <c r="M42" s="276"/>
      <c r="N42" s="22"/>
      <c r="O42" s="22"/>
    </row>
    <row r="43" spans="1:15" ht="17.25" customHeight="1">
      <c r="B43" s="22"/>
      <c r="C43" s="440" t="str">
        <f>'Dummy Payslip'!C24</f>
        <v>Additional Employee Provident Fund Contribution</v>
      </c>
      <c r="D43" s="81"/>
      <c r="E43" s="81"/>
      <c r="F43" s="81"/>
      <c r="G43" s="81"/>
      <c r="H43" s="81"/>
      <c r="I43" s="81"/>
      <c r="J43" s="479">
        <f>'Dummy Payslip'!H24</f>
        <v>0</v>
      </c>
      <c r="K43" s="519">
        <f>-'Dummy Payslip'!K24</f>
        <v>0</v>
      </c>
      <c r="L43" s="523">
        <f>-'Dummy Payslip'!M24</f>
        <v>0</v>
      </c>
      <c r="M43" s="276"/>
      <c r="N43" s="22"/>
      <c r="O43" s="22"/>
    </row>
    <row r="44" spans="1:15" ht="9" customHeight="1">
      <c r="B44" s="22"/>
      <c r="C44" s="275"/>
      <c r="D44" s="81"/>
      <c r="E44" s="81"/>
      <c r="F44" s="81"/>
      <c r="G44" s="81"/>
      <c r="H44" s="81"/>
      <c r="I44" s="81"/>
      <c r="J44" s="81"/>
      <c r="K44" s="81"/>
      <c r="L44" s="251"/>
      <c r="M44" s="276"/>
      <c r="N44" s="22"/>
      <c r="O44" s="22"/>
    </row>
    <row r="45" spans="1:15" s="82" customFormat="1" ht="17.25" customHeight="1">
      <c r="A45" s="80"/>
      <c r="B45" s="81"/>
      <c r="C45" s="293" t="s">
        <v>339</v>
      </c>
      <c r="D45" s="294"/>
      <c r="E45" s="294"/>
      <c r="F45" s="294"/>
      <c r="G45" s="294"/>
      <c r="H45" s="294"/>
      <c r="I45" s="294"/>
      <c r="J45" s="294"/>
      <c r="K45" s="295" t="s">
        <v>16</v>
      </c>
      <c r="L45" s="296" t="s">
        <v>10</v>
      </c>
      <c r="M45" s="297"/>
      <c r="N45" s="81"/>
      <c r="O45" s="81"/>
    </row>
    <row r="46" spans="1:15" ht="3.75" customHeight="1">
      <c r="B46" s="22"/>
      <c r="C46" s="50"/>
      <c r="D46" s="22"/>
      <c r="E46" s="22"/>
      <c r="F46" s="22"/>
      <c r="G46" s="22"/>
      <c r="H46" s="22"/>
      <c r="I46" s="22"/>
      <c r="J46" s="22"/>
      <c r="K46" s="22"/>
      <c r="L46" s="45"/>
      <c r="M46" s="51"/>
      <c r="N46" s="22"/>
      <c r="O46" s="22"/>
    </row>
    <row r="47" spans="1:15" ht="17.25" customHeight="1">
      <c r="B47" s="22"/>
      <c r="C47" s="683" t="s">
        <v>73</v>
      </c>
      <c r="D47" s="684"/>
      <c r="E47" s="684"/>
      <c r="F47" s="684"/>
      <c r="G47" s="684"/>
      <c r="H47" s="684"/>
      <c r="I47" s="684"/>
      <c r="J47" s="684"/>
      <c r="K47" s="688">
        <f>Selection!O60</f>
        <v>5392.71</v>
      </c>
      <c r="L47" s="688">
        <f>+K47*12</f>
        <v>64712.520000000004</v>
      </c>
      <c r="M47" s="274"/>
      <c r="N47" s="22"/>
      <c r="O47" s="22"/>
    </row>
    <row r="48" spans="1:15" ht="3.75" customHeight="1">
      <c r="B48" s="22"/>
      <c r="C48" s="275"/>
      <c r="D48" s="81"/>
      <c r="E48" s="81"/>
      <c r="F48" s="81"/>
      <c r="G48" s="81"/>
      <c r="H48" s="81"/>
      <c r="I48" s="81"/>
      <c r="J48" s="81"/>
      <c r="K48" s="523"/>
      <c r="L48" s="523"/>
      <c r="M48" s="276"/>
      <c r="N48" s="22"/>
      <c r="O48" s="22"/>
    </row>
    <row r="49" spans="2:15" ht="17.25" customHeight="1">
      <c r="B49" s="22"/>
      <c r="C49" s="679" t="s">
        <v>340</v>
      </c>
      <c r="D49" s="686"/>
      <c r="E49" s="686"/>
      <c r="F49" s="686"/>
      <c r="G49" s="686"/>
      <c r="H49" s="686"/>
      <c r="I49" s="686"/>
      <c r="J49" s="686"/>
      <c r="K49" s="689">
        <f>Selection!O62</f>
        <v>5392.71</v>
      </c>
      <c r="L49" s="689">
        <f>K49*12</f>
        <v>64712.520000000004</v>
      </c>
      <c r="M49" s="298"/>
      <c r="N49" s="22"/>
      <c r="O49" s="22"/>
    </row>
    <row r="50" spans="2:15" ht="3.75" customHeight="1">
      <c r="B50" s="22"/>
      <c r="C50" s="275"/>
      <c r="D50" s="81"/>
      <c r="E50" s="81"/>
      <c r="F50" s="81"/>
      <c r="G50" s="81"/>
      <c r="H50" s="81"/>
      <c r="I50" s="81"/>
      <c r="J50" s="81"/>
      <c r="K50" s="250"/>
      <c r="L50" s="251"/>
      <c r="M50" s="276"/>
      <c r="N50" s="22"/>
      <c r="O50" s="22"/>
    </row>
    <row r="51" spans="2:15" ht="17.25" customHeight="1">
      <c r="B51" s="22"/>
      <c r="C51" s="679" t="s">
        <v>111</v>
      </c>
      <c r="D51" s="686"/>
      <c r="E51" s="686"/>
      <c r="F51" s="686"/>
      <c r="G51" s="686"/>
      <c r="H51" s="686"/>
      <c r="I51" s="686"/>
      <c r="J51" s="686"/>
      <c r="K51" s="686"/>
      <c r="L51" s="690"/>
      <c r="M51" s="298"/>
      <c r="N51" s="22"/>
      <c r="O51" s="22"/>
    </row>
    <row r="52" spans="2:15" ht="17.25" customHeight="1">
      <c r="B52" s="22"/>
      <c r="C52" s="277" t="str">
        <f>Selection!C96</f>
        <v>Medical Aid Plan Name</v>
      </c>
      <c r="D52" s="142"/>
      <c r="E52" s="142"/>
      <c r="F52" s="142"/>
      <c r="G52" s="142"/>
      <c r="H52" s="142"/>
      <c r="I52" s="142"/>
      <c r="J52" s="142"/>
      <c r="K52" s="142"/>
      <c r="L52" s="143" t="str">
        <f>IF(Selection!Q94="YES","N/A",Selection!O96)</f>
        <v>Essential</v>
      </c>
      <c r="M52" s="278"/>
      <c r="N52" s="22"/>
      <c r="O52" s="22"/>
    </row>
    <row r="53" spans="2:15" ht="17.25" customHeight="1">
      <c r="B53" s="22"/>
      <c r="C53" s="277" t="str">
        <f>Selection!C102</f>
        <v>Number of Additional Adult Dependants (example: mother, father, children &gt;21 not studying)</v>
      </c>
      <c r="D53" s="252"/>
      <c r="E53" s="252"/>
      <c r="F53" s="252"/>
      <c r="G53" s="252"/>
      <c r="H53" s="252"/>
      <c r="I53" s="252"/>
      <c r="J53" s="252"/>
      <c r="K53" s="252"/>
      <c r="L53" s="253">
        <f>IF(Selection!Q94="YES","N/A",Selection!Q102)</f>
        <v>0</v>
      </c>
      <c r="M53" s="279"/>
      <c r="N53" s="22"/>
      <c r="O53" s="22"/>
    </row>
    <row r="54" spans="2:15" ht="17.25" customHeight="1">
      <c r="B54" s="22"/>
      <c r="C54" s="277" t="str">
        <f>Selection!C104</f>
        <v>Number of Child Dependants (own children under the age of 21)</v>
      </c>
      <c r="D54" s="142"/>
      <c r="E54" s="142"/>
      <c r="F54" s="142"/>
      <c r="G54" s="142"/>
      <c r="H54" s="142"/>
      <c r="I54" s="142"/>
      <c r="J54" s="142"/>
      <c r="K54" s="142"/>
      <c r="L54" s="143">
        <f>IF(Selection!Q94="YES","N/A",Selection!Q104)</f>
        <v>0</v>
      </c>
      <c r="M54" s="278"/>
      <c r="N54" s="22"/>
      <c r="O54" s="22"/>
    </row>
    <row r="55" spans="2:15" ht="17.25" customHeight="1" thickBot="1">
      <c r="B55" s="22"/>
      <c r="C55" s="280" t="s">
        <v>338</v>
      </c>
      <c r="D55" s="281"/>
      <c r="E55" s="281"/>
      <c r="F55" s="281"/>
      <c r="G55" s="281"/>
      <c r="H55" s="281"/>
      <c r="I55" s="281"/>
      <c r="J55" s="281"/>
      <c r="K55" s="281"/>
      <c r="L55" s="282" t="str">
        <f>Selection!Q94</f>
        <v>No</v>
      </c>
      <c r="M55" s="283"/>
      <c r="N55" s="22"/>
      <c r="O55" s="22"/>
    </row>
    <row r="56" spans="2:15" ht="9" customHeight="1">
      <c r="B56" s="22"/>
      <c r="C56" s="52"/>
      <c r="D56" s="22"/>
      <c r="E56" s="22"/>
      <c r="F56" s="22"/>
      <c r="G56" s="22"/>
      <c r="H56" s="22"/>
      <c r="I56" s="22"/>
      <c r="J56" s="22"/>
      <c r="K56" s="22"/>
      <c r="L56" s="45"/>
      <c r="M56" s="22"/>
      <c r="N56" s="22"/>
      <c r="O56" s="22"/>
    </row>
    <row r="57" spans="2:15" ht="17.25" customHeight="1">
      <c r="B57" s="22"/>
      <c r="C57" s="294" t="s">
        <v>68</v>
      </c>
      <c r="D57" s="294"/>
      <c r="E57" s="294"/>
      <c r="F57" s="294"/>
      <c r="G57" s="294"/>
      <c r="H57" s="294"/>
      <c r="I57" s="294"/>
      <c r="J57" s="294"/>
      <c r="K57" s="294"/>
      <c r="L57" s="294"/>
      <c r="M57" s="294"/>
      <c r="N57" s="22"/>
      <c r="O57" s="22"/>
    </row>
    <row r="58" spans="2:15" ht="9" customHeight="1" thickBot="1">
      <c r="B58" s="22"/>
      <c r="C58" s="22"/>
      <c r="D58" s="22"/>
      <c r="E58" s="22"/>
      <c r="F58" s="22"/>
      <c r="G58" s="22"/>
      <c r="H58" s="22"/>
      <c r="I58" s="22"/>
      <c r="J58" s="22"/>
      <c r="K58" s="22"/>
      <c r="L58" s="22"/>
      <c r="M58" s="22"/>
      <c r="N58" s="22"/>
      <c r="O58" s="22"/>
    </row>
    <row r="59" spans="2:15" ht="17.25" customHeight="1">
      <c r="B59" s="22"/>
      <c r="C59" s="284" t="s">
        <v>103</v>
      </c>
      <c r="D59" s="285"/>
      <c r="E59" s="285"/>
      <c r="F59" s="285"/>
      <c r="G59" s="285"/>
      <c r="H59" s="285"/>
      <c r="I59" s="285"/>
      <c r="J59" s="285"/>
      <c r="K59" s="285"/>
      <c r="L59" s="286">
        <f>Selection!O122</f>
        <v>0</v>
      </c>
      <c r="M59" s="287"/>
      <c r="N59" s="22"/>
      <c r="O59" s="22"/>
    </row>
    <row r="60" spans="2:15" ht="17.25" customHeight="1">
      <c r="B60" s="22"/>
      <c r="C60" s="288" t="s">
        <v>5</v>
      </c>
      <c r="D60" s="254"/>
      <c r="E60" s="254"/>
      <c r="F60" s="254"/>
      <c r="G60" s="254"/>
      <c r="H60" s="254"/>
      <c r="I60" s="254"/>
      <c r="J60" s="254"/>
      <c r="K60" s="254"/>
      <c r="L60" s="254"/>
      <c r="M60" s="289"/>
      <c r="N60" s="22"/>
      <c r="O60" s="22"/>
    </row>
    <row r="61" spans="2:15" s="441" customFormat="1" ht="17.25" customHeight="1">
      <c r="B61" s="94"/>
      <c r="C61" s="445" t="s">
        <v>347</v>
      </c>
      <c r="D61" s="442"/>
      <c r="E61" s="442"/>
      <c r="F61" s="442"/>
      <c r="G61" s="334"/>
      <c r="H61" s="442"/>
      <c r="I61" s="442"/>
      <c r="J61" s="442"/>
      <c r="K61" s="444"/>
      <c r="L61" s="525">
        <f>IF(L59="Company Car",Selection!O124,0)</f>
        <v>0</v>
      </c>
      <c r="M61" s="443"/>
      <c r="N61" s="94"/>
      <c r="O61" s="94"/>
    </row>
    <row r="62" spans="2:15" ht="17.25" customHeight="1">
      <c r="B62" s="22"/>
      <c r="C62" s="288" t="s">
        <v>408</v>
      </c>
      <c r="D62" s="81"/>
      <c r="E62" s="81"/>
      <c r="F62" s="81"/>
      <c r="G62" s="81"/>
      <c r="H62" s="81"/>
      <c r="I62" s="81"/>
      <c r="J62" s="81"/>
      <c r="K62" s="81"/>
      <c r="L62" s="248"/>
      <c r="M62" s="276"/>
      <c r="N62" s="22"/>
      <c r="O62" s="22"/>
    </row>
    <row r="63" spans="2:15" ht="17.25" customHeight="1">
      <c r="B63" s="22"/>
      <c r="C63" s="440" t="str">
        <f>Selection!C116</f>
        <v>Calculated End of Year Bonus</v>
      </c>
      <c r="D63" s="255"/>
      <c r="E63" s="81"/>
      <c r="F63" s="81"/>
      <c r="G63" s="81"/>
      <c r="H63" s="81"/>
      <c r="I63" s="81"/>
      <c r="J63" s="81"/>
      <c r="K63" s="412" t="str">
        <f>Selection!M116</f>
        <v/>
      </c>
      <c r="L63" s="526">
        <f>Selection!Q116</f>
        <v>5392.71</v>
      </c>
      <c r="M63" s="276"/>
      <c r="N63" s="22"/>
      <c r="O63" s="22"/>
    </row>
    <row r="64" spans="2:15" ht="15.75" customHeight="1" thickBot="1">
      <c r="B64" s="22"/>
      <c r="C64" s="446" t="s">
        <v>411</v>
      </c>
      <c r="D64" s="290"/>
      <c r="E64" s="290"/>
      <c r="F64" s="290"/>
      <c r="G64" s="290"/>
      <c r="H64" s="290"/>
      <c r="I64" s="290"/>
      <c r="J64" s="290"/>
      <c r="K64" s="290"/>
      <c r="L64" s="291" t="str">
        <f>'Dummy Payslip'!Q82</f>
        <v>Bonus Month</v>
      </c>
      <c r="M64" s="292"/>
      <c r="N64" s="22"/>
      <c r="O64" s="22"/>
    </row>
    <row r="65" spans="2:15" ht="5.4" customHeight="1">
      <c r="B65" s="62"/>
      <c r="C65" s="63"/>
      <c r="D65" s="62"/>
      <c r="E65" s="62"/>
      <c r="F65" s="62"/>
      <c r="G65" s="62"/>
      <c r="H65" s="62"/>
      <c r="I65" s="62"/>
      <c r="J65" s="62"/>
      <c r="K65" s="62"/>
      <c r="L65" s="64"/>
      <c r="M65" s="62"/>
      <c r="N65" s="62"/>
      <c r="O65" s="22"/>
    </row>
    <row r="66" spans="2:15" ht="2.4" customHeight="1">
      <c r="B66" s="22"/>
      <c r="C66" s="52"/>
      <c r="D66" s="22"/>
      <c r="E66" s="22"/>
      <c r="F66" s="22"/>
      <c r="G66" s="22"/>
      <c r="H66" s="22"/>
      <c r="I66" s="22"/>
      <c r="J66" s="22"/>
      <c r="K66" s="22"/>
      <c r="L66" s="45"/>
      <c r="M66" s="22"/>
      <c r="N66" s="22"/>
      <c r="O66" s="22"/>
    </row>
    <row r="67" spans="2:15" ht="18" customHeight="1">
      <c r="B67" s="22"/>
      <c r="C67" s="145" t="s">
        <v>113</v>
      </c>
      <c r="D67" s="22"/>
      <c r="E67" s="22"/>
      <c r="F67" s="22"/>
      <c r="G67" s="22"/>
      <c r="H67" s="22"/>
      <c r="I67" s="22"/>
      <c r="J67" s="22"/>
      <c r="K67" s="22"/>
      <c r="L67" s="45"/>
      <c r="M67" s="22"/>
      <c r="N67" s="22"/>
      <c r="O67" s="22"/>
    </row>
    <row r="68" spans="2:15" ht="84" customHeight="1">
      <c r="B68" s="22"/>
      <c r="C68" s="834"/>
      <c r="D68" s="835"/>
      <c r="E68" s="835"/>
      <c r="F68" s="835"/>
      <c r="G68" s="835"/>
      <c r="H68" s="835"/>
      <c r="I68" s="835"/>
      <c r="J68" s="835"/>
      <c r="K68" s="835"/>
      <c r="L68" s="835"/>
      <c r="M68" s="836"/>
      <c r="N68" s="22"/>
      <c r="O68" s="22"/>
    </row>
    <row r="69" spans="2:15" ht="112.35" customHeight="1">
      <c r="B69" s="22"/>
      <c r="C69" s="52"/>
      <c r="D69" s="833"/>
      <c r="E69" s="833"/>
      <c r="F69" s="833"/>
      <c r="G69" s="833"/>
      <c r="H69" s="833"/>
      <c r="I69" s="833"/>
      <c r="J69" s="833"/>
      <c r="K69" s="833"/>
      <c r="L69" s="833"/>
      <c r="M69" s="22"/>
      <c r="N69" s="22"/>
      <c r="O69" s="22"/>
    </row>
    <row r="70" spans="2:15" ht="4.5" customHeight="1">
      <c r="B70" s="62"/>
      <c r="C70" s="63"/>
      <c r="D70" s="62"/>
      <c r="E70" s="62"/>
      <c r="F70" s="62"/>
      <c r="G70" s="62"/>
      <c r="H70" s="62"/>
      <c r="I70" s="62"/>
      <c r="J70" s="62"/>
      <c r="K70" s="62"/>
      <c r="L70" s="64"/>
      <c r="M70" s="62"/>
      <c r="N70" s="62"/>
      <c r="O70" s="22"/>
    </row>
    <row r="71" spans="2:15" ht="3" customHeight="1">
      <c r="B71" s="22"/>
      <c r="C71" s="52"/>
      <c r="D71" s="22"/>
      <c r="E71" s="22"/>
      <c r="F71" s="22"/>
      <c r="G71" s="22"/>
      <c r="H71" s="22"/>
      <c r="I71" s="22"/>
      <c r="J71" s="22"/>
      <c r="K71" s="22"/>
      <c r="L71" s="45"/>
      <c r="M71" s="22"/>
      <c r="N71" s="22"/>
      <c r="O71" s="22"/>
    </row>
    <row r="72" spans="2:15" ht="14.1" customHeight="1">
      <c r="B72" s="22"/>
      <c r="C72" s="52"/>
      <c r="D72" s="65" t="s">
        <v>69</v>
      </c>
      <c r="E72" s="66"/>
      <c r="F72" s="66"/>
      <c r="G72" s="837">
        <f>E10</f>
        <v>44311</v>
      </c>
      <c r="H72" s="837"/>
      <c r="I72" s="837"/>
      <c r="J72" s="837"/>
      <c r="K72" s="147"/>
      <c r="L72" s="147"/>
      <c r="M72" s="22"/>
      <c r="N72" s="22"/>
      <c r="O72" s="22"/>
    </row>
    <row r="73" spans="2:15" ht="3.75" customHeight="1">
      <c r="B73" s="22"/>
      <c r="C73" s="52"/>
      <c r="D73" s="65"/>
      <c r="E73" s="66"/>
      <c r="F73" s="66"/>
      <c r="G73" s="66"/>
      <c r="H73" s="66"/>
      <c r="I73" s="66"/>
      <c r="J73" s="88"/>
      <c r="K73" s="146"/>
      <c r="L73" s="146"/>
      <c r="M73" s="22"/>
      <c r="N73" s="22"/>
      <c r="O73" s="22"/>
    </row>
    <row r="74" spans="2:15" ht="18.600000000000001" customHeight="1">
      <c r="B74" s="22"/>
      <c r="C74" s="52"/>
      <c r="D74" s="65"/>
      <c r="E74" s="66"/>
      <c r="F74" s="66"/>
      <c r="G74" s="66"/>
      <c r="H74" s="66"/>
      <c r="I74" s="66"/>
      <c r="J74" s="88"/>
      <c r="K74" s="146"/>
      <c r="L74" s="146"/>
      <c r="M74" s="22"/>
      <c r="N74" s="22"/>
      <c r="O74" s="22"/>
    </row>
    <row r="75" spans="2:15" ht="3.75" customHeight="1">
      <c r="B75" s="22"/>
      <c r="C75" s="52"/>
      <c r="D75" s="65"/>
      <c r="E75" s="66"/>
      <c r="F75" s="66"/>
      <c r="G75" s="66"/>
      <c r="H75" s="66"/>
      <c r="I75" s="66"/>
      <c r="J75" s="88"/>
      <c r="K75" s="146"/>
      <c r="L75" s="146"/>
      <c r="M75" s="22"/>
      <c r="N75" s="22"/>
      <c r="O75" s="22"/>
    </row>
    <row r="76" spans="2:15" ht="14.1" customHeight="1">
      <c r="B76" s="22"/>
      <c r="C76" s="52"/>
      <c r="D76" s="148" t="s">
        <v>351</v>
      </c>
      <c r="E76" s="149"/>
      <c r="F76" s="149"/>
      <c r="G76" s="150"/>
      <c r="H76" s="148" t="s">
        <v>414</v>
      </c>
      <c r="I76" s="149"/>
      <c r="J76" s="150"/>
      <c r="K76" s="148" t="s">
        <v>415</v>
      </c>
      <c r="L76" s="149"/>
      <c r="M76" s="22"/>
      <c r="N76" s="22"/>
      <c r="O76" s="22"/>
    </row>
    <row r="77" spans="2:15">
      <c r="B77" s="22"/>
      <c r="C77" s="52"/>
      <c r="D77" s="66"/>
      <c r="E77" s="66"/>
      <c r="F77" s="66"/>
      <c r="G77" s="146"/>
      <c r="H77" s="65"/>
      <c r="I77" s="66"/>
      <c r="J77" s="146"/>
      <c r="K77" s="65"/>
      <c r="L77" s="66"/>
      <c r="M77" s="22"/>
      <c r="N77" s="22"/>
      <c r="O77" s="22"/>
    </row>
    <row r="78" spans="2:15">
      <c r="B78" s="22"/>
      <c r="C78" s="52"/>
      <c r="D78" s="66"/>
      <c r="E78" s="66"/>
      <c r="F78" s="66"/>
      <c r="G78" s="146"/>
      <c r="H78" s="65"/>
      <c r="I78" s="66"/>
      <c r="J78" s="146"/>
      <c r="K78" s="65"/>
      <c r="L78" s="66"/>
      <c r="M78" s="22"/>
      <c r="N78" s="22"/>
      <c r="O78" s="22"/>
    </row>
    <row r="79" spans="2:15" ht="14.4" customHeight="1">
      <c r="B79" s="22"/>
      <c r="C79" s="52"/>
      <c r="D79" s="67"/>
      <c r="E79" s="67"/>
      <c r="F79" s="67"/>
      <c r="G79" s="146"/>
      <c r="H79" s="68"/>
      <c r="I79" s="67"/>
      <c r="J79" s="146"/>
      <c r="K79" s="68"/>
      <c r="L79" s="67"/>
      <c r="M79" s="22"/>
      <c r="N79" s="22"/>
      <c r="O79" s="22"/>
    </row>
    <row r="80" spans="2:15" ht="14.4" customHeight="1">
      <c r="B80" s="22"/>
      <c r="C80" s="52"/>
      <c r="D80" s="838" t="str">
        <f>E4</f>
        <v>Khumalo, Neliswa</v>
      </c>
      <c r="E80" s="838"/>
      <c r="F80" s="838"/>
      <c r="G80" s="146"/>
      <c r="H80" s="840" t="s">
        <v>416</v>
      </c>
      <c r="I80" s="840"/>
      <c r="J80" s="146"/>
      <c r="K80" s="840" t="s">
        <v>417</v>
      </c>
      <c r="L80" s="840"/>
      <c r="M80" s="22"/>
      <c r="N80" s="22"/>
      <c r="O80" s="22"/>
    </row>
    <row r="81" spans="2:15">
      <c r="B81" s="22"/>
      <c r="C81" s="22"/>
      <c r="D81" s="66"/>
      <c r="E81" s="66"/>
      <c r="F81" s="66"/>
      <c r="G81" s="146"/>
      <c r="H81" s="65"/>
      <c r="I81" s="66"/>
      <c r="J81" s="146"/>
      <c r="K81" s="65"/>
      <c r="L81" s="66"/>
      <c r="M81" s="22"/>
      <c r="N81" s="22"/>
      <c r="O81" s="22"/>
    </row>
    <row r="82" spans="2:15">
      <c r="B82" s="22"/>
      <c r="C82" s="22"/>
      <c r="D82" s="67"/>
      <c r="E82" s="67"/>
      <c r="F82" s="67"/>
      <c r="G82" s="146"/>
      <c r="H82" s="68"/>
      <c r="I82" s="67"/>
      <c r="J82" s="146"/>
      <c r="K82" s="68"/>
      <c r="L82" s="67"/>
      <c r="M82" s="22"/>
      <c r="N82" s="22"/>
      <c r="O82" s="22"/>
    </row>
    <row r="83" spans="2:15" ht="14.4" customHeight="1">
      <c r="B83" s="22"/>
      <c r="C83" s="22"/>
      <c r="D83" s="840" t="s">
        <v>50</v>
      </c>
      <c r="E83" s="840"/>
      <c r="F83" s="840"/>
      <c r="G83" s="146"/>
      <c r="H83" s="840" t="s">
        <v>50</v>
      </c>
      <c r="I83" s="840"/>
      <c r="J83" s="146"/>
      <c r="K83" s="840" t="s">
        <v>50</v>
      </c>
      <c r="L83" s="840"/>
      <c r="M83" s="22"/>
      <c r="N83" s="22"/>
      <c r="O83" s="22"/>
    </row>
    <row r="84" spans="2:15" ht="3" customHeight="1">
      <c r="B84" s="22"/>
      <c r="C84" s="22"/>
      <c r="D84" s="22"/>
      <c r="E84" s="22"/>
      <c r="F84" s="22"/>
      <c r="G84" s="22"/>
      <c r="H84" s="22"/>
      <c r="I84" s="22"/>
      <c r="J84" s="22"/>
      <c r="K84" s="22"/>
      <c r="L84" s="45"/>
      <c r="M84" s="22"/>
      <c r="N84" s="22"/>
      <c r="O84" s="22"/>
    </row>
    <row r="85" spans="2:15" ht="4.3499999999999996" customHeight="1">
      <c r="B85" s="60"/>
      <c r="C85" s="60"/>
      <c r="D85" s="60"/>
      <c r="E85" s="60"/>
      <c r="F85" s="60"/>
      <c r="G85" s="60"/>
      <c r="H85" s="60"/>
      <c r="I85" s="60"/>
      <c r="J85" s="60"/>
      <c r="K85" s="60"/>
      <c r="L85" s="61"/>
      <c r="M85" s="60"/>
      <c r="N85" s="60"/>
      <c r="O85" s="60"/>
    </row>
    <row r="86" spans="2:15" ht="15.6">
      <c r="B86" s="41"/>
      <c r="C86" s="41"/>
      <c r="D86" s="85"/>
      <c r="E86" s="85"/>
      <c r="F86" s="85"/>
      <c r="G86" s="85"/>
      <c r="H86" s="85"/>
      <c r="I86" s="84"/>
      <c r="J86" s="85"/>
      <c r="K86" s="85"/>
      <c r="L86" s="85"/>
      <c r="M86" s="41"/>
      <c r="N86" s="41"/>
      <c r="O86" s="41"/>
    </row>
    <row r="87" spans="2:15" ht="15.6">
      <c r="B87" s="41"/>
      <c r="C87" s="41"/>
      <c r="D87" s="832"/>
      <c r="E87" s="832"/>
      <c r="F87" s="832"/>
      <c r="G87" s="832"/>
      <c r="H87" s="832"/>
      <c r="I87" s="832"/>
      <c r="J87" s="832"/>
      <c r="K87" s="832"/>
      <c r="L87" s="832"/>
      <c r="M87" s="41"/>
      <c r="N87" s="41"/>
      <c r="O87" s="41"/>
    </row>
    <row r="88" spans="2:15" ht="15.6">
      <c r="B88" s="622"/>
      <c r="C88" s="447" t="str">
        <f>'Instructions &amp; Glossary'!C57</f>
        <v>1 January 2020 PSM</v>
      </c>
      <c r="D88" s="86"/>
      <c r="E88" s="86"/>
      <c r="F88" s="86"/>
      <c r="G88" s="86"/>
      <c r="H88" s="86"/>
      <c r="I88" s="86"/>
      <c r="J88" s="86"/>
      <c r="K88" s="86"/>
      <c r="L88" s="87"/>
      <c r="M88" s="86"/>
      <c r="N88" s="86"/>
      <c r="O88" s="86"/>
    </row>
    <row r="89" spans="2:15">
      <c r="C89" s="144"/>
    </row>
  </sheetData>
  <sheetProtection algorithmName="SHA-512" hashValue="4087NYLTKsaeSvuOvEyj1VNZ37YVkMI62gPOg1ke/0UGbtP3185G2A5qM9G4MCt0XNVx3THqrxqCLpuetu2SQQ==" saltValue="2X1PExiCLdcsqOXT4Ne4FA==" spinCount="100000" sheet="1" selectLockedCells="1"/>
  <mergeCells count="12">
    <mergeCell ref="E10:G10"/>
    <mergeCell ref="D87:L87"/>
    <mergeCell ref="D69:L69"/>
    <mergeCell ref="C68:M68"/>
    <mergeCell ref="G72:J72"/>
    <mergeCell ref="D80:F80"/>
    <mergeCell ref="C14:J14"/>
    <mergeCell ref="D83:F83"/>
    <mergeCell ref="H83:I83"/>
    <mergeCell ref="K83:L83"/>
    <mergeCell ref="K80:L80"/>
    <mergeCell ref="H80:I80"/>
  </mergeCells>
  <conditionalFormatting sqref="I86">
    <cfRule type="cellIs" dxfId="2" priority="4" stopIfTrue="1" operator="equal">
      <formula>"ERROR"</formula>
    </cfRule>
  </conditionalFormatting>
  <printOptions horizontalCentered="1" verticalCentered="1"/>
  <pageMargins left="0" right="0" top="0.19685039370078741" bottom="0" header="0" footer="0.19685039370078741"/>
  <pageSetup paperSize="9" scale="63" orientation="portrait" r:id="rId1"/>
  <headerFooter>
    <oddFooter>Page &amp;P of &amp;N</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2" id="{E8CC833B-ACB2-437A-A1FF-E0261AE79F92}">
            <xm:f>'Lists &amp; Rates'!#REF!=TRUE</xm:f>
            <x14:dxf>
              <font>
                <color theme="0"/>
              </font>
            </x14:dxf>
          </x14:cfRule>
          <xm:sqref>C62:L64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160"/>
  <sheetViews>
    <sheetView topLeftCell="A19" zoomScale="85" zoomScaleNormal="85" workbookViewId="0">
      <selection activeCell="A6" sqref="A1:XFD6"/>
    </sheetView>
  </sheetViews>
  <sheetFormatPr defaultColWidth="9.109375" defaultRowHeight="14.4" outlineLevelRow="1"/>
  <cols>
    <col min="1" max="1" width="4.88671875" style="70" customWidth="1"/>
    <col min="2" max="9" width="27.88671875" style="70" customWidth="1"/>
    <col min="10" max="16384" width="9.109375" style="70"/>
  </cols>
  <sheetData>
    <row r="1" spans="1:7">
      <c r="A1" s="549" t="s">
        <v>395</v>
      </c>
    </row>
    <row r="2" spans="1:7" ht="9" customHeight="1" outlineLevel="1"/>
    <row r="3" spans="1:7" outlineLevel="1">
      <c r="B3" s="529" t="s">
        <v>396</v>
      </c>
      <c r="C3" s="20"/>
      <c r="D3" s="70" t="s">
        <v>397</v>
      </c>
    </row>
    <row r="4" spans="1:7" outlineLevel="1"/>
    <row r="5" spans="1:7" s="530" customFormat="1" ht="18" outlineLevel="1">
      <c r="B5" s="531" t="s">
        <v>398</v>
      </c>
    </row>
    <row r="6" spans="1:7" outlineLevel="1"/>
    <row r="7" spans="1:7" outlineLevel="1">
      <c r="B7" s="532" t="s">
        <v>29</v>
      </c>
      <c r="C7" s="533"/>
      <c r="D7" s="441"/>
      <c r="E7" s="441"/>
      <c r="F7" s="441"/>
      <c r="G7" s="441"/>
    </row>
    <row r="8" spans="1:7" outlineLevel="1">
      <c r="B8" s="534" t="s">
        <v>30</v>
      </c>
      <c r="C8" s="708">
        <v>310</v>
      </c>
      <c r="D8" s="441"/>
      <c r="E8" s="441"/>
      <c r="F8" s="441"/>
      <c r="G8" s="441"/>
    </row>
    <row r="9" spans="1:7" outlineLevel="1">
      <c r="B9" s="534" t="s">
        <v>31</v>
      </c>
      <c r="C9" s="708">
        <v>310</v>
      </c>
      <c r="D9" s="441"/>
      <c r="E9" s="441"/>
      <c r="F9" s="441"/>
      <c r="G9" s="441"/>
    </row>
    <row r="10" spans="1:7" outlineLevel="1">
      <c r="B10" s="535" t="s">
        <v>32</v>
      </c>
      <c r="C10" s="709">
        <v>209</v>
      </c>
      <c r="D10" s="441"/>
      <c r="E10" s="441"/>
      <c r="F10" s="441"/>
      <c r="G10" s="441"/>
    </row>
    <row r="11" spans="1:7" outlineLevel="1">
      <c r="B11" s="441"/>
      <c r="C11" s="441"/>
      <c r="D11" s="441"/>
      <c r="E11" s="441"/>
      <c r="F11" s="441"/>
      <c r="G11" s="441"/>
    </row>
    <row r="12" spans="1:7" outlineLevel="1">
      <c r="B12" s="536" t="s">
        <v>92</v>
      </c>
      <c r="C12" s="537"/>
      <c r="D12" s="441"/>
      <c r="E12" s="441"/>
      <c r="F12" s="441"/>
      <c r="G12" s="441"/>
    </row>
    <row r="13" spans="1:7" outlineLevel="1">
      <c r="B13" s="441"/>
      <c r="C13" s="441"/>
      <c r="D13" s="441"/>
      <c r="E13" s="441"/>
      <c r="F13" s="441"/>
      <c r="G13" s="441"/>
    </row>
    <row r="14" spans="1:7" outlineLevel="1">
      <c r="B14" s="538" t="s">
        <v>33</v>
      </c>
      <c r="C14" s="441"/>
      <c r="D14" s="441"/>
      <c r="E14" s="441"/>
      <c r="F14" s="441"/>
      <c r="G14" s="441"/>
    </row>
    <row r="15" spans="1:7" outlineLevel="1">
      <c r="B15" s="710" t="s">
        <v>34</v>
      </c>
      <c r="C15" s="711">
        <v>43524</v>
      </c>
      <c r="D15" s="712"/>
      <c r="E15" s="713"/>
      <c r="F15" s="539"/>
      <c r="G15" s="533"/>
    </row>
    <row r="16" spans="1:7" outlineLevel="1">
      <c r="B16" s="714"/>
      <c r="C16" s="715"/>
      <c r="D16" s="715"/>
      <c r="E16" s="716"/>
      <c r="F16" s="441"/>
      <c r="G16" s="540"/>
    </row>
    <row r="17" spans="2:7" outlineLevel="1">
      <c r="B17" s="717">
        <v>0</v>
      </c>
      <c r="C17" s="718">
        <f>+B18-1</f>
        <v>195850</v>
      </c>
      <c r="D17" s="718">
        <v>0</v>
      </c>
      <c r="E17" s="716">
        <v>0.18</v>
      </c>
      <c r="F17" s="441"/>
      <c r="G17" s="540"/>
    </row>
    <row r="18" spans="2:7" outlineLevel="1">
      <c r="B18" s="717">
        <v>195851</v>
      </c>
      <c r="C18" s="718">
        <f t="shared" ref="C18:C22" si="0">+B19-1</f>
        <v>305850</v>
      </c>
      <c r="D18" s="718">
        <v>35253</v>
      </c>
      <c r="E18" s="716">
        <v>0.26</v>
      </c>
      <c r="F18" s="441"/>
      <c r="G18" s="540"/>
    </row>
    <row r="19" spans="2:7" outlineLevel="1">
      <c r="B19" s="717">
        <v>305851</v>
      </c>
      <c r="C19" s="718">
        <f t="shared" si="0"/>
        <v>423300</v>
      </c>
      <c r="D19" s="718">
        <v>63853</v>
      </c>
      <c r="E19" s="716">
        <v>0.31</v>
      </c>
      <c r="F19" s="441"/>
      <c r="G19" s="540"/>
    </row>
    <row r="20" spans="2:7" outlineLevel="1">
      <c r="B20" s="717">
        <v>423301</v>
      </c>
      <c r="C20" s="718">
        <f t="shared" si="0"/>
        <v>555600</v>
      </c>
      <c r="D20" s="721">
        <v>100263</v>
      </c>
      <c r="E20" s="716">
        <v>0.36</v>
      </c>
      <c r="F20" s="441"/>
      <c r="G20" s="540"/>
    </row>
    <row r="21" spans="2:7" outlineLevel="1">
      <c r="B21" s="717">
        <v>555601</v>
      </c>
      <c r="C21" s="718">
        <f t="shared" si="0"/>
        <v>708310</v>
      </c>
      <c r="D21" s="718">
        <v>147891</v>
      </c>
      <c r="E21" s="716">
        <v>0.39</v>
      </c>
      <c r="F21" s="441"/>
      <c r="G21" s="540"/>
    </row>
    <row r="22" spans="2:7" outlineLevel="1">
      <c r="B22" s="717">
        <v>708311</v>
      </c>
      <c r="C22" s="718">
        <f t="shared" si="0"/>
        <v>1500000</v>
      </c>
      <c r="D22" s="718">
        <v>207448</v>
      </c>
      <c r="E22" s="716">
        <v>0.41</v>
      </c>
      <c r="F22" s="441"/>
      <c r="G22" s="540"/>
    </row>
    <row r="23" spans="2:7" outlineLevel="1">
      <c r="B23" s="717">
        <v>1500001</v>
      </c>
      <c r="C23" s="718"/>
      <c r="D23" s="718">
        <v>532041</v>
      </c>
      <c r="E23" s="716">
        <v>0.45</v>
      </c>
      <c r="F23" s="441"/>
      <c r="G23" s="540"/>
    </row>
    <row r="24" spans="2:7" outlineLevel="1">
      <c r="B24" s="714" t="s">
        <v>35</v>
      </c>
      <c r="C24" s="718">
        <v>14220</v>
      </c>
      <c r="D24" s="715"/>
      <c r="E24" s="716"/>
      <c r="F24" s="441"/>
      <c r="G24" s="540"/>
    </row>
    <row r="25" spans="2:7" outlineLevel="1">
      <c r="B25" s="714" t="s">
        <v>36</v>
      </c>
      <c r="C25" s="718">
        <v>7794</v>
      </c>
      <c r="D25" s="715"/>
      <c r="E25" s="708"/>
      <c r="F25" s="441"/>
      <c r="G25" s="540"/>
    </row>
    <row r="26" spans="2:7" outlineLevel="1">
      <c r="B26" s="714" t="s">
        <v>37</v>
      </c>
      <c r="C26" s="718">
        <v>2601</v>
      </c>
      <c r="D26" s="715"/>
      <c r="E26" s="708"/>
      <c r="F26" s="441"/>
      <c r="G26" s="540"/>
    </row>
    <row r="27" spans="2:7" ht="15" outlineLevel="1" thickBot="1">
      <c r="B27" s="534"/>
      <c r="C27" s="541">
        <f>SUM(C24:C26)</f>
        <v>24615</v>
      </c>
      <c r="D27" s="441"/>
      <c r="E27" s="441"/>
      <c r="F27" s="441"/>
      <c r="G27" s="540"/>
    </row>
    <row r="28" spans="2:7" outlineLevel="1">
      <c r="B28" s="535"/>
      <c r="C28" s="542"/>
      <c r="D28" s="542"/>
      <c r="E28" s="542"/>
      <c r="F28" s="542"/>
      <c r="G28" s="543"/>
    </row>
    <row r="29" spans="2:7" outlineLevel="1"/>
    <row r="30" spans="2:7" outlineLevel="1">
      <c r="B30" s="698" t="s">
        <v>38</v>
      </c>
      <c r="C30" s="699"/>
      <c r="D30" s="699"/>
      <c r="E30" s="699"/>
      <c r="F30" s="699"/>
    </row>
    <row r="31" spans="2:7" outlineLevel="1">
      <c r="B31" s="699" t="s">
        <v>39</v>
      </c>
      <c r="C31" s="699"/>
      <c r="D31" s="699" t="s">
        <v>40</v>
      </c>
      <c r="E31" s="699" t="s">
        <v>41</v>
      </c>
      <c r="F31" s="699" t="s">
        <v>42</v>
      </c>
    </row>
    <row r="32" spans="2:7" outlineLevel="1">
      <c r="B32" s="719">
        <v>0</v>
      </c>
      <c r="C32" s="719">
        <f>+B33-1</f>
        <v>85000</v>
      </c>
      <c r="D32" s="719">
        <v>28352</v>
      </c>
      <c r="E32" s="720">
        <v>95.7</v>
      </c>
      <c r="F32" s="720">
        <v>34.4</v>
      </c>
    </row>
    <row r="33" spans="2:6" outlineLevel="1">
      <c r="B33" s="719">
        <v>85001</v>
      </c>
      <c r="C33" s="719">
        <f t="shared" ref="C33:C38" si="1">+B34-1</f>
        <v>170000</v>
      </c>
      <c r="D33" s="719">
        <v>50631</v>
      </c>
      <c r="E33" s="720">
        <v>106.8</v>
      </c>
      <c r="F33" s="720">
        <v>43.1</v>
      </c>
    </row>
    <row r="34" spans="2:6" outlineLevel="1">
      <c r="B34" s="719">
        <v>170001</v>
      </c>
      <c r="C34" s="719">
        <f t="shared" si="1"/>
        <v>255000</v>
      </c>
      <c r="D34" s="719">
        <v>72983</v>
      </c>
      <c r="E34" s="720">
        <v>116</v>
      </c>
      <c r="F34" s="720">
        <v>47.5</v>
      </c>
    </row>
    <row r="35" spans="2:6" outlineLevel="1">
      <c r="B35" s="719">
        <v>255001</v>
      </c>
      <c r="C35" s="719">
        <f t="shared" si="1"/>
        <v>340000</v>
      </c>
      <c r="D35" s="719">
        <v>92683</v>
      </c>
      <c r="E35" s="720">
        <v>124.8</v>
      </c>
      <c r="F35" s="720">
        <v>51.9</v>
      </c>
    </row>
    <row r="36" spans="2:6" outlineLevel="1">
      <c r="B36" s="719">
        <v>340001</v>
      </c>
      <c r="C36" s="719">
        <f t="shared" si="1"/>
        <v>425000</v>
      </c>
      <c r="D36" s="719">
        <v>112443</v>
      </c>
      <c r="E36" s="720">
        <v>133.5</v>
      </c>
      <c r="F36" s="720">
        <v>60.9</v>
      </c>
    </row>
    <row r="37" spans="2:6" outlineLevel="1">
      <c r="B37" s="719">
        <v>425001</v>
      </c>
      <c r="C37" s="719">
        <f t="shared" si="1"/>
        <v>510000</v>
      </c>
      <c r="D37" s="719">
        <v>133147</v>
      </c>
      <c r="E37" s="720">
        <v>153.19999999999999</v>
      </c>
      <c r="F37" s="720">
        <v>71.599999999999994</v>
      </c>
    </row>
    <row r="38" spans="2:6" outlineLevel="1">
      <c r="B38" s="719">
        <v>510001</v>
      </c>
      <c r="C38" s="719">
        <f t="shared" si="1"/>
        <v>595000</v>
      </c>
      <c r="D38" s="719">
        <v>153850</v>
      </c>
      <c r="E38" s="720">
        <v>158.4</v>
      </c>
      <c r="F38" s="720">
        <v>88.9</v>
      </c>
    </row>
    <row r="39" spans="2:6" outlineLevel="1">
      <c r="B39" s="719">
        <v>595001</v>
      </c>
      <c r="C39" s="719"/>
      <c r="D39" s="719">
        <v>153850</v>
      </c>
      <c r="E39" s="720">
        <v>158.4</v>
      </c>
      <c r="F39" s="720">
        <v>88.9</v>
      </c>
    </row>
    <row r="40" spans="2:6" outlineLevel="1">
      <c r="B40" s="693"/>
      <c r="C40" s="693"/>
      <c r="D40" s="693"/>
      <c r="E40" s="693"/>
      <c r="F40" s="693"/>
    </row>
    <row r="41" spans="2:6" outlineLevel="1">
      <c r="B41" s="694" t="s">
        <v>499</v>
      </c>
      <c r="C41" s="695"/>
      <c r="D41" s="693"/>
      <c r="E41" s="693"/>
      <c r="F41" s="693"/>
    </row>
    <row r="42" spans="2:6" outlineLevel="1">
      <c r="B42" s="696" t="s">
        <v>500</v>
      </c>
      <c r="C42" s="708">
        <v>3.61</v>
      </c>
      <c r="D42" s="693"/>
      <c r="E42" s="693"/>
      <c r="F42" s="693"/>
    </row>
    <row r="43" spans="2:6" outlineLevel="1">
      <c r="B43" s="697" t="s">
        <v>501</v>
      </c>
      <c r="C43" s="709">
        <v>100000</v>
      </c>
      <c r="D43" s="693"/>
      <c r="E43" s="693"/>
      <c r="F43" s="693"/>
    </row>
    <row r="44" spans="2:6" outlineLevel="1"/>
    <row r="45" spans="2:6" outlineLevel="1"/>
    <row r="46" spans="2:6" outlineLevel="1"/>
    <row r="47" spans="2:6" outlineLevel="1"/>
    <row r="48" spans="2:6" outlineLevel="1"/>
    <row r="49" spans="2:9" outlineLevel="1"/>
    <row r="50" spans="2:9" s="530" customFormat="1" ht="18" outlineLevel="1">
      <c r="B50" s="531" t="s">
        <v>399</v>
      </c>
    </row>
    <row r="51" spans="2:9" outlineLevel="1">
      <c r="D51" s="70">
        <f>((1501+(1501)+(3*451))/2)+F65</f>
        <v>4067.5</v>
      </c>
    </row>
    <row r="52" spans="2:9" outlineLevel="1">
      <c r="B52" s="538" t="s">
        <v>277</v>
      </c>
      <c r="C52" s="441"/>
      <c r="D52" s="441"/>
      <c r="E52" s="441"/>
      <c r="F52" s="441"/>
      <c r="G52" s="441"/>
      <c r="H52" s="544"/>
      <c r="I52" s="441"/>
    </row>
    <row r="53" spans="2:9" s="743" customFormat="1" outlineLevel="1">
      <c r="B53" s="744" t="s">
        <v>278</v>
      </c>
      <c r="C53" s="744"/>
      <c r="D53" s="745" t="s">
        <v>279</v>
      </c>
      <c r="E53" s="744" t="s">
        <v>10</v>
      </c>
      <c r="F53" s="745" t="s">
        <v>280</v>
      </c>
      <c r="G53" s="744" t="s">
        <v>10</v>
      </c>
      <c r="H53" s="745" t="s">
        <v>281</v>
      </c>
      <c r="I53" s="744" t="s">
        <v>10</v>
      </c>
    </row>
    <row r="54" spans="2:9" s="743" customFormat="1" outlineLevel="1">
      <c r="B54" s="746">
        <v>0</v>
      </c>
      <c r="C54" s="747">
        <f>B55-1</f>
        <v>5400</v>
      </c>
      <c r="D54" s="748">
        <v>1159</v>
      </c>
      <c r="E54" s="747">
        <f>D54*12</f>
        <v>13908</v>
      </c>
      <c r="F54" s="748">
        <v>1159</v>
      </c>
      <c r="G54" s="747">
        <f>F54*12</f>
        <v>13908</v>
      </c>
      <c r="H54" s="748">
        <v>346</v>
      </c>
      <c r="I54" s="747">
        <f>H54*12</f>
        <v>4152</v>
      </c>
    </row>
    <row r="55" spans="2:9" s="743" customFormat="1" outlineLevel="1">
      <c r="B55" s="746">
        <v>5401</v>
      </c>
      <c r="C55" s="747">
        <f t="shared" ref="C55:C64" si="2">B56-1</f>
        <v>8700</v>
      </c>
      <c r="D55" s="748">
        <v>1362</v>
      </c>
      <c r="E55" s="747">
        <f t="shared" ref="E55:E65" si="3">D55*12</f>
        <v>16344</v>
      </c>
      <c r="F55" s="748">
        <v>1362</v>
      </c>
      <c r="G55" s="747">
        <f t="shared" ref="G55:G65" si="4">F55*12</f>
        <v>16344</v>
      </c>
      <c r="H55" s="748">
        <v>407</v>
      </c>
      <c r="I55" s="747">
        <f t="shared" ref="I55:I65" si="5">H55*12</f>
        <v>4884</v>
      </c>
    </row>
    <row r="56" spans="2:9" s="743" customFormat="1" outlineLevel="1">
      <c r="B56" s="746">
        <v>8701</v>
      </c>
      <c r="C56" s="747">
        <f t="shared" si="2"/>
        <v>11500</v>
      </c>
      <c r="D56" s="748">
        <v>1401</v>
      </c>
      <c r="E56" s="747">
        <f t="shared" si="3"/>
        <v>16812</v>
      </c>
      <c r="F56" s="748">
        <v>1401</v>
      </c>
      <c r="G56" s="747">
        <f t="shared" si="4"/>
        <v>16812</v>
      </c>
      <c r="H56" s="748">
        <v>418</v>
      </c>
      <c r="I56" s="747">
        <f t="shared" si="5"/>
        <v>5016</v>
      </c>
    </row>
    <row r="57" spans="2:9" s="743" customFormat="1" outlineLevel="1">
      <c r="B57" s="746">
        <v>11501</v>
      </c>
      <c r="C57" s="747">
        <f t="shared" si="2"/>
        <v>14400</v>
      </c>
      <c r="D57" s="748">
        <v>1448</v>
      </c>
      <c r="E57" s="747">
        <f t="shared" si="3"/>
        <v>17376</v>
      </c>
      <c r="F57" s="748">
        <v>1448</v>
      </c>
      <c r="G57" s="747">
        <f t="shared" si="4"/>
        <v>17376</v>
      </c>
      <c r="H57" s="748">
        <v>436</v>
      </c>
      <c r="I57" s="747">
        <f t="shared" si="5"/>
        <v>5232</v>
      </c>
    </row>
    <row r="58" spans="2:9" s="743" customFormat="1" outlineLevel="1">
      <c r="B58" s="746">
        <v>14401</v>
      </c>
      <c r="C58" s="747">
        <f t="shared" si="2"/>
        <v>17200</v>
      </c>
      <c r="D58" s="748">
        <v>1492</v>
      </c>
      <c r="E58" s="747">
        <f t="shared" si="3"/>
        <v>17904</v>
      </c>
      <c r="F58" s="748">
        <v>1492</v>
      </c>
      <c r="G58" s="747">
        <f t="shared" si="4"/>
        <v>17904</v>
      </c>
      <c r="H58" s="748">
        <v>446</v>
      </c>
      <c r="I58" s="747">
        <f t="shared" si="5"/>
        <v>5352</v>
      </c>
    </row>
    <row r="59" spans="2:9" s="743" customFormat="1" outlineLevel="1">
      <c r="B59" s="746">
        <v>17201</v>
      </c>
      <c r="C59" s="747">
        <f t="shared" si="2"/>
        <v>20100</v>
      </c>
      <c r="D59" s="748">
        <v>1541</v>
      </c>
      <c r="E59" s="747">
        <f t="shared" si="3"/>
        <v>18492</v>
      </c>
      <c r="F59" s="748">
        <v>1541</v>
      </c>
      <c r="G59" s="747">
        <f t="shared" si="4"/>
        <v>18492</v>
      </c>
      <c r="H59" s="748">
        <v>463</v>
      </c>
      <c r="I59" s="747">
        <f t="shared" si="5"/>
        <v>5556</v>
      </c>
    </row>
    <row r="60" spans="2:9" s="743" customFormat="1" outlineLevel="1">
      <c r="B60" s="746">
        <v>20101</v>
      </c>
      <c r="C60" s="747">
        <f t="shared" si="2"/>
        <v>23100</v>
      </c>
      <c r="D60" s="748">
        <v>1602</v>
      </c>
      <c r="E60" s="747">
        <f t="shared" si="3"/>
        <v>19224</v>
      </c>
      <c r="F60" s="748">
        <v>1602</v>
      </c>
      <c r="G60" s="747">
        <f t="shared" si="4"/>
        <v>19224</v>
      </c>
      <c r="H60" s="748">
        <v>479</v>
      </c>
      <c r="I60" s="747">
        <f t="shared" si="5"/>
        <v>5748</v>
      </c>
    </row>
    <row r="61" spans="2:9" s="743" customFormat="1" outlineLevel="1">
      <c r="B61" s="746">
        <v>23101</v>
      </c>
      <c r="C61" s="747">
        <f t="shared" si="2"/>
        <v>28800</v>
      </c>
      <c r="D61" s="748">
        <v>1660</v>
      </c>
      <c r="E61" s="747">
        <f t="shared" si="3"/>
        <v>19920</v>
      </c>
      <c r="F61" s="748">
        <v>1660</v>
      </c>
      <c r="G61" s="747">
        <f t="shared" si="4"/>
        <v>19920</v>
      </c>
      <c r="H61" s="748">
        <v>499</v>
      </c>
      <c r="I61" s="747">
        <f t="shared" si="5"/>
        <v>5988</v>
      </c>
    </row>
    <row r="62" spans="2:9" s="743" customFormat="1" outlineLevel="1">
      <c r="B62" s="746">
        <v>28801</v>
      </c>
      <c r="C62" s="747">
        <f t="shared" si="2"/>
        <v>34400</v>
      </c>
      <c r="D62" s="748">
        <v>1719</v>
      </c>
      <c r="E62" s="747">
        <f t="shared" si="3"/>
        <v>20628</v>
      </c>
      <c r="F62" s="748">
        <v>1719</v>
      </c>
      <c r="G62" s="747">
        <f t="shared" si="4"/>
        <v>20628</v>
      </c>
      <c r="H62" s="748">
        <v>520</v>
      </c>
      <c r="I62" s="747">
        <f t="shared" si="5"/>
        <v>6240</v>
      </c>
    </row>
    <row r="63" spans="2:9" s="743" customFormat="1" outlineLevel="1">
      <c r="B63" s="746">
        <v>34401</v>
      </c>
      <c r="C63" s="747">
        <f t="shared" si="2"/>
        <v>39600</v>
      </c>
      <c r="D63" s="748">
        <v>1781</v>
      </c>
      <c r="E63" s="747">
        <f t="shared" si="3"/>
        <v>21372</v>
      </c>
      <c r="F63" s="748">
        <v>1781</v>
      </c>
      <c r="G63" s="747">
        <f t="shared" si="4"/>
        <v>21372</v>
      </c>
      <c r="H63" s="748">
        <v>535</v>
      </c>
      <c r="I63" s="747">
        <f t="shared" si="5"/>
        <v>6420</v>
      </c>
    </row>
    <row r="64" spans="2:9" s="743" customFormat="1" outlineLevel="1">
      <c r="B64" s="746">
        <v>39601</v>
      </c>
      <c r="C64" s="747">
        <f t="shared" si="2"/>
        <v>44900</v>
      </c>
      <c r="D64" s="748">
        <v>1835</v>
      </c>
      <c r="E64" s="747">
        <f t="shared" si="3"/>
        <v>22020</v>
      </c>
      <c r="F64" s="748">
        <v>1835</v>
      </c>
      <c r="G64" s="747">
        <f t="shared" si="4"/>
        <v>22020</v>
      </c>
      <c r="H64" s="748">
        <v>551</v>
      </c>
      <c r="I64" s="747">
        <f t="shared" si="5"/>
        <v>6612</v>
      </c>
    </row>
    <row r="65" spans="2:9" s="743" customFormat="1" outlineLevel="1">
      <c r="B65" s="746">
        <v>44901</v>
      </c>
      <c r="C65" s="747"/>
      <c r="D65" s="748">
        <v>1890</v>
      </c>
      <c r="E65" s="747">
        <f t="shared" si="3"/>
        <v>22680</v>
      </c>
      <c r="F65" s="748">
        <v>1890</v>
      </c>
      <c r="G65" s="747">
        <f t="shared" si="4"/>
        <v>22680</v>
      </c>
      <c r="H65" s="748">
        <v>568</v>
      </c>
      <c r="I65" s="747">
        <f t="shared" si="5"/>
        <v>6816</v>
      </c>
    </row>
    <row r="66" spans="2:9" s="743" customFormat="1" outlineLevel="1">
      <c r="B66" s="749"/>
      <c r="C66" s="749"/>
      <c r="D66" s="750"/>
      <c r="E66" s="749"/>
      <c r="F66" s="750"/>
      <c r="G66" s="749"/>
      <c r="H66" s="750"/>
      <c r="I66" s="749"/>
    </row>
    <row r="67" spans="2:9" s="743" customFormat="1" outlineLevel="1">
      <c r="B67" s="751" t="s">
        <v>283</v>
      </c>
      <c r="C67" s="749"/>
      <c r="D67" s="750"/>
      <c r="E67" s="749"/>
      <c r="F67" s="750"/>
      <c r="G67" s="749"/>
      <c r="H67" s="750"/>
      <c r="I67" s="749"/>
    </row>
    <row r="68" spans="2:9" s="743" customFormat="1" outlineLevel="1">
      <c r="B68" s="744" t="s">
        <v>278</v>
      </c>
      <c r="C68" s="744"/>
      <c r="D68" s="745" t="s">
        <v>279</v>
      </c>
      <c r="E68" s="744" t="s">
        <v>10</v>
      </c>
      <c r="F68" s="745" t="s">
        <v>280</v>
      </c>
      <c r="G68" s="744" t="s">
        <v>10</v>
      </c>
      <c r="H68" s="745" t="s">
        <v>281</v>
      </c>
      <c r="I68" s="744" t="s">
        <v>10</v>
      </c>
    </row>
    <row r="69" spans="2:9" s="743" customFormat="1" outlineLevel="1">
      <c r="B69" s="746">
        <v>0</v>
      </c>
      <c r="C69" s="747">
        <f>B70-1</f>
        <v>5400</v>
      </c>
      <c r="D69" s="748">
        <v>2761</v>
      </c>
      <c r="E69" s="747">
        <f>D69*12</f>
        <v>33132</v>
      </c>
      <c r="F69" s="748">
        <v>2761</v>
      </c>
      <c r="G69" s="747">
        <f>F69*12</f>
        <v>33132</v>
      </c>
      <c r="H69" s="748">
        <v>829</v>
      </c>
      <c r="I69" s="747">
        <f>H69*12</f>
        <v>9948</v>
      </c>
    </row>
    <row r="70" spans="2:9" s="743" customFormat="1" outlineLevel="1">
      <c r="B70" s="746">
        <v>5401</v>
      </c>
      <c r="C70" s="747">
        <f t="shared" ref="C70:C79" si="6">B71-1</f>
        <v>8700</v>
      </c>
      <c r="D70" s="748">
        <v>2958</v>
      </c>
      <c r="E70" s="747">
        <f t="shared" ref="E70:E80" si="7">D70*12</f>
        <v>35496</v>
      </c>
      <c r="F70" s="748">
        <v>2958</v>
      </c>
      <c r="G70" s="747">
        <f t="shared" ref="G70:G80" si="8">F70*12</f>
        <v>35496</v>
      </c>
      <c r="H70" s="748">
        <v>890</v>
      </c>
      <c r="I70" s="747">
        <f t="shared" ref="I70:I80" si="9">H70*12</f>
        <v>10680</v>
      </c>
    </row>
    <row r="71" spans="2:9" s="743" customFormat="1" outlineLevel="1">
      <c r="B71" s="746">
        <v>8701</v>
      </c>
      <c r="C71" s="747">
        <f t="shared" si="6"/>
        <v>11500</v>
      </c>
      <c r="D71" s="748">
        <v>3020</v>
      </c>
      <c r="E71" s="747">
        <f t="shared" si="7"/>
        <v>36240</v>
      </c>
      <c r="F71" s="748">
        <v>3020</v>
      </c>
      <c r="G71" s="747">
        <f t="shared" si="8"/>
        <v>36240</v>
      </c>
      <c r="H71" s="748">
        <v>907</v>
      </c>
      <c r="I71" s="747">
        <f t="shared" si="9"/>
        <v>10884</v>
      </c>
    </row>
    <row r="72" spans="2:9" s="743" customFormat="1" outlineLevel="1">
      <c r="B72" s="746">
        <v>11501</v>
      </c>
      <c r="C72" s="747">
        <f t="shared" si="6"/>
        <v>14400</v>
      </c>
      <c r="D72" s="748">
        <v>3079</v>
      </c>
      <c r="E72" s="747">
        <f t="shared" si="7"/>
        <v>36948</v>
      </c>
      <c r="F72" s="748">
        <v>3079</v>
      </c>
      <c r="G72" s="747">
        <f t="shared" si="8"/>
        <v>36948</v>
      </c>
      <c r="H72" s="748">
        <v>923</v>
      </c>
      <c r="I72" s="747">
        <f t="shared" si="9"/>
        <v>11076</v>
      </c>
    </row>
    <row r="73" spans="2:9" s="743" customFormat="1" outlineLevel="1">
      <c r="B73" s="746">
        <v>14401</v>
      </c>
      <c r="C73" s="747">
        <f t="shared" si="6"/>
        <v>17200</v>
      </c>
      <c r="D73" s="748">
        <v>3142</v>
      </c>
      <c r="E73" s="747">
        <f t="shared" si="7"/>
        <v>37704</v>
      </c>
      <c r="F73" s="748">
        <v>3142</v>
      </c>
      <c r="G73" s="747">
        <f t="shared" si="8"/>
        <v>37704</v>
      </c>
      <c r="H73" s="748">
        <v>948</v>
      </c>
      <c r="I73" s="747">
        <f t="shared" si="9"/>
        <v>11376</v>
      </c>
    </row>
    <row r="74" spans="2:9" s="743" customFormat="1" outlineLevel="1">
      <c r="B74" s="746">
        <v>17201</v>
      </c>
      <c r="C74" s="747">
        <f t="shared" si="6"/>
        <v>20100</v>
      </c>
      <c r="D74" s="748">
        <v>3214</v>
      </c>
      <c r="E74" s="747">
        <f t="shared" si="7"/>
        <v>38568</v>
      </c>
      <c r="F74" s="748">
        <v>3214</v>
      </c>
      <c r="G74" s="747">
        <f t="shared" si="8"/>
        <v>38568</v>
      </c>
      <c r="H74" s="748">
        <v>961</v>
      </c>
      <c r="I74" s="747">
        <f t="shared" si="9"/>
        <v>11532</v>
      </c>
    </row>
    <row r="75" spans="2:9" s="743" customFormat="1" outlineLevel="1">
      <c r="B75" s="746">
        <v>20101</v>
      </c>
      <c r="C75" s="747">
        <f t="shared" si="6"/>
        <v>23100</v>
      </c>
      <c r="D75" s="748">
        <v>3276</v>
      </c>
      <c r="E75" s="747">
        <f t="shared" si="7"/>
        <v>39312</v>
      </c>
      <c r="F75" s="748">
        <v>3276</v>
      </c>
      <c r="G75" s="747">
        <f t="shared" si="8"/>
        <v>39312</v>
      </c>
      <c r="H75" s="748">
        <v>984</v>
      </c>
      <c r="I75" s="747">
        <f t="shared" si="9"/>
        <v>11808</v>
      </c>
    </row>
    <row r="76" spans="2:9" s="743" customFormat="1" outlineLevel="1">
      <c r="B76" s="746">
        <v>23101</v>
      </c>
      <c r="C76" s="747">
        <f t="shared" si="6"/>
        <v>28800</v>
      </c>
      <c r="D76" s="748">
        <v>3344</v>
      </c>
      <c r="E76" s="747">
        <f t="shared" si="7"/>
        <v>40128</v>
      </c>
      <c r="F76" s="748">
        <v>3344</v>
      </c>
      <c r="G76" s="747">
        <f t="shared" si="8"/>
        <v>40128</v>
      </c>
      <c r="H76" s="748">
        <v>1002</v>
      </c>
      <c r="I76" s="747">
        <f t="shared" si="9"/>
        <v>12024</v>
      </c>
    </row>
    <row r="77" spans="2:9" s="743" customFormat="1" outlineLevel="1">
      <c r="B77" s="746">
        <v>28801</v>
      </c>
      <c r="C77" s="747">
        <f t="shared" si="6"/>
        <v>34400</v>
      </c>
      <c r="D77" s="748">
        <v>3404</v>
      </c>
      <c r="E77" s="747">
        <f t="shared" si="7"/>
        <v>40848</v>
      </c>
      <c r="F77" s="748">
        <v>3404</v>
      </c>
      <c r="G77" s="747">
        <f t="shared" si="8"/>
        <v>40848</v>
      </c>
      <c r="H77" s="748">
        <v>1018</v>
      </c>
      <c r="I77" s="747">
        <f t="shared" si="9"/>
        <v>12216</v>
      </c>
    </row>
    <row r="78" spans="2:9" s="743" customFormat="1" outlineLevel="1">
      <c r="B78" s="746">
        <v>34401</v>
      </c>
      <c r="C78" s="747">
        <f t="shared" si="6"/>
        <v>39600</v>
      </c>
      <c r="D78" s="748">
        <v>3468</v>
      </c>
      <c r="E78" s="747">
        <f t="shared" si="7"/>
        <v>41616</v>
      </c>
      <c r="F78" s="748">
        <v>3468</v>
      </c>
      <c r="G78" s="747">
        <f t="shared" si="8"/>
        <v>41616</v>
      </c>
      <c r="H78" s="748">
        <v>1038</v>
      </c>
      <c r="I78" s="747">
        <f t="shared" si="9"/>
        <v>12456</v>
      </c>
    </row>
    <row r="79" spans="2:9" s="743" customFormat="1" outlineLevel="1">
      <c r="B79" s="746">
        <v>39601</v>
      </c>
      <c r="C79" s="747">
        <f t="shared" si="6"/>
        <v>44900</v>
      </c>
      <c r="D79" s="748">
        <v>3538</v>
      </c>
      <c r="E79" s="747">
        <f t="shared" si="7"/>
        <v>42456</v>
      </c>
      <c r="F79" s="748">
        <v>3538</v>
      </c>
      <c r="G79" s="747">
        <f t="shared" si="8"/>
        <v>42456</v>
      </c>
      <c r="H79" s="748">
        <v>1058</v>
      </c>
      <c r="I79" s="747">
        <f t="shared" si="9"/>
        <v>12696</v>
      </c>
    </row>
    <row r="80" spans="2:9" s="743" customFormat="1" outlineLevel="1">
      <c r="B80" s="746">
        <v>44901</v>
      </c>
      <c r="C80" s="747"/>
      <c r="D80" s="748">
        <v>3609</v>
      </c>
      <c r="E80" s="747">
        <f t="shared" si="7"/>
        <v>43308</v>
      </c>
      <c r="F80" s="748">
        <v>3609</v>
      </c>
      <c r="G80" s="747">
        <f t="shared" si="8"/>
        <v>43308</v>
      </c>
      <c r="H80" s="748">
        <v>1079</v>
      </c>
      <c r="I80" s="747">
        <f t="shared" si="9"/>
        <v>12948</v>
      </c>
    </row>
    <row r="81" spans="2:12" outlineLevel="1"/>
    <row r="82" spans="2:12" outlineLevel="1">
      <c r="B82" s="70" t="s">
        <v>513</v>
      </c>
    </row>
    <row r="83" spans="2:12" outlineLevel="1">
      <c r="B83" s="70" t="s">
        <v>519</v>
      </c>
      <c r="D83" s="732">
        <f>'Lists &amp; Rates'!E285</f>
        <v>5392.71</v>
      </c>
    </row>
    <row r="84" spans="2:12" outlineLevel="1">
      <c r="B84" s="70" t="s">
        <v>518</v>
      </c>
      <c r="D84" s="70" t="str">
        <f>Selection!N18</f>
        <v>Permanent</v>
      </c>
    </row>
    <row r="85" spans="2:12" outlineLevel="1">
      <c r="B85" s="70" t="s">
        <v>405</v>
      </c>
      <c r="D85" s="731" t="str">
        <f>Selection!Q94</f>
        <v>No</v>
      </c>
    </row>
    <row r="86" spans="2:12" outlineLevel="1">
      <c r="B86" s="70" t="s">
        <v>14</v>
      </c>
      <c r="D86" s="731" t="str">
        <f>Selection!O96</f>
        <v>Essential</v>
      </c>
      <c r="H86" s="70" t="s">
        <v>520</v>
      </c>
    </row>
    <row r="87" spans="2:12" ht="43.2" outlineLevel="1">
      <c r="B87" s="21" t="s">
        <v>511</v>
      </c>
      <c r="D87" s="731"/>
      <c r="F87" s="733" t="s">
        <v>285</v>
      </c>
      <c r="G87" s="733" t="s">
        <v>282</v>
      </c>
      <c r="H87" s="734" t="str">
        <f>D86</f>
        <v>Essential</v>
      </c>
      <c r="I87" s="734" t="s">
        <v>521</v>
      </c>
      <c r="J87" s="734" t="s">
        <v>522</v>
      </c>
      <c r="K87" s="735" t="s">
        <v>523</v>
      </c>
      <c r="L87" s="735"/>
    </row>
    <row r="88" spans="2:12" outlineLevel="1">
      <c r="B88" s="21" t="s">
        <v>279</v>
      </c>
      <c r="D88" s="731"/>
      <c r="E88" s="70">
        <v>1</v>
      </c>
      <c r="F88" s="70">
        <f>LOOKUP($D$83,$B$54:$B$65,$D$54:$D$65)</f>
        <v>1159</v>
      </c>
      <c r="G88" s="70">
        <f>LOOKUP($D$83,$B$69:$B$80,$D$69:$D$80)</f>
        <v>2761</v>
      </c>
      <c r="H88" s="735">
        <f>IFERROR((IF($H$87=$G$87,G88,F88)),0)*E88</f>
        <v>1159</v>
      </c>
      <c r="I88" s="736">
        <v>0.5</v>
      </c>
      <c r="J88" s="735">
        <f>+H88*I88*E88</f>
        <v>579.5</v>
      </c>
      <c r="K88" s="735">
        <f>+H88-J88</f>
        <v>579.5</v>
      </c>
      <c r="L88" s="735"/>
    </row>
    <row r="89" spans="2:12" outlineLevel="1">
      <c r="B89" s="730" t="s">
        <v>503</v>
      </c>
      <c r="D89" s="731" t="str">
        <f>Selection!Q98</f>
        <v>No</v>
      </c>
      <c r="E89" s="70">
        <f>IF(D89="Yes",1,0)</f>
        <v>0</v>
      </c>
      <c r="F89" s="70">
        <f>LOOKUP($D$83,$B$54:$B$65,$F$54:$F$65)</f>
        <v>1159</v>
      </c>
      <c r="G89" s="70">
        <f>LOOKUP($D$83,$B$69:$B$80,$F$69:$F$80)</f>
        <v>2761</v>
      </c>
      <c r="H89" s="735">
        <f t="shared" ref="H89:H94" si="10">IFERROR((IF($H$87=$G$87,G89,F89)),0)*E89</f>
        <v>0</v>
      </c>
      <c r="I89" s="736">
        <v>0.5</v>
      </c>
      <c r="J89" s="735">
        <f t="shared" ref="J89:J94" si="11">+H89*I89</f>
        <v>0</v>
      </c>
      <c r="K89" s="735">
        <f t="shared" ref="K89:K94" si="12">+H89-J89</f>
        <v>0</v>
      </c>
      <c r="L89" s="735"/>
    </row>
    <row r="90" spans="2:12" outlineLevel="1">
      <c r="B90" s="730" t="s">
        <v>514</v>
      </c>
      <c r="D90" s="731">
        <f>Selection!Q100</f>
        <v>0</v>
      </c>
      <c r="E90" s="70">
        <f>D90</f>
        <v>0</v>
      </c>
      <c r="F90" s="70">
        <f>F89</f>
        <v>1159</v>
      </c>
      <c r="G90" s="70">
        <f>G89</f>
        <v>2761</v>
      </c>
      <c r="H90" s="735">
        <f t="shared" si="10"/>
        <v>0</v>
      </c>
      <c r="I90" s="736">
        <v>0.5</v>
      </c>
      <c r="J90" s="735">
        <f t="shared" si="11"/>
        <v>0</v>
      </c>
      <c r="K90" s="735">
        <f t="shared" si="12"/>
        <v>0</v>
      </c>
      <c r="L90" s="735"/>
    </row>
    <row r="91" spans="2:12" outlineLevel="1">
      <c r="B91" s="730" t="s">
        <v>515</v>
      </c>
      <c r="D91" s="731">
        <f>Selection!Q102</f>
        <v>0</v>
      </c>
      <c r="E91" s="70">
        <f>D91</f>
        <v>0</v>
      </c>
      <c r="F91" s="70">
        <f>F90</f>
        <v>1159</v>
      </c>
      <c r="G91" s="70">
        <f>G90</f>
        <v>2761</v>
      </c>
      <c r="H91" s="735">
        <f t="shared" si="10"/>
        <v>0</v>
      </c>
      <c r="I91" s="736">
        <v>0</v>
      </c>
      <c r="J91" s="735">
        <f t="shared" si="11"/>
        <v>0</v>
      </c>
      <c r="K91" s="735">
        <f t="shared" si="12"/>
        <v>0</v>
      </c>
      <c r="L91" s="735"/>
    </row>
    <row r="92" spans="2:12" outlineLevel="1">
      <c r="B92" s="21" t="s">
        <v>512</v>
      </c>
      <c r="D92" s="731"/>
      <c r="H92" s="735"/>
      <c r="I92" s="735"/>
      <c r="J92" s="735"/>
      <c r="K92" s="735"/>
      <c r="L92" s="735"/>
    </row>
    <row r="93" spans="2:12" outlineLevel="1">
      <c r="B93" s="730" t="s">
        <v>517</v>
      </c>
      <c r="D93" s="731">
        <f>Selection!Q104</f>
        <v>0</v>
      </c>
      <c r="E93" s="70">
        <f>+D93</f>
        <v>0</v>
      </c>
      <c r="F93" s="70">
        <f>LOOKUP($D$83,$B$54:$B$65,$H$54:$H$65)</f>
        <v>346</v>
      </c>
      <c r="G93" s="70">
        <f>LOOKUP($D$83,$B$69:$B$80,$H$69:$H$80)</f>
        <v>829</v>
      </c>
      <c r="H93" s="735">
        <f t="shared" si="10"/>
        <v>0</v>
      </c>
      <c r="I93" s="736">
        <v>0.5</v>
      </c>
      <c r="J93" s="735">
        <f t="shared" si="11"/>
        <v>0</v>
      </c>
      <c r="K93" s="735">
        <f t="shared" si="12"/>
        <v>0</v>
      </c>
      <c r="L93" s="735"/>
    </row>
    <row r="94" spans="2:12" outlineLevel="1">
      <c r="B94" s="730" t="s">
        <v>516</v>
      </c>
      <c r="D94" s="731">
        <f>Selection!Q106</f>
        <v>0</v>
      </c>
      <c r="E94" s="70">
        <f>+D94</f>
        <v>0</v>
      </c>
      <c r="F94" s="70">
        <f>F93</f>
        <v>346</v>
      </c>
      <c r="G94" s="70">
        <f>G93</f>
        <v>829</v>
      </c>
      <c r="H94" s="735">
        <f t="shared" si="10"/>
        <v>0</v>
      </c>
      <c r="I94" s="736">
        <v>0</v>
      </c>
      <c r="J94" s="735">
        <f t="shared" si="11"/>
        <v>0</v>
      </c>
      <c r="K94" s="735">
        <f t="shared" si="12"/>
        <v>0</v>
      </c>
      <c r="L94" s="735"/>
    </row>
    <row r="95" spans="2:12" ht="15" outlineLevel="1" thickBot="1">
      <c r="H95" s="735">
        <f>SUM(H88:H94)</f>
        <v>1159</v>
      </c>
      <c r="I95" s="735"/>
      <c r="J95" s="737">
        <f>SUM(J88:J94)</f>
        <v>579.5</v>
      </c>
      <c r="K95" s="737">
        <f>SUM(K88:K94)</f>
        <v>579.5</v>
      </c>
      <c r="L95" s="735"/>
    </row>
    <row r="96" spans="2:12" outlineLevel="1">
      <c r="H96" s="735"/>
      <c r="I96" s="735"/>
      <c r="J96" s="735"/>
      <c r="K96" s="735"/>
      <c r="L96" s="735"/>
    </row>
    <row r="97" spans="8:12" outlineLevel="1">
      <c r="H97" s="735"/>
      <c r="I97" s="735"/>
      <c r="J97" s="735"/>
      <c r="K97" s="735"/>
      <c r="L97" s="735"/>
    </row>
    <row r="98" spans="8:12" outlineLevel="1">
      <c r="H98" s="735" t="s">
        <v>522</v>
      </c>
      <c r="I98" s="735">
        <f>IF(AND(D84="permanent",D85="no"),J95,0)</f>
        <v>579.5</v>
      </c>
      <c r="J98" s="735"/>
      <c r="K98" s="735"/>
      <c r="L98" s="735"/>
    </row>
    <row r="99" spans="8:12" outlineLevel="1">
      <c r="H99" s="735" t="s">
        <v>523</v>
      </c>
      <c r="I99" s="735">
        <f>IF(AND(D84="permanent",D85="no"),K95,0)</f>
        <v>579.5</v>
      </c>
      <c r="J99" s="735"/>
      <c r="K99" s="735"/>
      <c r="L99" s="735"/>
    </row>
    <row r="100" spans="8:12" ht="15" outlineLevel="1" thickBot="1">
      <c r="H100" s="735" t="s">
        <v>467</v>
      </c>
      <c r="I100" s="737">
        <f>SUM(I98:I99)</f>
        <v>1159</v>
      </c>
      <c r="J100" s="735"/>
      <c r="K100" s="735"/>
      <c r="L100" s="735"/>
    </row>
    <row r="101" spans="8:12" outlineLevel="1"/>
    <row r="102" spans="8:12" outlineLevel="1"/>
    <row r="103" spans="8:12" outlineLevel="1"/>
    <row r="104" spans="8:12" outlineLevel="1"/>
    <row r="105" spans="8:12" outlineLevel="1"/>
    <row r="106" spans="8:12" outlineLevel="1"/>
    <row r="107" spans="8:12" outlineLevel="1"/>
    <row r="108" spans="8:12" outlineLevel="1"/>
    <row r="109" spans="8:12" outlineLevel="1"/>
    <row r="110" spans="8:12" outlineLevel="1"/>
    <row r="111" spans="8:12" outlineLevel="1"/>
    <row r="112" spans="8:12" outlineLevel="1"/>
    <row r="113" outlineLevel="1"/>
    <row r="114" outlineLevel="1"/>
    <row r="115" outlineLevel="1"/>
    <row r="116" outlineLevel="1"/>
    <row r="117" outlineLevel="1"/>
    <row r="118" outlineLevel="1"/>
    <row r="119" outlineLevel="1"/>
    <row r="120" outlineLevel="1"/>
    <row r="121" outlineLevel="1"/>
    <row r="122" outlineLevel="1"/>
    <row r="123" outlineLevel="1"/>
    <row r="124" outlineLevel="1"/>
    <row r="125" outlineLevel="1"/>
    <row r="126" outlineLevel="1"/>
    <row r="127" outlineLevel="1"/>
    <row r="128" outlineLevel="1"/>
    <row r="129" spans="2:7" outlineLevel="1"/>
    <row r="130" spans="2:7" outlineLevel="1"/>
    <row r="131" spans="2:7" outlineLevel="1"/>
    <row r="132" spans="2:7" outlineLevel="1"/>
    <row r="133" spans="2:7" outlineLevel="1"/>
    <row r="134" spans="2:7" outlineLevel="1"/>
    <row r="135" spans="2:7" outlineLevel="1"/>
    <row r="136" spans="2:7" outlineLevel="1"/>
    <row r="137" spans="2:7" outlineLevel="1"/>
    <row r="138" spans="2:7" outlineLevel="1"/>
    <row r="139" spans="2:7" outlineLevel="1"/>
    <row r="140" spans="2:7" s="530" customFormat="1" ht="18" outlineLevel="1">
      <c r="B140" s="531" t="s">
        <v>508</v>
      </c>
    </row>
    <row r="141" spans="2:7" outlineLevel="1"/>
    <row r="142" spans="2:7" outlineLevel="1">
      <c r="B142" s="550" t="s">
        <v>98</v>
      </c>
      <c r="C142" s="596" t="s">
        <v>468</v>
      </c>
      <c r="D142" s="596" t="s">
        <v>331</v>
      </c>
      <c r="E142" s="596" t="s">
        <v>488</v>
      </c>
      <c r="F142" s="596" t="s">
        <v>487</v>
      </c>
    </row>
    <row r="143" spans="2:7" outlineLevel="1">
      <c r="B143" s="551" t="s">
        <v>119</v>
      </c>
      <c r="C143" s="552">
        <v>9.5000000000000001E-2</v>
      </c>
      <c r="D143" s="692">
        <f>C154</f>
        <v>6.1999999999999998E-3</v>
      </c>
      <c r="E143" s="692">
        <v>9.7000000000000003E-3</v>
      </c>
      <c r="F143" s="692">
        <v>4.7999999999999996E-3</v>
      </c>
      <c r="G143" s="722"/>
    </row>
    <row r="144" spans="2:7" outlineLevel="1">
      <c r="B144" s="553" t="s">
        <v>120</v>
      </c>
      <c r="C144" s="552">
        <v>9.5000000000000001E-2</v>
      </c>
      <c r="D144" s="692">
        <f>D143</f>
        <v>6.1999999999999998E-3</v>
      </c>
      <c r="E144" s="692">
        <f t="shared" ref="E144:F144" si="13">E143</f>
        <v>9.7000000000000003E-3</v>
      </c>
      <c r="F144" s="692">
        <f t="shared" si="13"/>
        <v>4.7999999999999996E-3</v>
      </c>
    </row>
    <row r="145" spans="2:6" outlineLevel="1">
      <c r="B145" s="553" t="s">
        <v>224</v>
      </c>
      <c r="C145" s="552">
        <v>9.5000000000000001E-2</v>
      </c>
      <c r="D145" s="692">
        <f t="shared" ref="D145:D147" si="14">D144</f>
        <v>6.1999999999999998E-3</v>
      </c>
      <c r="E145" s="692">
        <f t="shared" ref="E145:E147" si="15">E144</f>
        <v>9.7000000000000003E-3</v>
      </c>
      <c r="F145" s="692">
        <f t="shared" ref="F145:F147" si="16">F144</f>
        <v>4.7999999999999996E-3</v>
      </c>
    </row>
    <row r="146" spans="2:6" outlineLevel="1">
      <c r="B146" s="553" t="s">
        <v>377</v>
      </c>
      <c r="C146" s="552">
        <v>9.5000000000000001E-2</v>
      </c>
      <c r="D146" s="692">
        <f t="shared" si="14"/>
        <v>6.1999999999999998E-3</v>
      </c>
      <c r="E146" s="692">
        <f t="shared" si="15"/>
        <v>9.7000000000000003E-3</v>
      </c>
      <c r="F146" s="692">
        <f t="shared" si="16"/>
        <v>4.7999999999999996E-3</v>
      </c>
    </row>
    <row r="147" spans="2:6" outlineLevel="1">
      <c r="B147" s="553" t="s">
        <v>376</v>
      </c>
      <c r="C147" s="552">
        <v>9.5000000000000001E-2</v>
      </c>
      <c r="D147" s="692">
        <f t="shared" si="14"/>
        <v>6.1999999999999998E-3</v>
      </c>
      <c r="E147" s="692">
        <f t="shared" si="15"/>
        <v>9.7000000000000003E-3</v>
      </c>
      <c r="F147" s="692">
        <f t="shared" si="16"/>
        <v>4.7999999999999996E-3</v>
      </c>
    </row>
    <row r="148" spans="2:6" outlineLevel="1"/>
    <row r="149" spans="2:6" outlineLevel="1">
      <c r="B149" s="550" t="s">
        <v>412</v>
      </c>
    </row>
    <row r="150" spans="2:6" outlineLevel="1">
      <c r="B150" s="551" t="s">
        <v>413</v>
      </c>
      <c r="C150" s="547">
        <v>7.0000000000000007E-2</v>
      </c>
    </row>
    <row r="151" spans="2:6" outlineLevel="1"/>
    <row r="152" spans="2:6" outlineLevel="1">
      <c r="B152" s="550" t="s">
        <v>15</v>
      </c>
      <c r="C152" s="548">
        <v>2.29</v>
      </c>
    </row>
    <row r="153" spans="2:6" outlineLevel="1"/>
    <row r="154" spans="2:6" outlineLevel="1">
      <c r="B154" s="550" t="s">
        <v>331</v>
      </c>
      <c r="C154" s="692">
        <v>6.1999999999999998E-3</v>
      </c>
    </row>
    <row r="155" spans="2:6" outlineLevel="1"/>
    <row r="156" spans="2:6" s="530" customFormat="1" ht="18" outlineLevel="1">
      <c r="B156" s="531" t="s">
        <v>431</v>
      </c>
    </row>
    <row r="157" spans="2:6" outlineLevel="1"/>
    <row r="158" spans="2:6" outlineLevel="1">
      <c r="B158" s="567" t="s">
        <v>432</v>
      </c>
      <c r="C158" s="568"/>
      <c r="D158" s="569">
        <v>365</v>
      </c>
    </row>
    <row r="159" spans="2:6" outlineLevel="1">
      <c r="B159" s="567" t="s">
        <v>465</v>
      </c>
      <c r="C159" s="568"/>
      <c r="D159" s="569">
        <v>363</v>
      </c>
    </row>
    <row r="160" spans="2:6" outlineLevel="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P111"/>
  <sheetViews>
    <sheetView showGridLines="0" zoomScale="70" zoomScaleNormal="70" workbookViewId="0">
      <selection activeCell="A24" sqref="A24"/>
    </sheetView>
  </sheetViews>
  <sheetFormatPr defaultColWidth="9.109375" defaultRowHeight="14.4" outlineLevelRow="1"/>
  <cols>
    <col min="1" max="1" width="11.5546875" style="554" customWidth="1"/>
    <col min="2" max="4" width="20.44140625" style="554" customWidth="1"/>
    <col min="5" max="5" width="9.5546875" style="554" customWidth="1"/>
    <col min="6" max="6" width="3.88671875" style="555" customWidth="1"/>
    <col min="7" max="7" width="7" style="555" customWidth="1"/>
    <col min="8" max="59" width="3.88671875" style="555" customWidth="1"/>
    <col min="60" max="16384" width="9.109375" style="555"/>
  </cols>
  <sheetData>
    <row r="1" spans="1:8" s="131" customFormat="1" outlineLevel="1">
      <c r="A1" s="131" t="s">
        <v>467</v>
      </c>
      <c r="C1" s="131">
        <f>'Dummy Payslip'!Q44</f>
        <v>84684.479400000011</v>
      </c>
    </row>
    <row r="2" spans="1:8" s="131" customFormat="1" outlineLevel="1">
      <c r="A2" s="649" t="s">
        <v>64</v>
      </c>
      <c r="B2" s="650"/>
      <c r="C2" s="651">
        <f>'Dummy Payslip'!Q17+'Dummy Payslip'!M22+'Dummy Payslip'!M23+'Dummy Payslip'!M24</f>
        <v>55817.144400000005</v>
      </c>
      <c r="D2" s="652">
        <f>IF(C2=0,NA(),C2)</f>
        <v>55817.144400000005</v>
      </c>
    </row>
    <row r="3" spans="1:8" s="131" customFormat="1" outlineLevel="1">
      <c r="A3" s="649" t="s">
        <v>473</v>
      </c>
      <c r="B3" s="650"/>
      <c r="C3" s="651">
        <f>+'Dummy Payslip'!Q19</f>
        <v>0</v>
      </c>
      <c r="D3" s="652" t="e">
        <f t="shared" ref="D3:D5" si="0">IF(C3=0,NA(),C3)</f>
        <v>#N/A</v>
      </c>
      <c r="H3" s="131" t="s">
        <v>472</v>
      </c>
    </row>
    <row r="4" spans="1:8" s="131" customFormat="1" outlineLevel="1">
      <c r="A4" s="649" t="s">
        <v>471</v>
      </c>
      <c r="B4" s="650"/>
      <c r="C4" s="651">
        <f>+'Dummy Payslip'!Q42</f>
        <v>5392.71</v>
      </c>
      <c r="D4" s="652">
        <f t="shared" si="0"/>
        <v>5392.71</v>
      </c>
    </row>
    <row r="5" spans="1:8" s="131" customFormat="1" outlineLevel="1">
      <c r="A5" s="649" t="s">
        <v>21</v>
      </c>
      <c r="B5" s="650"/>
      <c r="C5" s="651">
        <f>'Dummy Payslip'!Q34+'Dummy Payslip'!Q33+'Dummy Payslip'!Q45-'Dummy Payslip'!M22-'Dummy Payslip'!M23-'Dummy Payslip'!M24</f>
        <v>22024.544999999998</v>
      </c>
      <c r="D5" s="652">
        <f t="shared" si="0"/>
        <v>22024.544999999998</v>
      </c>
      <c r="G5" s="653"/>
    </row>
    <row r="6" spans="1:8" s="131" customFormat="1" outlineLevel="1">
      <c r="A6" s="131" t="s">
        <v>467</v>
      </c>
      <c r="B6" s="650"/>
      <c r="C6" s="651">
        <f>SUM(C2:C5)</f>
        <v>83234.399399999995</v>
      </c>
      <c r="D6" s="651"/>
    </row>
    <row r="7" spans="1:8" s="131" customFormat="1" outlineLevel="1">
      <c r="A7" s="131" t="s">
        <v>470</v>
      </c>
      <c r="B7" s="650"/>
      <c r="C7" s="651">
        <f>C1-C6</f>
        <v>1450.0800000000163</v>
      </c>
      <c r="D7" s="651"/>
    </row>
    <row r="8" spans="1:8" s="131" customFormat="1" outlineLevel="1">
      <c r="B8" s="651"/>
      <c r="C8" s="651"/>
    </row>
    <row r="9" spans="1:8" s="131" customFormat="1" outlineLevel="1">
      <c r="A9" s="131" t="s">
        <v>467</v>
      </c>
      <c r="B9" s="651"/>
      <c r="C9" s="654">
        <f>SUM(C10:C15)</f>
        <v>22024.545000000002</v>
      </c>
    </row>
    <row r="10" spans="1:8" s="131" customFormat="1" outlineLevel="1">
      <c r="A10" s="131" t="s">
        <v>474</v>
      </c>
      <c r="B10" s="651"/>
      <c r="C10" s="651">
        <f>'Dummy Payslip'!Q36</f>
        <v>627.71144400000003</v>
      </c>
      <c r="D10" s="652">
        <f t="shared" ref="D10:D15" si="1">IF(C10=0,NA(),C10)</f>
        <v>627.71144400000003</v>
      </c>
    </row>
    <row r="11" spans="1:8" s="131" customFormat="1" outlineLevel="1">
      <c r="A11" s="131" t="s">
        <v>9</v>
      </c>
      <c r="B11" s="651"/>
      <c r="C11" s="651">
        <f>'Dummy Payslip'!Q35</f>
        <v>401.217624</v>
      </c>
      <c r="D11" s="652">
        <f t="shared" si="1"/>
        <v>401.217624</v>
      </c>
    </row>
    <row r="12" spans="1:8" s="131" customFormat="1" outlineLevel="1">
      <c r="A12" s="131" t="s">
        <v>475</v>
      </c>
      <c r="B12" s="651"/>
      <c r="C12" s="651">
        <f>'Dummy Payslip'!Q45</f>
        <v>27.48</v>
      </c>
      <c r="D12" s="652">
        <f>IF(C12=0,NA(),C12)</f>
        <v>27.48</v>
      </c>
    </row>
    <row r="13" spans="1:8" s="131" customFormat="1" outlineLevel="1">
      <c r="A13" s="131" t="s">
        <v>23</v>
      </c>
      <c r="B13" s="651"/>
      <c r="C13" s="651">
        <f>'Dummy Payslip'!Q33-'Dummy Payslip'!M22</f>
        <v>13908</v>
      </c>
      <c r="D13" s="652">
        <f>IF(C13=0,NA(),C13)</f>
        <v>13908</v>
      </c>
    </row>
    <row r="14" spans="1:8" s="131" customFormat="1" outlineLevel="1">
      <c r="A14" s="131" t="s">
        <v>494</v>
      </c>
      <c r="B14" s="651"/>
      <c r="C14" s="651">
        <f>'Dummy Payslip'!Q37</f>
        <v>310.62009599999999</v>
      </c>
      <c r="D14" s="652">
        <f>IF(C14=0,NA(),C14)</f>
        <v>310.62009599999999</v>
      </c>
    </row>
    <row r="15" spans="1:8" s="131" customFormat="1" outlineLevel="1">
      <c r="A15" s="131" t="s">
        <v>476</v>
      </c>
      <c r="B15" s="651"/>
      <c r="C15" s="651">
        <f>'Dummy Payslip'!Q38-'Dummy Payslip'!M23-'Dummy Payslip'!M24</f>
        <v>6749.5158360000005</v>
      </c>
      <c r="D15" s="652">
        <f t="shared" si="1"/>
        <v>6749.5158360000005</v>
      </c>
    </row>
    <row r="16" spans="1:8" s="131" customFormat="1">
      <c r="A16" s="131" t="s">
        <v>470</v>
      </c>
      <c r="C16" s="654">
        <f>+C9-C5</f>
        <v>0</v>
      </c>
    </row>
    <row r="17" spans="2:2" s="131" customFormat="1"/>
    <row r="18" spans="2:2" s="131" customFormat="1" outlineLevel="1">
      <c r="B18" s="651"/>
    </row>
    <row r="19" spans="2:2" s="131" customFormat="1" outlineLevel="1">
      <c r="B19" s="651"/>
    </row>
    <row r="20" spans="2:2" s="131" customFormat="1"/>
    <row r="21" spans="2:2" s="131" customFormat="1"/>
    <row r="22" spans="2:2" s="131" customFormat="1"/>
    <row r="23" spans="2:2" s="131" customFormat="1"/>
    <row r="107" spans="2:16" ht="15" customHeight="1">
      <c r="B107" s="842" t="e">
        <f>IF('Dummy Payslip'!#REF!=0,"",IF(Selection!#REF!="","",IF(-'Dummy Payslip'!M67&lt;-'Dummy Payslip'!#REF!,"Note: Consider selecting a lower employee and higher employer contribution as the employee Retirement Fund contribution tax deductible threshold is exceeded","Note: Employee Retirement Fund Contribution is within the tax deductible threshold")))</f>
        <v>#REF!</v>
      </c>
      <c r="C107" s="842"/>
      <c r="D107" s="842"/>
      <c r="E107" s="842"/>
      <c r="F107" s="842"/>
      <c r="G107" s="842"/>
      <c r="H107" s="842"/>
      <c r="I107" s="842"/>
      <c r="J107" s="842"/>
      <c r="K107" s="842"/>
      <c r="L107" s="842"/>
      <c r="M107" s="842"/>
      <c r="N107" s="842"/>
      <c r="O107" s="842"/>
      <c r="P107" s="842"/>
    </row>
    <row r="108" spans="2:16">
      <c r="B108" s="842"/>
      <c r="C108" s="842"/>
      <c r="D108" s="842"/>
      <c r="E108" s="842"/>
      <c r="F108" s="842"/>
      <c r="G108" s="842"/>
      <c r="H108" s="842"/>
      <c r="I108" s="842"/>
      <c r="J108" s="842"/>
      <c r="K108" s="842"/>
      <c r="L108" s="842"/>
      <c r="M108" s="842"/>
      <c r="N108" s="842"/>
      <c r="O108" s="842"/>
      <c r="P108" s="842"/>
    </row>
    <row r="109" spans="2:16">
      <c r="B109" s="556" t="e">
        <f>IF('Dummy Payslip'!#REF!=0,"",IF(Selection!#REF!="","","Employee Retirement Fund Contribution Tax deductible threshold:"))</f>
        <v>#REF!</v>
      </c>
      <c r="C109" s="557"/>
      <c r="D109" s="557"/>
      <c r="E109" s="557"/>
      <c r="F109" s="557"/>
      <c r="G109" s="557"/>
      <c r="H109" s="557"/>
      <c r="I109" s="557"/>
      <c r="J109" s="557"/>
      <c r="K109" s="557"/>
      <c r="L109" s="557"/>
      <c r="M109" s="557"/>
      <c r="N109" s="841" t="e">
        <f>IF('Dummy Payslip'!#REF!=0,"",IF(Selection!#REF!="","",('Dummy Payslip'!M65-'Dummy Payslip'!M58-'Dummy Payslip'!M60+'Dummy Payslip'!K19)*7.5%))</f>
        <v>#REF!</v>
      </c>
      <c r="O109" s="841"/>
      <c r="P109" s="841"/>
    </row>
    <row r="110" spans="2:16">
      <c r="B110" s="556" t="e">
        <f>IF('Dummy Payslip'!#REF!=0,"",IF(Selection!#REF!="","","Employee Retirement Fund Contribution:"))</f>
        <v>#REF!</v>
      </c>
      <c r="C110" s="557"/>
      <c r="D110" s="557"/>
      <c r="E110" s="557"/>
      <c r="F110" s="557"/>
      <c r="G110" s="557"/>
      <c r="H110" s="557"/>
      <c r="I110" s="557"/>
      <c r="J110" s="557"/>
      <c r="K110" s="557"/>
      <c r="L110" s="557"/>
      <c r="M110" s="557"/>
      <c r="N110" s="841" t="e">
        <f>IF('Dummy Payslip'!#REF!=0,"",IF(Selection!#REF!="","",-'Dummy Payslip'!#REF!))</f>
        <v>#REF!</v>
      </c>
      <c r="O110" s="841"/>
      <c r="P110" s="841"/>
    </row>
    <row r="111" spans="2:16">
      <c r="B111" s="558"/>
      <c r="C111" s="558"/>
      <c r="D111" s="558"/>
      <c r="E111" s="558"/>
      <c r="F111" s="559"/>
      <c r="G111" s="559"/>
      <c r="H111" s="559"/>
      <c r="I111" s="559"/>
      <c r="J111" s="559"/>
      <c r="K111" s="559"/>
      <c r="L111" s="559"/>
      <c r="M111" s="559"/>
      <c r="N111" s="559"/>
      <c r="O111" s="559"/>
    </row>
  </sheetData>
  <sheetProtection selectLockedCells="1"/>
  <mergeCells count="3">
    <mergeCell ref="N109:P109"/>
    <mergeCell ref="N110:P110"/>
    <mergeCell ref="B107:P108"/>
  </mergeCells>
  <conditionalFormatting sqref="B107 E109:E110 B109:C110 N109:N110">
    <cfRule type="expression" dxfId="0" priority="1">
      <formula>$G$29=0</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R535"/>
  <sheetViews>
    <sheetView topLeftCell="A441" zoomScaleNormal="100" workbookViewId="0">
      <selection activeCell="B402" sqref="B402"/>
    </sheetView>
  </sheetViews>
  <sheetFormatPr defaultColWidth="9.109375" defaultRowHeight="13.8" outlineLevelRow="1"/>
  <cols>
    <col min="1" max="1" width="33.109375" style="94" customWidth="1"/>
    <col min="2" max="2" width="46.88671875" style="94" customWidth="1"/>
    <col min="3" max="3" width="32.109375" style="94" customWidth="1"/>
    <col min="4" max="4" width="17.109375" style="94" customWidth="1"/>
    <col min="5" max="5" width="17.44140625" style="94" customWidth="1"/>
    <col min="6" max="6" width="17" style="94" customWidth="1"/>
    <col min="7" max="7" width="16.88671875" style="94" customWidth="1"/>
    <col min="8" max="8" width="16.44140625" style="94" customWidth="1"/>
    <col min="9" max="9" width="19" style="94" customWidth="1"/>
    <col min="10" max="10" width="22.44140625" style="94" customWidth="1"/>
    <col min="11" max="12" width="19.88671875" style="94" customWidth="1"/>
    <col min="13" max="13" width="17.109375" style="94" customWidth="1"/>
    <col min="14" max="14" width="22.109375" style="94" customWidth="1"/>
    <col min="15" max="15" width="22.88671875" style="94" bestFit="1" customWidth="1"/>
    <col min="16" max="16" width="14.88671875" style="94" customWidth="1"/>
    <col min="17" max="17" width="18.88671875" style="94" customWidth="1"/>
    <col min="18" max="18" width="14.88671875" style="94" customWidth="1"/>
    <col min="19" max="16384" width="9.109375" style="94"/>
  </cols>
  <sheetData>
    <row r="1" spans="1:5" s="93" customFormat="1" outlineLevel="1">
      <c r="A1" s="93" t="s">
        <v>99</v>
      </c>
    </row>
    <row r="2" spans="1:5" outlineLevel="1"/>
    <row r="3" spans="1:5" outlineLevel="1">
      <c r="A3" s="95" t="s">
        <v>96</v>
      </c>
    </row>
    <row r="4" spans="1:5" outlineLevel="1">
      <c r="A4" s="95" t="str">
        <f>cars</f>
        <v>CARS</v>
      </c>
    </row>
    <row r="5" spans="1:5" outlineLevel="1">
      <c r="A5" s="95" t="str">
        <f>A210</f>
        <v>UIF</v>
      </c>
    </row>
    <row r="6" spans="1:5" outlineLevel="1">
      <c r="A6" s="95" t="str">
        <f>A215</f>
        <v>RETIREMENT FUND &amp; RISK</v>
      </c>
    </row>
    <row r="7" spans="1:5" outlineLevel="1">
      <c r="A7" s="95" t="str">
        <f>RET</f>
        <v>RETIREMENT FUND &amp; RISK</v>
      </c>
    </row>
    <row r="8" spans="1:5" outlineLevel="1">
      <c r="A8" s="95" t="str">
        <f>A283</f>
        <v>MEDICAL</v>
      </c>
    </row>
    <row r="9" spans="1:5" outlineLevel="1"/>
    <row r="10" spans="1:5" s="93" customFormat="1" outlineLevel="1">
      <c r="A10" s="93" t="s">
        <v>117</v>
      </c>
    </row>
    <row r="11" spans="1:5" outlineLevel="1">
      <c r="E11" s="167"/>
    </row>
    <row r="12" spans="1:5" outlineLevel="1">
      <c r="A12" s="104" t="s">
        <v>118</v>
      </c>
    </row>
    <row r="13" spans="1:5" outlineLevel="1">
      <c r="A13" s="163" t="s">
        <v>376</v>
      </c>
    </row>
    <row r="14" spans="1:5" outlineLevel="1">
      <c r="A14" s="163" t="s">
        <v>377</v>
      </c>
    </row>
    <row r="15" spans="1:5" outlineLevel="1">
      <c r="A15" s="163" t="s">
        <v>119</v>
      </c>
    </row>
    <row r="16" spans="1:5" outlineLevel="1">
      <c r="A16" s="163" t="s">
        <v>120</v>
      </c>
    </row>
    <row r="17" spans="1:7" outlineLevel="1">
      <c r="A17" s="164" t="s">
        <v>224</v>
      </c>
    </row>
    <row r="18" spans="1:7" outlineLevel="1"/>
    <row r="19" spans="1:7" outlineLevel="1">
      <c r="A19" s="104" t="s">
        <v>121</v>
      </c>
      <c r="B19" s="104"/>
    </row>
    <row r="20" spans="1:7" outlineLevel="1">
      <c r="A20" s="126" t="s">
        <v>119</v>
      </c>
      <c r="B20" s="127"/>
      <c r="C20" s="127" t="s">
        <v>120</v>
      </c>
      <c r="D20" s="179" t="s">
        <v>224</v>
      </c>
    </row>
    <row r="21" spans="1:7" ht="14.4" outlineLevel="1">
      <c r="A21" s="173" t="s">
        <v>128</v>
      </c>
      <c r="B21" s="162"/>
      <c r="C21" s="169" t="s">
        <v>271</v>
      </c>
      <c r="D21" s="180" t="s">
        <v>271</v>
      </c>
      <c r="E21" s="168"/>
      <c r="F21" s="168"/>
    </row>
    <row r="22" spans="1:7" ht="14.4" outlineLevel="1">
      <c r="A22" s="173" t="s">
        <v>185</v>
      </c>
      <c r="B22" s="169"/>
      <c r="C22" s="168"/>
      <c r="D22" s="165"/>
      <c r="E22" s="168"/>
      <c r="F22" s="168"/>
    </row>
    <row r="23" spans="1:7" ht="14.4" outlineLevel="1">
      <c r="A23" s="173" t="s">
        <v>171</v>
      </c>
      <c r="B23" s="169"/>
      <c r="C23" s="168"/>
      <c r="D23" s="165"/>
      <c r="E23" s="168"/>
      <c r="F23" s="168"/>
    </row>
    <row r="24" spans="1:7" ht="14.4" outlineLevel="1">
      <c r="A24" s="173" t="s">
        <v>131</v>
      </c>
      <c r="B24" s="162"/>
      <c r="C24" s="168"/>
      <c r="D24" s="165"/>
      <c r="E24" s="168"/>
      <c r="F24" s="168"/>
    </row>
    <row r="25" spans="1:7" ht="14.4" outlineLevel="1">
      <c r="A25" s="173" t="s">
        <v>160</v>
      </c>
      <c r="B25" s="169"/>
      <c r="C25" s="168"/>
      <c r="D25" s="165"/>
      <c r="E25" s="168"/>
      <c r="F25" s="168"/>
    </row>
    <row r="26" spans="1:7" ht="14.4" outlineLevel="1">
      <c r="A26" s="173" t="s">
        <v>140</v>
      </c>
      <c r="B26" s="169"/>
      <c r="C26" s="168"/>
      <c r="D26" s="165"/>
      <c r="E26" s="168"/>
      <c r="F26" s="168"/>
      <c r="G26" s="187"/>
    </row>
    <row r="27" spans="1:7" ht="14.4" outlineLevel="1">
      <c r="A27" s="173" t="s">
        <v>137</v>
      </c>
      <c r="B27" s="169"/>
      <c r="C27" s="168"/>
      <c r="D27" s="165"/>
      <c r="E27" s="168"/>
      <c r="F27" s="168"/>
      <c r="G27" s="187"/>
    </row>
    <row r="28" spans="1:7" ht="14.4" outlineLevel="1">
      <c r="A28" s="173" t="s">
        <v>138</v>
      </c>
      <c r="B28" s="162"/>
      <c r="C28" s="168"/>
      <c r="D28" s="165"/>
      <c r="E28" s="168"/>
      <c r="F28" s="168"/>
      <c r="G28" s="187"/>
    </row>
    <row r="29" spans="1:7" ht="14.4" outlineLevel="1">
      <c r="A29" s="173" t="s">
        <v>148</v>
      </c>
      <c r="B29" s="169"/>
      <c r="C29" s="168"/>
      <c r="D29" s="165"/>
      <c r="E29" s="168"/>
      <c r="F29" s="168"/>
      <c r="G29" s="187"/>
    </row>
    <row r="30" spans="1:7" ht="14.4" outlineLevel="1">
      <c r="A30" s="173" t="s">
        <v>123</v>
      </c>
      <c r="B30" s="162"/>
      <c r="C30" s="168"/>
      <c r="D30" s="165"/>
      <c r="E30" s="168"/>
      <c r="F30" s="168"/>
      <c r="G30" s="186"/>
    </row>
    <row r="31" spans="1:7" ht="14.4" outlineLevel="1">
      <c r="A31" s="173" t="s">
        <v>134</v>
      </c>
      <c r="B31" s="162"/>
      <c r="C31" s="168"/>
      <c r="D31" s="165"/>
      <c r="E31" s="168"/>
      <c r="F31" s="168"/>
      <c r="G31" s="187"/>
    </row>
    <row r="32" spans="1:7" ht="14.4" outlineLevel="1">
      <c r="A32" s="173" t="s">
        <v>125</v>
      </c>
      <c r="B32" s="169"/>
      <c r="C32" s="168"/>
      <c r="D32" s="165"/>
      <c r="E32" s="168"/>
      <c r="F32" s="168"/>
      <c r="G32" s="187"/>
    </row>
    <row r="33" spans="1:18" ht="14.4" outlineLevel="1">
      <c r="A33" s="173" t="s">
        <v>198</v>
      </c>
      <c r="B33" s="169"/>
      <c r="C33" s="168"/>
      <c r="D33" s="165"/>
      <c r="E33" s="168"/>
      <c r="F33" s="168"/>
      <c r="G33" s="187"/>
    </row>
    <row r="34" spans="1:18" ht="14.4" outlineLevel="1">
      <c r="A34" s="173" t="s">
        <v>223</v>
      </c>
      <c r="B34" s="169"/>
      <c r="C34" s="168"/>
      <c r="D34" s="165"/>
      <c r="E34" s="168"/>
      <c r="F34" s="168"/>
      <c r="G34" s="187"/>
    </row>
    <row r="35" spans="1:18" ht="14.4" outlineLevel="1">
      <c r="A35" s="173" t="s">
        <v>212</v>
      </c>
      <c r="B35" s="169"/>
      <c r="C35" s="168"/>
      <c r="D35" s="165"/>
      <c r="E35" s="168"/>
      <c r="F35" s="168"/>
      <c r="G35" s="187"/>
    </row>
    <row r="36" spans="1:18" ht="14.4" outlineLevel="1">
      <c r="A36" s="173" t="s">
        <v>214</v>
      </c>
      <c r="B36" s="162"/>
      <c r="C36" s="168"/>
      <c r="D36" s="165"/>
      <c r="E36" s="168"/>
      <c r="F36" s="168"/>
      <c r="G36" s="187"/>
    </row>
    <row r="37" spans="1:18" ht="14.4" outlineLevel="1">
      <c r="A37" s="173" t="s">
        <v>216</v>
      </c>
      <c r="B37" s="169"/>
      <c r="C37" s="168"/>
      <c r="D37" s="165"/>
      <c r="E37" s="168"/>
      <c r="F37" s="168"/>
      <c r="G37" s="187"/>
    </row>
    <row r="38" spans="1:18" ht="14.4" outlineLevel="1">
      <c r="A38" s="181" t="s">
        <v>218</v>
      </c>
      <c r="B38" s="185"/>
      <c r="C38" s="184"/>
      <c r="D38" s="166"/>
      <c r="E38" s="168"/>
      <c r="F38" s="168"/>
      <c r="G38" s="187"/>
    </row>
    <row r="39" spans="1:18" outlineLevel="1"/>
    <row r="40" spans="1:18" outlineLevel="1">
      <c r="A40" s="104" t="s">
        <v>225</v>
      </c>
    </row>
    <row r="41" spans="1:18" outlineLevel="1">
      <c r="A41" s="126" t="s">
        <v>226</v>
      </c>
      <c r="B41" s="122"/>
      <c r="C41" s="122"/>
      <c r="D41" s="122"/>
      <c r="E41" s="122"/>
      <c r="F41" s="122"/>
      <c r="G41" s="122"/>
      <c r="H41" s="122"/>
      <c r="I41" s="122"/>
      <c r="J41" s="122"/>
      <c r="K41" s="122"/>
      <c r="L41" s="122"/>
      <c r="M41" s="122"/>
      <c r="N41" s="122"/>
      <c r="O41" s="122"/>
      <c r="P41" s="122"/>
      <c r="Q41" s="122"/>
      <c r="R41" s="121"/>
    </row>
    <row r="42" spans="1:18" outlineLevel="1">
      <c r="A42" s="171" t="s">
        <v>123</v>
      </c>
      <c r="B42" s="170" t="s">
        <v>125</v>
      </c>
      <c r="C42" s="170" t="s">
        <v>128</v>
      </c>
      <c r="D42" s="170" t="s">
        <v>131</v>
      </c>
      <c r="E42" s="170" t="s">
        <v>134</v>
      </c>
      <c r="F42" s="170" t="s">
        <v>137</v>
      </c>
      <c r="G42" s="170" t="s">
        <v>138</v>
      </c>
      <c r="H42" s="170" t="s">
        <v>140</v>
      </c>
      <c r="I42" s="170" t="s">
        <v>148</v>
      </c>
      <c r="J42" s="170" t="s">
        <v>160</v>
      </c>
      <c r="K42" s="170" t="s">
        <v>171</v>
      </c>
      <c r="L42" s="170" t="s">
        <v>185</v>
      </c>
      <c r="M42" s="170" t="s">
        <v>198</v>
      </c>
      <c r="N42" s="170" t="s">
        <v>212</v>
      </c>
      <c r="O42" s="170" t="s">
        <v>214</v>
      </c>
      <c r="P42" s="170" t="s">
        <v>216</v>
      </c>
      <c r="Q42" s="170" t="s">
        <v>218</v>
      </c>
      <c r="R42" s="172" t="s">
        <v>223</v>
      </c>
    </row>
    <row r="43" spans="1:18" s="162" customFormat="1" outlineLevel="1">
      <c r="A43" s="173" t="s">
        <v>124</v>
      </c>
      <c r="B43" s="162" t="s">
        <v>126</v>
      </c>
      <c r="C43" s="169" t="s">
        <v>129</v>
      </c>
      <c r="D43" s="169" t="s">
        <v>132</v>
      </c>
      <c r="E43" s="169" t="s">
        <v>136</v>
      </c>
      <c r="F43" s="169" t="s">
        <v>137</v>
      </c>
      <c r="G43" s="169" t="s">
        <v>139</v>
      </c>
      <c r="H43" s="169" t="s">
        <v>141</v>
      </c>
      <c r="I43" s="169" t="s">
        <v>149</v>
      </c>
      <c r="J43" s="169" t="s">
        <v>161</v>
      </c>
      <c r="K43" s="169" t="s">
        <v>172</v>
      </c>
      <c r="L43" s="169" t="s">
        <v>186</v>
      </c>
      <c r="M43" s="169" t="s">
        <v>199</v>
      </c>
      <c r="N43" s="169" t="s">
        <v>213</v>
      </c>
      <c r="O43" s="169" t="s">
        <v>215</v>
      </c>
      <c r="P43" s="169" t="s">
        <v>217</v>
      </c>
      <c r="Q43" s="169" t="s">
        <v>220</v>
      </c>
      <c r="R43" s="174" t="s">
        <v>223</v>
      </c>
    </row>
    <row r="44" spans="1:18" s="162" customFormat="1" outlineLevel="1">
      <c r="A44" s="175"/>
      <c r="B44" s="162" t="s">
        <v>127</v>
      </c>
      <c r="C44" s="169" t="s">
        <v>130</v>
      </c>
      <c r="D44" s="169" t="s">
        <v>133</v>
      </c>
      <c r="E44" s="169" t="s">
        <v>135</v>
      </c>
      <c r="H44" s="169" t="s">
        <v>142</v>
      </c>
      <c r="I44" s="169" t="s">
        <v>151</v>
      </c>
      <c r="J44" s="169" t="s">
        <v>166</v>
      </c>
      <c r="K44" s="169" t="s">
        <v>173</v>
      </c>
      <c r="L44" s="169" t="s">
        <v>187</v>
      </c>
      <c r="M44" s="169" t="s">
        <v>211</v>
      </c>
      <c r="Q44" s="169" t="s">
        <v>219</v>
      </c>
      <c r="R44" s="176"/>
    </row>
    <row r="45" spans="1:18" s="162" customFormat="1" outlineLevel="1">
      <c r="A45" s="175"/>
      <c r="H45" s="169" t="s">
        <v>143</v>
      </c>
      <c r="I45" s="169" t="s">
        <v>150</v>
      </c>
      <c r="J45" s="169" t="s">
        <v>162</v>
      </c>
      <c r="K45" s="169" t="s">
        <v>174</v>
      </c>
      <c r="L45" s="169" t="s">
        <v>195</v>
      </c>
      <c r="M45" s="169" t="s">
        <v>200</v>
      </c>
      <c r="Q45" s="169" t="s">
        <v>221</v>
      </c>
      <c r="R45" s="176"/>
    </row>
    <row r="46" spans="1:18" s="162" customFormat="1" outlineLevel="1">
      <c r="A46" s="175"/>
      <c r="H46" s="169" t="s">
        <v>144</v>
      </c>
      <c r="I46" s="169" t="s">
        <v>153</v>
      </c>
      <c r="J46" s="169" t="s">
        <v>170</v>
      </c>
      <c r="K46" s="169" t="s">
        <v>175</v>
      </c>
      <c r="L46" s="169" t="s">
        <v>188</v>
      </c>
      <c r="M46" s="169" t="s">
        <v>201</v>
      </c>
      <c r="Q46" s="169" t="s">
        <v>222</v>
      </c>
      <c r="R46" s="176"/>
    </row>
    <row r="47" spans="1:18" s="162" customFormat="1" outlineLevel="1">
      <c r="A47" s="175"/>
      <c r="H47" s="169" t="s">
        <v>146</v>
      </c>
      <c r="I47" s="169" t="s">
        <v>154</v>
      </c>
      <c r="J47" s="169" t="s">
        <v>163</v>
      </c>
      <c r="K47" s="169" t="s">
        <v>176</v>
      </c>
      <c r="L47" s="169" t="s">
        <v>189</v>
      </c>
      <c r="M47" s="169" t="s">
        <v>202</v>
      </c>
      <c r="R47" s="176"/>
    </row>
    <row r="48" spans="1:18" s="162" customFormat="1" outlineLevel="1">
      <c r="A48" s="175"/>
      <c r="H48" s="169" t="s">
        <v>145</v>
      </c>
      <c r="I48" s="169" t="s">
        <v>155</v>
      </c>
      <c r="J48" s="169" t="s">
        <v>164</v>
      </c>
      <c r="K48" s="169" t="s">
        <v>177</v>
      </c>
      <c r="L48" s="169" t="s">
        <v>190</v>
      </c>
      <c r="M48" s="169" t="s">
        <v>203</v>
      </c>
      <c r="R48" s="176"/>
    </row>
    <row r="49" spans="1:18" s="162" customFormat="1" outlineLevel="1">
      <c r="A49" s="175"/>
      <c r="H49" s="169" t="s">
        <v>147</v>
      </c>
      <c r="I49" s="169" t="s">
        <v>156</v>
      </c>
      <c r="J49" s="169" t="s">
        <v>167</v>
      </c>
      <c r="K49" s="169" t="s">
        <v>178</v>
      </c>
      <c r="L49" s="169" t="s">
        <v>191</v>
      </c>
      <c r="M49" s="169" t="s">
        <v>204</v>
      </c>
      <c r="R49" s="176"/>
    </row>
    <row r="50" spans="1:18" s="162" customFormat="1" outlineLevel="1">
      <c r="A50" s="175"/>
      <c r="I50" s="169" t="s">
        <v>157</v>
      </c>
      <c r="J50" s="169" t="s">
        <v>165</v>
      </c>
      <c r="K50" s="169" t="s">
        <v>179</v>
      </c>
      <c r="L50" s="169" t="s">
        <v>192</v>
      </c>
      <c r="M50" s="169" t="s">
        <v>205</v>
      </c>
      <c r="R50" s="176"/>
    </row>
    <row r="51" spans="1:18" s="162" customFormat="1" outlineLevel="1">
      <c r="A51" s="175"/>
      <c r="I51" s="169" t="s">
        <v>152</v>
      </c>
      <c r="J51" s="169" t="s">
        <v>168</v>
      </c>
      <c r="K51" s="169" t="s">
        <v>180</v>
      </c>
      <c r="L51" s="169" t="s">
        <v>193</v>
      </c>
      <c r="M51" s="169" t="s">
        <v>206</v>
      </c>
      <c r="R51" s="176"/>
    </row>
    <row r="52" spans="1:18" s="162" customFormat="1" outlineLevel="1">
      <c r="A52" s="175"/>
      <c r="I52" s="169" t="s">
        <v>159</v>
      </c>
      <c r="J52" s="169" t="s">
        <v>169</v>
      </c>
      <c r="K52" s="169" t="s">
        <v>181</v>
      </c>
      <c r="L52" s="169" t="s">
        <v>194</v>
      </c>
      <c r="M52" s="169" t="s">
        <v>210</v>
      </c>
      <c r="R52" s="176"/>
    </row>
    <row r="53" spans="1:18" s="162" customFormat="1" outlineLevel="1">
      <c r="A53" s="175"/>
      <c r="I53" s="169" t="s">
        <v>158</v>
      </c>
      <c r="K53" s="169" t="s">
        <v>182</v>
      </c>
      <c r="L53" s="169" t="s">
        <v>196</v>
      </c>
      <c r="M53" s="169" t="s">
        <v>208</v>
      </c>
      <c r="R53" s="176"/>
    </row>
    <row r="54" spans="1:18" s="162" customFormat="1" outlineLevel="1">
      <c r="A54" s="175"/>
      <c r="K54" s="169" t="s">
        <v>183</v>
      </c>
      <c r="L54" s="169" t="s">
        <v>197</v>
      </c>
      <c r="M54" s="169" t="s">
        <v>207</v>
      </c>
      <c r="R54" s="176"/>
    </row>
    <row r="55" spans="1:18" s="162" customFormat="1" outlineLevel="1">
      <c r="A55" s="175"/>
      <c r="K55" s="169" t="s">
        <v>184</v>
      </c>
      <c r="M55" s="169" t="s">
        <v>209</v>
      </c>
      <c r="R55" s="176"/>
    </row>
    <row r="56" spans="1:18" s="162" customFormat="1" outlineLevel="1"/>
    <row r="57" spans="1:18" s="162" customFormat="1" outlineLevel="1">
      <c r="A57" s="162" t="s">
        <v>492</v>
      </c>
      <c r="B57" s="162" t="str">
        <f>SUBSTITUTE(Selection!N10," ","_")</f>
        <v>SAB_Limited</v>
      </c>
    </row>
    <row r="58" spans="1:18" s="162" customFormat="1" outlineLevel="1">
      <c r="A58" s="162" t="s">
        <v>437</v>
      </c>
      <c r="B58" s="162" t="str">
        <f>CONCATENATE(B57,C58)</f>
        <v>SAB_LimitedST</v>
      </c>
      <c r="C58" s="162" t="s">
        <v>493</v>
      </c>
    </row>
    <row r="59" spans="1:18" s="162" customFormat="1" outlineLevel="1"/>
    <row r="60" spans="1:18" s="162" customFormat="1" outlineLevel="1">
      <c r="A60" s="183" t="s">
        <v>485</v>
      </c>
      <c r="B60" s="162" t="s">
        <v>72</v>
      </c>
    </row>
    <row r="61" spans="1:18" s="162" customFormat="1" outlineLevel="1">
      <c r="A61" s="626" t="s">
        <v>483</v>
      </c>
      <c r="B61" s="626" t="s">
        <v>119</v>
      </c>
    </row>
    <row r="62" spans="1:18" s="162" customFormat="1" outlineLevel="1">
      <c r="A62" s="626" t="s">
        <v>229</v>
      </c>
      <c r="B62" s="626" t="s">
        <v>119</v>
      </c>
    </row>
    <row r="63" spans="1:18" s="162" customFormat="1" outlineLevel="1">
      <c r="A63" s="626" t="s">
        <v>480</v>
      </c>
      <c r="B63" s="626" t="s">
        <v>120</v>
      </c>
    </row>
    <row r="64" spans="1:18" s="162" customFormat="1" outlineLevel="1">
      <c r="A64" s="626" t="s">
        <v>484</v>
      </c>
      <c r="B64" s="626" t="s">
        <v>224</v>
      </c>
    </row>
    <row r="65" spans="1:7" s="162" customFormat="1" outlineLevel="1">
      <c r="A65" s="626" t="s">
        <v>481</v>
      </c>
      <c r="B65" s="626" t="s">
        <v>376</v>
      </c>
    </row>
    <row r="66" spans="1:7" outlineLevel="1">
      <c r="A66" s="626" t="s">
        <v>482</v>
      </c>
      <c r="B66" s="626" t="s">
        <v>377</v>
      </c>
      <c r="C66" s="162"/>
    </row>
    <row r="67" spans="1:7" s="162" customFormat="1" outlineLevel="1"/>
    <row r="68" spans="1:7" s="162" customFormat="1" outlineLevel="1"/>
    <row r="69" spans="1:7" s="162" customFormat="1" outlineLevel="1">
      <c r="A69" s="626" t="s">
        <v>483</v>
      </c>
      <c r="B69" s="626" t="s">
        <v>229</v>
      </c>
      <c r="C69" s="626" t="s">
        <v>480</v>
      </c>
      <c r="D69" s="626" t="s">
        <v>484</v>
      </c>
      <c r="E69" s="626"/>
      <c r="F69" s="626" t="s">
        <v>481</v>
      </c>
      <c r="G69" s="626" t="s">
        <v>482</v>
      </c>
    </row>
    <row r="70" spans="1:7" s="162" customFormat="1" outlineLevel="1">
      <c r="A70" s="634" t="s">
        <v>4</v>
      </c>
      <c r="B70" s="626">
        <v>1</v>
      </c>
      <c r="C70" s="634" t="s">
        <v>4</v>
      </c>
      <c r="D70" s="634" t="s">
        <v>4</v>
      </c>
      <c r="E70" s="634"/>
      <c r="F70" s="635" t="s">
        <v>4</v>
      </c>
      <c r="G70" s="635" t="s">
        <v>4</v>
      </c>
    </row>
    <row r="71" spans="1:7" s="162" customFormat="1" outlineLevel="1">
      <c r="A71" s="634" t="s">
        <v>232</v>
      </c>
      <c r="B71" s="626">
        <v>2</v>
      </c>
      <c r="C71" s="634" t="s">
        <v>232</v>
      </c>
      <c r="D71" s="634" t="s">
        <v>232</v>
      </c>
      <c r="E71" s="634"/>
      <c r="F71" s="635" t="s">
        <v>2</v>
      </c>
      <c r="G71" s="635" t="s">
        <v>2</v>
      </c>
    </row>
    <row r="72" spans="1:7" s="162" customFormat="1" outlineLevel="1">
      <c r="A72" s="634" t="s">
        <v>2</v>
      </c>
      <c r="B72" s="626">
        <v>3</v>
      </c>
      <c r="C72" s="634" t="s">
        <v>2</v>
      </c>
      <c r="D72" s="634" t="s">
        <v>2</v>
      </c>
      <c r="E72" s="634"/>
      <c r="F72" s="635" t="s">
        <v>3</v>
      </c>
      <c r="G72" s="635" t="s">
        <v>3</v>
      </c>
    </row>
    <row r="73" spans="1:7" s="162" customFormat="1" outlineLevel="1">
      <c r="A73" s="634" t="s">
        <v>3</v>
      </c>
      <c r="B73" s="626">
        <v>4</v>
      </c>
      <c r="C73" s="634" t="s">
        <v>3</v>
      </c>
      <c r="D73" s="634" t="s">
        <v>3</v>
      </c>
      <c r="E73" s="626"/>
      <c r="F73" s="635" t="s">
        <v>11</v>
      </c>
      <c r="G73" s="635" t="s">
        <v>11</v>
      </c>
    </row>
    <row r="74" spans="1:7" s="162" customFormat="1" outlineLevel="1">
      <c r="A74" s="634" t="s">
        <v>239</v>
      </c>
      <c r="B74" s="626">
        <v>5</v>
      </c>
      <c r="C74" s="634" t="s">
        <v>239</v>
      </c>
      <c r="D74" s="634" t="s">
        <v>239</v>
      </c>
      <c r="E74" s="626"/>
      <c r="F74" s="635" t="s">
        <v>250</v>
      </c>
      <c r="G74" s="635" t="s">
        <v>250</v>
      </c>
    </row>
    <row r="75" spans="1:7" s="162" customFormat="1" outlineLevel="1">
      <c r="A75" s="634" t="s">
        <v>11</v>
      </c>
      <c r="B75" s="626"/>
      <c r="C75" s="634" t="s">
        <v>11</v>
      </c>
      <c r="D75" s="634" t="s">
        <v>11</v>
      </c>
      <c r="E75" s="634"/>
      <c r="F75" s="635" t="s">
        <v>252</v>
      </c>
      <c r="G75" s="635" t="s">
        <v>252</v>
      </c>
    </row>
    <row r="76" spans="1:7" s="162" customFormat="1" outlineLevel="1">
      <c r="A76" s="634" t="s">
        <v>244</v>
      </c>
      <c r="B76" s="626"/>
      <c r="C76" s="634" t="s">
        <v>244</v>
      </c>
      <c r="D76" s="634" t="s">
        <v>244</v>
      </c>
      <c r="E76" s="626"/>
      <c r="F76" s="635" t="s">
        <v>256</v>
      </c>
      <c r="G76" s="635" t="s">
        <v>256</v>
      </c>
    </row>
    <row r="77" spans="1:7" s="162" customFormat="1" outlineLevel="1">
      <c r="A77" s="634" t="s">
        <v>247</v>
      </c>
      <c r="B77" s="626"/>
      <c r="C77" s="634" t="s">
        <v>247</v>
      </c>
      <c r="D77" s="634" t="s">
        <v>247</v>
      </c>
      <c r="E77" s="634"/>
      <c r="F77" s="635" t="s">
        <v>262</v>
      </c>
      <c r="G77" s="635" t="s">
        <v>262</v>
      </c>
    </row>
    <row r="78" spans="1:7" s="162" customFormat="1" outlineLevel="1">
      <c r="A78" s="634" t="s">
        <v>250</v>
      </c>
      <c r="B78" s="626"/>
      <c r="C78" s="634" t="s">
        <v>250</v>
      </c>
      <c r="D78" s="634" t="s">
        <v>250</v>
      </c>
      <c r="E78" s="634"/>
      <c r="F78" s="626"/>
      <c r="G78" s="626"/>
    </row>
    <row r="79" spans="1:7" s="162" customFormat="1" outlineLevel="1">
      <c r="A79" s="634" t="s">
        <v>252</v>
      </c>
      <c r="B79" s="626"/>
      <c r="C79" s="634" t="s">
        <v>252</v>
      </c>
      <c r="D79" s="634" t="s">
        <v>252</v>
      </c>
      <c r="E79" s="634"/>
      <c r="F79" s="626"/>
      <c r="G79" s="626"/>
    </row>
    <row r="80" spans="1:7" s="162" customFormat="1" outlineLevel="1">
      <c r="A80" s="634" t="s">
        <v>254</v>
      </c>
      <c r="B80" s="626"/>
      <c r="C80" s="634" t="s">
        <v>254</v>
      </c>
      <c r="D80" s="634" t="s">
        <v>254</v>
      </c>
      <c r="E80" s="634"/>
      <c r="F80" s="626"/>
      <c r="G80" s="626"/>
    </row>
    <row r="81" spans="1:7" s="162" customFormat="1" outlineLevel="1">
      <c r="A81" s="634" t="s">
        <v>256</v>
      </c>
      <c r="B81" s="626"/>
      <c r="C81" s="634" t="s">
        <v>256</v>
      </c>
      <c r="D81" s="634" t="s">
        <v>256</v>
      </c>
      <c r="E81" s="634"/>
      <c r="F81" s="626"/>
      <c r="G81" s="626"/>
    </row>
    <row r="82" spans="1:7" s="162" customFormat="1" outlineLevel="1">
      <c r="A82" s="634" t="s">
        <v>258</v>
      </c>
      <c r="B82" s="626"/>
      <c r="C82" s="634" t="s">
        <v>258</v>
      </c>
      <c r="D82" s="634" t="s">
        <v>258</v>
      </c>
      <c r="E82" s="634"/>
      <c r="F82" s="626"/>
      <c r="G82" s="626"/>
    </row>
    <row r="83" spans="1:7" s="162" customFormat="1" outlineLevel="1">
      <c r="A83" s="634" t="s">
        <v>260</v>
      </c>
      <c r="B83" s="626"/>
      <c r="C83" s="634" t="s">
        <v>260</v>
      </c>
      <c r="D83" s="634" t="s">
        <v>260</v>
      </c>
      <c r="E83" s="634"/>
      <c r="F83" s="626"/>
      <c r="G83" s="626"/>
    </row>
    <row r="84" spans="1:7" s="162" customFormat="1" outlineLevel="1">
      <c r="A84" s="634" t="s">
        <v>261</v>
      </c>
      <c r="B84" s="626"/>
      <c r="C84" s="634" t="s">
        <v>261</v>
      </c>
      <c r="D84" s="634" t="s">
        <v>261</v>
      </c>
      <c r="E84" s="634"/>
      <c r="F84" s="626"/>
      <c r="G84" s="626"/>
    </row>
    <row r="85" spans="1:7" s="162" customFormat="1" outlineLevel="1">
      <c r="A85" s="634" t="s">
        <v>262</v>
      </c>
      <c r="B85" s="626"/>
      <c r="C85" s="634" t="s">
        <v>262</v>
      </c>
      <c r="D85" s="634" t="s">
        <v>262</v>
      </c>
      <c r="E85" s="634"/>
      <c r="F85" s="626"/>
      <c r="G85" s="626"/>
    </row>
    <row r="86" spans="1:7" s="162" customFormat="1" outlineLevel="1">
      <c r="A86" s="634" t="s">
        <v>263</v>
      </c>
      <c r="B86" s="626"/>
      <c r="C86" s="634" t="s">
        <v>263</v>
      </c>
      <c r="D86" s="634" t="s">
        <v>263</v>
      </c>
      <c r="E86" s="626"/>
      <c r="F86" s="626"/>
      <c r="G86" s="626"/>
    </row>
    <row r="87" spans="1:7" s="162" customFormat="1" outlineLevel="1">
      <c r="A87" s="634" t="s">
        <v>264</v>
      </c>
      <c r="B87" s="626"/>
      <c r="C87" s="634" t="s">
        <v>264</v>
      </c>
      <c r="D87" s="634" t="s">
        <v>264</v>
      </c>
      <c r="E87" s="626"/>
      <c r="F87" s="626"/>
      <c r="G87" s="626"/>
    </row>
    <row r="88" spans="1:7" s="162" customFormat="1" outlineLevel="1">
      <c r="A88" s="634" t="s">
        <v>265</v>
      </c>
      <c r="B88" s="626"/>
      <c r="C88" s="634" t="s">
        <v>265</v>
      </c>
      <c r="D88" s="634" t="s">
        <v>265</v>
      </c>
      <c r="E88" s="626"/>
      <c r="F88" s="626"/>
      <c r="G88" s="626"/>
    </row>
    <row r="89" spans="1:7" s="162" customFormat="1" outlineLevel="1">
      <c r="A89" s="634" t="s">
        <v>266</v>
      </c>
      <c r="B89" s="626"/>
      <c r="C89" s="634" t="s">
        <v>266</v>
      </c>
      <c r="D89" s="634" t="s">
        <v>266</v>
      </c>
      <c r="E89" s="626"/>
      <c r="F89" s="626"/>
      <c r="G89" s="626"/>
    </row>
    <row r="90" spans="1:7" s="162" customFormat="1" outlineLevel="1">
      <c r="A90" s="634" t="s">
        <v>267</v>
      </c>
      <c r="B90" s="626"/>
      <c r="C90" s="634" t="s">
        <v>267</v>
      </c>
      <c r="D90" s="634" t="s">
        <v>267</v>
      </c>
      <c r="E90" s="626"/>
      <c r="F90" s="626"/>
      <c r="G90" s="626"/>
    </row>
    <row r="91" spans="1:7" s="162" customFormat="1" outlineLevel="1">
      <c r="A91" s="634" t="s">
        <v>268</v>
      </c>
      <c r="B91" s="626"/>
      <c r="C91" s="634" t="s">
        <v>268</v>
      </c>
      <c r="D91" s="634" t="s">
        <v>268</v>
      </c>
      <c r="E91" s="626"/>
      <c r="F91" s="626"/>
      <c r="G91" s="626"/>
    </row>
    <row r="92" spans="1:7" s="162" customFormat="1" outlineLevel="1"/>
    <row r="93" spans="1:7" s="162" customFormat="1" outlineLevel="1"/>
    <row r="94" spans="1:7" s="162" customFormat="1" outlineLevel="1">
      <c r="A94" s="183" t="s">
        <v>269</v>
      </c>
    </row>
    <row r="95" spans="1:7" s="162" customFormat="1" outlineLevel="1">
      <c r="A95" s="188" t="s">
        <v>107</v>
      </c>
      <c r="B95" s="189" t="s">
        <v>353</v>
      </c>
    </row>
    <row r="96" spans="1:7" s="162" customFormat="1" outlineLevel="1">
      <c r="A96" s="190" t="s">
        <v>108</v>
      </c>
      <c r="B96" s="176" t="s">
        <v>354</v>
      </c>
    </row>
    <row r="97" spans="1:2" s="162" customFormat="1" outlineLevel="1">
      <c r="A97" s="162" t="s">
        <v>272</v>
      </c>
      <c r="B97" s="176" t="s">
        <v>354</v>
      </c>
    </row>
    <row r="98" spans="1:2" s="162" customFormat="1" outlineLevel="1">
      <c r="A98" s="177" t="s">
        <v>273</v>
      </c>
      <c r="B98" s="178" t="s">
        <v>354</v>
      </c>
    </row>
    <row r="99" spans="1:2" s="162" customFormat="1" outlineLevel="1"/>
    <row r="100" spans="1:2" outlineLevel="1"/>
    <row r="101" spans="1:2" s="93" customFormat="1" outlineLevel="1">
      <c r="A101" s="93" t="s">
        <v>100</v>
      </c>
    </row>
    <row r="102" spans="1:2" outlineLevel="1"/>
    <row r="103" spans="1:2" outlineLevel="1">
      <c r="A103" s="125" t="s">
        <v>28</v>
      </c>
    </row>
    <row r="104" spans="1:2" outlineLevel="1">
      <c r="A104" s="96">
        <v>0</v>
      </c>
    </row>
    <row r="105" spans="1:2" outlineLevel="1">
      <c r="A105" s="96">
        <v>1</v>
      </c>
    </row>
    <row r="106" spans="1:2" outlineLevel="1">
      <c r="A106" s="96">
        <v>2</v>
      </c>
    </row>
    <row r="107" spans="1:2" outlineLevel="1">
      <c r="A107" s="96">
        <v>3</v>
      </c>
    </row>
    <row r="108" spans="1:2" outlineLevel="1">
      <c r="A108" s="96">
        <v>4</v>
      </c>
    </row>
    <row r="109" spans="1:2" outlineLevel="1">
      <c r="A109" s="96">
        <v>5</v>
      </c>
    </row>
    <row r="110" spans="1:2" outlineLevel="1">
      <c r="A110" s="96">
        <v>6</v>
      </c>
    </row>
    <row r="111" spans="1:2" outlineLevel="1">
      <c r="A111" s="96">
        <v>7</v>
      </c>
    </row>
    <row r="112" spans="1:2" outlineLevel="1">
      <c r="A112" s="96">
        <v>8</v>
      </c>
    </row>
    <row r="113" spans="1:2" outlineLevel="1">
      <c r="A113" s="96">
        <v>9</v>
      </c>
    </row>
    <row r="114" spans="1:2" outlineLevel="1">
      <c r="A114" s="97">
        <v>10</v>
      </c>
    </row>
    <row r="115" spans="1:2" outlineLevel="1"/>
    <row r="116" spans="1:2" outlineLevel="1">
      <c r="A116" s="129" t="s">
        <v>26</v>
      </c>
    </row>
    <row r="117" spans="1:2" outlineLevel="1">
      <c r="A117" s="96" t="s">
        <v>13</v>
      </c>
    </row>
    <row r="118" spans="1:2" outlineLevel="1">
      <c r="A118" s="97" t="s">
        <v>12</v>
      </c>
    </row>
    <row r="119" spans="1:2" outlineLevel="1"/>
    <row r="120" spans="1:2" s="93" customFormat="1" outlineLevel="1">
      <c r="A120" s="93" t="s">
        <v>96</v>
      </c>
    </row>
    <row r="121" spans="1:2" outlineLevel="1"/>
    <row r="122" spans="1:2" outlineLevel="1">
      <c r="A122" s="98" t="s">
        <v>29</v>
      </c>
      <c r="B122" s="99"/>
    </row>
    <row r="123" spans="1:2" outlineLevel="1">
      <c r="A123" s="100" t="s">
        <v>30</v>
      </c>
      <c r="B123" s="448">
        <f>'For Office Use'!C8</f>
        <v>310</v>
      </c>
    </row>
    <row r="124" spans="1:2" outlineLevel="1">
      <c r="A124" s="100" t="s">
        <v>31</v>
      </c>
      <c r="B124" s="448">
        <f>'For Office Use'!C9</f>
        <v>310</v>
      </c>
    </row>
    <row r="125" spans="1:2" outlineLevel="1">
      <c r="A125" s="101" t="s">
        <v>32</v>
      </c>
      <c r="B125" s="449">
        <f>'For Office Use'!C10</f>
        <v>209</v>
      </c>
    </row>
    <row r="126" spans="1:2" outlineLevel="1"/>
    <row r="127" spans="1:2" outlineLevel="1">
      <c r="A127" s="102" t="s">
        <v>92</v>
      </c>
      <c r="B127" s="103"/>
    </row>
    <row r="128" spans="1:2" outlineLevel="1"/>
    <row r="129" spans="1:11" outlineLevel="1">
      <c r="A129" s="104" t="s">
        <v>33</v>
      </c>
    </row>
    <row r="130" spans="1:11" outlineLevel="1">
      <c r="A130" s="105" t="s">
        <v>34</v>
      </c>
      <c r="B130" s="453">
        <v>43889</v>
      </c>
      <c r="C130" s="106"/>
      <c r="D130" s="106"/>
      <c r="E130" s="106"/>
      <c r="F130" s="99"/>
    </row>
    <row r="131" spans="1:11" outlineLevel="1">
      <c r="A131" s="100"/>
      <c r="B131" s="107"/>
      <c r="C131" s="107"/>
      <c r="D131" s="107"/>
      <c r="E131" s="107"/>
      <c r="F131" s="108"/>
    </row>
    <row r="132" spans="1:11" outlineLevel="1">
      <c r="A132" s="450">
        <f>'For Office Use'!B17</f>
        <v>0</v>
      </c>
      <c r="B132" s="451">
        <f>'For Office Use'!C17</f>
        <v>195850</v>
      </c>
      <c r="C132" s="451">
        <f>'For Office Use'!D17</f>
        <v>0</v>
      </c>
      <c r="D132" s="452">
        <f>'For Office Use'!E17</f>
        <v>0.18</v>
      </c>
      <c r="E132" s="107"/>
      <c r="F132" s="108"/>
    </row>
    <row r="133" spans="1:11" outlineLevel="1">
      <c r="A133" s="450">
        <f>'For Office Use'!B18</f>
        <v>195851</v>
      </c>
      <c r="B133" s="451">
        <f>'For Office Use'!C18</f>
        <v>305850</v>
      </c>
      <c r="C133" s="451">
        <f>'For Office Use'!D18</f>
        <v>35253</v>
      </c>
      <c r="D133" s="452">
        <f>'For Office Use'!E18</f>
        <v>0.26</v>
      </c>
      <c r="E133" s="107"/>
      <c r="F133" s="108"/>
    </row>
    <row r="134" spans="1:11" outlineLevel="1">
      <c r="A134" s="450">
        <f>'For Office Use'!B19</f>
        <v>305851</v>
      </c>
      <c r="B134" s="451">
        <f>'For Office Use'!C19</f>
        <v>423300</v>
      </c>
      <c r="C134" s="451">
        <f>'For Office Use'!D19</f>
        <v>63853</v>
      </c>
      <c r="D134" s="452">
        <f>'For Office Use'!E19</f>
        <v>0.31</v>
      </c>
      <c r="E134" s="107"/>
      <c r="F134" s="108"/>
    </row>
    <row r="135" spans="1:11" outlineLevel="1">
      <c r="A135" s="450">
        <f>'For Office Use'!B20</f>
        <v>423301</v>
      </c>
      <c r="B135" s="451">
        <f>'For Office Use'!C20</f>
        <v>555600</v>
      </c>
      <c r="C135" s="451">
        <f>'For Office Use'!D20</f>
        <v>100263</v>
      </c>
      <c r="D135" s="452">
        <f>'For Office Use'!E20</f>
        <v>0.36</v>
      </c>
      <c r="E135" s="107"/>
      <c r="F135" s="108"/>
    </row>
    <row r="136" spans="1:11" outlineLevel="1">
      <c r="A136" s="450">
        <f>'For Office Use'!B21</f>
        <v>555601</v>
      </c>
      <c r="B136" s="451">
        <f>'For Office Use'!C21</f>
        <v>708310</v>
      </c>
      <c r="C136" s="451">
        <f>'For Office Use'!D21</f>
        <v>147891</v>
      </c>
      <c r="D136" s="452">
        <f>'For Office Use'!E21</f>
        <v>0.39</v>
      </c>
      <c r="E136" s="107"/>
      <c r="F136" s="108"/>
      <c r="H136" s="436"/>
      <c r="I136" s="437"/>
      <c r="J136" s="437"/>
      <c r="K136" s="437"/>
    </row>
    <row r="137" spans="1:11" outlineLevel="1">
      <c r="A137" s="450">
        <f>'For Office Use'!B22</f>
        <v>708311</v>
      </c>
      <c r="B137" s="451">
        <f>'For Office Use'!C22</f>
        <v>1500000</v>
      </c>
      <c r="C137" s="451">
        <f>'For Office Use'!D22</f>
        <v>207448</v>
      </c>
      <c r="D137" s="452">
        <f>'For Office Use'!E22</f>
        <v>0.41</v>
      </c>
      <c r="E137" s="107"/>
      <c r="F137" s="108"/>
    </row>
    <row r="138" spans="1:11" outlineLevel="1">
      <c r="A138" s="450">
        <f>'For Office Use'!B23</f>
        <v>1500001</v>
      </c>
      <c r="B138" s="451"/>
      <c r="C138" s="451">
        <f>'For Office Use'!D23</f>
        <v>532041</v>
      </c>
      <c r="D138" s="452">
        <f>'For Office Use'!E23</f>
        <v>0.45</v>
      </c>
      <c r="E138" s="107"/>
      <c r="F138" s="108"/>
    </row>
    <row r="139" spans="1:11" outlineLevel="1">
      <c r="A139" s="100" t="s">
        <v>35</v>
      </c>
      <c r="B139" s="451">
        <f>'For Office Use'!C24</f>
        <v>14220</v>
      </c>
      <c r="C139" s="107"/>
      <c r="D139" s="107"/>
      <c r="E139" s="107"/>
      <c r="F139" s="108"/>
    </row>
    <row r="140" spans="1:11" outlineLevel="1">
      <c r="A140" s="100" t="s">
        <v>36</v>
      </c>
      <c r="B140" s="451">
        <f>'For Office Use'!C25</f>
        <v>7794</v>
      </c>
      <c r="C140" s="107"/>
      <c r="D140" s="107"/>
      <c r="E140" s="107"/>
      <c r="F140" s="108"/>
    </row>
    <row r="141" spans="1:11" outlineLevel="1">
      <c r="A141" s="100" t="s">
        <v>37</v>
      </c>
      <c r="B141" s="451">
        <f>'For Office Use'!C26</f>
        <v>2601</v>
      </c>
      <c r="C141" s="107"/>
      <c r="D141" s="107"/>
      <c r="E141" s="107"/>
      <c r="F141" s="108"/>
    </row>
    <row r="142" spans="1:11" ht="14.4" outlineLevel="1" thickBot="1">
      <c r="A142" s="100"/>
      <c r="B142" s="92">
        <f>SUM(B139:B141)</f>
        <v>24615</v>
      </c>
      <c r="C142" s="107"/>
      <c r="D142" s="107"/>
      <c r="E142" s="107"/>
      <c r="F142" s="108"/>
    </row>
    <row r="143" spans="1:11" outlineLevel="1">
      <c r="A143" s="101"/>
      <c r="B143" s="109"/>
      <c r="C143" s="109"/>
      <c r="D143" s="109"/>
      <c r="E143" s="109"/>
      <c r="F143" s="110"/>
    </row>
    <row r="144" spans="1:11" outlineLevel="1"/>
    <row r="145" spans="1:5" outlineLevel="1">
      <c r="A145" s="104" t="s">
        <v>93</v>
      </c>
    </row>
    <row r="146" spans="1:5" outlineLevel="1">
      <c r="A146" s="111" t="s">
        <v>12</v>
      </c>
      <c r="B146" s="112">
        <f>B139</f>
        <v>14220</v>
      </c>
    </row>
    <row r="147" spans="1:5" outlineLevel="1">
      <c r="A147" s="113" t="s">
        <v>13</v>
      </c>
      <c r="B147" s="114">
        <f>B139+B140</f>
        <v>22014</v>
      </c>
    </row>
    <row r="148" spans="1:5" outlineLevel="1"/>
    <row r="149" spans="1:5" s="93" customFormat="1" outlineLevel="1">
      <c r="A149" s="93" t="s">
        <v>95</v>
      </c>
    </row>
    <row r="150" spans="1:5" outlineLevel="1"/>
    <row r="151" spans="1:5" outlineLevel="1">
      <c r="A151" s="125" t="s">
        <v>328</v>
      </c>
    </row>
    <row r="152" spans="1:5" s="639" customFormat="1" outlineLevel="1">
      <c r="A152" s="645" t="s">
        <v>502</v>
      </c>
    </row>
    <row r="153" spans="1:5" outlineLevel="1">
      <c r="A153" s="164" t="s">
        <v>5</v>
      </c>
    </row>
    <row r="154" spans="1:5" outlineLevel="1"/>
    <row r="155" spans="1:5" outlineLevel="1">
      <c r="A155" s="104" t="s">
        <v>38</v>
      </c>
    </row>
    <row r="156" spans="1:5" outlineLevel="1">
      <c r="A156" s="115" t="s">
        <v>39</v>
      </c>
      <c r="B156" s="115"/>
      <c r="C156" s="115" t="s">
        <v>40</v>
      </c>
      <c r="D156" s="115" t="s">
        <v>41</v>
      </c>
      <c r="E156" s="115" t="s">
        <v>42</v>
      </c>
    </row>
    <row r="157" spans="1:5" outlineLevel="1">
      <c r="A157" s="454">
        <f>'For Office Use'!B32</f>
        <v>0</v>
      </c>
      <c r="B157" s="454">
        <f>'For Office Use'!C32</f>
        <v>85000</v>
      </c>
      <c r="C157" s="455">
        <f>'For Office Use'!D32</f>
        <v>28352</v>
      </c>
      <c r="D157" s="456">
        <f>'For Office Use'!E32</f>
        <v>95.7</v>
      </c>
      <c r="E157" s="456">
        <f>'For Office Use'!F32</f>
        <v>34.4</v>
      </c>
    </row>
    <row r="158" spans="1:5" outlineLevel="1">
      <c r="A158" s="454">
        <f>'For Office Use'!B33</f>
        <v>85001</v>
      </c>
      <c r="B158" s="454">
        <f>'For Office Use'!C33</f>
        <v>170000</v>
      </c>
      <c r="C158" s="455">
        <f>'For Office Use'!D33</f>
        <v>50631</v>
      </c>
      <c r="D158" s="456">
        <f>'For Office Use'!E33</f>
        <v>106.8</v>
      </c>
      <c r="E158" s="456">
        <f>'For Office Use'!F33</f>
        <v>43.1</v>
      </c>
    </row>
    <row r="159" spans="1:5" outlineLevel="1">
      <c r="A159" s="454">
        <f>'For Office Use'!B34</f>
        <v>170001</v>
      </c>
      <c r="B159" s="454">
        <f>'For Office Use'!C34</f>
        <v>255000</v>
      </c>
      <c r="C159" s="455">
        <f>'For Office Use'!D34</f>
        <v>72983</v>
      </c>
      <c r="D159" s="456">
        <f>'For Office Use'!E34</f>
        <v>116</v>
      </c>
      <c r="E159" s="456">
        <f>'For Office Use'!F34</f>
        <v>47.5</v>
      </c>
    </row>
    <row r="160" spans="1:5" outlineLevel="1">
      <c r="A160" s="454">
        <f>'For Office Use'!B35</f>
        <v>255001</v>
      </c>
      <c r="B160" s="454">
        <f>'For Office Use'!C35</f>
        <v>340000</v>
      </c>
      <c r="C160" s="455">
        <f>'For Office Use'!D35</f>
        <v>92683</v>
      </c>
      <c r="D160" s="456">
        <f>'For Office Use'!E35</f>
        <v>124.8</v>
      </c>
      <c r="E160" s="456">
        <f>'For Office Use'!F35</f>
        <v>51.9</v>
      </c>
    </row>
    <row r="161" spans="1:5" outlineLevel="1">
      <c r="A161" s="454">
        <f>'For Office Use'!B36</f>
        <v>340001</v>
      </c>
      <c r="B161" s="454">
        <f>'For Office Use'!C36</f>
        <v>425000</v>
      </c>
      <c r="C161" s="455">
        <f>'For Office Use'!D36</f>
        <v>112443</v>
      </c>
      <c r="D161" s="456">
        <f>'For Office Use'!E36</f>
        <v>133.5</v>
      </c>
      <c r="E161" s="456">
        <f>'For Office Use'!F36</f>
        <v>60.9</v>
      </c>
    </row>
    <row r="162" spans="1:5" outlineLevel="1">
      <c r="A162" s="454">
        <f>'For Office Use'!B37</f>
        <v>425001</v>
      </c>
      <c r="B162" s="454">
        <f>'For Office Use'!C37</f>
        <v>510000</v>
      </c>
      <c r="C162" s="455">
        <f>'For Office Use'!D37</f>
        <v>133147</v>
      </c>
      <c r="D162" s="456">
        <f>'For Office Use'!E37</f>
        <v>153.19999999999999</v>
      </c>
      <c r="E162" s="456">
        <f>'For Office Use'!F37</f>
        <v>71.599999999999994</v>
      </c>
    </row>
    <row r="163" spans="1:5" outlineLevel="1">
      <c r="A163" s="454">
        <f>'For Office Use'!B38</f>
        <v>510001</v>
      </c>
      <c r="B163" s="454">
        <f>'For Office Use'!C38</f>
        <v>595000</v>
      </c>
      <c r="C163" s="455">
        <f>'For Office Use'!D38</f>
        <v>153850</v>
      </c>
      <c r="D163" s="456">
        <f>'For Office Use'!E38</f>
        <v>158.4</v>
      </c>
      <c r="E163" s="456">
        <f>'For Office Use'!F38</f>
        <v>88.9</v>
      </c>
    </row>
    <row r="164" spans="1:5" outlineLevel="1">
      <c r="A164" s="454">
        <f>'For Office Use'!B39</f>
        <v>595001</v>
      </c>
      <c r="B164" s="454"/>
      <c r="C164" s="455">
        <f>'For Office Use'!D39</f>
        <v>153850</v>
      </c>
      <c r="D164" s="456">
        <f>'For Office Use'!E39</f>
        <v>158.4</v>
      </c>
      <c r="E164" s="456">
        <f>'For Office Use'!F39</f>
        <v>88.9</v>
      </c>
    </row>
    <row r="165" spans="1:5" outlineLevel="1"/>
    <row r="166" spans="1:5" outlineLevel="1">
      <c r="A166" s="125" t="s">
        <v>43</v>
      </c>
    </row>
    <row r="167" spans="1:5" outlineLevel="1">
      <c r="A167" s="457">
        <f>'For Office Use'!C43</f>
        <v>100000</v>
      </c>
    </row>
    <row r="168" spans="1:5" outlineLevel="1">
      <c r="A168" s="458">
        <f>'For Office Use'!C42</f>
        <v>3.61</v>
      </c>
    </row>
    <row r="169" spans="1:5" outlineLevel="1"/>
    <row r="170" spans="1:5" outlineLevel="1">
      <c r="A170" s="125" t="s">
        <v>44</v>
      </c>
    </row>
    <row r="171" spans="1:5" outlineLevel="1">
      <c r="A171" s="116">
        <v>1</v>
      </c>
    </row>
    <row r="172" spans="1:5" outlineLevel="1">
      <c r="A172" s="117">
        <v>0.8</v>
      </c>
    </row>
    <row r="173" spans="1:5" outlineLevel="1">
      <c r="A173" s="118"/>
    </row>
    <row r="174" spans="1:5" outlineLevel="1">
      <c r="A174" s="125" t="s">
        <v>5</v>
      </c>
    </row>
    <row r="175" spans="1:5" outlineLevel="1">
      <c r="A175" s="119">
        <v>1</v>
      </c>
    </row>
    <row r="176" spans="1:5" outlineLevel="1">
      <c r="A176" s="119">
        <v>0.8</v>
      </c>
    </row>
    <row r="177" spans="1:7" outlineLevel="1">
      <c r="A177" s="120"/>
    </row>
    <row r="178" spans="1:7" outlineLevel="1"/>
    <row r="179" spans="1:7" ht="16.350000000000001" customHeight="1" outlineLevel="1">
      <c r="A179" s="126" t="s">
        <v>70</v>
      </c>
      <c r="B179" s="121"/>
      <c r="C179" s="128"/>
    </row>
    <row r="180" spans="1:7" ht="16.350000000000001" customHeight="1" outlineLevel="1">
      <c r="A180" s="123" t="s">
        <v>12</v>
      </c>
      <c r="B180" s="459">
        <v>3.5000000000000003E-2</v>
      </c>
    </row>
    <row r="181" spans="1:7" ht="16.350000000000001" customHeight="1" outlineLevel="1">
      <c r="A181" s="113" t="s">
        <v>7</v>
      </c>
      <c r="B181" s="124">
        <v>0</v>
      </c>
    </row>
    <row r="182" spans="1:7" outlineLevel="1"/>
    <row r="183" spans="1:7" ht="16.350000000000001" customHeight="1" outlineLevel="1">
      <c r="A183" s="126" t="s">
        <v>359</v>
      </c>
      <c r="B183" s="121"/>
      <c r="E183"/>
      <c r="F183"/>
      <c r="G183" s="196"/>
    </row>
    <row r="184" spans="1:7" ht="16.350000000000001" customHeight="1" outlineLevel="1">
      <c r="A184" s="182" t="s">
        <v>231</v>
      </c>
      <c r="B184" s="460">
        <v>0.18</v>
      </c>
      <c r="E184" s="197"/>
      <c r="F184"/>
      <c r="G184" s="198"/>
    </row>
    <row r="185" spans="1:7" ht="16.350000000000001" customHeight="1" outlineLevel="1">
      <c r="A185" s="182" t="s">
        <v>234</v>
      </c>
      <c r="B185" s="461">
        <v>0.18</v>
      </c>
      <c r="E185" s="197"/>
      <c r="F185" s="199"/>
      <c r="G185" s="198"/>
    </row>
    <row r="186" spans="1:7" ht="16.350000000000001" customHeight="1" outlineLevel="1"/>
    <row r="187" spans="1:7" ht="16.350000000000001" customHeight="1" outlineLevel="1">
      <c r="A187" s="126" t="s">
        <v>306</v>
      </c>
      <c r="B187" s="122"/>
      <c r="C187" s="121"/>
    </row>
    <row r="188" spans="1:7" s="200" customFormat="1" ht="16.350000000000001" customHeight="1" outlineLevel="1">
      <c r="A188" s="209" t="s">
        <v>230</v>
      </c>
      <c r="B188" s="463"/>
      <c r="C188" s="210"/>
    </row>
    <row r="189" spans="1:7" s="200" customFormat="1" ht="16.350000000000001" customHeight="1" outlineLevel="1">
      <c r="A189" s="209" t="s">
        <v>233</v>
      </c>
      <c r="B189" s="464">
        <v>38200</v>
      </c>
      <c r="C189" s="211">
        <f t="shared" ref="C189:C195" si="0">B189/20000</f>
        <v>1.91</v>
      </c>
    </row>
    <row r="190" spans="1:7" s="200" customFormat="1" ht="16.350000000000001" customHeight="1" outlineLevel="1">
      <c r="A190" s="212" t="s">
        <v>235</v>
      </c>
      <c r="B190" s="464">
        <v>38200</v>
      </c>
      <c r="C190" s="211">
        <f t="shared" si="0"/>
        <v>1.91</v>
      </c>
    </row>
    <row r="191" spans="1:7" s="200" customFormat="1" ht="16.350000000000001" customHeight="1" outlineLevel="1">
      <c r="A191" s="209" t="s">
        <v>237</v>
      </c>
      <c r="B191" s="464">
        <v>41400</v>
      </c>
      <c r="C191" s="211">
        <f t="shared" si="0"/>
        <v>2.0699999999999998</v>
      </c>
    </row>
    <row r="192" spans="1:7" s="200" customFormat="1" ht="16.350000000000001" customHeight="1" outlineLevel="1">
      <c r="A192" s="209" t="s">
        <v>240</v>
      </c>
      <c r="B192" s="464">
        <v>41400</v>
      </c>
      <c r="C192" s="211">
        <f t="shared" si="0"/>
        <v>2.0699999999999998</v>
      </c>
    </row>
    <row r="193" spans="1:3" s="200" customFormat="1" ht="16.350000000000001" customHeight="1" outlineLevel="1">
      <c r="A193" s="209" t="s">
        <v>242</v>
      </c>
      <c r="B193" s="464">
        <v>43400</v>
      </c>
      <c r="C193" s="211">
        <f t="shared" si="0"/>
        <v>2.17</v>
      </c>
    </row>
    <row r="194" spans="1:3" s="200" customFormat="1" ht="16.350000000000001" customHeight="1" outlineLevel="1">
      <c r="A194" s="209" t="s">
        <v>245</v>
      </c>
      <c r="B194" s="464">
        <v>43400</v>
      </c>
      <c r="C194" s="211">
        <f t="shared" si="0"/>
        <v>2.17</v>
      </c>
    </row>
    <row r="195" spans="1:3" s="200" customFormat="1" ht="16.350000000000001" customHeight="1" outlineLevel="1">
      <c r="A195" s="213" t="s">
        <v>248</v>
      </c>
      <c r="B195" s="464">
        <v>43400</v>
      </c>
      <c r="C195" s="214">
        <f t="shared" si="0"/>
        <v>2.17</v>
      </c>
    </row>
    <row r="196" spans="1:3" ht="16.350000000000001" customHeight="1" outlineLevel="1"/>
    <row r="197" spans="1:3" ht="16.350000000000001" customHeight="1" outlineLevel="1">
      <c r="A197" s="126" t="s">
        <v>294</v>
      </c>
      <c r="B197" s="179" t="s">
        <v>301</v>
      </c>
    </row>
    <row r="198" spans="1:3" ht="16.350000000000001" customHeight="1" outlineLevel="1">
      <c r="A198" s="209" t="s">
        <v>230</v>
      </c>
      <c r="B198" s="461">
        <v>0.5</v>
      </c>
    </row>
    <row r="199" spans="1:3" ht="16.350000000000001" customHeight="1" outlineLevel="1">
      <c r="A199" s="209" t="s">
        <v>233</v>
      </c>
      <c r="B199" s="461">
        <v>0.6</v>
      </c>
    </row>
    <row r="200" spans="1:3" ht="16.350000000000001" customHeight="1" outlineLevel="1">
      <c r="A200" s="212" t="s">
        <v>235</v>
      </c>
      <c r="B200" s="461">
        <v>0.6</v>
      </c>
    </row>
    <row r="201" spans="1:3" ht="16.350000000000001" customHeight="1" outlineLevel="1">
      <c r="A201" s="209" t="s">
        <v>237</v>
      </c>
      <c r="B201" s="461">
        <v>0.8</v>
      </c>
    </row>
    <row r="202" spans="1:3" ht="16.350000000000001" customHeight="1" outlineLevel="1">
      <c r="A202" s="209" t="s">
        <v>240</v>
      </c>
      <c r="B202" s="461">
        <v>0.8</v>
      </c>
    </row>
    <row r="203" spans="1:3" ht="16.350000000000001" customHeight="1" outlineLevel="1">
      <c r="A203" s="209" t="s">
        <v>242</v>
      </c>
      <c r="B203" s="461">
        <v>0.8</v>
      </c>
    </row>
    <row r="204" spans="1:3" ht="16.350000000000001" customHeight="1" outlineLevel="1">
      <c r="A204" s="209" t="s">
        <v>245</v>
      </c>
      <c r="B204" s="461">
        <v>0.8</v>
      </c>
    </row>
    <row r="205" spans="1:3" ht="16.350000000000001" customHeight="1" outlineLevel="1">
      <c r="A205" s="213" t="s">
        <v>248</v>
      </c>
      <c r="B205" s="462">
        <v>0.8</v>
      </c>
    </row>
    <row r="206" spans="1:3" ht="16.350000000000001" customHeight="1" outlineLevel="1">
      <c r="A206" s="215"/>
      <c r="B206" s="216"/>
    </row>
    <row r="207" spans="1:3" ht="16.350000000000001" customHeight="1" outlineLevel="1">
      <c r="A207" s="217" t="s">
        <v>330</v>
      </c>
      <c r="B207" s="216"/>
    </row>
    <row r="208" spans="1:3" ht="16.350000000000001" customHeight="1" outlineLevel="1">
      <c r="A208" s="465">
        <v>828</v>
      </c>
      <c r="B208" s="216"/>
    </row>
    <row r="209" spans="1:4" ht="16.350000000000001" customHeight="1" outlineLevel="1"/>
    <row r="210" spans="1:4" s="93" customFormat="1" outlineLevel="1">
      <c r="A210" s="93" t="s">
        <v>47</v>
      </c>
    </row>
    <row r="211" spans="1:4" outlineLevel="1"/>
    <row r="212" spans="1:4" outlineLevel="1">
      <c r="A212" s="111" t="s">
        <v>45</v>
      </c>
      <c r="B212" s="122" t="s">
        <v>6</v>
      </c>
      <c r="C212" s="122" t="s">
        <v>46</v>
      </c>
      <c r="D212" s="121"/>
    </row>
    <row r="213" spans="1:4" outlineLevel="1">
      <c r="A213" s="113" t="s">
        <v>47</v>
      </c>
      <c r="B213" s="466">
        <v>0.01</v>
      </c>
      <c r="C213" s="466">
        <v>0.01</v>
      </c>
      <c r="D213" s="467">
        <v>178464</v>
      </c>
    </row>
    <row r="214" spans="1:4" outlineLevel="1"/>
    <row r="215" spans="1:4" s="93" customFormat="1" outlineLevel="1">
      <c r="A215" s="93" t="s">
        <v>97</v>
      </c>
    </row>
    <row r="216" spans="1:4" outlineLevel="1">
      <c r="A216" s="94" t="s">
        <v>276</v>
      </c>
      <c r="B216" s="488"/>
    </row>
    <row r="217" spans="1:4" outlineLevel="1"/>
    <row r="218" spans="1:4" outlineLevel="1">
      <c r="A218" s="94" t="s">
        <v>72</v>
      </c>
      <c r="B218" s="94" t="str">
        <f>Selection!N10</f>
        <v>SAB Limited</v>
      </c>
    </row>
    <row r="219" spans="1:4" outlineLevel="1">
      <c r="A219" s="94" t="s">
        <v>1</v>
      </c>
      <c r="B219" s="94" t="str">
        <f>Selection!N20</f>
        <v>B</v>
      </c>
    </row>
    <row r="220" spans="1:4" outlineLevel="1">
      <c r="A220" s="94" t="s">
        <v>99</v>
      </c>
      <c r="B220" s="94">
        <f>INDEX(A225:G268,MATCH(B219,A225:A268,0),MATCH(B218,A225:G225,0))</f>
        <v>64712.520000000004</v>
      </c>
    </row>
    <row r="221" spans="1:4" ht="14.4" outlineLevel="1">
      <c r="A221" s="94" t="s">
        <v>383</v>
      </c>
      <c r="B221" s="350">
        <f>IF(OR(Selection!N28='Lists &amp; Rates'!A96,Selection!N28='Lists &amp; Rates'!A97),Selection!O47,Selection!O41)</f>
        <v>5392.71</v>
      </c>
    </row>
    <row r="222" spans="1:4" outlineLevel="1"/>
    <row r="223" spans="1:4" outlineLevel="1"/>
    <row r="224" spans="1:4" outlineLevel="1"/>
    <row r="225" spans="1:7" s="104" customFormat="1" outlineLevel="1">
      <c r="A225" s="115" t="s">
        <v>1</v>
      </c>
      <c r="B225" s="115" t="s">
        <v>119</v>
      </c>
      <c r="C225" s="115" t="s">
        <v>122</v>
      </c>
      <c r="D225" s="115" t="s">
        <v>120</v>
      </c>
      <c r="E225" s="115" t="s">
        <v>377</v>
      </c>
      <c r="F225" s="115" t="s">
        <v>376</v>
      </c>
      <c r="G225" s="115" t="s">
        <v>224</v>
      </c>
    </row>
    <row r="226" spans="1:7" s="104" customFormat="1" outlineLevel="1">
      <c r="A226" s="593" t="s">
        <v>4</v>
      </c>
      <c r="B226" s="594">
        <f t="shared" ref="B226:B232" si="1">$B$221*12</f>
        <v>64712.520000000004</v>
      </c>
      <c r="C226" s="594">
        <v>0</v>
      </c>
      <c r="D226" s="594">
        <f>$B$221*12</f>
        <v>64712.520000000004</v>
      </c>
      <c r="E226" s="594">
        <f>$B$221*12</f>
        <v>64712.520000000004</v>
      </c>
      <c r="F226" s="594">
        <f>$B$221*12</f>
        <v>64712.520000000004</v>
      </c>
      <c r="G226" s="594">
        <f>$B$221*12</f>
        <v>64712.520000000004</v>
      </c>
    </row>
    <row r="227" spans="1:7" s="104" customFormat="1" outlineLevel="1">
      <c r="A227" s="593" t="s">
        <v>232</v>
      </c>
      <c r="B227" s="594">
        <f t="shared" si="1"/>
        <v>64712.520000000004</v>
      </c>
      <c r="C227" s="594">
        <v>0</v>
      </c>
      <c r="D227" s="594">
        <f t="shared" ref="D227:G232" si="2">$B$221*12</f>
        <v>64712.520000000004</v>
      </c>
      <c r="E227" s="594">
        <f t="shared" si="2"/>
        <v>64712.520000000004</v>
      </c>
      <c r="F227" s="594">
        <f t="shared" si="2"/>
        <v>64712.520000000004</v>
      </c>
      <c r="G227" s="594">
        <f t="shared" si="2"/>
        <v>64712.520000000004</v>
      </c>
    </row>
    <row r="228" spans="1:7" s="104" customFormat="1" outlineLevel="1">
      <c r="A228" s="593" t="s">
        <v>2</v>
      </c>
      <c r="B228" s="594">
        <f t="shared" si="1"/>
        <v>64712.520000000004</v>
      </c>
      <c r="C228" s="594">
        <v>0</v>
      </c>
      <c r="D228" s="594">
        <f t="shared" si="2"/>
        <v>64712.520000000004</v>
      </c>
      <c r="E228" s="594">
        <f t="shared" si="2"/>
        <v>64712.520000000004</v>
      </c>
      <c r="F228" s="594">
        <f t="shared" si="2"/>
        <v>64712.520000000004</v>
      </c>
      <c r="G228" s="594">
        <f t="shared" si="2"/>
        <v>64712.520000000004</v>
      </c>
    </row>
    <row r="229" spans="1:7" s="104" customFormat="1" outlineLevel="1">
      <c r="A229" s="595" t="s">
        <v>3</v>
      </c>
      <c r="B229" s="594">
        <f t="shared" si="1"/>
        <v>64712.520000000004</v>
      </c>
      <c r="C229" s="594">
        <v>0</v>
      </c>
      <c r="D229" s="594">
        <f t="shared" si="2"/>
        <v>64712.520000000004</v>
      </c>
      <c r="E229" s="594">
        <f t="shared" si="2"/>
        <v>64712.520000000004</v>
      </c>
      <c r="F229" s="594">
        <f t="shared" si="2"/>
        <v>64712.520000000004</v>
      </c>
      <c r="G229" s="594">
        <f t="shared" si="2"/>
        <v>64712.520000000004</v>
      </c>
    </row>
    <row r="230" spans="1:7" s="104" customFormat="1" outlineLevel="1">
      <c r="A230" s="595" t="s">
        <v>239</v>
      </c>
      <c r="B230" s="594">
        <f t="shared" si="1"/>
        <v>64712.520000000004</v>
      </c>
      <c r="C230" s="594">
        <v>0</v>
      </c>
      <c r="D230" s="594">
        <f t="shared" si="2"/>
        <v>64712.520000000004</v>
      </c>
      <c r="E230" s="594">
        <f t="shared" si="2"/>
        <v>64712.520000000004</v>
      </c>
      <c r="F230" s="594">
        <f t="shared" si="2"/>
        <v>64712.520000000004</v>
      </c>
      <c r="G230" s="594">
        <f t="shared" si="2"/>
        <v>64712.520000000004</v>
      </c>
    </row>
    <row r="231" spans="1:7" s="104" customFormat="1" outlineLevel="1">
      <c r="A231" s="595" t="s">
        <v>11</v>
      </c>
      <c r="B231" s="594">
        <f t="shared" si="1"/>
        <v>64712.520000000004</v>
      </c>
      <c r="C231" s="594">
        <v>0</v>
      </c>
      <c r="D231" s="594">
        <f t="shared" si="2"/>
        <v>64712.520000000004</v>
      </c>
      <c r="E231" s="594">
        <f t="shared" si="2"/>
        <v>64712.520000000004</v>
      </c>
      <c r="F231" s="594">
        <f t="shared" si="2"/>
        <v>64712.520000000004</v>
      </c>
      <c r="G231" s="594">
        <f t="shared" si="2"/>
        <v>64712.520000000004</v>
      </c>
    </row>
    <row r="232" spans="1:7" s="104" customFormat="1" outlineLevel="1">
      <c r="A232" s="595" t="s">
        <v>244</v>
      </c>
      <c r="B232" s="594">
        <f t="shared" si="1"/>
        <v>64712.520000000004</v>
      </c>
      <c r="C232" s="594">
        <v>0</v>
      </c>
      <c r="D232" s="594">
        <f t="shared" si="2"/>
        <v>64712.520000000004</v>
      </c>
      <c r="E232" s="594">
        <f t="shared" si="2"/>
        <v>64712.520000000004</v>
      </c>
      <c r="F232" s="594">
        <f t="shared" si="2"/>
        <v>64712.520000000004</v>
      </c>
      <c r="G232" s="594">
        <f t="shared" si="2"/>
        <v>64712.520000000004</v>
      </c>
    </row>
    <row r="233" spans="1:7" s="104" customFormat="1" outlineLevel="1">
      <c r="A233" s="595" t="s">
        <v>247</v>
      </c>
      <c r="B233" s="594">
        <f>(($B$221*10%)+$B$221)*12</f>
        <v>71183.771999999997</v>
      </c>
      <c r="C233" s="594">
        <v>0</v>
      </c>
      <c r="D233" s="594">
        <f>(($B$221*10%)+$B$221)*12</f>
        <v>71183.771999999997</v>
      </c>
      <c r="E233" s="594">
        <f>(($B$221*10%)+$B$221)*12</f>
        <v>71183.771999999997</v>
      </c>
      <c r="F233" s="594">
        <f>(($B$221*10%)+$B$221)*12</f>
        <v>71183.771999999997</v>
      </c>
      <c r="G233" s="594">
        <f>(($B$221*10%)+$B$221)*12</f>
        <v>71183.771999999997</v>
      </c>
    </row>
    <row r="234" spans="1:7" s="104" customFormat="1" outlineLevel="1">
      <c r="A234" s="595" t="s">
        <v>250</v>
      </c>
      <c r="B234" s="594">
        <f>$B$221*12</f>
        <v>64712.520000000004</v>
      </c>
      <c r="C234" s="594">
        <v>0</v>
      </c>
      <c r="D234" s="594">
        <f t="shared" ref="D234:G237" si="3">$B$221*12</f>
        <v>64712.520000000004</v>
      </c>
      <c r="E234" s="594">
        <f t="shared" si="3"/>
        <v>64712.520000000004</v>
      </c>
      <c r="F234" s="594">
        <f t="shared" si="3"/>
        <v>64712.520000000004</v>
      </c>
      <c r="G234" s="594">
        <f t="shared" si="3"/>
        <v>64712.520000000004</v>
      </c>
    </row>
    <row r="235" spans="1:7" s="104" customFormat="1" outlineLevel="1">
      <c r="A235" s="595" t="s">
        <v>252</v>
      </c>
      <c r="B235" s="594">
        <f>$B$221*12</f>
        <v>64712.520000000004</v>
      </c>
      <c r="C235" s="594">
        <v>0</v>
      </c>
      <c r="D235" s="594">
        <f t="shared" si="3"/>
        <v>64712.520000000004</v>
      </c>
      <c r="E235" s="594">
        <f t="shared" si="3"/>
        <v>64712.520000000004</v>
      </c>
      <c r="F235" s="594">
        <f t="shared" si="3"/>
        <v>64712.520000000004</v>
      </c>
      <c r="G235" s="594">
        <f t="shared" si="3"/>
        <v>64712.520000000004</v>
      </c>
    </row>
    <row r="236" spans="1:7" s="104" customFormat="1" outlineLevel="1">
      <c r="A236" s="595" t="s">
        <v>254</v>
      </c>
      <c r="B236" s="594">
        <f>$B$221*12</f>
        <v>64712.520000000004</v>
      </c>
      <c r="C236" s="594">
        <v>0</v>
      </c>
      <c r="D236" s="594">
        <f t="shared" si="3"/>
        <v>64712.520000000004</v>
      </c>
      <c r="E236" s="594">
        <f t="shared" si="3"/>
        <v>64712.520000000004</v>
      </c>
      <c r="F236" s="594">
        <f t="shared" si="3"/>
        <v>64712.520000000004</v>
      </c>
      <c r="G236" s="594">
        <f t="shared" si="3"/>
        <v>64712.520000000004</v>
      </c>
    </row>
    <row r="237" spans="1:7" s="104" customFormat="1" outlineLevel="1">
      <c r="A237" s="595" t="s">
        <v>256</v>
      </c>
      <c r="B237" s="594">
        <f>$B$221*12</f>
        <v>64712.520000000004</v>
      </c>
      <c r="C237" s="594">
        <v>0</v>
      </c>
      <c r="D237" s="594">
        <f t="shared" si="3"/>
        <v>64712.520000000004</v>
      </c>
      <c r="E237" s="594">
        <f t="shared" si="3"/>
        <v>64712.520000000004</v>
      </c>
      <c r="F237" s="594">
        <f t="shared" si="3"/>
        <v>64712.520000000004</v>
      </c>
      <c r="G237" s="594">
        <f t="shared" si="3"/>
        <v>64712.520000000004</v>
      </c>
    </row>
    <row r="238" spans="1:7" s="104" customFormat="1" outlineLevel="1">
      <c r="A238" s="595" t="s">
        <v>258</v>
      </c>
      <c r="B238" s="594">
        <f>(($B$221*10%)+$B$221)*12</f>
        <v>71183.771999999997</v>
      </c>
      <c r="C238" s="594">
        <v>0</v>
      </c>
      <c r="D238" s="594">
        <f>(($B$221*10%)+$B$221)*12</f>
        <v>71183.771999999997</v>
      </c>
      <c r="E238" s="594">
        <f>(($B$221*10%)+$B$221)*12</f>
        <v>71183.771999999997</v>
      </c>
      <c r="F238" s="594">
        <f>(($B$221*10%)+$B$221)*12</f>
        <v>71183.771999999997</v>
      </c>
      <c r="G238" s="594">
        <f>(($B$221*10%)+$B$221)*12</f>
        <v>71183.771999999997</v>
      </c>
    </row>
    <row r="239" spans="1:7" s="104" customFormat="1" outlineLevel="1">
      <c r="A239" s="595" t="s">
        <v>260</v>
      </c>
      <c r="B239" s="594">
        <f>$B$221*12</f>
        <v>64712.520000000004</v>
      </c>
      <c r="C239" s="594">
        <v>0</v>
      </c>
      <c r="D239" s="594">
        <f t="shared" ref="D239:G243" si="4">$B$221*12</f>
        <v>64712.520000000004</v>
      </c>
      <c r="E239" s="594">
        <f t="shared" si="4"/>
        <v>64712.520000000004</v>
      </c>
      <c r="F239" s="594">
        <f t="shared" si="4"/>
        <v>64712.520000000004</v>
      </c>
      <c r="G239" s="594">
        <f t="shared" si="4"/>
        <v>64712.520000000004</v>
      </c>
    </row>
    <row r="240" spans="1:7" s="104" customFormat="1" outlineLevel="1">
      <c r="A240" s="595" t="s">
        <v>261</v>
      </c>
      <c r="B240" s="594">
        <f>$B$221*12</f>
        <v>64712.520000000004</v>
      </c>
      <c r="C240" s="594">
        <v>0</v>
      </c>
      <c r="D240" s="594">
        <f t="shared" si="4"/>
        <v>64712.520000000004</v>
      </c>
      <c r="E240" s="594">
        <f t="shared" si="4"/>
        <v>64712.520000000004</v>
      </c>
      <c r="F240" s="594">
        <f t="shared" si="4"/>
        <v>64712.520000000004</v>
      </c>
      <c r="G240" s="594">
        <f t="shared" si="4"/>
        <v>64712.520000000004</v>
      </c>
    </row>
    <row r="241" spans="1:7" s="104" customFormat="1" outlineLevel="1">
      <c r="A241" s="595" t="s">
        <v>262</v>
      </c>
      <c r="B241" s="594">
        <f>$B$221*12</f>
        <v>64712.520000000004</v>
      </c>
      <c r="C241" s="594">
        <v>0</v>
      </c>
      <c r="D241" s="594">
        <f t="shared" si="4"/>
        <v>64712.520000000004</v>
      </c>
      <c r="E241" s="594">
        <f t="shared" si="4"/>
        <v>64712.520000000004</v>
      </c>
      <c r="F241" s="594">
        <f t="shared" si="4"/>
        <v>64712.520000000004</v>
      </c>
      <c r="G241" s="594">
        <f t="shared" si="4"/>
        <v>64712.520000000004</v>
      </c>
    </row>
    <row r="242" spans="1:7" s="104" customFormat="1" outlineLevel="1">
      <c r="A242" s="595" t="s">
        <v>263</v>
      </c>
      <c r="B242" s="594">
        <f>$B$221*12</f>
        <v>64712.520000000004</v>
      </c>
      <c r="C242" s="594">
        <v>0</v>
      </c>
      <c r="D242" s="594">
        <f t="shared" si="4"/>
        <v>64712.520000000004</v>
      </c>
      <c r="E242" s="594">
        <f t="shared" si="4"/>
        <v>64712.520000000004</v>
      </c>
      <c r="F242" s="594">
        <f t="shared" si="4"/>
        <v>64712.520000000004</v>
      </c>
      <c r="G242" s="594">
        <f t="shared" si="4"/>
        <v>64712.520000000004</v>
      </c>
    </row>
    <row r="243" spans="1:7" s="104" customFormat="1" outlineLevel="1">
      <c r="A243" s="595" t="s">
        <v>264</v>
      </c>
      <c r="B243" s="594">
        <f>$B$221*12</f>
        <v>64712.520000000004</v>
      </c>
      <c r="C243" s="594">
        <v>0</v>
      </c>
      <c r="D243" s="594">
        <f t="shared" si="4"/>
        <v>64712.520000000004</v>
      </c>
      <c r="E243" s="594">
        <f t="shared" si="4"/>
        <v>64712.520000000004</v>
      </c>
      <c r="F243" s="594">
        <f t="shared" si="4"/>
        <v>64712.520000000004</v>
      </c>
      <c r="G243" s="594">
        <f t="shared" si="4"/>
        <v>64712.520000000004</v>
      </c>
    </row>
    <row r="244" spans="1:7" s="104" customFormat="1" outlineLevel="1">
      <c r="A244" s="595" t="s">
        <v>265</v>
      </c>
      <c r="B244" s="594">
        <f>(($B$221*10%)+$B$221)*12</f>
        <v>71183.771999999997</v>
      </c>
      <c r="C244" s="594">
        <v>0</v>
      </c>
      <c r="D244" s="594">
        <f t="shared" ref="D244:G245" si="5">(($B$221*10%)+$B$221)*12</f>
        <v>71183.771999999997</v>
      </c>
      <c r="E244" s="594">
        <f t="shared" si="5"/>
        <v>71183.771999999997</v>
      </c>
      <c r="F244" s="594">
        <f t="shared" si="5"/>
        <v>71183.771999999997</v>
      </c>
      <c r="G244" s="594">
        <f t="shared" si="5"/>
        <v>71183.771999999997</v>
      </c>
    </row>
    <row r="245" spans="1:7" s="104" customFormat="1" outlineLevel="1">
      <c r="A245" s="595" t="s">
        <v>266</v>
      </c>
      <c r="B245" s="594">
        <f>(($B$221*10%)+$B$221)*12</f>
        <v>71183.771999999997</v>
      </c>
      <c r="C245" s="594">
        <v>0</v>
      </c>
      <c r="D245" s="594">
        <f t="shared" si="5"/>
        <v>71183.771999999997</v>
      </c>
      <c r="E245" s="594">
        <f t="shared" si="5"/>
        <v>71183.771999999997</v>
      </c>
      <c r="F245" s="594">
        <f t="shared" si="5"/>
        <v>71183.771999999997</v>
      </c>
      <c r="G245" s="594">
        <f t="shared" si="5"/>
        <v>71183.771999999997</v>
      </c>
    </row>
    <row r="246" spans="1:7" s="104" customFormat="1" outlineLevel="1">
      <c r="A246" s="595" t="s">
        <v>267</v>
      </c>
      <c r="B246" s="594">
        <f>$B$221*12</f>
        <v>64712.520000000004</v>
      </c>
      <c r="C246" s="594">
        <v>0</v>
      </c>
      <c r="D246" s="594">
        <f t="shared" ref="D246:G247" si="6">$B$221*12</f>
        <v>64712.520000000004</v>
      </c>
      <c r="E246" s="594">
        <f t="shared" si="6"/>
        <v>64712.520000000004</v>
      </c>
      <c r="F246" s="594">
        <f t="shared" si="6"/>
        <v>64712.520000000004</v>
      </c>
      <c r="G246" s="594">
        <f t="shared" si="6"/>
        <v>64712.520000000004</v>
      </c>
    </row>
    <row r="247" spans="1:7" s="104" customFormat="1" outlineLevel="1">
      <c r="A247" s="595" t="s">
        <v>268</v>
      </c>
      <c r="B247" s="594">
        <f>$B$221*12</f>
        <v>64712.520000000004</v>
      </c>
      <c r="C247" s="594">
        <v>0</v>
      </c>
      <c r="D247" s="594">
        <f t="shared" si="6"/>
        <v>64712.520000000004</v>
      </c>
      <c r="E247" s="594">
        <f t="shared" si="6"/>
        <v>64712.520000000004</v>
      </c>
      <c r="F247" s="594">
        <f t="shared" si="6"/>
        <v>64712.520000000004</v>
      </c>
      <c r="G247" s="594">
        <f t="shared" si="6"/>
        <v>64712.520000000004</v>
      </c>
    </row>
    <row r="248" spans="1:7" s="104" customFormat="1" outlineLevel="1">
      <c r="A248" s="595" t="s">
        <v>231</v>
      </c>
      <c r="B248" s="594"/>
      <c r="C248" s="594">
        <f>$B$221*13</f>
        <v>70105.23</v>
      </c>
      <c r="D248" s="594"/>
      <c r="E248" s="594"/>
      <c r="F248" s="594"/>
      <c r="G248" s="594"/>
    </row>
    <row r="249" spans="1:7" s="104" customFormat="1" outlineLevel="1">
      <c r="A249" s="595" t="s">
        <v>234</v>
      </c>
      <c r="B249" s="594"/>
      <c r="C249" s="594">
        <f t="shared" ref="C249:C263" si="7">$B$221*13</f>
        <v>70105.23</v>
      </c>
      <c r="D249" s="594"/>
      <c r="E249" s="594"/>
      <c r="F249" s="594"/>
      <c r="G249" s="594"/>
    </row>
    <row r="250" spans="1:7" s="104" customFormat="1" outlineLevel="1">
      <c r="A250" s="595" t="s">
        <v>236</v>
      </c>
      <c r="B250" s="594"/>
      <c r="C250" s="594">
        <f t="shared" si="7"/>
        <v>70105.23</v>
      </c>
      <c r="D250" s="594"/>
      <c r="E250" s="594"/>
      <c r="F250" s="594"/>
      <c r="G250" s="594"/>
    </row>
    <row r="251" spans="1:7" s="104" customFormat="1" outlineLevel="1">
      <c r="A251" s="595" t="s">
        <v>402</v>
      </c>
      <c r="B251" s="594"/>
      <c r="C251" s="594">
        <f t="shared" si="7"/>
        <v>70105.23</v>
      </c>
      <c r="D251" s="594"/>
      <c r="E251" s="594"/>
      <c r="F251" s="594"/>
      <c r="G251" s="594"/>
    </row>
    <row r="252" spans="1:7" s="104" customFormat="1" outlineLevel="1">
      <c r="A252" s="595" t="s">
        <v>403</v>
      </c>
      <c r="B252" s="594"/>
      <c r="C252" s="594">
        <f t="shared" si="7"/>
        <v>70105.23</v>
      </c>
      <c r="D252" s="594"/>
      <c r="E252" s="594"/>
      <c r="F252" s="594"/>
      <c r="G252" s="594"/>
    </row>
    <row r="253" spans="1:7" s="104" customFormat="1" outlineLevel="1">
      <c r="A253" s="595" t="s">
        <v>238</v>
      </c>
      <c r="B253" s="594"/>
      <c r="C253" s="594">
        <f t="shared" si="7"/>
        <v>70105.23</v>
      </c>
      <c r="D253" s="594"/>
      <c r="E253" s="594"/>
      <c r="F253" s="594"/>
      <c r="G253" s="594"/>
    </row>
    <row r="254" spans="1:7" s="104" customFormat="1" outlineLevel="1">
      <c r="A254" s="595" t="s">
        <v>404</v>
      </c>
      <c r="B254" s="594"/>
      <c r="C254" s="594">
        <f t="shared" si="7"/>
        <v>70105.23</v>
      </c>
      <c r="D254" s="594"/>
      <c r="E254" s="594"/>
      <c r="F254" s="594"/>
      <c r="G254" s="594"/>
    </row>
    <row r="255" spans="1:7" s="104" customFormat="1" outlineLevel="1">
      <c r="A255" s="595" t="s">
        <v>241</v>
      </c>
      <c r="B255" s="594"/>
      <c r="C255" s="594">
        <f t="shared" si="7"/>
        <v>70105.23</v>
      </c>
      <c r="D255" s="594"/>
      <c r="E255" s="594"/>
      <c r="F255" s="594"/>
      <c r="G255" s="594"/>
    </row>
    <row r="256" spans="1:7" s="104" customFormat="1" outlineLevel="1">
      <c r="A256" s="595" t="s">
        <v>243</v>
      </c>
      <c r="B256" s="594"/>
      <c r="C256" s="594">
        <f t="shared" si="7"/>
        <v>70105.23</v>
      </c>
      <c r="D256" s="594"/>
      <c r="E256" s="594"/>
      <c r="F256" s="594"/>
      <c r="G256" s="594"/>
    </row>
    <row r="257" spans="1:7" s="104" customFormat="1" outlineLevel="1">
      <c r="A257" s="595" t="s">
        <v>246</v>
      </c>
      <c r="B257" s="594"/>
      <c r="C257" s="594">
        <f t="shared" si="7"/>
        <v>70105.23</v>
      </c>
      <c r="D257" s="594"/>
      <c r="E257" s="594"/>
      <c r="F257" s="594"/>
      <c r="G257" s="594"/>
    </row>
    <row r="258" spans="1:7" s="104" customFormat="1" outlineLevel="1">
      <c r="A258" s="595" t="s">
        <v>249</v>
      </c>
      <c r="B258" s="594"/>
      <c r="C258" s="594">
        <f t="shared" si="7"/>
        <v>70105.23</v>
      </c>
      <c r="D258" s="594"/>
      <c r="E258" s="594"/>
      <c r="F258" s="594"/>
      <c r="G258" s="594"/>
    </row>
    <row r="259" spans="1:7" s="104" customFormat="1" outlineLevel="1">
      <c r="A259" s="595" t="s">
        <v>251</v>
      </c>
      <c r="B259" s="594"/>
      <c r="C259" s="594">
        <f t="shared" si="7"/>
        <v>70105.23</v>
      </c>
      <c r="D259" s="594"/>
      <c r="E259" s="594"/>
      <c r="F259" s="594"/>
      <c r="G259" s="594"/>
    </row>
    <row r="260" spans="1:7" s="104" customFormat="1" outlineLevel="1">
      <c r="A260" s="595" t="s">
        <v>253</v>
      </c>
      <c r="B260" s="594"/>
      <c r="C260" s="594">
        <f t="shared" si="7"/>
        <v>70105.23</v>
      </c>
      <c r="D260" s="594"/>
      <c r="E260" s="594"/>
      <c r="F260" s="594"/>
      <c r="G260" s="594"/>
    </row>
    <row r="261" spans="1:7" s="104" customFormat="1" outlineLevel="1">
      <c r="A261" s="595" t="s">
        <v>255</v>
      </c>
      <c r="B261" s="594"/>
      <c r="C261" s="594">
        <f t="shared" si="7"/>
        <v>70105.23</v>
      </c>
      <c r="D261" s="594"/>
      <c r="E261" s="594"/>
      <c r="F261" s="594"/>
      <c r="G261" s="594"/>
    </row>
    <row r="262" spans="1:7" s="104" customFormat="1" outlineLevel="1">
      <c r="A262" s="595" t="s">
        <v>257</v>
      </c>
      <c r="B262" s="594"/>
      <c r="C262" s="594">
        <f t="shared" si="7"/>
        <v>70105.23</v>
      </c>
      <c r="D262" s="594"/>
      <c r="E262" s="594"/>
      <c r="F262" s="594"/>
      <c r="G262" s="594"/>
    </row>
    <row r="263" spans="1:7" s="104" customFormat="1" outlineLevel="1">
      <c r="A263" s="595" t="s">
        <v>259</v>
      </c>
      <c r="B263" s="594"/>
      <c r="C263" s="594">
        <f t="shared" si="7"/>
        <v>70105.23</v>
      </c>
      <c r="D263" s="594"/>
      <c r="E263" s="594"/>
      <c r="F263" s="594"/>
      <c r="G263" s="594"/>
    </row>
    <row r="264" spans="1:7" s="104" customFormat="1" outlineLevel="1">
      <c r="A264" s="595">
        <v>1</v>
      </c>
      <c r="B264" s="594">
        <f>Selection!$Q$53</f>
        <v>0</v>
      </c>
      <c r="C264" s="594">
        <v>0</v>
      </c>
      <c r="D264" s="594">
        <f>Selection!$Q$53</f>
        <v>0</v>
      </c>
      <c r="E264" s="594">
        <f>Selection!$Q$53</f>
        <v>0</v>
      </c>
      <c r="F264" s="594">
        <f>Selection!$Q$53</f>
        <v>0</v>
      </c>
      <c r="G264" s="594">
        <f>Selection!$Q$53</f>
        <v>0</v>
      </c>
    </row>
    <row r="265" spans="1:7" s="104" customFormat="1" outlineLevel="1">
      <c r="A265" s="595">
        <v>2</v>
      </c>
      <c r="B265" s="594">
        <f>Selection!$Q$53</f>
        <v>0</v>
      </c>
      <c r="C265" s="594">
        <v>0</v>
      </c>
      <c r="D265" s="594">
        <f>Selection!$Q$53</f>
        <v>0</v>
      </c>
      <c r="E265" s="594">
        <f>Selection!$Q$53</f>
        <v>0</v>
      </c>
      <c r="F265" s="594">
        <f>Selection!$Q$53</f>
        <v>0</v>
      </c>
      <c r="G265" s="594">
        <f>Selection!$Q$53</f>
        <v>0</v>
      </c>
    </row>
    <row r="266" spans="1:7" s="104" customFormat="1" outlineLevel="1">
      <c r="A266" s="595">
        <v>3</v>
      </c>
      <c r="B266" s="594">
        <f>Selection!$Q$53</f>
        <v>0</v>
      </c>
      <c r="C266" s="594">
        <v>0</v>
      </c>
      <c r="D266" s="594">
        <f>Selection!$Q$53</f>
        <v>0</v>
      </c>
      <c r="E266" s="594">
        <f>Selection!$Q$53</f>
        <v>0</v>
      </c>
      <c r="F266" s="594">
        <f>Selection!$Q$53</f>
        <v>0</v>
      </c>
      <c r="G266" s="594">
        <f>Selection!$Q$53</f>
        <v>0</v>
      </c>
    </row>
    <row r="267" spans="1:7" s="104" customFormat="1" outlineLevel="1">
      <c r="A267" s="595">
        <v>4</v>
      </c>
      <c r="B267" s="594">
        <f>Selection!$Q$53</f>
        <v>0</v>
      </c>
      <c r="C267" s="594">
        <v>0</v>
      </c>
      <c r="D267" s="594">
        <f>Selection!$Q$53</f>
        <v>0</v>
      </c>
      <c r="E267" s="594">
        <f>Selection!$Q$53</f>
        <v>0</v>
      </c>
      <c r="F267" s="594">
        <f>Selection!$Q$53</f>
        <v>0</v>
      </c>
      <c r="G267" s="594">
        <f>Selection!$Q$53</f>
        <v>0</v>
      </c>
    </row>
    <row r="268" spans="1:7" s="104" customFormat="1" outlineLevel="1">
      <c r="A268" s="595">
        <v>5</v>
      </c>
      <c r="B268" s="594">
        <f>Selection!$Q$53</f>
        <v>0</v>
      </c>
      <c r="C268" s="594">
        <v>0</v>
      </c>
      <c r="D268" s="594">
        <f>Selection!$Q$53</f>
        <v>0</v>
      </c>
      <c r="E268" s="594">
        <f>Selection!$Q$53</f>
        <v>0</v>
      </c>
      <c r="F268" s="594">
        <f>Selection!$Q$53</f>
        <v>0</v>
      </c>
      <c r="G268" s="594">
        <f>Selection!$Q$53</f>
        <v>0</v>
      </c>
    </row>
    <row r="269" spans="1:7" outlineLevel="1">
      <c r="A269" s="118"/>
    </row>
    <row r="270" spans="1:7" outlineLevel="1"/>
    <row r="271" spans="1:7" outlineLevel="1"/>
    <row r="272" spans="1:7" outlineLevel="1"/>
    <row r="273" spans="1:7" outlineLevel="1"/>
    <row r="274" spans="1:7" outlineLevel="1"/>
    <row r="275" spans="1:7" outlineLevel="1"/>
    <row r="276" spans="1:7" outlineLevel="1"/>
    <row r="277" spans="1:7" outlineLevel="1">
      <c r="A277" s="128"/>
    </row>
    <row r="278" spans="1:7" outlineLevel="1">
      <c r="A278" s="191" t="s">
        <v>292</v>
      </c>
    </row>
    <row r="279" spans="1:7" outlineLevel="1">
      <c r="A279" s="468">
        <v>0.01</v>
      </c>
    </row>
    <row r="280" spans="1:7" outlineLevel="1">
      <c r="A280" s="468">
        <v>0.03</v>
      </c>
    </row>
    <row r="281" spans="1:7" outlineLevel="1">
      <c r="A281" s="469">
        <v>0.05</v>
      </c>
    </row>
    <row r="282" spans="1:7" outlineLevel="1"/>
    <row r="283" spans="1:7" s="93" customFormat="1" outlineLevel="1">
      <c r="A283" s="93" t="s">
        <v>299</v>
      </c>
    </row>
    <row r="284" spans="1:7" outlineLevel="1">
      <c r="A284" s="125" t="s">
        <v>284</v>
      </c>
      <c r="G284" s="128"/>
    </row>
    <row r="285" spans="1:7" outlineLevel="1">
      <c r="A285" s="470" t="s">
        <v>285</v>
      </c>
      <c r="C285" s="94" t="s">
        <v>360</v>
      </c>
      <c r="E285" s="94">
        <f>IF(OR(Selection!N28='Lists &amp; Rates'!A96,Selection!N28='Lists &amp; Rates'!A97),Selection!O47,IF(Selection!N16=$A$62,Selection!O53,Selection!O41))</f>
        <v>5392.71</v>
      </c>
      <c r="G285" s="128"/>
    </row>
    <row r="286" spans="1:7" outlineLevel="1">
      <c r="A286" s="471" t="s">
        <v>282</v>
      </c>
      <c r="G286" s="128"/>
    </row>
    <row r="287" spans="1:7" outlineLevel="1">
      <c r="G287" s="128"/>
    </row>
    <row r="288" spans="1:7" outlineLevel="1">
      <c r="G288" s="128"/>
    </row>
    <row r="289" spans="1:18" s="93" customFormat="1" outlineLevel="1">
      <c r="A289" s="93" t="s">
        <v>297</v>
      </c>
    </row>
    <row r="290" spans="1:18" outlineLevel="1"/>
    <row r="291" spans="1:18" outlineLevel="1">
      <c r="B291" s="94" t="s">
        <v>300</v>
      </c>
      <c r="C291" s="133">
        <f>Selection!N32-Selection!N26</f>
        <v>-6</v>
      </c>
      <c r="D291" s="192">
        <f>C291/365</f>
        <v>-1.643835616438356E-2</v>
      </c>
    </row>
    <row r="292" spans="1:18" s="639" customFormat="1" outlineLevel="1">
      <c r="B292" s="639" t="s">
        <v>316</v>
      </c>
      <c r="C292" s="639" t="str">
        <f>IF(OR(C294=$A$15, C294=$A$16,C294=$A$17,C294=$A$14,C294=$A$13),IF(D291&lt;2.99,"1-2.99",IF(D291&lt;=4.99,"3-4.99",IF(D291&gt;=5,"5plus"," "))),IF(AND(C294=#REF!,Selection!O132="5 Day"),IF(D291&lt;2.99,"1-2.99 5day",IF(D291&lt;=4.99,"3-4.99 5day",IF(D291&gt;=5,"5plus 5day"))),IF(AND(C294="abi",Selection!O132="6 Day"),IF(D291&lt;2.99,"1-2.99 6day",IF(D291&lt;=4.99,"3-4.99 6day",IF(D291&gt;=5,"5plus 6day")))," ")))</f>
        <v>1-2.99</v>
      </c>
    </row>
    <row r="293" spans="1:18" outlineLevel="1">
      <c r="B293" s="94" t="s">
        <v>317</v>
      </c>
      <c r="C293" s="94" t="str">
        <f>Selection!N20</f>
        <v>B</v>
      </c>
    </row>
    <row r="294" spans="1:18" outlineLevel="1">
      <c r="B294" s="94" t="s">
        <v>318</v>
      </c>
      <c r="C294" s="94" t="str">
        <f>Selection!N10</f>
        <v>SAB Limited</v>
      </c>
    </row>
    <row r="295" spans="1:18" outlineLevel="1"/>
    <row r="296" spans="1:18" outlineLevel="1">
      <c r="B296" s="94" t="s">
        <v>323</v>
      </c>
      <c r="C296" s="94">
        <f>INDEX($B$302:$K$353,MATCH(C293,$B$302:$B$353,0),MATCH(C292,$B$302:$K$302,0))</f>
        <v>15</v>
      </c>
    </row>
    <row r="297" spans="1:18" outlineLevel="1">
      <c r="B297" s="94" t="s">
        <v>325</v>
      </c>
    </row>
    <row r="298" spans="1:18" outlineLevel="1"/>
    <row r="299" spans="1:18" outlineLevel="1"/>
    <row r="300" spans="1:18" outlineLevel="1">
      <c r="B300" s="194">
        <v>1</v>
      </c>
      <c r="C300" s="195" t="s">
        <v>307</v>
      </c>
      <c r="D300" s="195">
        <v>3</v>
      </c>
      <c r="E300" s="195">
        <v>4</v>
      </c>
      <c r="F300" s="195" t="s">
        <v>122</v>
      </c>
      <c r="G300" s="194">
        <v>6</v>
      </c>
      <c r="H300" s="195">
        <v>7</v>
      </c>
      <c r="I300" s="195" t="s">
        <v>122</v>
      </c>
      <c r="J300" s="195">
        <v>9</v>
      </c>
      <c r="K300" s="195">
        <v>10</v>
      </c>
      <c r="L300" s="194">
        <v>11</v>
      </c>
      <c r="M300" s="195">
        <v>12</v>
      </c>
      <c r="N300" s="195">
        <v>13</v>
      </c>
      <c r="O300" s="195">
        <v>14</v>
      </c>
      <c r="P300" s="195">
        <v>15</v>
      </c>
      <c r="Q300" s="194">
        <v>16</v>
      </c>
      <c r="R300" s="195">
        <v>17</v>
      </c>
    </row>
    <row r="301" spans="1:18" outlineLevel="1">
      <c r="F301" s="94" t="s">
        <v>302</v>
      </c>
      <c r="I301" s="94" t="s">
        <v>303</v>
      </c>
    </row>
    <row r="302" spans="1:18" outlineLevel="1">
      <c r="A302" s="94">
        <v>1</v>
      </c>
      <c r="B302" s="201" t="s">
        <v>1</v>
      </c>
      <c r="C302" s="201" t="s">
        <v>308</v>
      </c>
      <c r="D302" s="204" t="s">
        <v>309</v>
      </c>
      <c r="E302" s="204" t="s">
        <v>310</v>
      </c>
      <c r="F302" s="201" t="s">
        <v>313</v>
      </c>
      <c r="G302" s="204" t="s">
        <v>314</v>
      </c>
      <c r="H302" s="204" t="s">
        <v>315</v>
      </c>
      <c r="I302" s="201" t="s">
        <v>311</v>
      </c>
      <c r="J302" s="204" t="s">
        <v>312</v>
      </c>
      <c r="K302" s="204" t="s">
        <v>324</v>
      </c>
      <c r="L302" s="91" t="s">
        <v>120</v>
      </c>
      <c r="M302" s="193">
        <v>3</v>
      </c>
      <c r="N302" s="193">
        <v>5</v>
      </c>
      <c r="O302" s="91" t="s">
        <v>224</v>
      </c>
      <c r="P302" s="193">
        <v>3</v>
      </c>
      <c r="Q302" s="193">
        <v>5</v>
      </c>
      <c r="R302" s="91"/>
    </row>
    <row r="303" spans="1:18" outlineLevel="1">
      <c r="A303" s="94">
        <v>2</v>
      </c>
      <c r="B303" s="202" t="s">
        <v>4</v>
      </c>
      <c r="C303" s="472">
        <v>15</v>
      </c>
      <c r="D303" s="472">
        <v>20</v>
      </c>
      <c r="E303" s="472">
        <v>22</v>
      </c>
      <c r="F303" s="472"/>
      <c r="G303" s="472"/>
      <c r="H303" s="472"/>
      <c r="I303" s="472"/>
      <c r="J303" s="472"/>
      <c r="K303" s="472">
        <v>0</v>
      </c>
      <c r="L303" s="91">
        <v>15</v>
      </c>
      <c r="M303" s="91">
        <v>20</v>
      </c>
      <c r="N303" s="91">
        <v>22</v>
      </c>
      <c r="O303" s="91">
        <v>15</v>
      </c>
      <c r="P303" s="91">
        <v>20</v>
      </c>
      <c r="Q303" s="91">
        <v>22</v>
      </c>
      <c r="R303" s="91"/>
    </row>
    <row r="304" spans="1:18" outlineLevel="1">
      <c r="A304" s="94">
        <v>3</v>
      </c>
      <c r="B304" s="202" t="s">
        <v>232</v>
      </c>
      <c r="C304" s="472">
        <v>15</v>
      </c>
      <c r="D304" s="472">
        <v>20</v>
      </c>
      <c r="E304" s="472">
        <v>22</v>
      </c>
      <c r="F304" s="472"/>
      <c r="G304" s="472"/>
      <c r="H304" s="472"/>
      <c r="I304" s="472"/>
      <c r="J304" s="472"/>
      <c r="K304" s="472"/>
      <c r="L304" s="91">
        <v>15</v>
      </c>
      <c r="M304" s="91">
        <v>20</v>
      </c>
      <c r="N304" s="91">
        <v>22</v>
      </c>
      <c r="O304" s="91">
        <v>15</v>
      </c>
      <c r="P304" s="91">
        <v>20</v>
      </c>
      <c r="Q304" s="91">
        <v>22</v>
      </c>
      <c r="R304" s="91"/>
    </row>
    <row r="305" spans="1:18" outlineLevel="1">
      <c r="A305" s="94">
        <v>4</v>
      </c>
      <c r="B305" s="202" t="s">
        <v>2</v>
      </c>
      <c r="C305" s="472">
        <v>15</v>
      </c>
      <c r="D305" s="472">
        <v>20</v>
      </c>
      <c r="E305" s="472">
        <v>22</v>
      </c>
      <c r="F305" s="472"/>
      <c r="G305" s="472"/>
      <c r="H305" s="472"/>
      <c r="I305" s="472"/>
      <c r="J305" s="472"/>
      <c r="K305" s="472"/>
      <c r="L305" s="91">
        <v>15</v>
      </c>
      <c r="M305" s="91">
        <v>20</v>
      </c>
      <c r="N305" s="91">
        <v>22</v>
      </c>
      <c r="O305" s="91">
        <v>15</v>
      </c>
      <c r="P305" s="91">
        <v>20</v>
      </c>
      <c r="Q305" s="91">
        <v>22</v>
      </c>
      <c r="R305" s="91"/>
    </row>
    <row r="306" spans="1:18" outlineLevel="1">
      <c r="A306" s="94">
        <v>5</v>
      </c>
      <c r="B306" s="202" t="s">
        <v>3</v>
      </c>
      <c r="C306" s="472">
        <v>15</v>
      </c>
      <c r="D306" s="472">
        <v>20</v>
      </c>
      <c r="E306" s="472">
        <v>22</v>
      </c>
      <c r="F306" s="472"/>
      <c r="G306" s="472"/>
      <c r="H306" s="472"/>
      <c r="I306" s="472"/>
      <c r="J306" s="472"/>
      <c r="K306" s="472"/>
      <c r="L306" s="91">
        <v>15</v>
      </c>
      <c r="M306" s="91">
        <v>20</v>
      </c>
      <c r="N306" s="91">
        <v>22</v>
      </c>
      <c r="O306" s="91">
        <v>15</v>
      </c>
      <c r="P306" s="91">
        <v>20</v>
      </c>
      <c r="Q306" s="91">
        <v>22</v>
      </c>
      <c r="R306" s="91"/>
    </row>
    <row r="307" spans="1:18" outlineLevel="1">
      <c r="A307" s="94">
        <v>6</v>
      </c>
      <c r="B307" s="202" t="s">
        <v>239</v>
      </c>
      <c r="C307" s="472">
        <v>15</v>
      </c>
      <c r="D307" s="472">
        <v>20</v>
      </c>
      <c r="E307" s="472">
        <v>22</v>
      </c>
      <c r="F307" s="472"/>
      <c r="G307" s="472"/>
      <c r="H307" s="472"/>
      <c r="I307" s="472"/>
      <c r="J307" s="472"/>
      <c r="K307" s="472"/>
      <c r="L307" s="91">
        <v>15</v>
      </c>
      <c r="M307" s="91">
        <v>20</v>
      </c>
      <c r="N307" s="91">
        <v>22</v>
      </c>
      <c r="O307" s="91">
        <v>15</v>
      </c>
      <c r="P307" s="91">
        <v>20</v>
      </c>
      <c r="Q307" s="91">
        <v>22</v>
      </c>
      <c r="R307" s="91"/>
    </row>
    <row r="308" spans="1:18" outlineLevel="1">
      <c r="A308" s="94">
        <v>7</v>
      </c>
      <c r="B308" s="202" t="s">
        <v>11</v>
      </c>
      <c r="C308" s="472">
        <v>15</v>
      </c>
      <c r="D308" s="472">
        <v>20</v>
      </c>
      <c r="E308" s="472">
        <v>22</v>
      </c>
      <c r="F308" s="472"/>
      <c r="G308" s="472"/>
      <c r="H308" s="472"/>
      <c r="I308" s="472"/>
      <c r="J308" s="472"/>
      <c r="K308" s="472"/>
      <c r="L308" s="91">
        <v>15</v>
      </c>
      <c r="M308" s="91">
        <v>20</v>
      </c>
      <c r="N308" s="91">
        <v>22</v>
      </c>
      <c r="O308" s="91">
        <v>15</v>
      </c>
      <c r="P308" s="91">
        <v>20</v>
      </c>
      <c r="Q308" s="91">
        <v>22</v>
      </c>
      <c r="R308" s="91"/>
    </row>
    <row r="309" spans="1:18" outlineLevel="1">
      <c r="A309" s="94">
        <v>8</v>
      </c>
      <c r="B309" s="202" t="s">
        <v>244</v>
      </c>
      <c r="C309" s="472">
        <v>15</v>
      </c>
      <c r="D309" s="472">
        <v>20</v>
      </c>
      <c r="E309" s="472">
        <v>22</v>
      </c>
      <c r="F309" s="472"/>
      <c r="G309" s="472"/>
      <c r="H309" s="472"/>
      <c r="I309" s="472"/>
      <c r="J309" s="472"/>
      <c r="K309" s="472"/>
      <c r="L309" s="91">
        <v>15</v>
      </c>
      <c r="M309" s="91">
        <v>20</v>
      </c>
      <c r="N309" s="91">
        <v>22</v>
      </c>
      <c r="O309" s="91">
        <v>15</v>
      </c>
      <c r="P309" s="91">
        <v>20</v>
      </c>
      <c r="Q309" s="91">
        <v>22</v>
      </c>
      <c r="R309" s="91"/>
    </row>
    <row r="310" spans="1:18" outlineLevel="1">
      <c r="A310" s="94">
        <v>9</v>
      </c>
      <c r="B310" s="202" t="s">
        <v>247</v>
      </c>
      <c r="C310" s="472">
        <v>15</v>
      </c>
      <c r="D310" s="472">
        <v>20</v>
      </c>
      <c r="E310" s="472">
        <v>22</v>
      </c>
      <c r="F310" s="472"/>
      <c r="G310" s="472"/>
      <c r="H310" s="472"/>
      <c r="I310" s="472"/>
      <c r="J310" s="472"/>
      <c r="K310" s="472"/>
      <c r="L310" s="91">
        <v>15</v>
      </c>
      <c r="M310" s="91">
        <v>20</v>
      </c>
      <c r="N310" s="91">
        <v>22</v>
      </c>
      <c r="O310" s="91">
        <v>15</v>
      </c>
      <c r="P310" s="91">
        <v>20</v>
      </c>
      <c r="Q310" s="91">
        <v>22</v>
      </c>
      <c r="R310" s="91"/>
    </row>
    <row r="311" spans="1:18" outlineLevel="1">
      <c r="A311" s="94">
        <v>10</v>
      </c>
      <c r="B311" s="202" t="s">
        <v>250</v>
      </c>
      <c r="C311" s="472">
        <v>15</v>
      </c>
      <c r="D311" s="472">
        <v>20</v>
      </c>
      <c r="E311" s="472">
        <v>22</v>
      </c>
      <c r="F311" s="472"/>
      <c r="G311" s="472"/>
      <c r="H311" s="472"/>
      <c r="I311" s="472"/>
      <c r="J311" s="472"/>
      <c r="K311" s="472"/>
      <c r="L311" s="91">
        <v>15</v>
      </c>
      <c r="M311" s="91">
        <v>20</v>
      </c>
      <c r="N311" s="91">
        <v>22</v>
      </c>
      <c r="O311" s="91">
        <v>15</v>
      </c>
      <c r="P311" s="91">
        <v>20</v>
      </c>
      <c r="Q311" s="91">
        <v>22</v>
      </c>
      <c r="R311" s="91"/>
    </row>
    <row r="312" spans="1:18" outlineLevel="1">
      <c r="A312" s="94">
        <v>11</v>
      </c>
      <c r="B312" s="202" t="s">
        <v>252</v>
      </c>
      <c r="C312" s="472">
        <v>20</v>
      </c>
      <c r="D312" s="472">
        <v>22</v>
      </c>
      <c r="E312" s="472">
        <v>25</v>
      </c>
      <c r="F312" s="472"/>
      <c r="G312" s="472"/>
      <c r="H312" s="472"/>
      <c r="I312" s="472"/>
      <c r="J312" s="472"/>
      <c r="K312" s="472"/>
      <c r="L312" s="91">
        <v>20</v>
      </c>
      <c r="M312" s="91">
        <v>22</v>
      </c>
      <c r="N312" s="91">
        <v>25</v>
      </c>
      <c r="O312" s="91">
        <v>20</v>
      </c>
      <c r="P312" s="91">
        <v>22</v>
      </c>
      <c r="Q312" s="91">
        <v>25</v>
      </c>
      <c r="R312" s="91"/>
    </row>
    <row r="313" spans="1:18" outlineLevel="1">
      <c r="A313" s="94">
        <v>12</v>
      </c>
      <c r="B313" s="202" t="s">
        <v>254</v>
      </c>
      <c r="C313" s="472">
        <v>20</v>
      </c>
      <c r="D313" s="472">
        <v>22</v>
      </c>
      <c r="E313" s="472">
        <v>25</v>
      </c>
      <c r="F313" s="472"/>
      <c r="G313" s="472"/>
      <c r="H313" s="472"/>
      <c r="I313" s="472"/>
      <c r="J313" s="472"/>
      <c r="K313" s="472"/>
      <c r="L313" s="91">
        <v>20</v>
      </c>
      <c r="M313" s="91">
        <v>22</v>
      </c>
      <c r="N313" s="91">
        <v>25</v>
      </c>
      <c r="O313" s="91">
        <v>20</v>
      </c>
      <c r="P313" s="91">
        <v>22</v>
      </c>
      <c r="Q313" s="91">
        <v>25</v>
      </c>
      <c r="R313" s="91"/>
    </row>
    <row r="314" spans="1:18" outlineLevel="1">
      <c r="A314" s="94">
        <v>13</v>
      </c>
      <c r="B314" s="202" t="s">
        <v>256</v>
      </c>
      <c r="C314" s="472">
        <v>20</v>
      </c>
      <c r="D314" s="472">
        <v>22</v>
      </c>
      <c r="E314" s="472">
        <v>25</v>
      </c>
      <c r="F314" s="472"/>
      <c r="G314" s="472"/>
      <c r="H314" s="472"/>
      <c r="I314" s="472"/>
      <c r="J314" s="472"/>
      <c r="K314" s="472"/>
      <c r="L314" s="91">
        <v>20</v>
      </c>
      <c r="M314" s="91">
        <v>22</v>
      </c>
      <c r="N314" s="91">
        <v>25</v>
      </c>
      <c r="O314" s="91">
        <v>20</v>
      </c>
      <c r="P314" s="91">
        <v>22</v>
      </c>
      <c r="Q314" s="91">
        <v>25</v>
      </c>
      <c r="R314" s="91"/>
    </row>
    <row r="315" spans="1:18" outlineLevel="1">
      <c r="A315" s="94">
        <v>14</v>
      </c>
      <c r="B315" s="202" t="s">
        <v>258</v>
      </c>
      <c r="C315" s="472">
        <v>20</v>
      </c>
      <c r="D315" s="472">
        <v>22</v>
      </c>
      <c r="E315" s="472">
        <v>25</v>
      </c>
      <c r="F315" s="472"/>
      <c r="G315" s="472"/>
      <c r="H315" s="472"/>
      <c r="I315" s="472"/>
      <c r="J315" s="472"/>
      <c r="K315" s="472"/>
      <c r="L315" s="91">
        <v>20</v>
      </c>
      <c r="M315" s="91">
        <v>22</v>
      </c>
      <c r="N315" s="91">
        <v>25</v>
      </c>
      <c r="O315" s="91">
        <v>20</v>
      </c>
      <c r="P315" s="91">
        <v>22</v>
      </c>
      <c r="Q315" s="91">
        <v>25</v>
      </c>
      <c r="R315" s="91"/>
    </row>
    <row r="316" spans="1:18" outlineLevel="1">
      <c r="A316" s="94">
        <v>15</v>
      </c>
      <c r="B316" s="202" t="s">
        <v>260</v>
      </c>
      <c r="C316" s="472">
        <v>20</v>
      </c>
      <c r="D316" s="472">
        <v>22</v>
      </c>
      <c r="E316" s="472">
        <v>25</v>
      </c>
      <c r="F316" s="472"/>
      <c r="G316" s="472"/>
      <c r="H316" s="472"/>
      <c r="I316" s="472"/>
      <c r="J316" s="472"/>
      <c r="K316" s="472"/>
      <c r="L316" s="91">
        <v>20</v>
      </c>
      <c r="M316" s="91">
        <v>22</v>
      </c>
      <c r="N316" s="91">
        <v>25</v>
      </c>
      <c r="O316" s="91">
        <v>20</v>
      </c>
      <c r="P316" s="91">
        <v>22</v>
      </c>
      <c r="Q316" s="91">
        <v>25</v>
      </c>
      <c r="R316" s="91"/>
    </row>
    <row r="317" spans="1:18" outlineLevel="1">
      <c r="A317" s="94">
        <v>16</v>
      </c>
      <c r="B317" s="202" t="s">
        <v>261</v>
      </c>
      <c r="C317" s="472">
        <v>20</v>
      </c>
      <c r="D317" s="472">
        <v>22</v>
      </c>
      <c r="E317" s="472">
        <v>25</v>
      </c>
      <c r="F317" s="472"/>
      <c r="G317" s="472"/>
      <c r="H317" s="472"/>
      <c r="I317" s="472"/>
      <c r="J317" s="472"/>
      <c r="K317" s="472"/>
      <c r="L317" s="91">
        <v>20</v>
      </c>
      <c r="M317" s="91">
        <v>22</v>
      </c>
      <c r="N317" s="91">
        <v>25</v>
      </c>
      <c r="O317" s="91">
        <v>20</v>
      </c>
      <c r="P317" s="91">
        <v>22</v>
      </c>
      <c r="Q317" s="91">
        <v>25</v>
      </c>
      <c r="R317" s="91"/>
    </row>
    <row r="318" spans="1:18" outlineLevel="1">
      <c r="A318" s="94">
        <v>17</v>
      </c>
      <c r="B318" s="202" t="s">
        <v>262</v>
      </c>
      <c r="C318" s="472">
        <v>20</v>
      </c>
      <c r="D318" s="472">
        <v>22</v>
      </c>
      <c r="E318" s="472">
        <v>25</v>
      </c>
      <c r="F318" s="472"/>
      <c r="G318" s="472"/>
      <c r="H318" s="472"/>
      <c r="I318" s="472"/>
      <c r="J318" s="472"/>
      <c r="K318" s="472"/>
      <c r="L318" s="91">
        <v>20</v>
      </c>
      <c r="M318" s="91">
        <v>22</v>
      </c>
      <c r="N318" s="91">
        <v>25</v>
      </c>
      <c r="O318" s="91">
        <v>20</v>
      </c>
      <c r="P318" s="91">
        <v>22</v>
      </c>
      <c r="Q318" s="91">
        <v>25</v>
      </c>
      <c r="R318" s="91"/>
    </row>
    <row r="319" spans="1:18" outlineLevel="1">
      <c r="A319" s="94">
        <v>18</v>
      </c>
      <c r="B319" s="202" t="s">
        <v>263</v>
      </c>
      <c r="C319" s="472">
        <v>20</v>
      </c>
      <c r="D319" s="472">
        <v>22</v>
      </c>
      <c r="E319" s="472">
        <v>25</v>
      </c>
      <c r="F319" s="472"/>
      <c r="G319" s="472"/>
      <c r="H319" s="472"/>
      <c r="I319" s="472"/>
      <c r="J319" s="472"/>
      <c r="K319" s="472"/>
      <c r="L319" s="91">
        <v>20</v>
      </c>
      <c r="M319" s="91">
        <v>22</v>
      </c>
      <c r="N319" s="91">
        <v>25</v>
      </c>
      <c r="O319" s="91">
        <v>20</v>
      </c>
      <c r="P319" s="91">
        <v>22</v>
      </c>
      <c r="Q319" s="91">
        <v>25</v>
      </c>
      <c r="R319" s="91"/>
    </row>
    <row r="320" spans="1:18" outlineLevel="1">
      <c r="A320" s="94">
        <v>19</v>
      </c>
      <c r="B320" s="202" t="s">
        <v>264</v>
      </c>
      <c r="C320" s="472">
        <v>20</v>
      </c>
      <c r="D320" s="472">
        <v>22</v>
      </c>
      <c r="E320" s="472">
        <v>25</v>
      </c>
      <c r="F320" s="472"/>
      <c r="G320" s="472"/>
      <c r="H320" s="472"/>
      <c r="I320" s="472"/>
      <c r="J320" s="472"/>
      <c r="K320" s="472"/>
      <c r="L320" s="91">
        <v>20</v>
      </c>
      <c r="M320" s="91">
        <v>22</v>
      </c>
      <c r="N320" s="91">
        <v>25</v>
      </c>
      <c r="O320" s="91">
        <v>20</v>
      </c>
      <c r="P320" s="91">
        <v>22</v>
      </c>
      <c r="Q320" s="91">
        <v>25</v>
      </c>
      <c r="R320" s="91"/>
    </row>
    <row r="321" spans="1:18" outlineLevel="1">
      <c r="A321" s="94">
        <v>20</v>
      </c>
      <c r="B321" s="202" t="s">
        <v>265</v>
      </c>
      <c r="C321" s="472">
        <v>20</v>
      </c>
      <c r="D321" s="472">
        <v>22</v>
      </c>
      <c r="E321" s="472">
        <v>25</v>
      </c>
      <c r="F321" s="472"/>
      <c r="G321" s="472"/>
      <c r="H321" s="472"/>
      <c r="I321" s="472"/>
      <c r="J321" s="472"/>
      <c r="K321" s="472"/>
      <c r="L321" s="91">
        <v>20</v>
      </c>
      <c r="M321" s="91">
        <v>22</v>
      </c>
      <c r="N321" s="91">
        <v>25</v>
      </c>
      <c r="O321" s="91">
        <v>20</v>
      </c>
      <c r="P321" s="91">
        <v>22</v>
      </c>
      <c r="Q321" s="91">
        <v>25</v>
      </c>
      <c r="R321" s="91"/>
    </row>
    <row r="322" spans="1:18" outlineLevel="1">
      <c r="A322" s="94">
        <v>21</v>
      </c>
      <c r="B322" s="202" t="s">
        <v>266</v>
      </c>
      <c r="C322" s="472">
        <v>20</v>
      </c>
      <c r="D322" s="472">
        <v>22</v>
      </c>
      <c r="E322" s="472">
        <v>25</v>
      </c>
      <c r="F322" s="472"/>
      <c r="G322" s="472"/>
      <c r="H322" s="472"/>
      <c r="I322" s="472"/>
      <c r="J322" s="472"/>
      <c r="K322" s="472"/>
      <c r="L322" s="91">
        <v>20</v>
      </c>
      <c r="M322" s="91">
        <v>22</v>
      </c>
      <c r="N322" s="91">
        <v>25</v>
      </c>
      <c r="O322" s="91">
        <v>20</v>
      </c>
      <c r="P322" s="91">
        <v>22</v>
      </c>
      <c r="Q322" s="91">
        <v>25</v>
      </c>
      <c r="R322" s="91"/>
    </row>
    <row r="323" spans="1:18" outlineLevel="1">
      <c r="A323" s="94">
        <v>22</v>
      </c>
      <c r="B323" s="202" t="s">
        <v>267</v>
      </c>
      <c r="C323" s="472">
        <v>20</v>
      </c>
      <c r="D323" s="472">
        <v>22</v>
      </c>
      <c r="E323" s="472">
        <v>25</v>
      </c>
      <c r="F323" s="472"/>
      <c r="G323" s="472"/>
      <c r="H323" s="472"/>
      <c r="I323" s="472"/>
      <c r="J323" s="472"/>
      <c r="K323" s="472"/>
      <c r="L323" s="91">
        <v>20</v>
      </c>
      <c r="M323" s="91">
        <v>23</v>
      </c>
      <c r="N323" s="91">
        <v>25</v>
      </c>
      <c r="O323" s="91">
        <v>20</v>
      </c>
      <c r="P323" s="91">
        <v>23</v>
      </c>
      <c r="Q323" s="91">
        <v>25</v>
      </c>
      <c r="R323" s="91"/>
    </row>
    <row r="324" spans="1:18" outlineLevel="1">
      <c r="A324" s="94">
        <v>23</v>
      </c>
      <c r="B324" s="202" t="s">
        <v>268</v>
      </c>
      <c r="C324" s="472">
        <v>20</v>
      </c>
      <c r="D324" s="472">
        <v>22</v>
      </c>
      <c r="E324" s="472">
        <v>25</v>
      </c>
      <c r="F324" s="472"/>
      <c r="G324" s="472"/>
      <c r="H324" s="472"/>
      <c r="I324" s="472"/>
      <c r="J324" s="472"/>
      <c r="K324" s="472"/>
      <c r="L324" s="91">
        <v>20</v>
      </c>
      <c r="M324" s="91">
        <v>23</v>
      </c>
      <c r="N324" s="91">
        <v>25</v>
      </c>
      <c r="O324" s="91">
        <v>20</v>
      </c>
      <c r="P324" s="91">
        <v>23</v>
      </c>
      <c r="Q324" s="91">
        <v>25</v>
      </c>
      <c r="R324" s="91"/>
    </row>
    <row r="325" spans="1:18" outlineLevel="1">
      <c r="A325" s="94">
        <v>24</v>
      </c>
      <c r="B325" s="203" t="s">
        <v>230</v>
      </c>
      <c r="C325" s="472">
        <v>20</v>
      </c>
      <c r="D325" s="472">
        <v>22</v>
      </c>
      <c r="E325" s="472">
        <v>25</v>
      </c>
      <c r="F325" s="472">
        <v>20</v>
      </c>
      <c r="G325" s="472">
        <v>22</v>
      </c>
      <c r="H325" s="472">
        <v>25</v>
      </c>
      <c r="I325" s="472">
        <v>24</v>
      </c>
      <c r="J325" s="472">
        <v>26.4</v>
      </c>
      <c r="K325" s="472">
        <v>30</v>
      </c>
      <c r="L325" s="91">
        <v>20</v>
      </c>
      <c r="M325" s="91">
        <v>23</v>
      </c>
      <c r="N325" s="91">
        <v>25</v>
      </c>
      <c r="O325" s="91">
        <v>20</v>
      </c>
      <c r="P325" s="91">
        <v>23</v>
      </c>
      <c r="Q325" s="91">
        <v>25</v>
      </c>
      <c r="R325" s="91"/>
    </row>
    <row r="326" spans="1:18" outlineLevel="1">
      <c r="A326" s="94">
        <v>25</v>
      </c>
      <c r="B326" s="203" t="s">
        <v>233</v>
      </c>
      <c r="C326" s="472">
        <v>20</v>
      </c>
      <c r="D326" s="472">
        <v>22</v>
      </c>
      <c r="E326" s="472">
        <v>25</v>
      </c>
      <c r="F326" s="472">
        <v>20</v>
      </c>
      <c r="G326" s="472">
        <v>22</v>
      </c>
      <c r="H326" s="472">
        <v>25</v>
      </c>
      <c r="I326" s="472">
        <v>24</v>
      </c>
      <c r="J326" s="472">
        <v>26.4</v>
      </c>
      <c r="K326" s="472">
        <v>30</v>
      </c>
      <c r="L326" s="91">
        <v>20</v>
      </c>
      <c r="M326" s="91">
        <v>23</v>
      </c>
      <c r="N326" s="91">
        <v>25</v>
      </c>
      <c r="O326" s="91">
        <v>20</v>
      </c>
      <c r="P326" s="91">
        <v>23</v>
      </c>
      <c r="Q326" s="91">
        <v>25</v>
      </c>
      <c r="R326" s="91"/>
    </row>
    <row r="327" spans="1:18" outlineLevel="1">
      <c r="A327" s="94">
        <v>26</v>
      </c>
      <c r="B327" s="203" t="s">
        <v>235</v>
      </c>
      <c r="C327" s="472">
        <v>20</v>
      </c>
      <c r="D327" s="472">
        <v>22</v>
      </c>
      <c r="E327" s="472">
        <v>25</v>
      </c>
      <c r="F327" s="472">
        <v>20</v>
      </c>
      <c r="G327" s="472">
        <v>22</v>
      </c>
      <c r="H327" s="472">
        <v>25</v>
      </c>
      <c r="I327" s="472">
        <v>24</v>
      </c>
      <c r="J327" s="472">
        <v>26.4</v>
      </c>
      <c r="K327" s="472">
        <v>30</v>
      </c>
      <c r="L327" s="91">
        <v>20</v>
      </c>
      <c r="M327" s="91">
        <v>23</v>
      </c>
      <c r="N327" s="91">
        <v>25</v>
      </c>
      <c r="O327" s="91">
        <v>20</v>
      </c>
      <c r="P327" s="91">
        <v>23</v>
      </c>
      <c r="Q327" s="91">
        <v>25</v>
      </c>
      <c r="R327" s="91"/>
    </row>
    <row r="328" spans="1:18" outlineLevel="1">
      <c r="A328" s="94">
        <v>27</v>
      </c>
      <c r="B328" s="203" t="s">
        <v>237</v>
      </c>
      <c r="C328" s="472">
        <v>20</v>
      </c>
      <c r="D328" s="472">
        <v>22</v>
      </c>
      <c r="E328" s="472">
        <v>25</v>
      </c>
      <c r="F328" s="472">
        <v>20</v>
      </c>
      <c r="G328" s="472">
        <v>22</v>
      </c>
      <c r="H328" s="472">
        <v>25</v>
      </c>
      <c r="I328" s="472">
        <v>24</v>
      </c>
      <c r="J328" s="472">
        <v>26.4</v>
      </c>
      <c r="K328" s="472">
        <v>30</v>
      </c>
      <c r="L328" s="91">
        <v>20</v>
      </c>
      <c r="M328" s="91">
        <v>23</v>
      </c>
      <c r="N328" s="91">
        <v>25</v>
      </c>
      <c r="O328" s="91">
        <v>20</v>
      </c>
      <c r="P328" s="91">
        <v>23</v>
      </c>
      <c r="Q328" s="91">
        <v>25</v>
      </c>
      <c r="R328" s="91"/>
    </row>
    <row r="329" spans="1:18" outlineLevel="1">
      <c r="A329" s="94">
        <v>28</v>
      </c>
      <c r="B329" s="203" t="s">
        <v>240</v>
      </c>
      <c r="C329" s="472">
        <v>20</v>
      </c>
      <c r="D329" s="472">
        <v>22</v>
      </c>
      <c r="E329" s="472">
        <v>25</v>
      </c>
      <c r="F329" s="472">
        <v>20</v>
      </c>
      <c r="G329" s="472">
        <v>22</v>
      </c>
      <c r="H329" s="472">
        <v>25</v>
      </c>
      <c r="I329" s="472">
        <v>24</v>
      </c>
      <c r="J329" s="472">
        <v>26.4</v>
      </c>
      <c r="K329" s="472">
        <v>30</v>
      </c>
      <c r="L329" s="91">
        <v>20</v>
      </c>
      <c r="M329" s="91">
        <v>23</v>
      </c>
      <c r="N329" s="91">
        <v>25</v>
      </c>
      <c r="O329" s="91">
        <v>20</v>
      </c>
      <c r="P329" s="91">
        <v>23</v>
      </c>
      <c r="Q329" s="91">
        <v>25</v>
      </c>
      <c r="R329" s="91"/>
    </row>
    <row r="330" spans="1:18" outlineLevel="1">
      <c r="A330" s="94">
        <v>29</v>
      </c>
      <c r="B330" s="203" t="s">
        <v>242</v>
      </c>
      <c r="C330" s="472">
        <v>20</v>
      </c>
      <c r="D330" s="472">
        <v>22</v>
      </c>
      <c r="E330" s="472">
        <v>25</v>
      </c>
      <c r="F330" s="472">
        <v>20</v>
      </c>
      <c r="G330" s="472">
        <v>22</v>
      </c>
      <c r="H330" s="472">
        <v>25</v>
      </c>
      <c r="I330" s="472">
        <v>24</v>
      </c>
      <c r="J330" s="472">
        <v>26.4</v>
      </c>
      <c r="K330" s="472">
        <v>30</v>
      </c>
      <c r="L330" s="91">
        <v>20</v>
      </c>
      <c r="M330" s="91">
        <v>23</v>
      </c>
      <c r="N330" s="91">
        <v>25</v>
      </c>
      <c r="O330" s="91">
        <v>20</v>
      </c>
      <c r="P330" s="91">
        <v>23</v>
      </c>
      <c r="Q330" s="91">
        <v>25</v>
      </c>
      <c r="R330" s="91"/>
    </row>
    <row r="331" spans="1:18" outlineLevel="1">
      <c r="A331" s="94">
        <v>30</v>
      </c>
      <c r="B331" s="203" t="s">
        <v>245</v>
      </c>
      <c r="C331" s="472">
        <v>20</v>
      </c>
      <c r="D331" s="472">
        <v>22</v>
      </c>
      <c r="E331" s="472">
        <v>25</v>
      </c>
      <c r="F331" s="472">
        <v>20</v>
      </c>
      <c r="G331" s="472">
        <v>22</v>
      </c>
      <c r="H331" s="472">
        <v>25</v>
      </c>
      <c r="I331" s="472">
        <v>24</v>
      </c>
      <c r="J331" s="472">
        <v>26.4</v>
      </c>
      <c r="K331" s="472">
        <v>30</v>
      </c>
      <c r="L331" s="91">
        <v>20</v>
      </c>
      <c r="M331" s="91">
        <v>23</v>
      </c>
      <c r="N331" s="91">
        <v>25</v>
      </c>
      <c r="O331" s="91">
        <v>20</v>
      </c>
      <c r="P331" s="91">
        <v>23</v>
      </c>
      <c r="Q331" s="91">
        <v>25</v>
      </c>
      <c r="R331" s="91"/>
    </row>
    <row r="332" spans="1:18" outlineLevel="1">
      <c r="A332" s="94">
        <v>31</v>
      </c>
      <c r="B332" s="203" t="s">
        <v>248</v>
      </c>
      <c r="C332" s="472">
        <v>20</v>
      </c>
      <c r="D332" s="472">
        <v>22</v>
      </c>
      <c r="E332" s="472">
        <v>25</v>
      </c>
      <c r="F332" s="472">
        <v>20</v>
      </c>
      <c r="G332" s="472">
        <v>22</v>
      </c>
      <c r="H332" s="472">
        <v>25</v>
      </c>
      <c r="I332" s="472">
        <v>24</v>
      </c>
      <c r="J332" s="472">
        <v>26.4</v>
      </c>
      <c r="K332" s="472">
        <v>30</v>
      </c>
      <c r="L332" s="91">
        <v>20</v>
      </c>
      <c r="M332" s="91">
        <v>23</v>
      </c>
      <c r="N332" s="91">
        <v>25</v>
      </c>
      <c r="O332" s="91">
        <v>20</v>
      </c>
      <c r="P332" s="91">
        <v>23</v>
      </c>
      <c r="Q332" s="91">
        <v>25</v>
      </c>
      <c r="R332" s="91"/>
    </row>
    <row r="333" spans="1:18" outlineLevel="1">
      <c r="A333" s="94">
        <v>32</v>
      </c>
      <c r="B333" s="203" t="s">
        <v>231</v>
      </c>
      <c r="C333" s="472"/>
      <c r="D333" s="472"/>
      <c r="E333" s="472"/>
      <c r="F333" s="472">
        <v>15</v>
      </c>
      <c r="G333" s="472">
        <v>15</v>
      </c>
      <c r="H333" s="472">
        <v>20</v>
      </c>
      <c r="I333" s="472">
        <v>18</v>
      </c>
      <c r="J333" s="472">
        <v>0</v>
      </c>
      <c r="K333" s="472">
        <v>24</v>
      </c>
      <c r="L333" s="91"/>
      <c r="M333" s="91"/>
      <c r="N333" s="91"/>
      <c r="O333" s="91"/>
      <c r="P333" s="91"/>
      <c r="Q333" s="91"/>
      <c r="R333" s="91"/>
    </row>
    <row r="334" spans="1:18" outlineLevel="1">
      <c r="A334" s="94">
        <v>33</v>
      </c>
      <c r="B334" s="203" t="s">
        <v>234</v>
      </c>
      <c r="C334" s="472"/>
      <c r="D334" s="472"/>
      <c r="E334" s="472"/>
      <c r="F334" s="472">
        <v>15</v>
      </c>
      <c r="G334" s="472">
        <v>15</v>
      </c>
      <c r="H334" s="472">
        <v>20</v>
      </c>
      <c r="I334" s="472">
        <v>18</v>
      </c>
      <c r="J334" s="472">
        <v>0</v>
      </c>
      <c r="K334" s="472">
        <v>24</v>
      </c>
      <c r="L334" s="91"/>
      <c r="M334" s="91"/>
      <c r="N334" s="91"/>
      <c r="O334" s="91"/>
      <c r="P334" s="91"/>
      <c r="Q334" s="91"/>
      <c r="R334" s="91"/>
    </row>
    <row r="335" spans="1:18" outlineLevel="1">
      <c r="A335" s="94">
        <v>34</v>
      </c>
      <c r="B335" s="203" t="s">
        <v>236</v>
      </c>
      <c r="C335" s="472"/>
      <c r="D335" s="472"/>
      <c r="E335" s="472"/>
      <c r="F335" s="472">
        <v>15</v>
      </c>
      <c r="G335" s="472">
        <v>15</v>
      </c>
      <c r="H335" s="472">
        <v>20</v>
      </c>
      <c r="I335" s="472">
        <v>18</v>
      </c>
      <c r="J335" s="472">
        <v>0</v>
      </c>
      <c r="K335" s="472">
        <v>24</v>
      </c>
      <c r="L335" s="91"/>
      <c r="M335" s="91"/>
      <c r="N335" s="91"/>
      <c r="O335" s="91"/>
      <c r="P335" s="91"/>
      <c r="Q335" s="91"/>
      <c r="R335" s="91"/>
    </row>
    <row r="336" spans="1:18" outlineLevel="1">
      <c r="B336" s="203" t="s">
        <v>402</v>
      </c>
      <c r="C336" s="472"/>
      <c r="D336" s="472"/>
      <c r="E336" s="472"/>
      <c r="F336" s="472">
        <v>15</v>
      </c>
      <c r="G336" s="472">
        <v>15</v>
      </c>
      <c r="H336" s="472">
        <v>20</v>
      </c>
      <c r="I336" s="472">
        <v>18</v>
      </c>
      <c r="J336" s="472">
        <v>0</v>
      </c>
      <c r="K336" s="472">
        <v>24</v>
      </c>
      <c r="L336" s="91"/>
      <c r="M336" s="91"/>
      <c r="N336" s="91"/>
      <c r="O336" s="91"/>
      <c r="P336" s="91"/>
      <c r="Q336" s="91"/>
      <c r="R336" s="91"/>
    </row>
    <row r="337" spans="1:18" outlineLevel="1">
      <c r="B337" s="203" t="s">
        <v>403</v>
      </c>
      <c r="C337" s="472"/>
      <c r="D337" s="472"/>
      <c r="E337" s="472"/>
      <c r="F337" s="472">
        <v>15</v>
      </c>
      <c r="G337" s="472">
        <v>15</v>
      </c>
      <c r="H337" s="472">
        <v>20</v>
      </c>
      <c r="I337" s="472">
        <v>18</v>
      </c>
      <c r="J337" s="472">
        <v>0</v>
      </c>
      <c r="K337" s="472">
        <v>24</v>
      </c>
      <c r="L337" s="91"/>
      <c r="M337" s="91"/>
      <c r="N337" s="91"/>
      <c r="O337" s="91"/>
      <c r="P337" s="91"/>
      <c r="Q337" s="91"/>
      <c r="R337" s="91"/>
    </row>
    <row r="338" spans="1:18" outlineLevel="1">
      <c r="A338" s="94">
        <v>35</v>
      </c>
      <c r="B338" s="203" t="s">
        <v>238</v>
      </c>
      <c r="C338" s="472"/>
      <c r="D338" s="472"/>
      <c r="E338" s="472"/>
      <c r="F338" s="472">
        <v>15</v>
      </c>
      <c r="G338" s="472">
        <v>15</v>
      </c>
      <c r="H338" s="472">
        <v>20</v>
      </c>
      <c r="I338" s="472">
        <v>18</v>
      </c>
      <c r="J338" s="472">
        <v>0</v>
      </c>
      <c r="K338" s="472">
        <v>24</v>
      </c>
      <c r="L338" s="91"/>
      <c r="M338" s="91"/>
      <c r="N338" s="91"/>
      <c r="O338" s="91"/>
      <c r="P338" s="91"/>
      <c r="Q338" s="91"/>
      <c r="R338" s="91"/>
    </row>
    <row r="339" spans="1:18" outlineLevel="1">
      <c r="B339" s="203" t="s">
        <v>404</v>
      </c>
      <c r="C339" s="472"/>
      <c r="D339" s="472"/>
      <c r="E339" s="472"/>
      <c r="F339" s="472">
        <v>15</v>
      </c>
      <c r="G339" s="472">
        <v>15</v>
      </c>
      <c r="H339" s="472">
        <v>20</v>
      </c>
      <c r="I339" s="472">
        <v>18</v>
      </c>
      <c r="J339" s="472">
        <v>0</v>
      </c>
      <c r="K339" s="472">
        <v>24</v>
      </c>
      <c r="L339" s="91"/>
      <c r="M339" s="91"/>
      <c r="N339" s="91"/>
      <c r="O339" s="91"/>
      <c r="P339" s="91"/>
      <c r="Q339" s="91"/>
      <c r="R339" s="91"/>
    </row>
    <row r="340" spans="1:18" outlineLevel="1">
      <c r="A340" s="94">
        <v>36</v>
      </c>
      <c r="B340" s="203" t="s">
        <v>241</v>
      </c>
      <c r="C340" s="472"/>
      <c r="D340" s="472"/>
      <c r="E340" s="472"/>
      <c r="F340" s="472">
        <v>15</v>
      </c>
      <c r="G340" s="472">
        <v>15</v>
      </c>
      <c r="H340" s="472">
        <v>20</v>
      </c>
      <c r="I340" s="472">
        <v>18</v>
      </c>
      <c r="J340" s="472">
        <v>0</v>
      </c>
      <c r="K340" s="472">
        <v>24</v>
      </c>
      <c r="L340" s="91"/>
      <c r="M340" s="91"/>
      <c r="N340" s="91"/>
      <c r="O340" s="91"/>
      <c r="P340" s="91"/>
      <c r="Q340" s="91"/>
      <c r="R340" s="91"/>
    </row>
    <row r="341" spans="1:18" outlineLevel="1">
      <c r="A341" s="94">
        <v>37</v>
      </c>
      <c r="B341" s="203" t="s">
        <v>243</v>
      </c>
      <c r="C341" s="472"/>
      <c r="D341" s="472"/>
      <c r="E341" s="472"/>
      <c r="F341" s="472">
        <v>15</v>
      </c>
      <c r="G341" s="472">
        <v>15</v>
      </c>
      <c r="H341" s="472">
        <v>20</v>
      </c>
      <c r="I341" s="472">
        <v>18</v>
      </c>
      <c r="J341" s="472">
        <v>0</v>
      </c>
      <c r="K341" s="472">
        <v>24</v>
      </c>
      <c r="L341" s="91"/>
      <c r="M341" s="91"/>
      <c r="N341" s="91"/>
      <c r="O341" s="91"/>
      <c r="P341" s="91"/>
      <c r="Q341" s="91"/>
      <c r="R341" s="91"/>
    </row>
    <row r="342" spans="1:18" outlineLevel="1">
      <c r="A342" s="94">
        <v>38</v>
      </c>
      <c r="B342" s="203" t="s">
        <v>246</v>
      </c>
      <c r="C342" s="472"/>
      <c r="D342" s="472"/>
      <c r="E342" s="472"/>
      <c r="F342" s="472">
        <v>15</v>
      </c>
      <c r="G342" s="472">
        <v>15</v>
      </c>
      <c r="H342" s="472">
        <v>20</v>
      </c>
      <c r="I342" s="472">
        <v>18</v>
      </c>
      <c r="J342" s="472">
        <v>0</v>
      </c>
      <c r="K342" s="472">
        <v>24</v>
      </c>
      <c r="L342" s="91"/>
      <c r="M342" s="91"/>
      <c r="N342" s="91"/>
      <c r="O342" s="91"/>
      <c r="P342" s="91"/>
      <c r="Q342" s="91"/>
      <c r="R342" s="91"/>
    </row>
    <row r="343" spans="1:18" outlineLevel="1">
      <c r="A343" s="94">
        <v>39</v>
      </c>
      <c r="B343" s="203" t="s">
        <v>249</v>
      </c>
      <c r="C343" s="472"/>
      <c r="D343" s="472"/>
      <c r="E343" s="472"/>
      <c r="F343" s="472">
        <v>15</v>
      </c>
      <c r="G343" s="472">
        <v>15</v>
      </c>
      <c r="H343" s="472">
        <v>20</v>
      </c>
      <c r="I343" s="472">
        <v>18</v>
      </c>
      <c r="J343" s="472">
        <v>0</v>
      </c>
      <c r="K343" s="472">
        <v>24</v>
      </c>
      <c r="L343" s="91"/>
      <c r="M343" s="91"/>
      <c r="N343" s="91"/>
      <c r="O343" s="91"/>
      <c r="P343" s="91"/>
      <c r="Q343" s="91"/>
      <c r="R343" s="91"/>
    </row>
    <row r="344" spans="1:18" outlineLevel="1">
      <c r="A344" s="94">
        <v>40</v>
      </c>
      <c r="B344" s="203" t="s">
        <v>251</v>
      </c>
      <c r="C344" s="472"/>
      <c r="D344" s="472"/>
      <c r="E344" s="472"/>
      <c r="F344" s="472">
        <v>15</v>
      </c>
      <c r="G344" s="472">
        <v>15</v>
      </c>
      <c r="H344" s="472">
        <v>20</v>
      </c>
      <c r="I344" s="472">
        <v>18</v>
      </c>
      <c r="J344" s="472">
        <v>0</v>
      </c>
      <c r="K344" s="472">
        <v>24</v>
      </c>
      <c r="L344" s="91"/>
      <c r="M344" s="91"/>
      <c r="N344" s="91"/>
      <c r="O344" s="91"/>
      <c r="P344" s="91"/>
      <c r="Q344" s="91"/>
      <c r="R344" s="91"/>
    </row>
    <row r="345" spans="1:18" outlineLevel="1">
      <c r="A345" s="94">
        <v>41</v>
      </c>
      <c r="B345" s="203" t="s">
        <v>253</v>
      </c>
      <c r="C345" s="472"/>
      <c r="D345" s="472"/>
      <c r="E345" s="472"/>
      <c r="F345" s="472">
        <v>15</v>
      </c>
      <c r="G345" s="472">
        <v>15</v>
      </c>
      <c r="H345" s="472">
        <v>20</v>
      </c>
      <c r="I345" s="472">
        <v>18</v>
      </c>
      <c r="J345" s="472">
        <v>0</v>
      </c>
      <c r="K345" s="472">
        <v>24</v>
      </c>
      <c r="L345" s="91"/>
      <c r="M345" s="91"/>
      <c r="N345" s="91"/>
      <c r="O345" s="91"/>
      <c r="P345" s="91"/>
      <c r="Q345" s="91"/>
      <c r="R345" s="91"/>
    </row>
    <row r="346" spans="1:18" outlineLevel="1">
      <c r="A346" s="94">
        <v>42</v>
      </c>
      <c r="B346" s="203" t="s">
        <v>255</v>
      </c>
      <c r="C346" s="472"/>
      <c r="D346" s="472"/>
      <c r="E346" s="472"/>
      <c r="F346" s="472">
        <v>15</v>
      </c>
      <c r="G346" s="472">
        <v>15</v>
      </c>
      <c r="H346" s="472">
        <v>20</v>
      </c>
      <c r="I346" s="472">
        <v>18</v>
      </c>
      <c r="J346" s="472">
        <v>0</v>
      </c>
      <c r="K346" s="472">
        <v>24</v>
      </c>
      <c r="L346" s="91"/>
      <c r="M346" s="91"/>
      <c r="N346" s="91"/>
      <c r="O346" s="91"/>
      <c r="P346" s="91"/>
      <c r="Q346" s="91"/>
      <c r="R346" s="91"/>
    </row>
    <row r="347" spans="1:18" outlineLevel="1">
      <c r="A347" s="94">
        <v>43</v>
      </c>
      <c r="B347" s="203" t="s">
        <v>257</v>
      </c>
      <c r="C347" s="472"/>
      <c r="D347" s="472"/>
      <c r="E347" s="472"/>
      <c r="F347" s="472">
        <v>15</v>
      </c>
      <c r="G347" s="472">
        <v>15</v>
      </c>
      <c r="H347" s="472">
        <v>20</v>
      </c>
      <c r="I347" s="472">
        <v>18</v>
      </c>
      <c r="J347" s="472">
        <v>0</v>
      </c>
      <c r="K347" s="472">
        <v>24</v>
      </c>
      <c r="L347" s="91"/>
      <c r="M347" s="91"/>
      <c r="N347" s="91"/>
      <c r="O347" s="91"/>
      <c r="P347" s="91"/>
      <c r="Q347" s="91"/>
      <c r="R347" s="91"/>
    </row>
    <row r="348" spans="1:18" outlineLevel="1">
      <c r="A348" s="94">
        <v>44</v>
      </c>
      <c r="B348" s="203" t="s">
        <v>259</v>
      </c>
      <c r="C348" s="472"/>
      <c r="D348" s="472"/>
      <c r="E348" s="472"/>
      <c r="F348" s="472">
        <v>15</v>
      </c>
      <c r="G348" s="472">
        <v>15</v>
      </c>
      <c r="H348" s="472">
        <v>20</v>
      </c>
      <c r="I348" s="472">
        <v>18</v>
      </c>
      <c r="J348" s="472">
        <v>0</v>
      </c>
      <c r="K348" s="472">
        <v>24</v>
      </c>
      <c r="L348" s="91"/>
      <c r="M348" s="91"/>
      <c r="N348" s="91"/>
      <c r="O348" s="91"/>
      <c r="P348" s="91"/>
      <c r="Q348" s="91"/>
      <c r="R348" s="91"/>
    </row>
    <row r="349" spans="1:18" outlineLevel="1">
      <c r="A349" s="94">
        <v>45</v>
      </c>
      <c r="B349" s="203">
        <v>1</v>
      </c>
      <c r="C349" s="472">
        <v>15</v>
      </c>
      <c r="D349" s="472">
        <v>20</v>
      </c>
      <c r="E349" s="472">
        <v>22</v>
      </c>
      <c r="F349" s="472"/>
      <c r="G349" s="472"/>
      <c r="H349" s="472"/>
      <c r="I349" s="472"/>
      <c r="J349" s="472"/>
      <c r="K349" s="472"/>
      <c r="L349" s="91">
        <v>15</v>
      </c>
      <c r="M349" s="91">
        <v>20</v>
      </c>
      <c r="N349" s="91">
        <v>22</v>
      </c>
      <c r="O349" s="91">
        <v>15</v>
      </c>
      <c r="P349" s="91">
        <v>20</v>
      </c>
      <c r="Q349" s="91">
        <v>22</v>
      </c>
      <c r="R349" s="91"/>
    </row>
    <row r="350" spans="1:18" outlineLevel="1">
      <c r="A350" s="94">
        <v>46</v>
      </c>
      <c r="B350" s="203">
        <v>2</v>
      </c>
      <c r="C350" s="472">
        <v>15</v>
      </c>
      <c r="D350" s="472">
        <v>20</v>
      </c>
      <c r="E350" s="472">
        <v>22</v>
      </c>
      <c r="F350" s="472"/>
      <c r="G350" s="472"/>
      <c r="H350" s="472"/>
      <c r="I350" s="472"/>
      <c r="J350" s="472"/>
      <c r="K350" s="472"/>
      <c r="L350" s="91">
        <v>15</v>
      </c>
      <c r="M350" s="91">
        <v>20</v>
      </c>
      <c r="N350" s="91">
        <v>22</v>
      </c>
      <c r="O350" s="91">
        <v>15</v>
      </c>
      <c r="P350" s="91">
        <v>20</v>
      </c>
      <c r="Q350" s="91">
        <v>22</v>
      </c>
      <c r="R350" s="91"/>
    </row>
    <row r="351" spans="1:18" outlineLevel="1">
      <c r="A351" s="94">
        <v>47</v>
      </c>
      <c r="B351" s="203">
        <v>3</v>
      </c>
      <c r="C351" s="472">
        <v>15</v>
      </c>
      <c r="D351" s="472">
        <v>20</v>
      </c>
      <c r="E351" s="472">
        <v>22</v>
      </c>
      <c r="F351" s="472"/>
      <c r="G351" s="472"/>
      <c r="H351" s="472"/>
      <c r="I351" s="472"/>
      <c r="J351" s="472"/>
      <c r="K351" s="472"/>
      <c r="L351" s="91">
        <v>15</v>
      </c>
      <c r="M351" s="91">
        <v>20</v>
      </c>
      <c r="N351" s="91">
        <v>22</v>
      </c>
      <c r="O351" s="91">
        <v>15</v>
      </c>
      <c r="P351" s="91">
        <v>20</v>
      </c>
      <c r="Q351" s="91">
        <v>22</v>
      </c>
      <c r="R351" s="91"/>
    </row>
    <row r="352" spans="1:18" outlineLevel="1">
      <c r="A352" s="94">
        <v>48</v>
      </c>
      <c r="B352" s="203">
        <v>4</v>
      </c>
      <c r="C352" s="472">
        <v>15</v>
      </c>
      <c r="D352" s="472">
        <v>20</v>
      </c>
      <c r="E352" s="472">
        <v>22</v>
      </c>
      <c r="F352" s="472"/>
      <c r="G352" s="472"/>
      <c r="H352" s="472"/>
      <c r="I352" s="472"/>
      <c r="J352" s="472"/>
      <c r="K352" s="472"/>
      <c r="L352" s="91">
        <v>15</v>
      </c>
      <c r="M352" s="91">
        <v>20</v>
      </c>
      <c r="N352" s="91">
        <v>22</v>
      </c>
      <c r="O352" s="91">
        <v>15</v>
      </c>
      <c r="P352" s="91">
        <v>20</v>
      </c>
      <c r="Q352" s="91">
        <v>22</v>
      </c>
      <c r="R352" s="91"/>
    </row>
    <row r="353" spans="1:18" outlineLevel="1">
      <c r="A353" s="94">
        <v>49</v>
      </c>
      <c r="B353" s="203">
        <v>5</v>
      </c>
      <c r="C353" s="472">
        <v>15</v>
      </c>
      <c r="D353" s="472">
        <v>20</v>
      </c>
      <c r="E353" s="472">
        <v>22</v>
      </c>
      <c r="F353" s="472"/>
      <c r="G353" s="472"/>
      <c r="H353" s="472"/>
      <c r="I353" s="472"/>
      <c r="J353" s="472"/>
      <c r="K353" s="472"/>
      <c r="L353" s="91">
        <v>15</v>
      </c>
      <c r="M353" s="91">
        <v>20</v>
      </c>
      <c r="N353" s="91">
        <v>22</v>
      </c>
      <c r="O353" s="91">
        <v>15</v>
      </c>
      <c r="P353" s="91">
        <v>20</v>
      </c>
      <c r="Q353" s="91">
        <v>22</v>
      </c>
      <c r="R353" s="91"/>
    </row>
    <row r="354" spans="1:18" outlineLevel="1"/>
    <row r="355" spans="1:18" outlineLevel="1"/>
    <row r="356" spans="1:18" outlineLevel="1"/>
    <row r="357" spans="1:18" outlineLevel="1">
      <c r="A357" s="94" t="s">
        <v>321</v>
      </c>
    </row>
    <row r="358" spans="1:18" s="93" customFormat="1" outlineLevel="1">
      <c r="A358" s="93" t="s">
        <v>319</v>
      </c>
      <c r="B358" s="93" t="s">
        <v>320</v>
      </c>
    </row>
    <row r="359" spans="1:18" ht="14.4" outlineLevel="1">
      <c r="A359" s="205" t="s">
        <v>248</v>
      </c>
      <c r="B359" s="473">
        <v>0.4</v>
      </c>
      <c r="C359" t="s">
        <v>322</v>
      </c>
    </row>
    <row r="360" spans="1:18" ht="14.4" outlineLevel="1">
      <c r="A360" t="s">
        <v>245</v>
      </c>
      <c r="B360" s="473">
        <v>0.3</v>
      </c>
      <c r="C360"/>
    </row>
    <row r="361" spans="1:18" ht="14.4" outlineLevel="1">
      <c r="A361" t="s">
        <v>245</v>
      </c>
      <c r="B361" s="473">
        <v>0.25</v>
      </c>
      <c r="C361"/>
    </row>
    <row r="362" spans="1:18" ht="14.4" outlineLevel="1">
      <c r="A362" t="s">
        <v>242</v>
      </c>
      <c r="B362" s="473">
        <v>0.2</v>
      </c>
      <c r="C362"/>
    </row>
    <row r="363" spans="1:18" ht="14.4" outlineLevel="1">
      <c r="A363" t="s">
        <v>233</v>
      </c>
      <c r="B363" s="473">
        <v>0.08</v>
      </c>
      <c r="C363"/>
    </row>
    <row r="364" spans="1:18" outlineLevel="1"/>
    <row r="365" spans="1:18" outlineLevel="1"/>
    <row r="366" spans="1:18" outlineLevel="1"/>
    <row r="367" spans="1:18" outlineLevel="1"/>
    <row r="368" spans="1:18" outlineLevel="1"/>
    <row r="369" spans="1:2" s="93" customFormat="1" outlineLevel="1">
      <c r="A369" s="93" t="s">
        <v>58</v>
      </c>
    </row>
    <row r="370" spans="1:2" outlineLevel="1"/>
    <row r="371" spans="1:2" outlineLevel="1"/>
    <row r="372" spans="1:2" outlineLevel="1">
      <c r="A372" s="91">
        <v>0</v>
      </c>
      <c r="B372" s="91">
        <f>0</f>
        <v>0</v>
      </c>
    </row>
    <row r="373" spans="1:2" outlineLevel="1">
      <c r="A373" s="91">
        <v>1</v>
      </c>
      <c r="B373" s="91">
        <f>$B$123</f>
        <v>310</v>
      </c>
    </row>
    <row r="374" spans="1:2" outlineLevel="1">
      <c r="A374" s="91">
        <v>2</v>
      </c>
      <c r="B374" s="91">
        <f>$B$124+$B$373</f>
        <v>620</v>
      </c>
    </row>
    <row r="375" spans="1:2" outlineLevel="1">
      <c r="A375" s="91">
        <v>3</v>
      </c>
      <c r="B375" s="91">
        <f>B374+$B$125</f>
        <v>829</v>
      </c>
    </row>
    <row r="376" spans="1:2" outlineLevel="1">
      <c r="A376" s="91">
        <v>4</v>
      </c>
      <c r="B376" s="91">
        <f t="shared" ref="B376:B382" si="8">B375+$B$125</f>
        <v>1038</v>
      </c>
    </row>
    <row r="377" spans="1:2" outlineLevel="1">
      <c r="A377" s="91">
        <v>5</v>
      </c>
      <c r="B377" s="91">
        <f t="shared" si="8"/>
        <v>1247</v>
      </c>
    </row>
    <row r="378" spans="1:2" outlineLevel="1">
      <c r="A378" s="91">
        <v>6</v>
      </c>
      <c r="B378" s="91">
        <f t="shared" si="8"/>
        <v>1456</v>
      </c>
    </row>
    <row r="379" spans="1:2" outlineLevel="1">
      <c r="A379" s="91">
        <v>7</v>
      </c>
      <c r="B379" s="91">
        <f t="shared" si="8"/>
        <v>1665</v>
      </c>
    </row>
    <row r="380" spans="1:2" outlineLevel="1">
      <c r="A380" s="91">
        <v>8</v>
      </c>
      <c r="B380" s="91">
        <f t="shared" si="8"/>
        <v>1874</v>
      </c>
    </row>
    <row r="381" spans="1:2" outlineLevel="1">
      <c r="A381" s="91">
        <v>9</v>
      </c>
      <c r="B381" s="91">
        <f t="shared" si="8"/>
        <v>2083</v>
      </c>
    </row>
    <row r="382" spans="1:2" outlineLevel="1">
      <c r="A382" s="91">
        <v>10</v>
      </c>
      <c r="B382" s="91">
        <f t="shared" si="8"/>
        <v>2292</v>
      </c>
    </row>
    <row r="383" spans="1:2" outlineLevel="1"/>
    <row r="384" spans="1:2" outlineLevel="1"/>
    <row r="385" spans="1:4" outlineLevel="1"/>
    <row r="386" spans="1:4" outlineLevel="1">
      <c r="A386" s="91" t="s">
        <v>279</v>
      </c>
      <c r="B386" s="91">
        <f>IF(Selection!Q94="no",1,0)</f>
        <v>1</v>
      </c>
    </row>
    <row r="387" spans="1:4" outlineLevel="1">
      <c r="A387" s="91" t="s">
        <v>506</v>
      </c>
      <c r="B387" s="91">
        <f>IF(AND(Selection!Q94="no",Selection!Q98="yes"),1,0)</f>
        <v>0</v>
      </c>
    </row>
    <row r="388" spans="1:4" outlineLevel="1">
      <c r="A388" s="91" t="s">
        <v>348</v>
      </c>
      <c r="B388" s="91">
        <f>IF(Selection!Q94="no",Selection!Q102,0)</f>
        <v>0</v>
      </c>
    </row>
    <row r="389" spans="1:4" outlineLevel="1">
      <c r="A389" s="91" t="s">
        <v>349</v>
      </c>
      <c r="B389" s="91">
        <f>IF(Selection!Q94="no",Selection!Q104,0)</f>
        <v>0</v>
      </c>
    </row>
    <row r="390" spans="1:4" outlineLevel="1">
      <c r="A390" s="91" t="s">
        <v>350</v>
      </c>
      <c r="B390" s="91">
        <f>SUM(B386:B389)</f>
        <v>1</v>
      </c>
    </row>
    <row r="391" spans="1:4" outlineLevel="1"/>
    <row r="392" spans="1:4" s="492" customFormat="1" outlineLevel="1">
      <c r="A392" s="93" t="s">
        <v>329</v>
      </c>
      <c r="B392" s="93"/>
      <c r="C392" s="93"/>
      <c r="D392" s="93"/>
    </row>
    <row r="393" spans="1:4" ht="14.4" outlineLevel="1" thickBot="1"/>
    <row r="394" spans="1:4" ht="15" outlineLevel="1" thickBot="1">
      <c r="A394" s="481" t="s">
        <v>378</v>
      </c>
      <c r="B394" s="482" t="s">
        <v>379</v>
      </c>
    </row>
    <row r="395" spans="1:4" ht="15" outlineLevel="1" thickBot="1">
      <c r="A395" s="483"/>
      <c r="B395" s="484"/>
    </row>
    <row r="396" spans="1:4" ht="15" outlineLevel="1" thickBot="1">
      <c r="A396" s="483"/>
      <c r="B396" s="484"/>
    </row>
    <row r="397" spans="1:4" ht="15" outlineLevel="1" thickBot="1">
      <c r="A397" s="483"/>
      <c r="B397" s="484"/>
    </row>
    <row r="398" spans="1:4" ht="15" outlineLevel="1" thickBot="1">
      <c r="A398" s="483"/>
      <c r="B398" s="485"/>
    </row>
    <row r="399" spans="1:4" ht="15" outlineLevel="1" thickBot="1">
      <c r="A399" s="483"/>
      <c r="B399" s="485"/>
    </row>
    <row r="400" spans="1:4" ht="15" outlineLevel="1" thickBot="1">
      <c r="A400" s="486" t="s">
        <v>380</v>
      </c>
      <c r="B400" s="487"/>
    </row>
    <row r="401" spans="1:3" ht="15" outlineLevel="1" thickBot="1">
      <c r="A401" s="723" t="s">
        <v>381</v>
      </c>
      <c r="B401" s="724">
        <v>123.13</v>
      </c>
    </row>
    <row r="402" spans="1:3" ht="15" outlineLevel="1" thickBot="1">
      <c r="A402" s="723" t="s">
        <v>382</v>
      </c>
      <c r="B402" s="724">
        <v>191.53</v>
      </c>
    </row>
    <row r="403" spans="1:3" outlineLevel="1"/>
    <row r="404" spans="1:3" outlineLevel="1"/>
    <row r="405" spans="1:3" outlineLevel="1">
      <c r="A405" s="91" t="s">
        <v>1</v>
      </c>
      <c r="B405" s="91" t="s">
        <v>226</v>
      </c>
      <c r="C405" s="91"/>
    </row>
    <row r="406" spans="1:3" outlineLevel="1">
      <c r="A406" s="91" t="s">
        <v>4</v>
      </c>
      <c r="B406" s="740">
        <v>123.13</v>
      </c>
      <c r="C406" s="91"/>
    </row>
    <row r="407" spans="1:3" outlineLevel="1">
      <c r="A407" s="91" t="s">
        <v>232</v>
      </c>
      <c r="B407" s="740">
        <v>123.13</v>
      </c>
      <c r="C407" s="91"/>
    </row>
    <row r="408" spans="1:3" outlineLevel="1">
      <c r="A408" s="91" t="s">
        <v>2</v>
      </c>
      <c r="B408" s="740">
        <v>123.13</v>
      </c>
      <c r="C408" s="91"/>
    </row>
    <row r="409" spans="1:3" outlineLevel="1">
      <c r="A409" s="91" t="s">
        <v>3</v>
      </c>
      <c r="B409" s="740">
        <v>123.13</v>
      </c>
      <c r="C409" s="91"/>
    </row>
    <row r="410" spans="1:3" outlineLevel="1">
      <c r="A410" s="91" t="s">
        <v>239</v>
      </c>
      <c r="B410" s="740">
        <v>123.13</v>
      </c>
      <c r="C410" s="91"/>
    </row>
    <row r="411" spans="1:3" outlineLevel="1">
      <c r="A411" s="91" t="s">
        <v>11</v>
      </c>
      <c r="B411" s="740">
        <v>123.13</v>
      </c>
      <c r="C411" s="91"/>
    </row>
    <row r="412" spans="1:3" outlineLevel="1">
      <c r="A412" s="91" t="s">
        <v>244</v>
      </c>
      <c r="B412" s="740">
        <v>123.13</v>
      </c>
      <c r="C412" s="91"/>
    </row>
    <row r="413" spans="1:3" outlineLevel="1">
      <c r="A413" s="91" t="s">
        <v>247</v>
      </c>
      <c r="B413" s="740">
        <v>123.13</v>
      </c>
      <c r="C413" s="91"/>
    </row>
    <row r="414" spans="1:3" outlineLevel="1">
      <c r="A414" s="91" t="s">
        <v>250</v>
      </c>
      <c r="B414" s="740">
        <v>123.13</v>
      </c>
      <c r="C414" s="91"/>
    </row>
    <row r="415" spans="1:3" outlineLevel="1">
      <c r="A415" s="91" t="s">
        <v>252</v>
      </c>
      <c r="B415" s="740">
        <v>191.53</v>
      </c>
      <c r="C415" s="91"/>
    </row>
    <row r="416" spans="1:3" outlineLevel="1">
      <c r="A416" s="91" t="s">
        <v>254</v>
      </c>
      <c r="B416" s="740">
        <v>191.53</v>
      </c>
      <c r="C416" s="91"/>
    </row>
    <row r="417" spans="1:3" outlineLevel="1">
      <c r="A417" s="91" t="s">
        <v>256</v>
      </c>
      <c r="B417" s="740">
        <v>191.53</v>
      </c>
      <c r="C417" s="91"/>
    </row>
    <row r="418" spans="1:3" outlineLevel="1">
      <c r="A418" s="91" t="s">
        <v>258</v>
      </c>
      <c r="B418" s="740">
        <v>191.53</v>
      </c>
      <c r="C418" s="91"/>
    </row>
    <row r="419" spans="1:3" outlineLevel="1">
      <c r="A419" s="91" t="s">
        <v>260</v>
      </c>
      <c r="B419" s="740">
        <v>191.53</v>
      </c>
      <c r="C419" s="91"/>
    </row>
    <row r="420" spans="1:3" outlineLevel="1">
      <c r="A420" s="91" t="s">
        <v>261</v>
      </c>
      <c r="B420" s="740">
        <v>191.53</v>
      </c>
      <c r="C420" s="91"/>
    </row>
    <row r="421" spans="1:3" outlineLevel="1">
      <c r="A421" s="91" t="s">
        <v>262</v>
      </c>
      <c r="B421" s="740">
        <v>191.53</v>
      </c>
      <c r="C421" s="91"/>
    </row>
    <row r="422" spans="1:3" outlineLevel="1">
      <c r="A422" s="91" t="s">
        <v>263</v>
      </c>
      <c r="B422" s="740">
        <v>191.53</v>
      </c>
      <c r="C422" s="91"/>
    </row>
    <row r="423" spans="1:3" outlineLevel="1">
      <c r="A423" s="91" t="s">
        <v>264</v>
      </c>
      <c r="B423" s="740">
        <v>191.53</v>
      </c>
      <c r="C423" s="91"/>
    </row>
    <row r="424" spans="1:3" outlineLevel="1">
      <c r="A424" s="91" t="s">
        <v>265</v>
      </c>
      <c r="B424" s="740">
        <v>191.53</v>
      </c>
      <c r="C424" s="91"/>
    </row>
    <row r="425" spans="1:3" outlineLevel="1">
      <c r="A425" s="91" t="s">
        <v>266</v>
      </c>
      <c r="B425" s="740">
        <v>191.53</v>
      </c>
      <c r="C425" s="91"/>
    </row>
    <row r="426" spans="1:3" outlineLevel="1">
      <c r="A426" s="91" t="s">
        <v>267</v>
      </c>
      <c r="B426" s="740">
        <v>191.53</v>
      </c>
      <c r="C426" s="91"/>
    </row>
    <row r="427" spans="1:3" outlineLevel="1">
      <c r="A427" s="91" t="s">
        <v>268</v>
      </c>
      <c r="B427" s="740">
        <v>191.53</v>
      </c>
      <c r="C427" s="91"/>
    </row>
    <row r="428" spans="1:3" outlineLevel="1">
      <c r="A428" s="91" t="s">
        <v>230</v>
      </c>
      <c r="B428" s="740">
        <v>0</v>
      </c>
      <c r="C428" s="91"/>
    </row>
    <row r="429" spans="1:3" outlineLevel="1">
      <c r="A429" s="741" t="s">
        <v>233</v>
      </c>
      <c r="B429" s="742">
        <v>191.53</v>
      </c>
      <c r="C429" s="741"/>
    </row>
    <row r="430" spans="1:3" outlineLevel="1">
      <c r="A430" s="741" t="s">
        <v>235</v>
      </c>
      <c r="B430" s="742">
        <v>191.53</v>
      </c>
      <c r="C430" s="741"/>
    </row>
    <row r="431" spans="1:3" outlineLevel="1">
      <c r="A431" s="741" t="s">
        <v>237</v>
      </c>
      <c r="B431" s="742">
        <v>191.53</v>
      </c>
      <c r="C431" s="741"/>
    </row>
    <row r="432" spans="1:3" outlineLevel="1">
      <c r="A432" s="741" t="s">
        <v>240</v>
      </c>
      <c r="B432" s="742">
        <v>191.53</v>
      </c>
      <c r="C432" s="741"/>
    </row>
    <row r="433" spans="1:3" outlineLevel="1">
      <c r="A433" s="741" t="s">
        <v>242</v>
      </c>
      <c r="B433" s="742">
        <v>191.53</v>
      </c>
      <c r="C433" s="741"/>
    </row>
    <row r="434" spans="1:3" outlineLevel="1">
      <c r="A434" s="741" t="s">
        <v>245</v>
      </c>
      <c r="B434" s="742">
        <v>191.53</v>
      </c>
      <c r="C434" s="741"/>
    </row>
    <row r="435" spans="1:3" outlineLevel="1">
      <c r="A435" s="741" t="s">
        <v>248</v>
      </c>
      <c r="B435" s="742">
        <v>191.53</v>
      </c>
      <c r="C435" s="741"/>
    </row>
    <row r="436" spans="1:3" outlineLevel="1">
      <c r="A436" s="592" t="s">
        <v>231</v>
      </c>
      <c r="B436" s="740">
        <v>0</v>
      </c>
      <c r="C436" s="91"/>
    </row>
    <row r="437" spans="1:3" outlineLevel="1">
      <c r="A437" s="592" t="s">
        <v>234</v>
      </c>
      <c r="B437" s="740">
        <v>0</v>
      </c>
      <c r="C437" s="91"/>
    </row>
    <row r="438" spans="1:3" outlineLevel="1">
      <c r="A438" s="592" t="s">
        <v>236</v>
      </c>
      <c r="B438" s="740">
        <v>0</v>
      </c>
      <c r="C438" s="91"/>
    </row>
    <row r="439" spans="1:3" outlineLevel="1">
      <c r="A439" s="193" t="s">
        <v>402</v>
      </c>
      <c r="B439" s="740">
        <v>0</v>
      </c>
      <c r="C439" s="91"/>
    </row>
    <row r="440" spans="1:3" outlineLevel="1">
      <c r="A440" s="193" t="s">
        <v>403</v>
      </c>
      <c r="B440" s="740">
        <v>0</v>
      </c>
      <c r="C440" s="91"/>
    </row>
    <row r="441" spans="1:3" outlineLevel="1">
      <c r="A441" s="592" t="s">
        <v>238</v>
      </c>
      <c r="B441" s="740">
        <v>0</v>
      </c>
      <c r="C441" s="91"/>
    </row>
    <row r="442" spans="1:3" outlineLevel="1">
      <c r="A442" s="193" t="s">
        <v>404</v>
      </c>
      <c r="B442" s="740">
        <v>0</v>
      </c>
      <c r="C442" s="91"/>
    </row>
    <row r="443" spans="1:3" outlineLevel="1">
      <c r="A443" s="592" t="s">
        <v>241</v>
      </c>
      <c r="B443" s="740">
        <v>0</v>
      </c>
      <c r="C443" s="91"/>
    </row>
    <row r="444" spans="1:3" outlineLevel="1">
      <c r="A444" s="592" t="s">
        <v>243</v>
      </c>
      <c r="B444" s="740">
        <v>0</v>
      </c>
      <c r="C444" s="91"/>
    </row>
    <row r="445" spans="1:3" outlineLevel="1">
      <c r="A445" s="592" t="s">
        <v>246</v>
      </c>
      <c r="B445" s="740">
        <v>0</v>
      </c>
      <c r="C445" s="91"/>
    </row>
    <row r="446" spans="1:3" outlineLevel="1">
      <c r="A446" s="592" t="s">
        <v>249</v>
      </c>
      <c r="B446" s="740">
        <v>0</v>
      </c>
      <c r="C446" s="91"/>
    </row>
    <row r="447" spans="1:3" outlineLevel="1">
      <c r="A447" s="592" t="s">
        <v>251</v>
      </c>
      <c r="B447" s="740">
        <v>0</v>
      </c>
      <c r="C447" s="91"/>
    </row>
    <row r="448" spans="1:3" outlineLevel="1">
      <c r="A448" s="592" t="s">
        <v>253</v>
      </c>
      <c r="B448" s="740">
        <v>0</v>
      </c>
      <c r="C448" s="91"/>
    </row>
    <row r="449" spans="1:3" outlineLevel="1">
      <c r="A449" s="592" t="s">
        <v>255</v>
      </c>
      <c r="B449" s="740">
        <v>0</v>
      </c>
      <c r="C449" s="91"/>
    </row>
    <row r="450" spans="1:3" outlineLevel="1">
      <c r="A450" s="592" t="s">
        <v>257</v>
      </c>
      <c r="B450" s="740">
        <v>0</v>
      </c>
      <c r="C450" s="91"/>
    </row>
    <row r="451" spans="1:3" outlineLevel="1">
      <c r="A451" s="592" t="s">
        <v>259</v>
      </c>
      <c r="B451" s="740">
        <v>0</v>
      </c>
      <c r="C451" s="91"/>
    </row>
    <row r="452" spans="1:3" outlineLevel="1">
      <c r="A452" s="193">
        <v>1</v>
      </c>
      <c r="B452" s="740">
        <v>123.13</v>
      </c>
      <c r="C452" s="91"/>
    </row>
    <row r="453" spans="1:3" outlineLevel="1">
      <c r="A453" s="193">
        <v>2</v>
      </c>
      <c r="B453" s="740">
        <v>123.13</v>
      </c>
      <c r="C453" s="91"/>
    </row>
    <row r="454" spans="1:3" outlineLevel="1">
      <c r="A454" s="193">
        <v>3</v>
      </c>
      <c r="B454" s="740">
        <v>123.13</v>
      </c>
      <c r="C454" s="91"/>
    </row>
    <row r="455" spans="1:3" outlineLevel="1">
      <c r="A455" s="193">
        <v>4</v>
      </c>
      <c r="B455" s="740">
        <v>123.13</v>
      </c>
      <c r="C455" s="91"/>
    </row>
    <row r="456" spans="1:3" outlineLevel="1">
      <c r="A456" s="193">
        <v>5</v>
      </c>
      <c r="B456" s="740">
        <v>123.13</v>
      </c>
      <c r="C456" s="91"/>
    </row>
    <row r="457" spans="1:3" outlineLevel="1"/>
    <row r="458" spans="1:3" s="492" customFormat="1" ht="14.4" outlineLevel="1" thickBot="1">
      <c r="A458" s="93" t="s">
        <v>386</v>
      </c>
    </row>
    <row r="459" spans="1:3" ht="15" outlineLevel="1" thickBot="1">
      <c r="A459" s="843" t="s">
        <v>1</v>
      </c>
      <c r="B459" s="844"/>
    </row>
    <row r="460" spans="1:3" ht="15" outlineLevel="1" thickBot="1">
      <c r="A460" s="490">
        <v>1</v>
      </c>
      <c r="B460" s="491">
        <v>67.62</v>
      </c>
    </row>
    <row r="461" spans="1:3" ht="15" outlineLevel="1" thickBot="1">
      <c r="A461" s="490">
        <v>2</v>
      </c>
      <c r="B461" s="491">
        <v>69.83</v>
      </c>
    </row>
    <row r="462" spans="1:3" ht="15" outlineLevel="1" thickBot="1">
      <c r="A462" s="490">
        <v>3</v>
      </c>
      <c r="B462" s="491">
        <v>72.33</v>
      </c>
    </row>
    <row r="463" spans="1:3" ht="15" outlineLevel="1" thickBot="1">
      <c r="A463" s="490">
        <v>4</v>
      </c>
      <c r="B463" s="491">
        <v>80.930000000000007</v>
      </c>
    </row>
    <row r="464" spans="1:3" ht="15" outlineLevel="1" thickBot="1">
      <c r="A464" s="490">
        <v>5</v>
      </c>
      <c r="B464" s="491">
        <v>92.43</v>
      </c>
    </row>
    <row r="465" spans="1:4" outlineLevel="1"/>
    <row r="466" spans="1:4" outlineLevel="1">
      <c r="A466" s="94" t="s">
        <v>479</v>
      </c>
      <c r="B466" s="94" t="str">
        <f>Selection!N20</f>
        <v>B</v>
      </c>
    </row>
    <row r="467" spans="1:4" outlineLevel="1">
      <c r="A467" s="94">
        <f>IFERROR(VLOOKUP(B466,'Lists &amp; Rates'!A460:B464,2,0),0)</f>
        <v>0</v>
      </c>
    </row>
    <row r="468" spans="1:4" outlineLevel="1"/>
    <row r="469" spans="1:4" outlineLevel="1">
      <c r="A469" s="94" t="s">
        <v>389</v>
      </c>
    </row>
    <row r="470" spans="1:4" outlineLevel="1">
      <c r="A470" s="94">
        <v>40</v>
      </c>
    </row>
    <row r="471" spans="1:4" outlineLevel="1">
      <c r="A471" s="94">
        <v>45</v>
      </c>
    </row>
    <row r="472" spans="1:4" outlineLevel="1"/>
    <row r="473" spans="1:4" outlineLevel="1"/>
    <row r="474" spans="1:4" s="570" customFormat="1" outlineLevel="1">
      <c r="A474" s="570" t="s">
        <v>418</v>
      </c>
    </row>
    <row r="475" spans="1:4" s="571" customFormat="1" outlineLevel="1"/>
    <row r="476" spans="1:4" s="571" customFormat="1" outlineLevel="1">
      <c r="A476" s="571" t="s">
        <v>53</v>
      </c>
    </row>
    <row r="477" spans="1:4" s="571" customFormat="1" outlineLevel="1">
      <c r="A477" s="571" t="s">
        <v>16</v>
      </c>
    </row>
    <row r="478" spans="1:4" s="571" customFormat="1" outlineLevel="1">
      <c r="C478" s="572" t="s">
        <v>420</v>
      </c>
      <c r="D478" s="572" t="s">
        <v>421</v>
      </c>
    </row>
    <row r="479" spans="1:4" s="571" customFormat="1" outlineLevel="1">
      <c r="A479" s="571" t="s">
        <v>419</v>
      </c>
      <c r="B479" s="571" t="str">
        <f>Selection!Q118</f>
        <v>Bonus Month</v>
      </c>
    </row>
    <row r="480" spans="1:4" s="571" customFormat="1" outlineLevel="1">
      <c r="A480" s="571" t="s">
        <v>72</v>
      </c>
      <c r="B480" s="571" t="str">
        <f>Selection!N10</f>
        <v>SAB Limited</v>
      </c>
      <c r="C480" s="571">
        <f>IFERROR((VLOOKUP(B480,$A$485:$C$489,3,0)),1)</f>
        <v>1</v>
      </c>
      <c r="D480" s="571">
        <f>IFERROR((VLOOKUP(B480,$A$485:$D$489,4,0)),0)</f>
        <v>0</v>
      </c>
    </row>
    <row r="481" spans="1:5" s="571" customFormat="1" outlineLevel="1"/>
    <row r="482" spans="1:5" s="571" customFormat="1" outlineLevel="1"/>
    <row r="483" spans="1:5" s="571" customFormat="1" outlineLevel="1"/>
    <row r="484" spans="1:5" s="571" customFormat="1" outlineLevel="1">
      <c r="A484" s="573" t="s">
        <v>118</v>
      </c>
      <c r="B484" s="571" t="s">
        <v>426</v>
      </c>
      <c r="C484" s="571" t="s">
        <v>452</v>
      </c>
      <c r="D484" s="571" t="s">
        <v>452</v>
      </c>
      <c r="E484" s="571" t="s">
        <v>451</v>
      </c>
    </row>
    <row r="485" spans="1:5" s="571" customFormat="1" outlineLevel="1">
      <c r="A485" s="574" t="str">
        <f>A13</f>
        <v>Alliance Beverages</v>
      </c>
      <c r="B485" s="575" t="s">
        <v>429</v>
      </c>
      <c r="C485" s="575">
        <f t="shared" ref="C485:C489" si="9">IFERROR((IF($B$479=$A$477,E485,1)),1)</f>
        <v>1</v>
      </c>
      <c r="D485" s="575">
        <f t="shared" ref="D485:D489" si="10">IFERROR((IF($B$479=$A$477,E485,0)),0)</f>
        <v>0</v>
      </c>
      <c r="E485" s="575">
        <v>11</v>
      </c>
    </row>
    <row r="486" spans="1:5" s="571" customFormat="1" outlineLevel="1">
      <c r="A486" s="574" t="str">
        <f>A14</f>
        <v>Brewex</v>
      </c>
      <c r="B486" s="575" t="s">
        <v>429</v>
      </c>
      <c r="C486" s="575">
        <f t="shared" si="9"/>
        <v>1</v>
      </c>
      <c r="D486" s="575">
        <f t="shared" si="10"/>
        <v>0</v>
      </c>
      <c r="E486" s="575">
        <v>11</v>
      </c>
    </row>
    <row r="487" spans="1:5" s="571" customFormat="1" outlineLevel="1">
      <c r="A487" s="574" t="str">
        <f>A15</f>
        <v>SAB Limited</v>
      </c>
      <c r="B487" s="575" t="s">
        <v>428</v>
      </c>
      <c r="C487" s="575">
        <f t="shared" si="9"/>
        <v>1</v>
      </c>
      <c r="D487" s="575">
        <f t="shared" si="10"/>
        <v>0</v>
      </c>
      <c r="E487" s="575">
        <v>11</v>
      </c>
    </row>
    <row r="488" spans="1:5" s="571" customFormat="1" outlineLevel="1">
      <c r="A488" s="574" t="str">
        <f>A16</f>
        <v>SABMiller Africa</v>
      </c>
      <c r="B488" s="575" t="s">
        <v>429</v>
      </c>
      <c r="C488" s="575">
        <f t="shared" si="9"/>
        <v>1</v>
      </c>
      <c r="D488" s="575">
        <f t="shared" si="10"/>
        <v>0</v>
      </c>
      <c r="E488" s="575">
        <v>11</v>
      </c>
    </row>
    <row r="489" spans="1:5" s="571" customFormat="1" outlineLevel="1">
      <c r="A489" s="574" t="str">
        <f>A17</f>
        <v>SGCS</v>
      </c>
      <c r="B489" s="575" t="s">
        <v>429</v>
      </c>
      <c r="C489" s="575">
        <f t="shared" si="9"/>
        <v>1</v>
      </c>
      <c r="D489" s="575">
        <f t="shared" si="10"/>
        <v>0</v>
      </c>
      <c r="E489" s="575">
        <v>11</v>
      </c>
    </row>
    <row r="490" spans="1:5" s="571" customFormat="1" outlineLevel="1"/>
    <row r="491" spans="1:5" s="571" customFormat="1" outlineLevel="1"/>
    <row r="492" spans="1:5" s="571" customFormat="1" outlineLevel="1"/>
    <row r="493" spans="1:5" s="570" customFormat="1" outlineLevel="1">
      <c r="A493" s="570" t="s">
        <v>426</v>
      </c>
    </row>
    <row r="494" spans="1:5" s="571" customFormat="1" outlineLevel="1"/>
    <row r="495" spans="1:5" s="571" customFormat="1" outlineLevel="1">
      <c r="A495" s="576">
        <f>Selection!N32</f>
        <v>44311</v>
      </c>
      <c r="B495" s="571" t="s">
        <v>430</v>
      </c>
    </row>
    <row r="496" spans="1:5" s="571" customFormat="1" outlineLevel="1">
      <c r="A496" s="577">
        <f>DAY(EOMONTH(A495,0))</f>
        <v>30</v>
      </c>
    </row>
    <row r="497" spans="1:12" s="571" customFormat="1" outlineLevel="1">
      <c r="A497" s="576" t="s">
        <v>436</v>
      </c>
      <c r="B497" s="571" t="str">
        <f>Selection!N34</f>
        <v>SAP</v>
      </c>
    </row>
    <row r="498" spans="1:12" s="571" customFormat="1" outlineLevel="1">
      <c r="A498" s="576" t="s">
        <v>437</v>
      </c>
      <c r="B498" s="571" t="str">
        <f>CONCATENATE(B497,B479)</f>
        <v>SAPBonus Month</v>
      </c>
    </row>
    <row r="499" spans="1:12" s="571" customFormat="1" outlineLevel="1">
      <c r="A499" s="576" t="s">
        <v>429</v>
      </c>
    </row>
    <row r="500" spans="1:12" s="571" customFormat="1" outlineLevel="1">
      <c r="A500" s="576" t="s">
        <v>428</v>
      </c>
    </row>
    <row r="501" spans="1:12" s="571" customFormat="1" outlineLevel="1">
      <c r="A501" s="576" t="s">
        <v>435</v>
      </c>
      <c r="B501" s="588">
        <f>IF(Selection!N16=A62,'For Office Use'!D159,'For Office Use'!D158)</f>
        <v>365</v>
      </c>
    </row>
    <row r="502" spans="1:12" s="571" customFormat="1" outlineLevel="1">
      <c r="A502" s="576"/>
    </row>
    <row r="503" spans="1:12" s="571" customFormat="1" outlineLevel="1">
      <c r="A503" s="571" t="s">
        <v>454</v>
      </c>
      <c r="B503" s="571">
        <f>VLOOKUP(B480,$A$485:$E$489,5,0)</f>
        <v>11</v>
      </c>
    </row>
    <row r="504" spans="1:12" s="571" customFormat="1" outlineLevel="1">
      <c r="A504" s="571" t="s">
        <v>433</v>
      </c>
      <c r="B504" s="578">
        <f>'Dummy Payslip'!O71</f>
        <v>5969.2835019999993</v>
      </c>
    </row>
    <row r="505" spans="1:12" s="571" customFormat="1" outlineLevel="1">
      <c r="A505" s="571" t="s">
        <v>453</v>
      </c>
      <c r="B505" s="578">
        <f>+B506/B503</f>
        <v>490.24636363636364</v>
      </c>
    </row>
    <row r="506" spans="1:12" s="571" customFormat="1" outlineLevel="1">
      <c r="A506" s="571" t="s">
        <v>434</v>
      </c>
      <c r="B506" s="578">
        <f>'Dummy Payslip'!Q72</f>
        <v>5392.71</v>
      </c>
    </row>
    <row r="507" spans="1:12" s="571" customFormat="1" outlineLevel="1"/>
    <row r="508" spans="1:12" s="571" customFormat="1" outlineLevel="1">
      <c r="A508" s="575">
        <v>1</v>
      </c>
      <c r="B508" s="575">
        <v>2</v>
      </c>
      <c r="C508" s="575">
        <v>3</v>
      </c>
      <c r="D508" s="575">
        <v>4</v>
      </c>
      <c r="E508" s="575">
        <v>5</v>
      </c>
      <c r="F508" s="575">
        <v>6</v>
      </c>
      <c r="G508" s="575">
        <v>7</v>
      </c>
      <c r="H508" s="575">
        <v>8</v>
      </c>
      <c r="I508" s="575">
        <v>9</v>
      </c>
      <c r="J508" s="575">
        <v>10</v>
      </c>
    </row>
    <row r="509" spans="1:12" s="571" customFormat="1" ht="27.6" outlineLevel="1">
      <c r="A509" s="575"/>
      <c r="B509" s="579" t="s">
        <v>442</v>
      </c>
      <c r="C509" s="580" t="s">
        <v>446</v>
      </c>
      <c r="D509" s="580" t="s">
        <v>450</v>
      </c>
      <c r="E509" s="580" t="s">
        <v>448</v>
      </c>
      <c r="F509" s="580" t="s">
        <v>444</v>
      </c>
      <c r="G509" s="580" t="s">
        <v>449</v>
      </c>
      <c r="H509" s="581" t="s">
        <v>443</v>
      </c>
      <c r="I509" s="580" t="s">
        <v>445</v>
      </c>
      <c r="J509" s="580" t="s">
        <v>447</v>
      </c>
      <c r="K509" s="572"/>
    </row>
    <row r="510" spans="1:12" s="571" customFormat="1" outlineLevel="1">
      <c r="A510" s="575" t="s">
        <v>438</v>
      </c>
      <c r="B510" s="582">
        <f>+B504*12</f>
        <v>71631.402023999995</v>
      </c>
      <c r="C510" s="582">
        <f>IFERROR((MAX(0,((B510-LOOKUP(B510,'Lists &amp; Rates'!$A$132:$A$138,'Lists &amp; Rates'!$A$132:$A$138)-1)*LOOKUP(B510,'Lists &amp; Rates'!$A$132:$A$138,'Lists &amp; Rates'!$D$132:$D$138)+LOOKUP(B510,'Lists &amp; Rates'!$A$132:$A$138,'Lists &amp; Rates'!$C$132:$C$138)-'Dummy Payslip'!$Q$83))),0)</f>
        <v>0</v>
      </c>
      <c r="D510" s="589">
        <f>+C510/12</f>
        <v>0</v>
      </c>
      <c r="E510" s="582">
        <f>+I510-C510</f>
        <v>0</v>
      </c>
      <c r="F510" s="582">
        <f>E510/B503</f>
        <v>0</v>
      </c>
      <c r="G510" s="586">
        <f>IF(AND(B480="ABI",B479="Monthly"),0,F510)</f>
        <v>0</v>
      </c>
      <c r="H510" s="582">
        <f>+B510+B506</f>
        <v>77024.112024000002</v>
      </c>
      <c r="I510" s="582">
        <f>IFERROR((MAX(0,((H510-LOOKUP(H510,'Lists &amp; Rates'!$A$132:$A$138,'Lists &amp; Rates'!$A$132:$A$138)-1)*LOOKUP(H510,'Lists &amp; Rates'!$A$132:$A$138,'Lists &amp; Rates'!$D$132:$D$138)+LOOKUP(H510,'Lists &amp; Rates'!$A$132:$A$138,'Lists &amp; Rates'!$C$132:$C$138)-'Dummy Payslip'!$Q$83))),0)</f>
        <v>0</v>
      </c>
      <c r="J510" s="582">
        <f>+I510/12</f>
        <v>0</v>
      </c>
      <c r="K510" s="577"/>
      <c r="L510" s="577"/>
    </row>
    <row r="511" spans="1:12" s="571" customFormat="1" outlineLevel="1">
      <c r="A511" s="575" t="s">
        <v>439</v>
      </c>
      <c r="B511" s="582">
        <f>+B510</f>
        <v>71631.402023999995</v>
      </c>
      <c r="C511" s="582">
        <f>IFERROR((MAX(0,((B511-LOOKUP(B511,'Lists &amp; Rates'!$A$132:$A$138,'Lists &amp; Rates'!$A$132:$A$138)-1)*LOOKUP(B511,'Lists &amp; Rates'!$A$132:$A$138,'Lists &amp; Rates'!$D$132:$D$138)+LOOKUP(B511,'Lists &amp; Rates'!$A$132:$A$138,'Lists &amp; Rates'!$C$132:$C$138)-'Dummy Payslip'!$Q$83))),0)</f>
        <v>0</v>
      </c>
      <c r="D511" s="589">
        <f>+C511/12</f>
        <v>0</v>
      </c>
      <c r="E511" s="582">
        <f>+I511-C511</f>
        <v>0</v>
      </c>
      <c r="F511" s="582">
        <v>0</v>
      </c>
      <c r="G511" s="583">
        <f>+E511</f>
        <v>0</v>
      </c>
      <c r="H511" s="582">
        <f>+B511+B506</f>
        <v>77024.112024000002</v>
      </c>
      <c r="I511" s="582">
        <f>IFERROR((MAX(0,((H511-LOOKUP(H511,'Lists &amp; Rates'!$A$132:$A$138,'Lists &amp; Rates'!$A$132:$A$138)-1)*LOOKUP(H511,'Lists &amp; Rates'!$A$132:$A$138,'Lists &amp; Rates'!$D$132:$D$138)+LOOKUP(H511,'Lists &amp; Rates'!$A$132:$A$138,'Lists &amp; Rates'!$C$132:$C$138)-'Dummy Payslip'!$Q$83))),0)</f>
        <v>0</v>
      </c>
      <c r="J511" s="582">
        <f>+I511/12</f>
        <v>0</v>
      </c>
      <c r="K511" s="577"/>
      <c r="L511" s="577"/>
    </row>
    <row r="512" spans="1:12" s="571" customFormat="1" outlineLevel="1">
      <c r="A512" s="575" t="s">
        <v>440</v>
      </c>
      <c r="B512" s="582">
        <f>+(B504)/A496*B501</f>
        <v>72626.282607666653</v>
      </c>
      <c r="C512" s="582">
        <f>IFERROR((MAX(0,((B512-LOOKUP(B512,'Lists &amp; Rates'!$A$132:$A$138,'Lists &amp; Rates'!$A$132:$A$138)-1)*LOOKUP(B512,'Lists &amp; Rates'!$A$132:$A$138,'Lists &amp; Rates'!$D$132:$D$138)+LOOKUP(B512,'Lists &amp; Rates'!$A$132:$A$138,'Lists &amp; Rates'!$C$132:$C$138)-'Dummy Payslip'!$Q$83))),0)</f>
        <v>0</v>
      </c>
      <c r="D512" s="584">
        <f>+C512/B501*A496</f>
        <v>0</v>
      </c>
      <c r="E512" s="582">
        <f>+I512-C512</f>
        <v>0</v>
      </c>
      <c r="F512" s="582">
        <f>+E512/B501*A496</f>
        <v>0</v>
      </c>
      <c r="G512" s="586">
        <f>F512</f>
        <v>0</v>
      </c>
      <c r="H512" s="582">
        <f>+(B504+B505)/A496*B501</f>
        <v>78590.946698575746</v>
      </c>
      <c r="I512" s="582">
        <f>IFERROR((MAX(0,((H512-LOOKUP(H512,'Lists &amp; Rates'!$A$132:$A$138,'Lists &amp; Rates'!$A$132:$A$138)-1)*LOOKUP(H512,'Lists &amp; Rates'!$A$132:$A$138,'Lists &amp; Rates'!$D$132:$D$138)+LOOKUP(H512,'Lists &amp; Rates'!$A$132:$A$138,'Lists &amp; Rates'!$C$132:$C$138)-'Dummy Payslip'!$Q$83))),0)</f>
        <v>0</v>
      </c>
      <c r="J512" s="582">
        <f>+I512/B501*A496</f>
        <v>0</v>
      </c>
      <c r="K512" s="577"/>
      <c r="L512" s="577"/>
    </row>
    <row r="513" spans="1:12" s="571" customFormat="1" outlineLevel="1">
      <c r="A513" s="575" t="s">
        <v>441</v>
      </c>
      <c r="B513" s="582">
        <f>+B512</f>
        <v>72626.282607666653</v>
      </c>
      <c r="C513" s="582">
        <f>IFERROR((MAX(0,((B513-LOOKUP(B513,'Lists &amp; Rates'!$A$132:$A$138,'Lists &amp; Rates'!$A$132:$A$138)-1)*LOOKUP(B513,'Lists &amp; Rates'!$A$132:$A$138,'Lists &amp; Rates'!$D$132:$D$138)+LOOKUP(B513,'Lists &amp; Rates'!$A$132:$A$138,'Lists &amp; Rates'!$C$132:$C$138)-'Dummy Payslip'!$Q$83))),0)</f>
        <v>0</v>
      </c>
      <c r="D513" s="584">
        <f>+C513/B501*A496</f>
        <v>0</v>
      </c>
      <c r="E513" s="706">
        <f>+I513-C513</f>
        <v>0</v>
      </c>
      <c r="F513" s="582">
        <v>0</v>
      </c>
      <c r="G513" s="583">
        <f>+E513</f>
        <v>0</v>
      </c>
      <c r="H513" s="582">
        <f>+H512</f>
        <v>78590.946698575746</v>
      </c>
      <c r="I513" s="582">
        <f>IFERROR((MAX(0,((H513-LOOKUP(H513,'Lists &amp; Rates'!$A$132:$A$138,'Lists &amp; Rates'!$A$132:$A$138)-1)*LOOKUP(H513,'Lists &amp; Rates'!$A$132:$A$138,'Lists &amp; Rates'!$D$132:$D$138)+LOOKUP(H513,'Lists &amp; Rates'!$A$132:$A$138,'Lists &amp; Rates'!$C$132:$C$138)-'Dummy Payslip'!$Q$83))),0)</f>
        <v>0</v>
      </c>
      <c r="J513" s="582">
        <f>+I513/B501*A496</f>
        <v>0</v>
      </c>
      <c r="K513" s="707" t="s">
        <v>507</v>
      </c>
      <c r="L513" s="707"/>
    </row>
    <row r="514" spans="1:12" outlineLevel="1">
      <c r="A514" s="575" t="s">
        <v>497</v>
      </c>
      <c r="B514" s="582">
        <f>+($B$504)/$A$496*$B$501</f>
        <v>72626.282607666653</v>
      </c>
      <c r="C514" s="582">
        <f>IFERROR((MAX(0,((B514-LOOKUP(B514,'Lists &amp; Rates'!$A$132:$A$138,'Lists &amp; Rates'!$A$132:$A$138)-1)*LOOKUP(B514,'Lists &amp; Rates'!$A$132:$A$138,'Lists &amp; Rates'!$D$132:$D$138)+LOOKUP(B514,'Lists &amp; Rates'!$A$132:$A$138,'Lists &amp; Rates'!$C$132:$C$138)-'Dummy Payslip'!$Q$83))),0)</f>
        <v>0</v>
      </c>
      <c r="D514" s="584">
        <f>+C514/B501*A496</f>
        <v>0</v>
      </c>
      <c r="E514" s="582">
        <v>0</v>
      </c>
      <c r="F514" s="582">
        <v>0</v>
      </c>
      <c r="G514" s="586">
        <v>0</v>
      </c>
      <c r="H514" s="582">
        <f>+($B$504+$B$505)/$A$496*$B$501</f>
        <v>78590.946698575746</v>
      </c>
      <c r="I514" s="582">
        <f>IFERROR((MAX(0,((H514-LOOKUP(H514,'Lists &amp; Rates'!$A$132:$A$138,'Lists &amp; Rates'!$A$132:$A$138)-1)*LOOKUP(H514,'Lists &amp; Rates'!$A$132:$A$138,'Lists &amp; Rates'!$D$132:$D$138)+LOOKUP(H514,'Lists &amp; Rates'!$A$132:$A$138,'Lists &amp; Rates'!$C$132:$C$138)-'Dummy Payslip'!$Q$83))),0)</f>
        <v>0</v>
      </c>
      <c r="J514" s="582">
        <f>+I514/B501*A496</f>
        <v>0</v>
      </c>
      <c r="K514" s="133"/>
      <c r="L514" s="133"/>
    </row>
    <row r="515" spans="1:12" outlineLevel="1">
      <c r="A515" s="575" t="s">
        <v>498</v>
      </c>
      <c r="B515" s="582">
        <f>$B$504*12</f>
        <v>71631.402023999995</v>
      </c>
      <c r="C515" s="582">
        <f>IFERROR((MAX(0,((B515-LOOKUP(B515,'Lists &amp; Rates'!$A$132:$A$138,'Lists &amp; Rates'!$A$132:$A$138)-1)*LOOKUP(B515,'Lists &amp; Rates'!$A$132:$A$138,'Lists &amp; Rates'!$D$132:$D$138)+LOOKUP(B515,'Lists &amp; Rates'!$A$132:$A$138,'Lists &amp; Rates'!$C$132:$C$138)-'Dummy Payslip'!$Q$83))),0)</f>
        <v>0</v>
      </c>
      <c r="D515" s="584">
        <f>C515/12</f>
        <v>0</v>
      </c>
      <c r="E515" s="582">
        <f>+E513</f>
        <v>0</v>
      </c>
      <c r="F515" s="582">
        <v>0</v>
      </c>
      <c r="G515" s="583">
        <f>+E515</f>
        <v>0</v>
      </c>
      <c r="H515" s="582">
        <f>($B$504+$B$505)*12</f>
        <v>77514.358387636355</v>
      </c>
      <c r="I515" s="582">
        <f>IFERROR((MAX(0,((H515-LOOKUP(H515,'Lists &amp; Rates'!$A$132:$A$138,'Lists &amp; Rates'!$A$132:$A$138)-1)*LOOKUP(H515,'Lists &amp; Rates'!$A$132:$A$138,'Lists &amp; Rates'!$D$132:$D$138)+LOOKUP(H515,'Lists &amp; Rates'!$A$132:$A$138,'Lists &amp; Rates'!$C$132:$C$138)-'Dummy Payslip'!$Q$83))),0)</f>
        <v>0</v>
      </c>
      <c r="J515" s="582">
        <f>+I515/12</f>
        <v>0</v>
      </c>
      <c r="K515" s="133"/>
      <c r="L515" s="133"/>
    </row>
    <row r="516" spans="1:12" outlineLevel="1"/>
    <row r="517" spans="1:12" outlineLevel="1"/>
    <row r="518" spans="1:12" outlineLevel="1"/>
    <row r="519" spans="1:12" s="492" customFormat="1" outlineLevel="1">
      <c r="A519" s="93" t="s">
        <v>455</v>
      </c>
    </row>
    <row r="520" spans="1:12" outlineLevel="1">
      <c r="A520" s="94" t="s">
        <v>456</v>
      </c>
    </row>
    <row r="521" spans="1:12" outlineLevel="1">
      <c r="A521" s="94" t="s">
        <v>457</v>
      </c>
    </row>
    <row r="522" spans="1:12" outlineLevel="1"/>
    <row r="523" spans="1:12" outlineLevel="1"/>
    <row r="524" spans="1:12" outlineLevel="1"/>
    <row r="525" spans="1:12" outlineLevel="1"/>
    <row r="526" spans="1:12" outlineLevel="1"/>
    <row r="527" spans="1:12" outlineLevel="1"/>
    <row r="528" spans="1:12" outlineLevel="1"/>
    <row r="529" outlineLevel="1"/>
    <row r="530" outlineLevel="1"/>
    <row r="531" outlineLevel="1"/>
    <row r="532" outlineLevel="1"/>
    <row r="533" outlineLevel="1"/>
    <row r="534" outlineLevel="1"/>
    <row r="535" outlineLevel="1"/>
  </sheetData>
  <sheetProtection selectLockedCells="1"/>
  <autoFilter ref="B302:G353" xr:uid="{00000000-0009-0000-0000-000006000000}"/>
  <sortState xmlns:xlrd2="http://schemas.microsoft.com/office/spreadsheetml/2017/richdata2" ref="H59:H67">
    <sortCondition ref="H59"/>
  </sortState>
  <mergeCells count="1">
    <mergeCell ref="A459:B459"/>
  </mergeCells>
  <hyperlinks>
    <hyperlink ref="A6" location="RET" display="RET" xr:uid="{00000000-0004-0000-0600-000000000000}"/>
    <hyperlink ref="A5" location="UIF" display="UIF" xr:uid="{00000000-0004-0000-0600-000001000000}"/>
    <hyperlink ref="A4" location="cars" display="cars" xr:uid="{00000000-0004-0000-0600-000002000000}"/>
    <hyperlink ref="A3" location="TAX" display="TAX" xr:uid="{00000000-0004-0000-0600-000003000000}"/>
  </hyperlink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36"/>
  <sheetViews>
    <sheetView showGridLines="0" zoomScale="60" zoomScaleNormal="60" workbookViewId="0">
      <selection activeCell="A11" sqref="A11"/>
    </sheetView>
  </sheetViews>
  <sheetFormatPr defaultColWidth="9.109375" defaultRowHeight="14.4"/>
  <cols>
    <col min="1" max="1" width="25.5546875" customWidth="1"/>
    <col min="2" max="2" width="40.109375" customWidth="1"/>
    <col min="3" max="3" width="161" customWidth="1"/>
  </cols>
  <sheetData>
    <row r="1" spans="1:2" ht="126" customHeight="1"/>
    <row r="2" spans="1:2" ht="126" customHeight="1">
      <c r="A2" t="str">
        <f>CONCATENATE(SUBSTITUTE('Lists &amp; Rates'!A13," ","_"),"pic")</f>
        <v>Alliance_Beveragespic</v>
      </c>
    </row>
    <row r="3" spans="1:2" ht="126" customHeight="1">
      <c r="A3" t="str">
        <f>CONCATENATE(SUBSTITUTE('Lists &amp; Rates'!A14," ","_"),"pic")</f>
        <v>Brewexpic</v>
      </c>
    </row>
    <row r="4" spans="1:2" ht="126" customHeight="1">
      <c r="A4" t="str">
        <f>CONCATENATE(SUBSTITUTE('Lists &amp; Rates'!A15," ","_"),"pic")</f>
        <v>SAB_Limitedpic</v>
      </c>
    </row>
    <row r="5" spans="1:2" ht="126" customHeight="1">
      <c r="A5" t="str">
        <f>CONCATENATE(SUBSTITUTE('Lists &amp; Rates'!A16," ","_"),"pic")</f>
        <v>SABMiller_Africapic</v>
      </c>
    </row>
    <row r="6" spans="1:2" ht="126" customHeight="1">
      <c r="A6" t="str">
        <f>CONCATENATE(SUBSTITUTE('Lists &amp; Rates'!A17," ","_"),"pic")</f>
        <v>SGCSpic</v>
      </c>
    </row>
    <row r="9" spans="1:2">
      <c r="A9" s="494" t="str">
        <f>Selection!$N$10</f>
        <v>SAB Limited</v>
      </c>
      <c r="B9" t="s">
        <v>390</v>
      </c>
    </row>
    <row r="11" spans="1:2">
      <c r="A11" s="494" t="str">
        <f>CONCATENATE(SUBSTITUTE(Selection!N10," ","_"),"pic")</f>
        <v>SAB_Limitedpic</v>
      </c>
      <c r="B11" t="s">
        <v>391</v>
      </c>
    </row>
    <row r="26" s="530" customFormat="1"/>
    <row r="27" s="530" customFormat="1"/>
    <row r="28" s="530" customFormat="1"/>
    <row r="29" s="530" customFormat="1"/>
    <row r="30" s="530" customFormat="1"/>
    <row r="31" s="530" customFormat="1"/>
    <row r="32" s="530" customFormat="1"/>
    <row r="33" s="530" customFormat="1"/>
    <row r="34" s="530" customFormat="1"/>
    <row r="35" s="530" customFormat="1"/>
    <row r="36" s="530" customFormat="1"/>
  </sheetData>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12DCC077502446B26ABBEA1871262A" ma:contentTypeVersion="0" ma:contentTypeDescription="Create a new document." ma:contentTypeScope="" ma:versionID="32b1f6a206e2331c81368ccde97473ae">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52F0F1-6F33-48CB-AAF2-4B2418F5D5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8D68078C-F0CB-4BAC-8A16-6F1D94F511C7}">
  <ds:schemaRefs>
    <ds:schemaRef ds:uri="http://purl.org/dc/dcmitype/"/>
    <ds:schemaRef ds:uri="http://purl.org/dc/terms/"/>
    <ds:schemaRef ds:uri="http://schemas.microsoft.com/office/2006/metadata/properties"/>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A75DA3A8-F69E-4104-A5B6-6790A564F6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68</vt:i4>
      </vt:variant>
    </vt:vector>
  </HeadingPairs>
  <TitlesOfParts>
    <vt:vector size="76" baseType="lpstr">
      <vt:lpstr>Instructions &amp; Glossary</vt:lpstr>
      <vt:lpstr>Selection</vt:lpstr>
      <vt:lpstr>Dummy Payslip</vt:lpstr>
      <vt:lpstr>Annexure A</vt:lpstr>
      <vt:lpstr>For Office Use</vt:lpstr>
      <vt:lpstr>Pie Chart Data</vt:lpstr>
      <vt:lpstr>Lists &amp; Rates</vt:lpstr>
      <vt:lpstr>Pictures</vt:lpstr>
      <vt:lpstr>Alliance_BeveragesST</vt:lpstr>
      <vt:lpstr>Alliance_Salary</vt:lpstr>
      <vt:lpstr>Alrode_Brewery</vt:lpstr>
      <vt:lpstr>bonus</vt:lpstr>
      <vt:lpstr>Brewex_Salary</vt:lpstr>
      <vt:lpstr>BrewexST</vt:lpstr>
      <vt:lpstr>Cape_Region</vt:lpstr>
      <vt:lpstr>car</vt:lpstr>
      <vt:lpstr>CarAC</vt:lpstr>
      <vt:lpstr>carloan</vt:lpstr>
      <vt:lpstr>cars</vt:lpstr>
      <vt:lpstr>Central_Region</vt:lpstr>
      <vt:lpstr>Chamdor_Brewery</vt:lpstr>
      <vt:lpstr>Company</vt:lpstr>
      <vt:lpstr>comprehensive</vt:lpstr>
      <vt:lpstr>East_Coast_Region</vt:lpstr>
      <vt:lpstr>EE_Package</vt:lpstr>
      <vt:lpstr>EER</vt:lpstr>
      <vt:lpstr>Egoli_Region</vt:lpstr>
      <vt:lpstr>essential</vt:lpstr>
      <vt:lpstr>Fixedcar</vt:lpstr>
      <vt:lpstr>Flex</vt:lpstr>
      <vt:lpstr>Ibhayi_Brewery</vt:lpstr>
      <vt:lpstr>MAXPE</vt:lpstr>
      <vt:lpstr>Medplan</vt:lpstr>
      <vt:lpstr>Newlands_Brewery</vt:lpstr>
      <vt:lpstr>North_Region</vt:lpstr>
      <vt:lpstr>Number</vt:lpstr>
      <vt:lpstr>Polokwane_Brewery</vt:lpstr>
      <vt:lpstr>'Annexure A'!Print_Area</vt:lpstr>
      <vt:lpstr>'Dummy Payslip'!Print_Area</vt:lpstr>
      <vt:lpstr>'Instructions &amp; Glossary'!Print_Area</vt:lpstr>
      <vt:lpstr>Selection!Print_Area</vt:lpstr>
      <vt:lpstr>'Instructions &amp; Glossary'!Print_Titles</vt:lpstr>
      <vt:lpstr>Selection!Print_Titles</vt:lpstr>
      <vt:lpstr>Prospecton_Brewery</vt:lpstr>
      <vt:lpstr>Reasons</vt:lpstr>
      <vt:lpstr>RET</vt:lpstr>
      <vt:lpstr>RetContrib</vt:lpstr>
      <vt:lpstr>Rosslyn_Brewery</vt:lpstr>
      <vt:lpstr>SAB_Central_Office</vt:lpstr>
      <vt:lpstr>SAB_Company</vt:lpstr>
      <vt:lpstr>SAB_Hop_Farms</vt:lpstr>
      <vt:lpstr>SAB_Limited</vt:lpstr>
      <vt:lpstr>SAB_LimitedST</vt:lpstr>
      <vt:lpstr>SAB_Salary</vt:lpstr>
      <vt:lpstr>SAB_Wages</vt:lpstr>
      <vt:lpstr>SABLeave</vt:lpstr>
      <vt:lpstr>SABLeave3</vt:lpstr>
      <vt:lpstr>SABLeave5</vt:lpstr>
      <vt:lpstr>SABMiller_Africa</vt:lpstr>
      <vt:lpstr>SABMiller_Africa_Salary</vt:lpstr>
      <vt:lpstr>SABMiller_AfricaST</vt:lpstr>
      <vt:lpstr>SABMiller_Global_Projects</vt:lpstr>
      <vt:lpstr>SABMiller_Global_Technical</vt:lpstr>
      <vt:lpstr>SAM_Alrode_Maltings</vt:lpstr>
      <vt:lpstr>SAM_Caledon_Maltings</vt:lpstr>
      <vt:lpstr>SGCS</vt:lpstr>
      <vt:lpstr>SGCS_Salary</vt:lpstr>
      <vt:lpstr>SGCSST</vt:lpstr>
      <vt:lpstr>Status</vt:lpstr>
      <vt:lpstr>stiper</vt:lpstr>
      <vt:lpstr>TAX</vt:lpstr>
      <vt:lpstr>travel</vt:lpstr>
      <vt:lpstr>UIF</vt:lpstr>
      <vt:lpstr>Variablecar</vt:lpstr>
      <vt:lpstr>Wagehours</vt:lpstr>
      <vt:lpstr>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Mariana Stander</dc:creator>
  <cp:lastModifiedBy>Neliswa Khumalo</cp:lastModifiedBy>
  <cp:lastPrinted>2020-01-29T11:28:58Z</cp:lastPrinted>
  <dcterms:created xsi:type="dcterms:W3CDTF">2014-07-14T08:48:41Z</dcterms:created>
  <dcterms:modified xsi:type="dcterms:W3CDTF">2021-05-04T06:38:12Z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0x0101009312DCC077502446B26ABBEA1871262A</vt:lpwstr>
  </property>
  <property fmtid="{D5CDD505-2E9C-101B-9397-08002B2CF9AE}" pid="3" name="SV_QUERY_LIST_4F35BF76-6C0D-4D9B-82B2-816C12CF3733">
    <vt:lpwstr>empty_477D106A-C0D6-4607-AEBD-E2C9D60EA279</vt:lpwstr>
  </property>
</Properties>
</file>