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PRIMERA" sheetId="32" r:id="rId1"/>
    <sheet name="TXT" sheetId="31" r:id="rId2"/>
  </sheets>
  <calcPr calcId="162913"/>
</workbook>
</file>

<file path=xl/calcChain.xml><?xml version="1.0" encoding="utf-8"?>
<calcChain xmlns="http://schemas.openxmlformats.org/spreadsheetml/2006/main">
  <c r="Q17" i="32" l="1"/>
  <c r="Q16" i="32"/>
  <c r="Q18" i="32"/>
  <c r="AH10" i="32"/>
  <c r="Q23" i="32"/>
  <c r="Q10" i="32"/>
  <c r="AO7" i="32" l="1"/>
  <c r="AM29" i="32" l="1"/>
  <c r="AL29" i="32"/>
  <c r="AH29" i="32"/>
  <c r="AN29" i="32"/>
  <c r="I4" i="31"/>
  <c r="AO27" i="32" l="1"/>
  <c r="AO26" i="32"/>
  <c r="AO25" i="32"/>
  <c r="AO4" i="32"/>
  <c r="O23" i="32"/>
  <c r="P23" i="32" s="1"/>
  <c r="AE29" i="32" l="1"/>
  <c r="AJ9" i="32"/>
  <c r="AJ6" i="32"/>
  <c r="AC14" i="32" l="1"/>
  <c r="AC24" i="32"/>
  <c r="AC28" i="32"/>
  <c r="AB28" i="32"/>
  <c r="AB24" i="32"/>
  <c r="AB14" i="32"/>
  <c r="AA28" i="32"/>
  <c r="AA24" i="32"/>
  <c r="AA14" i="32"/>
  <c r="O26" i="32"/>
  <c r="W26" i="32" s="1"/>
  <c r="AC29" i="32" l="1"/>
  <c r="AA29" i="32"/>
  <c r="AB29" i="32"/>
  <c r="Q26" i="32"/>
  <c r="X26" i="32" s="1"/>
  <c r="V26" i="32"/>
  <c r="Y26" i="32" l="1"/>
  <c r="Z26" i="32" s="1"/>
  <c r="AD26" i="32" s="1"/>
  <c r="AP26" i="32" s="1"/>
  <c r="U24" i="32" l="1"/>
  <c r="T24" i="32"/>
  <c r="S24" i="32"/>
  <c r="T28" i="32"/>
  <c r="S28" i="32"/>
  <c r="R28" i="32"/>
  <c r="P28" i="32"/>
  <c r="O27" i="32"/>
  <c r="Q27" i="32" s="1"/>
  <c r="O25" i="32"/>
  <c r="Q25" i="32" s="1"/>
  <c r="O22" i="32"/>
  <c r="O21" i="32"/>
  <c r="W21" i="32" s="1"/>
  <c r="O20" i="32"/>
  <c r="V20" i="32" s="1"/>
  <c r="O19" i="32"/>
  <c r="W19" i="32" s="1"/>
  <c r="O18" i="32"/>
  <c r="V18" i="32" s="1"/>
  <c r="O17" i="32"/>
  <c r="R16" i="32"/>
  <c r="R24" i="32" s="1"/>
  <c r="O16" i="32"/>
  <c r="O15" i="32"/>
  <c r="U14" i="32"/>
  <c r="T14" i="32"/>
  <c r="R14" i="32"/>
  <c r="S13" i="32"/>
  <c r="O13" i="32"/>
  <c r="V13" i="32" s="1"/>
  <c r="S12" i="32"/>
  <c r="O12" i="32"/>
  <c r="V12" i="32" s="1"/>
  <c r="L12" i="32"/>
  <c r="S11" i="32"/>
  <c r="O11" i="32"/>
  <c r="L11" i="32"/>
  <c r="S10" i="32"/>
  <c r="O10" i="32"/>
  <c r="P10" i="32" s="1"/>
  <c r="S9" i="32"/>
  <c r="O9" i="32"/>
  <c r="V9" i="32" s="1"/>
  <c r="S8" i="32"/>
  <c r="O8" i="32"/>
  <c r="P8" i="32" s="1"/>
  <c r="S7" i="32"/>
  <c r="O7" i="32"/>
  <c r="V7" i="32" s="1"/>
  <c r="S6" i="32"/>
  <c r="O6" i="32"/>
  <c r="W6" i="32" s="1"/>
  <c r="A6" i="32"/>
  <c r="A7" i="32" s="1"/>
  <c r="A8" i="32" s="1"/>
  <c r="A9" i="32" s="1"/>
  <c r="A10" i="32" s="1"/>
  <c r="A11" i="32" s="1"/>
  <c r="A12" i="32" s="1"/>
  <c r="A13" i="32" s="1"/>
  <c r="S5" i="32"/>
  <c r="O5" i="32"/>
  <c r="V5" i="32" s="1"/>
  <c r="A5" i="32"/>
  <c r="S4" i="32"/>
  <c r="O4" i="32"/>
  <c r="A15" i="32" l="1"/>
  <c r="A16" i="32" s="1"/>
  <c r="A17" i="32" s="1"/>
  <c r="A18" i="32" s="1"/>
  <c r="A19" i="32" s="1"/>
  <c r="A20" i="32" s="1"/>
  <c r="A21" i="32" s="1"/>
  <c r="A22" i="32" s="1"/>
  <c r="A23" i="32" s="1"/>
  <c r="A27" i="32" s="1"/>
  <c r="W4" i="32"/>
  <c r="Q4" i="32"/>
  <c r="T29" i="32"/>
  <c r="U29" i="32"/>
  <c r="R29" i="32"/>
  <c r="W25" i="32"/>
  <c r="P7" i="32"/>
  <c r="Q7" i="32"/>
  <c r="V27" i="32"/>
  <c r="Q12" i="32"/>
  <c r="O24" i="32"/>
  <c r="V25" i="32"/>
  <c r="W27" i="32"/>
  <c r="Q28" i="32"/>
  <c r="P5" i="32"/>
  <c r="W20" i="32"/>
  <c r="Q5" i="32"/>
  <c r="P9" i="32"/>
  <c r="Q9" i="32"/>
  <c r="V19" i="32"/>
  <c r="V21" i="32"/>
  <c r="S14" i="32"/>
  <c r="S29" i="32" s="1"/>
  <c r="V8" i="32"/>
  <c r="W12" i="32"/>
  <c r="V15" i="32"/>
  <c r="P20" i="32"/>
  <c r="Y20" i="32" s="1"/>
  <c r="P21" i="32"/>
  <c r="W5" i="32"/>
  <c r="W7" i="32"/>
  <c r="W9" i="32"/>
  <c r="P12" i="32"/>
  <c r="Q19" i="32"/>
  <c r="Q21" i="32"/>
  <c r="X25" i="32"/>
  <c r="X27" i="32"/>
  <c r="O28" i="32"/>
  <c r="V11" i="32"/>
  <c r="W11" i="32"/>
  <c r="W13" i="32"/>
  <c r="W18" i="32"/>
  <c r="P22" i="32"/>
  <c r="X22" i="32" s="1"/>
  <c r="P6" i="32"/>
  <c r="W8" i="32"/>
  <c r="W10" i="32"/>
  <c r="Q11" i="32"/>
  <c r="Q6" i="32"/>
  <c r="Q8" i="32"/>
  <c r="X8" i="32" s="1"/>
  <c r="Y10" i="32"/>
  <c r="Q15" i="32"/>
  <c r="P16" i="32"/>
  <c r="W16" i="32"/>
  <c r="V17" i="32"/>
  <c r="P19" i="32"/>
  <c r="W22" i="32"/>
  <c r="W23" i="32"/>
  <c r="W17" i="32"/>
  <c r="Y25" i="32"/>
  <c r="Y27" i="32"/>
  <c r="P17" i="32"/>
  <c r="X23" i="32"/>
  <c r="V4" i="32"/>
  <c r="V6" i="32"/>
  <c r="V10" i="32"/>
  <c r="P11" i="32"/>
  <c r="O14" i="32"/>
  <c r="W15" i="32"/>
  <c r="P4" i="32"/>
  <c r="P13" i="32"/>
  <c r="X13" i="32" s="1"/>
  <c r="P15" i="32"/>
  <c r="V16" i="32"/>
  <c r="P18" i="32"/>
  <c r="V22" i="32"/>
  <c r="V23" i="32"/>
  <c r="Y12" i="32" l="1"/>
  <c r="X21" i="32"/>
  <c r="Y5" i="32"/>
  <c r="Y7" i="32"/>
  <c r="P24" i="32"/>
  <c r="X9" i="32"/>
  <c r="W28" i="32"/>
  <c r="X5" i="32"/>
  <c r="Z5" i="32" s="1"/>
  <c r="AD5" i="32" s="1"/>
  <c r="X7" i="32"/>
  <c r="X20" i="32"/>
  <c r="Z20" i="32" s="1"/>
  <c r="AD20" i="32" s="1"/>
  <c r="AF20" i="32" s="1"/>
  <c r="AO20" i="32" s="1"/>
  <c r="AP20" i="32" s="1"/>
  <c r="Y21" i="32"/>
  <c r="Z21" i="32" s="1"/>
  <c r="AD21" i="32" s="1"/>
  <c r="AF21" i="32" s="1"/>
  <c r="AO21" i="32" s="1"/>
  <c r="AP21" i="32" s="1"/>
  <c r="W24" i="32"/>
  <c r="Y17" i="32"/>
  <c r="O29" i="32"/>
  <c r="V28" i="32"/>
  <c r="X12" i="32"/>
  <c r="Z12" i="32" s="1"/>
  <c r="Y8" i="32"/>
  <c r="Z8" i="32" s="1"/>
  <c r="Y9" i="32"/>
  <c r="Z9" i="32" s="1"/>
  <c r="AD9" i="32" s="1"/>
  <c r="AO9" i="32" s="1"/>
  <c r="AP9" i="32" s="1"/>
  <c r="X19" i="32"/>
  <c r="Z27" i="32"/>
  <c r="AD27" i="32" s="1"/>
  <c r="AP27" i="32" s="1"/>
  <c r="X4" i="32"/>
  <c r="Y22" i="32"/>
  <c r="Z22" i="32" s="1"/>
  <c r="AD22" i="32" s="1"/>
  <c r="AF22" i="32" s="1"/>
  <c r="AO22" i="32" s="1"/>
  <c r="AP22" i="32" s="1"/>
  <c r="V24" i="32"/>
  <c r="Q24" i="32"/>
  <c r="X28" i="32"/>
  <c r="Y28" i="32"/>
  <c r="V14" i="32"/>
  <c r="W14" i="32"/>
  <c r="Y11" i="32"/>
  <c r="Y6" i="32"/>
  <c r="Y15" i="32"/>
  <c r="X10" i="32"/>
  <c r="Z10" i="32" s="1"/>
  <c r="AD10" i="32" s="1"/>
  <c r="AJ10" i="32" s="1"/>
  <c r="X6" i="32"/>
  <c r="Z25" i="32"/>
  <c r="X17" i="32"/>
  <c r="X11" i="32"/>
  <c r="Y19" i="32"/>
  <c r="Y23" i="32"/>
  <c r="Z23" i="32" s="1"/>
  <c r="AD23" i="32" s="1"/>
  <c r="AF23" i="32" s="1"/>
  <c r="AO23" i="32" s="1"/>
  <c r="AP23" i="32" s="1"/>
  <c r="Y18" i="32"/>
  <c r="Y13" i="32"/>
  <c r="Z13" i="32" s="1"/>
  <c r="AD13" i="32" s="1"/>
  <c r="X15" i="32"/>
  <c r="X18" i="32"/>
  <c r="P14" i="32"/>
  <c r="P29" i="32" s="1"/>
  <c r="Y4" i="32"/>
  <c r="Y16" i="32"/>
  <c r="X16" i="32"/>
  <c r="Q14" i="32"/>
  <c r="Z7" i="32" l="1"/>
  <c r="AD7" i="32" s="1"/>
  <c r="Z17" i="32"/>
  <c r="AD17" i="32" s="1"/>
  <c r="AF17" i="32" s="1"/>
  <c r="AO17" i="32" s="1"/>
  <c r="AP17" i="32" s="1"/>
  <c r="AD12" i="32"/>
  <c r="AD25" i="32"/>
  <c r="AD8" i="32"/>
  <c r="AO8" i="32" s="1"/>
  <c r="AP8" i="32" s="1"/>
  <c r="Q29" i="32"/>
  <c r="AI13" i="32"/>
  <c r="AI29" i="32" s="1"/>
  <c r="W29" i="32"/>
  <c r="Z6" i="32"/>
  <c r="AD6" i="32" s="1"/>
  <c r="AO6" i="32" s="1"/>
  <c r="AP6" i="32" s="1"/>
  <c r="Z16" i="32"/>
  <c r="AD16" i="32" s="1"/>
  <c r="AF16" i="32" s="1"/>
  <c r="V29" i="32"/>
  <c r="Z11" i="32"/>
  <c r="Z19" i="32"/>
  <c r="AD19" i="32" s="1"/>
  <c r="AF19" i="32" s="1"/>
  <c r="AO19" i="32" s="1"/>
  <c r="AP19" i="32" s="1"/>
  <c r="Z28" i="32"/>
  <c r="Z15" i="32"/>
  <c r="X24" i="32"/>
  <c r="Y24" i="32"/>
  <c r="Z18" i="32"/>
  <c r="AD18" i="32" s="1"/>
  <c r="AF18" i="32" s="1"/>
  <c r="AO18" i="32" s="1"/>
  <c r="AP18" i="32" s="1"/>
  <c r="X14" i="32"/>
  <c r="Y14" i="32"/>
  <c r="Z4" i="32"/>
  <c r="AD4" i="32" s="1"/>
  <c r="AP4" i="32" s="1"/>
  <c r="A5" i="31"/>
  <c r="A6" i="31" s="1"/>
  <c r="A7" i="31" s="1"/>
  <c r="A8" i="31" s="1"/>
  <c r="A9" i="31" s="1"/>
  <c r="A10" i="31" s="1"/>
  <c r="A11" i="31" s="1"/>
  <c r="A12" i="31" s="1"/>
  <c r="A13" i="31" s="1"/>
  <c r="AD28" i="32" l="1"/>
  <c r="AP28" i="32" s="1"/>
  <c r="AP25" i="32"/>
  <c r="AF29" i="32"/>
  <c r="AO16" i="32"/>
  <c r="AP16" i="32" s="1"/>
  <c r="AK10" i="32"/>
  <c r="AO10" i="32" s="1"/>
  <c r="AP10" i="32" s="1"/>
  <c r="AJ12" i="32"/>
  <c r="AJ13" i="32"/>
  <c r="AK13" i="32" s="1"/>
  <c r="AD11" i="32"/>
  <c r="AD15" i="32"/>
  <c r="Y29" i="32"/>
  <c r="X29" i="32"/>
  <c r="Z14" i="32"/>
  <c r="Z24" i="32"/>
  <c r="AD24" i="32" l="1"/>
  <c r="AG15" i="32"/>
  <c r="AO5" i="32"/>
  <c r="AP5" i="32" s="1"/>
  <c r="AP7" i="32"/>
  <c r="AK12" i="32"/>
  <c r="AO12" i="32" s="1"/>
  <c r="AP12" i="32" s="1"/>
  <c r="AO13" i="32"/>
  <c r="AP13" i="32" s="1"/>
  <c r="AJ11" i="32"/>
  <c r="AJ29" i="32" s="1"/>
  <c r="AK11" i="32"/>
  <c r="Z29" i="32"/>
  <c r="G14" i="31"/>
  <c r="F14" i="31"/>
  <c r="E14" i="31"/>
  <c r="D14" i="31"/>
  <c r="H14" i="31"/>
  <c r="AG29" i="32" l="1"/>
  <c r="AO15" i="32"/>
  <c r="AP15" i="32" s="1"/>
  <c r="AK29" i="32"/>
  <c r="AO11" i="32"/>
  <c r="AP11" i="32" s="1"/>
  <c r="I13" i="31"/>
  <c r="I12" i="31"/>
  <c r="I11" i="31"/>
  <c r="I10" i="31"/>
  <c r="I9" i="31"/>
  <c r="I8" i="31"/>
  <c r="I7" i="31"/>
  <c r="I6" i="31"/>
  <c r="I5" i="31"/>
  <c r="I14" i="31" l="1"/>
  <c r="AD14" i="32" l="1"/>
  <c r="AD29" i="32" s="1"/>
</calcChain>
</file>

<file path=xl/sharedStrings.xml><?xml version="1.0" encoding="utf-8"?>
<sst xmlns="http://schemas.openxmlformats.org/spreadsheetml/2006/main" count="208" uniqueCount="95">
  <si>
    <t>NOMBRE(S) Y APELLIDO(S)</t>
  </si>
  <si>
    <t>N° DE CÉDULA</t>
  </si>
  <si>
    <t>GÉNERO</t>
  </si>
  <si>
    <t>ENTE ADSCRITO</t>
  </si>
  <si>
    <t>ESTATUS</t>
  </si>
  <si>
    <t>TIPO DE PERSONAL / CARGO</t>
  </si>
  <si>
    <t>GRADO DE INSTRUCCIÓN</t>
  </si>
  <si>
    <t>FECHA DE INGRESO A LA INSTITUCIÓN</t>
  </si>
  <si>
    <t>AÑOS DE SERVICIO
(ADM PÚBLICA)</t>
  </si>
  <si>
    <t>AÑOS DE SERVICIO
(INSTITUCIÓN)</t>
  </si>
  <si>
    <t>N° DE HIJOS
(Hasta 18 A)</t>
  </si>
  <si>
    <t>SUELDO BASICO</t>
  </si>
  <si>
    <t>PRIMA DE PROFESIONALIZACIÓN</t>
  </si>
  <si>
    <t>PRIMA DE ANTIGÜEDAD</t>
  </si>
  <si>
    <t>PRIMA POR HIJO</t>
  </si>
  <si>
    <t>M</t>
  </si>
  <si>
    <t>ACTIVO</t>
  </si>
  <si>
    <t>PROFESIONAL</t>
  </si>
  <si>
    <t>CONTRALORIA MUNICIPAL INDEPENDENCIA</t>
  </si>
  <si>
    <t>ORLINDA MONTOYA</t>
  </si>
  <si>
    <t>F</t>
  </si>
  <si>
    <t>LIBRE REMOCIONN(99)</t>
  </si>
  <si>
    <t>DIRECTOR EN LINEA</t>
  </si>
  <si>
    <t>MARIA ISABEL GUANIPA ROLDAN</t>
  </si>
  <si>
    <t>ELIESTHER DAYANA ASUAJE</t>
  </si>
  <si>
    <t>ROSHYLENIA A. GUTIERREZ MUJICA</t>
  </si>
  <si>
    <t>COORDINADOR DE AREA</t>
  </si>
  <si>
    <t>YINEXYS GALLARDO</t>
  </si>
  <si>
    <t>EMPLEADO/A FIJA</t>
  </si>
  <si>
    <t>OBRERO FIJO</t>
  </si>
  <si>
    <t>BACHILLER</t>
  </si>
  <si>
    <t>JORGE ELIEZER MARTINEZ ESCALONA</t>
  </si>
  <si>
    <t>AUDITOR INTERNO</t>
  </si>
  <si>
    <t>DIRECTORA DE ADMINISTRACION</t>
  </si>
  <si>
    <t>DIRECTOR DE SERVICIOS JURIDICOS</t>
  </si>
  <si>
    <t>DIRECTORA DE CONTROL</t>
  </si>
  <si>
    <t>JEFE OAC</t>
  </si>
  <si>
    <t>COORDINADOR DE PRESUPUESTO</t>
  </si>
  <si>
    <t>AUDITOR I</t>
  </si>
  <si>
    <t>OBRERO</t>
  </si>
  <si>
    <t>ROSA LINDA CARMONA LOPEZ</t>
  </si>
  <si>
    <t>JEFE</t>
  </si>
  <si>
    <t>PIII</t>
  </si>
  <si>
    <t>NOMINA ORDINARIA</t>
  </si>
  <si>
    <t>GRADO3</t>
  </si>
  <si>
    <t>RET IVSS</t>
  </si>
  <si>
    <t>RET PIE</t>
  </si>
  <si>
    <t>RET LPH</t>
  </si>
  <si>
    <t>RET FPJ</t>
  </si>
  <si>
    <t>ORDINARIA</t>
  </si>
  <si>
    <t>JULIO ENRIQUE ROMERO</t>
  </si>
  <si>
    <t>COORDINADOR DE POTESTAD</t>
  </si>
  <si>
    <t>YIRMEN MELENDEZ</t>
  </si>
  <si>
    <t xml:space="preserve"> YRIS MARIELA HENRIQUEZ</t>
  </si>
  <si>
    <t>comida</t>
  </si>
  <si>
    <t>WILMARY  HERRERA</t>
  </si>
  <si>
    <t>MARIELIS  ALVAREZ TOVAR</t>
  </si>
  <si>
    <t>otras primas</t>
  </si>
  <si>
    <t>GUSTAVO SANCHEZ</t>
  </si>
  <si>
    <t>INDIRA GIMENEZ</t>
  </si>
  <si>
    <t>TXT 3</t>
  </si>
  <si>
    <t>TXT 4</t>
  </si>
  <si>
    <t>TXT 1</t>
  </si>
  <si>
    <t>TXT 2</t>
  </si>
  <si>
    <t>TOTAL</t>
  </si>
  <si>
    <t>ANGEL JAIMES</t>
  </si>
  <si>
    <t>WUINIFER TAMAYO</t>
  </si>
  <si>
    <t>ALEXANDRA CEDEÑO</t>
  </si>
  <si>
    <t>TXT 5</t>
  </si>
  <si>
    <t>CARLOS CAMACARO</t>
  </si>
  <si>
    <t>KELLIZ GONZALEZ</t>
  </si>
  <si>
    <t>YEIRY BAUTISTA</t>
  </si>
  <si>
    <t>AUDITOR</t>
  </si>
  <si>
    <t>AUDITOR II</t>
  </si>
  <si>
    <t>COORDINADOR DEL DESPACHO</t>
  </si>
  <si>
    <t>CONTRALOR INTERINO</t>
  </si>
  <si>
    <t>PROMOTOR OAC</t>
  </si>
  <si>
    <t>PII</t>
  </si>
  <si>
    <t>TSU</t>
  </si>
  <si>
    <t>FROYMAR RODRIGUEZ</t>
  </si>
  <si>
    <t>ABOGADO</t>
  </si>
  <si>
    <t>INCENTIVO</t>
  </si>
  <si>
    <t>FERIADO 1</t>
  </si>
  <si>
    <t>ANGELICA CARAPAICA</t>
  </si>
  <si>
    <t>OBRERA</t>
  </si>
  <si>
    <t>GRADO 3</t>
  </si>
  <si>
    <t>DIRECTORA DE GESTION HUMANA</t>
  </si>
  <si>
    <t>TXT4</t>
  </si>
  <si>
    <t>TXT5</t>
  </si>
  <si>
    <t>TXT6</t>
  </si>
  <si>
    <t>TXT 7</t>
  </si>
  <si>
    <t>TXT 8</t>
  </si>
  <si>
    <t>TXT 9</t>
  </si>
  <si>
    <t>TXT 10</t>
  </si>
  <si>
    <t>GASTOS DE REPRESENTACION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</si>
</sst>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   &quot;;#,##0.00&quot;    &quot;;&quot;-&quot;#&quot;    &quot;;@&quot; &quot;"/>
    <numFmt numFmtId="165" formatCode="#,##0&quot; &quot;;&quot;-&quot;#,##0&quot; &quot;;&quot;-&quot;#&quot; &quot;;@&quot; &quot;"/>
    <numFmt numFmtId="166" formatCode="[$BsF-200A]#,##0.00;[Red]\([$BsF-200A]#,##0.00\)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1"/>
      <color rgb="FF000000"/>
      <name val="Arial"/>
      <family val="2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000000"/>
      <name val="Arial"/>
      <family val="2"/>
    </font>
    <font>
      <sz val="10"/>
      <color rgb="FF333333"/>
      <name val="Liberation Sans"/>
    </font>
    <font>
      <b/>
      <sz val="9"/>
      <color rgb="FF111111"/>
      <name val="Calibri"/>
      <family val="2"/>
    </font>
    <font>
      <sz val="8"/>
      <color rgb="FF000000"/>
      <name val="Liberation Sans"/>
    </font>
    <font>
      <b/>
      <sz val="8"/>
      <color rgb="FF000000"/>
      <name val="Liberation Sans"/>
    </font>
    <font>
      <b/>
      <sz val="11"/>
      <color rgb="FF000000"/>
      <name val="Liberation Sans"/>
    </font>
    <font>
      <sz val="11"/>
      <color indexed="8"/>
      <name val="Arial"/>
      <family val="2"/>
    </font>
    <font>
      <b/>
      <i/>
      <sz val="16"/>
      <color indexed="8"/>
      <name val="Arial"/>
      <family val="2"/>
    </font>
    <font>
      <sz val="11"/>
      <color indexed="8"/>
      <name val="Calibri"/>
      <family val="2"/>
    </font>
    <font>
      <b/>
      <i/>
      <u/>
      <sz val="11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89C765"/>
        <bgColor rgb="FF89C7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0" borderId="0" applyNumberFormat="0" applyBorder="0" applyProtection="0"/>
    <xf numFmtId="0" fontId="6" fillId="6" borderId="0" applyNumberFormat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Fill="0" applyBorder="0" applyAlignment="0" applyProtection="0"/>
    <xf numFmtId="0" fontId="13" fillId="0" borderId="0" applyNumberFormat="0" applyBorder="0" applyProtection="0"/>
    <xf numFmtId="0" fontId="14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9" fillId="0" borderId="0"/>
    <xf numFmtId="0" fontId="20" fillId="0" borderId="0" applyNumberFormat="0" applyBorder="0" applyProtection="0">
      <alignment horizontal="center"/>
    </xf>
    <xf numFmtId="0" fontId="20" fillId="0" borderId="0" applyNumberFormat="0" applyBorder="0" applyProtection="0">
      <alignment horizontal="center" textRotation="90"/>
    </xf>
    <xf numFmtId="0" fontId="19" fillId="0" borderId="0"/>
    <xf numFmtId="0" fontId="21" fillId="0" borderId="0"/>
    <xf numFmtId="0" fontId="22" fillId="0" borderId="0" applyNumberFormat="0" applyBorder="0" applyProtection="0"/>
    <xf numFmtId="166" fontId="22" fillId="0" borderId="0" applyBorder="0" applyProtection="0"/>
  </cellStyleXfs>
  <cellXfs count="67">
    <xf numFmtId="0" fontId="0" fillId="0" borderId="0" xfId="0"/>
    <xf numFmtId="164" fontId="0" fillId="0" borderId="0" xfId="0" applyNumberFormat="1"/>
    <xf numFmtId="0" fontId="16" fillId="0" borderId="2" xfId="0" applyFont="1" applyBorder="1" applyAlignment="1">
      <alignment wrapText="1"/>
    </xf>
    <xf numFmtId="165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" xfId="0" applyFont="1" applyBorder="1"/>
    <xf numFmtId="14" fontId="16" fillId="0" borderId="2" xfId="0" applyNumberFormat="1" applyFont="1" applyBorder="1" applyAlignment="1">
      <alignment horizontal="center"/>
    </xf>
    <xf numFmtId="4" fontId="16" fillId="0" borderId="2" xfId="0" applyNumberFormat="1" applyFont="1" applyBorder="1" applyAlignment="1">
      <alignment horizontal="center"/>
    </xf>
    <xf numFmtId="0" fontId="16" fillId="0" borderId="4" xfId="0" applyFont="1" applyBorder="1" applyAlignment="1">
      <alignment wrapText="1"/>
    </xf>
    <xf numFmtId="0" fontId="0" fillId="0" borderId="3" xfId="0" applyBorder="1"/>
    <xf numFmtId="4" fontId="0" fillId="0" borderId="0" xfId="0" applyNumberFormat="1"/>
    <xf numFmtId="0" fontId="16" fillId="0" borderId="5" xfId="0" applyFont="1" applyBorder="1" applyAlignment="1">
      <alignment wrapText="1"/>
    </xf>
    <xf numFmtId="165" fontId="16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164" fontId="15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15" fillId="9" borderId="7" xfId="0" applyFont="1" applyFill="1" applyBorder="1" applyAlignment="1" applyProtection="1">
      <alignment horizontal="center" vertical="center" wrapText="1"/>
      <protection locked="0"/>
    </xf>
    <xf numFmtId="0" fontId="17" fillId="10" borderId="0" xfId="0" applyFont="1" applyFill="1" applyAlignment="1">
      <alignment horizontal="center"/>
    </xf>
    <xf numFmtId="0" fontId="17" fillId="10" borderId="7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4" fontId="17" fillId="10" borderId="2" xfId="0" applyNumberFormat="1" applyFont="1" applyFill="1" applyBorder="1" applyAlignment="1">
      <alignment horizontal="center"/>
    </xf>
    <xf numFmtId="0" fontId="16" fillId="0" borderId="8" xfId="0" applyFont="1" applyBorder="1" applyAlignment="1">
      <alignment wrapText="1"/>
    </xf>
    <xf numFmtId="165" fontId="16" fillId="0" borderId="9" xfId="0" applyNumberFormat="1" applyFont="1" applyBorder="1" applyAlignment="1">
      <alignment horizontal="center"/>
    </xf>
    <xf numFmtId="0" fontId="15" fillId="9" borderId="3" xfId="0" applyFont="1" applyFill="1" applyBorder="1" applyAlignment="1" applyProtection="1">
      <alignment horizontal="center" vertical="center" wrapText="1"/>
      <protection locked="0"/>
    </xf>
    <xf numFmtId="0" fontId="0" fillId="10" borderId="0" xfId="0" applyFill="1"/>
    <xf numFmtId="0" fontId="16" fillId="10" borderId="4" xfId="0" applyFont="1" applyFill="1" applyBorder="1" applyAlignment="1">
      <alignment wrapText="1"/>
    </xf>
    <xf numFmtId="0" fontId="15" fillId="9" borderId="2" xfId="0" applyFont="1" applyFill="1" applyBorder="1" applyAlignment="1" applyProtection="1">
      <alignment horizontal="center" vertical="center" wrapText="1"/>
      <protection locked="0"/>
    </xf>
    <xf numFmtId="0" fontId="16" fillId="0" borderId="11" xfId="0" applyFont="1" applyBorder="1" applyAlignment="1">
      <alignment wrapText="1"/>
    </xf>
    <xf numFmtId="165" fontId="17" fillId="0" borderId="3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0" fontId="15" fillId="9" borderId="6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/>
    </xf>
    <xf numFmtId="0" fontId="16" fillId="11" borderId="4" xfId="0" applyFont="1" applyFill="1" applyBorder="1" applyAlignment="1">
      <alignment wrapText="1"/>
    </xf>
    <xf numFmtId="165" fontId="16" fillId="11" borderId="2" xfId="0" applyNumberFormat="1" applyFont="1" applyFill="1" applyBorder="1" applyAlignment="1">
      <alignment horizontal="center"/>
    </xf>
    <xf numFmtId="0" fontId="15" fillId="9" borderId="12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/>
    </xf>
    <xf numFmtId="0" fontId="18" fillId="0" borderId="13" xfId="0" applyFont="1" applyBorder="1"/>
    <xf numFmtId="4" fontId="15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16" fillId="0" borderId="3" xfId="0" applyNumberFormat="1" applyFont="1" applyBorder="1" applyAlignment="1">
      <alignment horizontal="center"/>
    </xf>
    <xf numFmtId="4" fontId="0" fillId="0" borderId="3" xfId="0" applyNumberFormat="1" applyBorder="1"/>
    <xf numFmtId="0" fontId="15" fillId="9" borderId="2" xfId="0" applyFont="1" applyFill="1" applyBorder="1" applyAlignment="1" applyProtection="1">
      <alignment horizontal="center" vertical="center" wrapText="1"/>
      <protection locked="0"/>
    </xf>
    <xf numFmtId="0" fontId="18" fillId="12" borderId="13" xfId="0" applyFont="1" applyFill="1" applyBorder="1"/>
    <xf numFmtId="4" fontId="15" fillId="9" borderId="15" xfId="0" applyNumberFormat="1" applyFont="1" applyFill="1" applyBorder="1" applyAlignment="1" applyProtection="1">
      <alignment horizontal="center" vertical="center" wrapText="1"/>
      <protection locked="0"/>
    </xf>
    <xf numFmtId="4" fontId="16" fillId="0" borderId="10" xfId="0" applyNumberFormat="1" applyFont="1" applyBorder="1" applyAlignment="1">
      <alignment horizontal="center"/>
    </xf>
    <xf numFmtId="4" fontId="17" fillId="10" borderId="10" xfId="0" applyNumberFormat="1" applyFont="1" applyFill="1" applyBorder="1" applyAlignment="1">
      <alignment horizontal="center"/>
    </xf>
    <xf numFmtId="4" fontId="16" fillId="0" borderId="10" xfId="0" applyNumberFormat="1" applyFont="1" applyBorder="1" applyAlignment="1">
      <alignment horizontal="right"/>
    </xf>
    <xf numFmtId="4" fontId="15" fillId="9" borderId="13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13" xfId="0" applyNumberFormat="1" applyBorder="1"/>
    <xf numFmtId="4" fontId="17" fillId="10" borderId="3" xfId="0" applyNumberFormat="1" applyFont="1" applyFill="1" applyBorder="1" applyAlignment="1">
      <alignment horizontal="center"/>
    </xf>
    <xf numFmtId="0" fontId="0" fillId="10" borderId="3" xfId="0" applyFill="1" applyBorder="1"/>
    <xf numFmtId="165" fontId="16" fillId="10" borderId="2" xfId="0" applyNumberFormat="1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wrapText="1"/>
    </xf>
    <xf numFmtId="14" fontId="16" fillId="10" borderId="2" xfId="0" applyNumberFormat="1" applyFont="1" applyFill="1" applyBorder="1" applyAlignment="1">
      <alignment horizontal="center"/>
    </xf>
    <xf numFmtId="0" fontId="18" fillId="10" borderId="0" xfId="0" applyFont="1" applyFill="1" applyAlignment="1">
      <alignment horizontal="center"/>
    </xf>
    <xf numFmtId="4" fontId="18" fillId="10" borderId="3" xfId="0" applyNumberFormat="1" applyFont="1" applyFill="1" applyBorder="1"/>
    <xf numFmtId="4" fontId="16" fillId="0" borderId="3" xfId="0" applyNumberFormat="1" applyFont="1" applyFill="1" applyBorder="1" applyAlignment="1">
      <alignment horizontal="center"/>
    </xf>
    <xf numFmtId="0" fontId="0" fillId="10" borderId="16" xfId="0" applyFill="1" applyBorder="1"/>
    <xf numFmtId="0" fontId="0" fillId="10" borderId="14" xfId="0" applyFill="1" applyBorder="1"/>
    <xf numFmtId="4" fontId="18" fillId="1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15" fillId="9" borderId="2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/>
    <xf numFmtId="0" fontId="16" fillId="0" borderId="3" xfId="0" applyFont="1" applyBorder="1"/>
    <xf numFmtId="0" fontId="16" fillId="10" borderId="3" xfId="0" applyFont="1" applyFill="1" applyBorder="1"/>
  </cellXfs>
  <cellStyles count="27">
    <cellStyle name="Accent" xfId="2"/>
    <cellStyle name="Accent 1" xfId="3"/>
    <cellStyle name="Accent 2" xfId="4"/>
    <cellStyle name="Accent 3" xfId="5"/>
    <cellStyle name="Bad" xfId="6"/>
    <cellStyle name="ConditionalStyle_1" xfId="7"/>
    <cellStyle name="Error" xfId="8"/>
    <cellStyle name="Footnote" xfId="9"/>
    <cellStyle name="Good" xfId="10"/>
    <cellStyle name="Heading (user)" xfId="11"/>
    <cellStyle name="Heading 1" xfId="12"/>
    <cellStyle name="Heading 2" xfId="13"/>
    <cellStyle name="Heading 3" xfId="21"/>
    <cellStyle name="Heading1" xfId="22"/>
    <cellStyle name="Millares 2" xfId="14"/>
    <cellStyle name="Neutral" xfId="1" builtinId="28" customBuiltin="1"/>
    <cellStyle name="Normal" xfId="0" builtinId="0" customBuiltin="1"/>
    <cellStyle name="Normal 2" xfId="15"/>
    <cellStyle name="Normal 2 2" xfId="23"/>
    <cellStyle name="Normal 3" xfId="24"/>
    <cellStyle name="Normal 4" xfId="20"/>
    <cellStyle name="Note" xfId="16"/>
    <cellStyle name="Result 1" xfId="25"/>
    <cellStyle name="Result2" xfId="26"/>
    <cellStyle name="Status" xfId="17"/>
    <cellStyle name="Text" xfId="18"/>
    <cellStyle name="Warning" xfId="19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abSelected="1" zoomScale="115" zoomScaleNormal="115" workbookViewId="0">
      <selection activeCell="A13" sqref="A13"/>
    </sheetView>
  </sheetViews>
  <sheetFormatPr baseColWidth="10" defaultRowHeight="14.25"/>
  <cols>
    <col min="1" max="1" width="2.375" style="64" bestFit="1" customWidth="1"/>
    <col min="2" max="2" width="20.375" bestFit="1" customWidth="1"/>
    <col min="3" max="3" width="8" bestFit="1" customWidth="1"/>
    <col min="4" max="4" width="11.75" hidden="1" customWidth="1"/>
    <col min="5" max="5" width="4.25" hidden="1" customWidth="1"/>
    <col min="6" max="6" width="27.625" hidden="1" customWidth="1"/>
    <col min="7" max="7" width="7.625" hidden="1" customWidth="1"/>
    <col min="8" max="8" width="10" hidden="1" customWidth="1"/>
    <col min="9" max="9" width="11" hidden="1" customWidth="1"/>
    <col min="10" max="10" width="10.125" hidden="1" customWidth="1"/>
    <col min="11" max="11" width="9.875" hidden="1" customWidth="1"/>
    <col min="12" max="14" width="10.625" hidden="1" customWidth="1"/>
    <col min="15" max="15" width="6.125" style="1" bestFit="1" customWidth="1"/>
    <col min="16" max="16" width="7.375" customWidth="1"/>
    <col min="17" max="17" width="6.5" customWidth="1"/>
    <col min="18" max="18" width="6.875" customWidth="1"/>
    <col min="19" max="19" width="6.125" customWidth="1"/>
    <col min="20" max="20" width="5.125" bestFit="1" customWidth="1"/>
    <col min="21" max="21" width="7.875" hidden="1" customWidth="1"/>
    <col min="22" max="22" width="6.375" bestFit="1" customWidth="1"/>
    <col min="23" max="23" width="5.5" bestFit="1" customWidth="1"/>
    <col min="24" max="24" width="6" bestFit="1" customWidth="1"/>
    <col min="25" max="25" width="5.625" bestFit="1" customWidth="1"/>
    <col min="26" max="26" width="8.125" style="10" bestFit="1" customWidth="1"/>
    <col min="27" max="27" width="7.75" style="10" bestFit="1" customWidth="1"/>
    <col min="28" max="28" width="7.625" style="10" bestFit="1" customWidth="1"/>
    <col min="29" max="29" width="7.875" customWidth="1"/>
    <col min="30" max="30" width="8.875" bestFit="1" customWidth="1"/>
  </cols>
  <sheetData>
    <row r="1" spans="1:42" ht="5.25" customHeight="1">
      <c r="B1" s="61"/>
      <c r="C1" s="61"/>
      <c r="D1" s="61"/>
      <c r="E1" s="61"/>
      <c r="F1" s="61"/>
      <c r="G1" s="61"/>
      <c r="H1" s="61"/>
      <c r="I1" s="61"/>
      <c r="J1" s="61"/>
    </row>
    <row r="2" spans="1:42" ht="11.25" customHeight="1">
      <c r="O2" s="62" t="s">
        <v>43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42" ht="42.4" customHeight="1">
      <c r="B3" s="40" t="s">
        <v>0</v>
      </c>
      <c r="C3" s="40" t="s">
        <v>1</v>
      </c>
      <c r="D3" s="40"/>
      <c r="E3" s="40" t="s">
        <v>2</v>
      </c>
      <c r="F3" s="40" t="s">
        <v>3</v>
      </c>
      <c r="G3" s="63" t="s">
        <v>4</v>
      </c>
      <c r="H3" s="63"/>
      <c r="I3" s="40" t="s">
        <v>5</v>
      </c>
      <c r="J3" s="40" t="s">
        <v>6</v>
      </c>
      <c r="K3" s="40" t="s">
        <v>7</v>
      </c>
      <c r="L3" s="40" t="s">
        <v>8</v>
      </c>
      <c r="M3" s="40" t="s">
        <v>9</v>
      </c>
      <c r="N3" s="40" t="s">
        <v>10</v>
      </c>
      <c r="O3" s="15" t="s">
        <v>11</v>
      </c>
      <c r="P3" s="16" t="s">
        <v>12</v>
      </c>
      <c r="Q3" s="16" t="s">
        <v>13</v>
      </c>
      <c r="R3" s="16" t="s">
        <v>14</v>
      </c>
      <c r="S3" s="16" t="s">
        <v>54</v>
      </c>
      <c r="T3" s="16" t="s">
        <v>57</v>
      </c>
      <c r="U3" s="16"/>
      <c r="V3" s="16" t="s">
        <v>45</v>
      </c>
      <c r="W3" s="16" t="s">
        <v>46</v>
      </c>
      <c r="X3" s="16" t="s">
        <v>47</v>
      </c>
      <c r="Y3" s="16" t="s">
        <v>48</v>
      </c>
      <c r="Z3" s="42" t="s">
        <v>49</v>
      </c>
      <c r="AA3" s="46" t="s">
        <v>81</v>
      </c>
      <c r="AB3" s="37" t="s">
        <v>82</v>
      </c>
      <c r="AC3" s="37" t="s">
        <v>94</v>
      </c>
      <c r="AD3" s="37" t="s">
        <v>64</v>
      </c>
      <c r="AE3" s="37" t="s">
        <v>62</v>
      </c>
      <c r="AF3" s="37" t="s">
        <v>63</v>
      </c>
      <c r="AG3" s="37" t="s">
        <v>60</v>
      </c>
      <c r="AH3" s="37" t="s">
        <v>87</v>
      </c>
      <c r="AI3" s="37" t="s">
        <v>88</v>
      </c>
      <c r="AJ3" s="37" t="s">
        <v>89</v>
      </c>
      <c r="AK3" s="37" t="s">
        <v>90</v>
      </c>
      <c r="AL3" s="37" t="s">
        <v>91</v>
      </c>
      <c r="AM3" s="37" t="s">
        <v>92</v>
      </c>
      <c r="AN3" s="37" t="s">
        <v>93</v>
      </c>
    </row>
    <row r="4" spans="1:42" ht="22.5">
      <c r="A4" s="65">
        <v>1</v>
      </c>
      <c r="B4" s="32" t="s">
        <v>67</v>
      </c>
      <c r="C4" s="33">
        <v>20889608</v>
      </c>
      <c r="D4" s="3" t="s">
        <v>75</v>
      </c>
      <c r="E4" s="4" t="s">
        <v>15</v>
      </c>
      <c r="F4" s="5" t="s">
        <v>18</v>
      </c>
      <c r="G4" s="5" t="s">
        <v>16</v>
      </c>
      <c r="H4" s="5" t="s">
        <v>21</v>
      </c>
      <c r="I4" s="2" t="s">
        <v>22</v>
      </c>
      <c r="J4" s="2" t="s">
        <v>17</v>
      </c>
      <c r="K4" s="6">
        <v>42376</v>
      </c>
      <c r="L4" s="4">
        <v>7</v>
      </c>
      <c r="M4" s="4">
        <v>4</v>
      </c>
      <c r="N4" s="4">
        <v>2</v>
      </c>
      <c r="O4" s="7">
        <f>409/2</f>
        <v>204.5</v>
      </c>
      <c r="P4" s="7">
        <f>O4*25%</f>
        <v>51.125</v>
      </c>
      <c r="Q4" s="7">
        <f>O4*6.2%</f>
        <v>12.679</v>
      </c>
      <c r="R4" s="7">
        <v>6.25</v>
      </c>
      <c r="S4" s="7">
        <f>48/2</f>
        <v>24</v>
      </c>
      <c r="T4" s="7"/>
      <c r="U4" s="7"/>
      <c r="V4" s="7">
        <f>(O4*2*12/52)*4%*2</f>
        <v>7.5507692307692311</v>
      </c>
      <c r="W4" s="7">
        <f>(O4*2*12/52)*0.5%*2</f>
        <v>0.94384615384615389</v>
      </c>
      <c r="X4" s="7">
        <f>SUM(O4:R4)*1%</f>
        <v>2.7455399999999996</v>
      </c>
      <c r="Y4" s="7">
        <f>SUM(O4:R4)*3%</f>
        <v>8.2366199999999985</v>
      </c>
      <c r="Z4" s="43">
        <f>SUM(O4:R4)-SUM(V4:Y4)+S4+T4+U4</f>
        <v>279.07722461538458</v>
      </c>
      <c r="AA4" s="43">
        <v>2085</v>
      </c>
      <c r="AB4" s="38">
        <v>1390</v>
      </c>
      <c r="AC4" s="38">
        <v>2240</v>
      </c>
      <c r="AD4" s="39">
        <f t="shared" ref="AD4:AD13" si="0">Z4+AA4+AB4+AC4</f>
        <v>5994.0772246153847</v>
      </c>
      <c r="AE4" s="57">
        <v>600</v>
      </c>
      <c r="AF4" s="57">
        <v>590</v>
      </c>
      <c r="AG4" s="57">
        <v>580</v>
      </c>
      <c r="AH4" s="57">
        <v>599</v>
      </c>
      <c r="AI4" s="57">
        <v>595</v>
      </c>
      <c r="AJ4" s="57">
        <v>585</v>
      </c>
      <c r="AK4" s="57">
        <v>628</v>
      </c>
      <c r="AL4" s="57">
        <v>597</v>
      </c>
      <c r="AM4" s="57">
        <v>596</v>
      </c>
      <c r="AN4" s="57">
        <v>624.08000000000004</v>
      </c>
      <c r="AO4" s="10">
        <f>SUM(AE4:AN4)</f>
        <v>5994.08</v>
      </c>
      <c r="AP4" s="10">
        <f>AO4-AD4</f>
        <v>2.7753846152336337E-3</v>
      </c>
    </row>
    <row r="5" spans="1:42" ht="22.5">
      <c r="A5" s="65">
        <f>A4+1</f>
        <v>2</v>
      </c>
      <c r="B5" s="8" t="s">
        <v>19</v>
      </c>
      <c r="C5" s="3">
        <v>7912155</v>
      </c>
      <c r="D5" s="3" t="s">
        <v>32</v>
      </c>
      <c r="E5" s="4" t="s">
        <v>20</v>
      </c>
      <c r="F5" s="5" t="s">
        <v>18</v>
      </c>
      <c r="G5" s="5" t="s">
        <v>16</v>
      </c>
      <c r="H5" s="5" t="s">
        <v>21</v>
      </c>
      <c r="I5" s="2" t="s">
        <v>22</v>
      </c>
      <c r="J5" s="2" t="s">
        <v>17</v>
      </c>
      <c r="K5" s="6">
        <v>40184</v>
      </c>
      <c r="L5" s="4">
        <v>10</v>
      </c>
      <c r="M5" s="4">
        <v>0</v>
      </c>
      <c r="N5" s="4">
        <v>0</v>
      </c>
      <c r="O5" s="7">
        <f>376/2</f>
        <v>188</v>
      </c>
      <c r="P5" s="7">
        <f>O5*35%</f>
        <v>65.8</v>
      </c>
      <c r="Q5" s="7">
        <f>O5*19.6%</f>
        <v>36.847999999999999</v>
      </c>
      <c r="R5" s="7">
        <v>0</v>
      </c>
      <c r="S5" s="7">
        <f t="shared" ref="S5:S13" si="1">48/2</f>
        <v>24</v>
      </c>
      <c r="T5" s="7"/>
      <c r="U5" s="7"/>
      <c r="V5" s="7">
        <f t="shared" ref="V5:V13" si="2">(O5*2*12/52)*4%*2</f>
        <v>6.9415384615384621</v>
      </c>
      <c r="W5" s="7">
        <f t="shared" ref="W5:W13" si="3">(O5*2*12/52)*0.5%*2</f>
        <v>0.86769230769230776</v>
      </c>
      <c r="X5" s="7">
        <f t="shared" ref="X5:X13" si="4">SUM(O5:R5)*1%</f>
        <v>2.9064800000000002</v>
      </c>
      <c r="Y5" s="7">
        <f t="shared" ref="Y5:Y13" si="5">SUM(O5:R5)*3%</f>
        <v>8.7194400000000005</v>
      </c>
      <c r="Z5" s="43">
        <f>SUM(O5:R5)-SUM(V5:Y5)+S5+T5</f>
        <v>295.21284923076928</v>
      </c>
      <c r="AA5" s="43">
        <v>1370</v>
      </c>
      <c r="AB5" s="38">
        <v>1210</v>
      </c>
      <c r="AC5" s="9"/>
      <c r="AD5" s="39">
        <f t="shared" si="0"/>
        <v>2875.2128492307693</v>
      </c>
      <c r="AE5" s="57">
        <v>600</v>
      </c>
      <c r="AF5" s="57">
        <v>590</v>
      </c>
      <c r="AG5" s="57">
        <v>580</v>
      </c>
      <c r="AH5" s="57">
        <v>599</v>
      </c>
      <c r="AI5" s="57">
        <v>506.21</v>
      </c>
      <c r="AJ5" s="57">
        <v>0</v>
      </c>
      <c r="AK5" s="57">
        <v>0</v>
      </c>
      <c r="AL5" s="57"/>
      <c r="AM5" s="57"/>
      <c r="AN5" s="57"/>
      <c r="AO5" s="10">
        <f t="shared" ref="AO5:AO27" si="6">SUM(AE5:AN5)</f>
        <v>2875.21</v>
      </c>
      <c r="AP5" s="10">
        <f t="shared" ref="AP5:AP28" si="7">AO5-AD5</f>
        <v>-2.8492307692431496E-3</v>
      </c>
    </row>
    <row r="6" spans="1:42" ht="22.5">
      <c r="A6" s="65">
        <f t="shared" ref="A6:A23" si="8">A5+1</f>
        <v>3</v>
      </c>
      <c r="B6" s="8" t="s">
        <v>23</v>
      </c>
      <c r="C6" s="3">
        <v>16260699</v>
      </c>
      <c r="D6" s="3" t="s">
        <v>33</v>
      </c>
      <c r="E6" s="4" t="s">
        <v>20</v>
      </c>
      <c r="F6" s="5" t="s">
        <v>18</v>
      </c>
      <c r="G6" s="5" t="s">
        <v>16</v>
      </c>
      <c r="H6" s="5" t="s">
        <v>21</v>
      </c>
      <c r="I6" s="2" t="s">
        <v>22</v>
      </c>
      <c r="J6" s="2" t="s">
        <v>17</v>
      </c>
      <c r="K6" s="6">
        <v>41717</v>
      </c>
      <c r="L6" s="4">
        <v>13</v>
      </c>
      <c r="M6" s="4">
        <v>6</v>
      </c>
      <c r="N6" s="4">
        <v>2</v>
      </c>
      <c r="O6" s="7">
        <f>376/2</f>
        <v>188</v>
      </c>
      <c r="P6" s="7">
        <f>O6*25%</f>
        <v>47</v>
      </c>
      <c r="Q6" s="7">
        <f>O6*18%</f>
        <v>33.839999999999996</v>
      </c>
      <c r="R6" s="7">
        <v>12.5</v>
      </c>
      <c r="S6" s="7">
        <f t="shared" si="1"/>
        <v>24</v>
      </c>
      <c r="T6" s="7"/>
      <c r="U6" s="7"/>
      <c r="V6" s="7">
        <f t="shared" si="2"/>
        <v>6.9415384615384621</v>
      </c>
      <c r="W6" s="7">
        <f t="shared" si="3"/>
        <v>0.86769230769230776</v>
      </c>
      <c r="X6" s="7">
        <f t="shared" si="4"/>
        <v>2.8133999999999997</v>
      </c>
      <c r="Y6" s="7">
        <f t="shared" si="5"/>
        <v>8.440199999999999</v>
      </c>
      <c r="Z6" s="43">
        <f>SUM(O6:R6)-SUM(V6:Y6)+S6+T6+U6</f>
        <v>286.27716923076923</v>
      </c>
      <c r="AA6" s="43">
        <v>2060</v>
      </c>
      <c r="AB6" s="38">
        <v>1210</v>
      </c>
      <c r="AC6" s="9"/>
      <c r="AD6" s="39">
        <f t="shared" si="0"/>
        <v>3556.2771692307692</v>
      </c>
      <c r="AE6" s="57">
        <v>600</v>
      </c>
      <c r="AF6" s="57">
        <v>590</v>
      </c>
      <c r="AG6" s="57">
        <v>580</v>
      </c>
      <c r="AH6" s="57">
        <v>599</v>
      </c>
      <c r="AI6" s="57">
        <v>595</v>
      </c>
      <c r="AJ6" s="57">
        <f>585+7.28</f>
        <v>592.28</v>
      </c>
      <c r="AK6" s="57">
        <v>0</v>
      </c>
      <c r="AL6" s="57"/>
      <c r="AM6" s="57"/>
      <c r="AN6" s="57"/>
      <c r="AO6" s="10">
        <f t="shared" si="6"/>
        <v>3556.2799999999997</v>
      </c>
      <c r="AP6" s="10">
        <f t="shared" si="7"/>
        <v>2.8307692305133969E-3</v>
      </c>
    </row>
    <row r="7" spans="1:42" ht="22.5">
      <c r="A7" s="65">
        <f t="shared" si="8"/>
        <v>4</v>
      </c>
      <c r="B7" s="8" t="s">
        <v>79</v>
      </c>
      <c r="C7" s="3">
        <v>14442350</v>
      </c>
      <c r="D7" s="3" t="s">
        <v>34</v>
      </c>
      <c r="E7" s="4" t="s">
        <v>15</v>
      </c>
      <c r="F7" s="5" t="s">
        <v>18</v>
      </c>
      <c r="G7" s="5" t="s">
        <v>16</v>
      </c>
      <c r="H7" s="5" t="s">
        <v>21</v>
      </c>
      <c r="I7" s="2" t="s">
        <v>22</v>
      </c>
      <c r="J7" s="2" t="s">
        <v>17</v>
      </c>
      <c r="K7" s="6">
        <v>42376</v>
      </c>
      <c r="L7" s="4">
        <v>7</v>
      </c>
      <c r="M7" s="4">
        <v>4</v>
      </c>
      <c r="N7" s="4">
        <v>2</v>
      </c>
      <c r="O7" s="7">
        <f>376/2</f>
        <v>188</v>
      </c>
      <c r="P7" s="7">
        <f>O7*25%</f>
        <v>47</v>
      </c>
      <c r="Q7" s="7">
        <f>O7*11%</f>
        <v>20.68</v>
      </c>
      <c r="R7" s="7">
        <v>12.5</v>
      </c>
      <c r="S7" s="7">
        <f t="shared" si="1"/>
        <v>24</v>
      </c>
      <c r="T7" s="7"/>
      <c r="U7" s="7"/>
      <c r="V7" s="7">
        <f t="shared" si="2"/>
        <v>6.9415384615384621</v>
      </c>
      <c r="W7" s="7">
        <f t="shared" si="3"/>
        <v>0.86769230769230776</v>
      </c>
      <c r="X7" s="7">
        <f t="shared" si="4"/>
        <v>2.6818</v>
      </c>
      <c r="Y7" s="7">
        <f t="shared" si="5"/>
        <v>8.0454000000000008</v>
      </c>
      <c r="Z7" s="43">
        <f>SUM(O7:R7)-SUM(V7:Y7)+S7+T7+U7</f>
        <v>273.64356923076923</v>
      </c>
      <c r="AA7" s="43">
        <v>1480</v>
      </c>
      <c r="AB7" s="38">
        <v>1210</v>
      </c>
      <c r="AC7" s="9"/>
      <c r="AD7" s="39">
        <f t="shared" si="0"/>
        <v>2963.6435692307691</v>
      </c>
      <c r="AE7" s="57">
        <v>600</v>
      </c>
      <c r="AF7" s="57">
        <v>590</v>
      </c>
      <c r="AG7" s="57">
        <v>580</v>
      </c>
      <c r="AH7" s="57">
        <v>599</v>
      </c>
      <c r="AI7" s="57">
        <v>484.64</v>
      </c>
      <c r="AJ7" s="57">
        <v>110</v>
      </c>
      <c r="AK7" s="57">
        <v>0</v>
      </c>
      <c r="AL7" s="57"/>
      <c r="AM7" s="57"/>
      <c r="AN7" s="57"/>
      <c r="AO7" s="10">
        <f>SUM(AE7:AN7)</f>
        <v>2963.64</v>
      </c>
      <c r="AP7" s="10">
        <f t="shared" si="7"/>
        <v>-3.5692307692443137E-3</v>
      </c>
    </row>
    <row r="8" spans="1:42" ht="22.5">
      <c r="A8" s="65">
        <f t="shared" si="8"/>
        <v>5</v>
      </c>
      <c r="B8" s="8" t="s">
        <v>53</v>
      </c>
      <c r="C8" s="3">
        <v>12724570</v>
      </c>
      <c r="D8" s="3" t="s">
        <v>35</v>
      </c>
      <c r="E8" s="4" t="s">
        <v>20</v>
      </c>
      <c r="F8" s="5" t="s">
        <v>18</v>
      </c>
      <c r="G8" s="5" t="s">
        <v>16</v>
      </c>
      <c r="H8" s="5" t="s">
        <v>21</v>
      </c>
      <c r="I8" s="2" t="s">
        <v>22</v>
      </c>
      <c r="J8" s="2" t="s">
        <v>17</v>
      </c>
      <c r="K8" s="6">
        <v>41730</v>
      </c>
      <c r="L8" s="4">
        <v>20</v>
      </c>
      <c r="M8" s="4">
        <v>6</v>
      </c>
      <c r="N8" s="4">
        <v>2</v>
      </c>
      <c r="O8" s="7">
        <f>376/2</f>
        <v>188</v>
      </c>
      <c r="P8" s="7">
        <f>(O8*30%)</f>
        <v>56.4</v>
      </c>
      <c r="Q8" s="7">
        <f>O8*27.8%</f>
        <v>52.264000000000003</v>
      </c>
      <c r="R8" s="7">
        <v>12.5</v>
      </c>
      <c r="S8" s="7">
        <f t="shared" si="1"/>
        <v>24</v>
      </c>
      <c r="T8" s="7"/>
      <c r="U8" s="7"/>
      <c r="V8" s="7">
        <f t="shared" si="2"/>
        <v>6.9415384615384621</v>
      </c>
      <c r="W8" s="7">
        <f t="shared" si="3"/>
        <v>0.86769230769230776</v>
      </c>
      <c r="X8" s="7">
        <f t="shared" si="4"/>
        <v>3.0916399999999999</v>
      </c>
      <c r="Y8" s="7">
        <f t="shared" si="5"/>
        <v>9.2749199999999998</v>
      </c>
      <c r="Z8" s="43">
        <f>SUM(O8:R8)-SUM(V8:Y8)+S8+T8+U8</f>
        <v>312.9882092307692</v>
      </c>
      <c r="AA8" s="43">
        <v>1505</v>
      </c>
      <c r="AB8" s="38">
        <v>1210</v>
      </c>
      <c r="AC8" s="9"/>
      <c r="AD8" s="39">
        <f t="shared" si="0"/>
        <v>3027.9882092307689</v>
      </c>
      <c r="AE8" s="57">
        <v>600</v>
      </c>
      <c r="AF8" s="57">
        <v>590</v>
      </c>
      <c r="AG8" s="57">
        <v>580</v>
      </c>
      <c r="AH8" s="57">
        <v>599</v>
      </c>
      <c r="AI8" s="57">
        <v>585</v>
      </c>
      <c r="AJ8" s="57">
        <v>74</v>
      </c>
      <c r="AK8" s="57">
        <v>0</v>
      </c>
      <c r="AL8" s="57"/>
      <c r="AM8" s="57"/>
      <c r="AN8" s="57"/>
      <c r="AO8" s="10">
        <f t="shared" si="6"/>
        <v>3028</v>
      </c>
      <c r="AP8" s="10">
        <f t="shared" si="7"/>
        <v>1.1790769231083686E-2</v>
      </c>
    </row>
    <row r="9" spans="1:42" ht="22.5">
      <c r="A9" s="65">
        <f t="shared" si="8"/>
        <v>6</v>
      </c>
      <c r="B9" s="8" t="s">
        <v>24</v>
      </c>
      <c r="C9" s="3">
        <v>12728156</v>
      </c>
      <c r="D9" s="3" t="s">
        <v>86</v>
      </c>
      <c r="E9" s="4" t="s">
        <v>20</v>
      </c>
      <c r="F9" s="5" t="s">
        <v>18</v>
      </c>
      <c r="G9" s="5" t="s">
        <v>16</v>
      </c>
      <c r="H9" s="5" t="s">
        <v>21</v>
      </c>
      <c r="I9" s="2" t="s">
        <v>22</v>
      </c>
      <c r="J9" s="2" t="s">
        <v>17</v>
      </c>
      <c r="K9" s="6">
        <v>42009</v>
      </c>
      <c r="L9" s="4">
        <v>19</v>
      </c>
      <c r="M9" s="4">
        <v>5</v>
      </c>
      <c r="N9" s="4">
        <v>0</v>
      </c>
      <c r="O9" s="7">
        <f>376/2</f>
        <v>188</v>
      </c>
      <c r="P9" s="7">
        <f>O9*25%</f>
        <v>47</v>
      </c>
      <c r="Q9" s="7">
        <f>O9*27.8%</f>
        <v>52.264000000000003</v>
      </c>
      <c r="R9" s="7">
        <v>0</v>
      </c>
      <c r="S9" s="7">
        <f t="shared" si="1"/>
        <v>24</v>
      </c>
      <c r="T9" s="7"/>
      <c r="U9" s="7"/>
      <c r="V9" s="7">
        <f t="shared" si="2"/>
        <v>6.9415384615384621</v>
      </c>
      <c r="W9" s="7">
        <f t="shared" si="3"/>
        <v>0.86769230769230776</v>
      </c>
      <c r="X9" s="7">
        <f t="shared" si="4"/>
        <v>2.8726400000000001</v>
      </c>
      <c r="Y9" s="7">
        <f t="shared" si="5"/>
        <v>8.6179199999999998</v>
      </c>
      <c r="Z9" s="43">
        <f>SUM(O9:R9)-SUM(V9:Y9)+S9+T9+U9</f>
        <v>291.96420923076926</v>
      </c>
      <c r="AA9" s="43">
        <v>2060</v>
      </c>
      <c r="AB9" s="38">
        <v>1210</v>
      </c>
      <c r="AC9" s="9"/>
      <c r="AD9" s="39">
        <f t="shared" si="0"/>
        <v>3561.9642092307695</v>
      </c>
      <c r="AE9" s="57">
        <v>600</v>
      </c>
      <c r="AF9" s="57">
        <v>590</v>
      </c>
      <c r="AG9" s="57">
        <v>580</v>
      </c>
      <c r="AH9" s="57">
        <v>599</v>
      </c>
      <c r="AI9" s="57">
        <v>595</v>
      </c>
      <c r="AJ9" s="57">
        <f>585+12.96</f>
        <v>597.96</v>
      </c>
      <c r="AK9" s="57">
        <v>0</v>
      </c>
      <c r="AL9" s="57"/>
      <c r="AM9" s="57"/>
      <c r="AN9" s="57"/>
      <c r="AO9" s="10">
        <f t="shared" si="6"/>
        <v>3561.96</v>
      </c>
      <c r="AP9" s="10">
        <f t="shared" si="7"/>
        <v>-4.2092307694474584E-3</v>
      </c>
    </row>
    <row r="10" spans="1:42" ht="22.5">
      <c r="A10" s="65">
        <f t="shared" si="8"/>
        <v>7</v>
      </c>
      <c r="B10" s="8" t="s">
        <v>40</v>
      </c>
      <c r="C10" s="3">
        <v>20320404</v>
      </c>
      <c r="D10" s="3" t="s">
        <v>74</v>
      </c>
      <c r="E10" s="4" t="s">
        <v>20</v>
      </c>
      <c r="F10" s="5" t="s">
        <v>18</v>
      </c>
      <c r="G10" s="5" t="s">
        <v>16</v>
      </c>
      <c r="H10" s="2" t="s">
        <v>28</v>
      </c>
      <c r="I10" s="2" t="s">
        <v>41</v>
      </c>
      <c r="J10" s="6" t="s">
        <v>17</v>
      </c>
      <c r="K10" s="6">
        <v>44207</v>
      </c>
      <c r="L10" s="4">
        <v>0</v>
      </c>
      <c r="M10" s="4">
        <v>0</v>
      </c>
      <c r="N10" s="4">
        <v>0</v>
      </c>
      <c r="O10" s="7">
        <f>363/2</f>
        <v>181.5</v>
      </c>
      <c r="P10" s="7">
        <f>O10*20%</f>
        <v>36.300000000000004</v>
      </c>
      <c r="Q10" s="7">
        <f>O10*5%</f>
        <v>9.0750000000000011</v>
      </c>
      <c r="R10" s="7">
        <v>0</v>
      </c>
      <c r="S10" s="7">
        <f t="shared" si="1"/>
        <v>24</v>
      </c>
      <c r="T10" s="7"/>
      <c r="U10" s="7"/>
      <c r="V10" s="7">
        <f t="shared" si="2"/>
        <v>6.7015384615384619</v>
      </c>
      <c r="W10" s="7">
        <f t="shared" si="3"/>
        <v>0.83769230769230774</v>
      </c>
      <c r="X10" s="7">
        <f t="shared" si="4"/>
        <v>2.2687500000000003</v>
      </c>
      <c r="Y10" s="7">
        <f t="shared" si="5"/>
        <v>6.8062499999999995</v>
      </c>
      <c r="Z10" s="43">
        <f>SUM(O10:R10)-SUM(V10:Y10)+S10+T10</f>
        <v>234.26076923076923</v>
      </c>
      <c r="AA10" s="43">
        <v>1100</v>
      </c>
      <c r="AB10" s="38">
        <v>986</v>
      </c>
      <c r="AC10" s="9"/>
      <c r="AD10" s="39">
        <f t="shared" si="0"/>
        <v>2320.2607692307693</v>
      </c>
      <c r="AE10" s="57">
        <v>600</v>
      </c>
      <c r="AF10" s="57">
        <v>590</v>
      </c>
      <c r="AG10" s="57">
        <v>580</v>
      </c>
      <c r="AH10" s="57">
        <f>548.52+1.74</f>
        <v>550.26</v>
      </c>
      <c r="AI10" s="57">
        <v>0</v>
      </c>
      <c r="AJ10" s="57">
        <f t="shared" ref="AJ10:AJ13" si="9">AD10-(AE10+AF10+AG10+AH10+AI10)</f>
        <v>7.6923076903767651E-4</v>
      </c>
      <c r="AK10" s="57">
        <f t="shared" ref="AK10:AK13" si="10">AD10-AE10-AF10-AG10-AH10-AI10-AJ10</f>
        <v>2.2737367544323206E-13</v>
      </c>
      <c r="AL10" s="57"/>
      <c r="AM10" s="57"/>
      <c r="AN10" s="57"/>
      <c r="AO10" s="10">
        <f t="shared" si="6"/>
        <v>2320.2607692307693</v>
      </c>
      <c r="AP10" s="10">
        <f t="shared" si="7"/>
        <v>0</v>
      </c>
    </row>
    <row r="11" spans="1:42" ht="26.25" customHeight="1">
      <c r="A11" s="65">
        <f t="shared" si="8"/>
        <v>8</v>
      </c>
      <c r="B11" s="8" t="s">
        <v>25</v>
      </c>
      <c r="C11" s="3">
        <v>15482256</v>
      </c>
      <c r="D11" s="3" t="s">
        <v>37</v>
      </c>
      <c r="E11" s="4" t="s">
        <v>20</v>
      </c>
      <c r="F11" s="5" t="s">
        <v>18</v>
      </c>
      <c r="G11" s="5" t="s">
        <v>16</v>
      </c>
      <c r="H11" s="2" t="s">
        <v>21</v>
      </c>
      <c r="I11" s="2" t="s">
        <v>26</v>
      </c>
      <c r="J11" s="2" t="s">
        <v>17</v>
      </c>
      <c r="K11" s="6">
        <v>42110</v>
      </c>
      <c r="L11" s="4">
        <f>2021-2015</f>
        <v>6</v>
      </c>
      <c r="M11" s="4">
        <v>6</v>
      </c>
      <c r="N11" s="4">
        <v>0</v>
      </c>
      <c r="O11" s="7">
        <f>363/2</f>
        <v>181.5</v>
      </c>
      <c r="P11" s="7">
        <f>O11*25%</f>
        <v>45.375</v>
      </c>
      <c r="Q11" s="7">
        <f>O11*9%</f>
        <v>16.335000000000001</v>
      </c>
      <c r="R11" s="7">
        <v>0</v>
      </c>
      <c r="S11" s="7">
        <f t="shared" si="1"/>
        <v>24</v>
      </c>
      <c r="T11" s="7"/>
      <c r="U11" s="7"/>
      <c r="V11" s="7">
        <f t="shared" si="2"/>
        <v>6.7015384615384619</v>
      </c>
      <c r="W11" s="7">
        <f t="shared" si="3"/>
        <v>0.83769230769230774</v>
      </c>
      <c r="X11" s="7">
        <f t="shared" si="4"/>
        <v>2.4321000000000002</v>
      </c>
      <c r="Y11" s="7">
        <f t="shared" si="5"/>
        <v>7.2962999999999996</v>
      </c>
      <c r="Z11" s="43">
        <f>SUM(O11:R11)-SUM(V11:Y11)+S11+T11</f>
        <v>249.94236923076923</v>
      </c>
      <c r="AA11" s="43">
        <v>1100</v>
      </c>
      <c r="AB11" s="38">
        <v>986</v>
      </c>
      <c r="AC11" s="9"/>
      <c r="AD11" s="39">
        <f t="shared" si="0"/>
        <v>2335.9423692307691</v>
      </c>
      <c r="AE11" s="57">
        <v>600</v>
      </c>
      <c r="AF11" s="57">
        <v>590</v>
      </c>
      <c r="AG11" s="57">
        <v>580</v>
      </c>
      <c r="AH11" s="57">
        <v>565.94000000000005</v>
      </c>
      <c r="AI11" s="57">
        <v>0</v>
      </c>
      <c r="AJ11" s="57">
        <f t="shared" si="9"/>
        <v>2.369230769090791E-3</v>
      </c>
      <c r="AK11" s="57">
        <f t="shared" si="10"/>
        <v>0</v>
      </c>
      <c r="AL11" s="57"/>
      <c r="AM11" s="57"/>
      <c r="AN11" s="57"/>
      <c r="AO11" s="10">
        <f t="shared" si="6"/>
        <v>2335.9423692307691</v>
      </c>
      <c r="AP11" s="10">
        <f t="shared" si="7"/>
        <v>0</v>
      </c>
    </row>
    <row r="12" spans="1:42" ht="18" customHeight="1">
      <c r="A12" s="65">
        <f t="shared" si="8"/>
        <v>9</v>
      </c>
      <c r="B12" s="8" t="s">
        <v>59</v>
      </c>
      <c r="C12" s="3">
        <v>10860831</v>
      </c>
      <c r="D12" s="3" t="s">
        <v>36</v>
      </c>
      <c r="E12" s="4" t="s">
        <v>20</v>
      </c>
      <c r="F12" s="5" t="s">
        <v>18</v>
      </c>
      <c r="G12" s="5" t="s">
        <v>16</v>
      </c>
      <c r="H12" s="2" t="s">
        <v>21</v>
      </c>
      <c r="I12" s="2" t="s">
        <v>26</v>
      </c>
      <c r="J12" s="2" t="s">
        <v>17</v>
      </c>
      <c r="K12" s="6">
        <v>44683</v>
      </c>
      <c r="L12" s="4">
        <f>2021-2015</f>
        <v>6</v>
      </c>
      <c r="M12" s="4">
        <v>9</v>
      </c>
      <c r="N12" s="4">
        <v>0</v>
      </c>
      <c r="O12" s="7">
        <f>363/2</f>
        <v>181.5</v>
      </c>
      <c r="P12" s="7">
        <f>O12*25%</f>
        <v>45.375</v>
      </c>
      <c r="Q12" s="7">
        <f>O12*28.8%</f>
        <v>52.272000000000006</v>
      </c>
      <c r="R12" s="7">
        <v>0</v>
      </c>
      <c r="S12" s="7">
        <f t="shared" si="1"/>
        <v>24</v>
      </c>
      <c r="T12" s="7"/>
      <c r="U12" s="7"/>
      <c r="V12" s="7">
        <f t="shared" si="2"/>
        <v>6.7015384615384619</v>
      </c>
      <c r="W12" s="7">
        <f t="shared" si="3"/>
        <v>0.83769230769230774</v>
      </c>
      <c r="X12" s="7">
        <f t="shared" si="4"/>
        <v>2.7914699999999999</v>
      </c>
      <c r="Y12" s="7">
        <f t="shared" si="5"/>
        <v>8.3744099999999992</v>
      </c>
      <c r="Z12" s="43">
        <f>SUM(O12:R12)-SUM(V12:Y12)+S12+T12</f>
        <v>284.44188923076922</v>
      </c>
      <c r="AA12" s="43">
        <v>1100</v>
      </c>
      <c r="AB12" s="38">
        <v>986</v>
      </c>
      <c r="AC12" s="9"/>
      <c r="AD12" s="39">
        <f t="shared" si="0"/>
        <v>2370.4418892307694</v>
      </c>
      <c r="AE12" s="57">
        <v>600</v>
      </c>
      <c r="AF12" s="57">
        <v>590</v>
      </c>
      <c r="AG12" s="57">
        <v>581.44000000000005</v>
      </c>
      <c r="AH12" s="57">
        <v>599</v>
      </c>
      <c r="AI12" s="57">
        <v>0</v>
      </c>
      <c r="AJ12" s="57">
        <f t="shared" si="9"/>
        <v>1.8892307693931798E-3</v>
      </c>
      <c r="AK12" s="57">
        <f t="shared" si="10"/>
        <v>0</v>
      </c>
      <c r="AL12" s="57"/>
      <c r="AM12" s="57"/>
      <c r="AN12" s="57"/>
      <c r="AO12" s="10">
        <f t="shared" si="6"/>
        <v>2370.4418892307694</v>
      </c>
      <c r="AP12" s="10">
        <f t="shared" si="7"/>
        <v>0</v>
      </c>
    </row>
    <row r="13" spans="1:42" ht="22.5">
      <c r="A13" s="65">
        <f t="shared" si="8"/>
        <v>10</v>
      </c>
      <c r="B13" s="8" t="s">
        <v>69</v>
      </c>
      <c r="C13" s="3">
        <v>14377793</v>
      </c>
      <c r="D13" s="3" t="s">
        <v>51</v>
      </c>
      <c r="E13" s="4" t="s">
        <v>15</v>
      </c>
      <c r="F13" s="5" t="s">
        <v>18</v>
      </c>
      <c r="G13" s="5" t="s">
        <v>16</v>
      </c>
      <c r="H13" s="5" t="s">
        <v>21</v>
      </c>
      <c r="I13" s="2" t="s">
        <v>26</v>
      </c>
      <c r="J13" s="2" t="s">
        <v>17</v>
      </c>
      <c r="K13" s="6">
        <v>45383</v>
      </c>
      <c r="L13" s="4"/>
      <c r="M13" s="4"/>
      <c r="N13" s="4"/>
      <c r="O13" s="7">
        <f>363/2</f>
        <v>181.5</v>
      </c>
      <c r="P13" s="7">
        <f>O13*25%</f>
        <v>45.375</v>
      </c>
      <c r="Q13" s="7">
        <v>0</v>
      </c>
      <c r="R13" s="7">
        <v>12.5</v>
      </c>
      <c r="S13" s="7">
        <f t="shared" si="1"/>
        <v>24</v>
      </c>
      <c r="T13" s="7"/>
      <c r="U13" s="7"/>
      <c r="V13" s="7">
        <f t="shared" si="2"/>
        <v>6.7015384615384619</v>
      </c>
      <c r="W13" s="7">
        <f t="shared" si="3"/>
        <v>0.83769230769230774</v>
      </c>
      <c r="X13" s="7">
        <f t="shared" si="4"/>
        <v>2.3937500000000003</v>
      </c>
      <c r="Y13" s="7">
        <f t="shared" si="5"/>
        <v>7.1812499999999995</v>
      </c>
      <c r="Z13" s="43">
        <f>SUM(O13:R13)-SUM(V13:Y13)+S13+T13</f>
        <v>246.26076923076923</v>
      </c>
      <c r="AA13" s="43">
        <v>1100</v>
      </c>
      <c r="AB13" s="38">
        <v>986</v>
      </c>
      <c r="AC13" s="9"/>
      <c r="AD13" s="39">
        <f t="shared" si="0"/>
        <v>2332.2607692307693</v>
      </c>
      <c r="AE13" s="57">
        <v>600</v>
      </c>
      <c r="AF13" s="57">
        <v>590</v>
      </c>
      <c r="AG13" s="57">
        <v>580</v>
      </c>
      <c r="AH13" s="57">
        <v>562.26</v>
      </c>
      <c r="AI13" s="57">
        <f t="shared" ref="AI13" si="11">AD13-AE13-AF13-AG13-AH13</f>
        <v>7.6923076926505018E-4</v>
      </c>
      <c r="AJ13" s="57">
        <f t="shared" si="9"/>
        <v>0</v>
      </c>
      <c r="AK13" s="57">
        <f t="shared" si="10"/>
        <v>0</v>
      </c>
      <c r="AL13" s="57"/>
      <c r="AM13" s="57"/>
      <c r="AN13" s="57"/>
      <c r="AO13" s="10">
        <f t="shared" si="6"/>
        <v>2332.2607692307693</v>
      </c>
      <c r="AP13" s="10">
        <f t="shared" si="7"/>
        <v>0</v>
      </c>
    </row>
    <row r="14" spans="1:42" s="24" customFormat="1" ht="15">
      <c r="A14" s="66"/>
      <c r="B14" s="25"/>
      <c r="C14" s="50"/>
      <c r="D14" s="50"/>
      <c r="E14" s="51"/>
      <c r="F14" s="52"/>
      <c r="G14" s="52"/>
      <c r="H14" s="52"/>
      <c r="I14" s="53"/>
      <c r="J14" s="53"/>
      <c r="K14" s="54"/>
      <c r="L14" s="51"/>
      <c r="M14" s="51"/>
      <c r="N14" s="51"/>
      <c r="O14" s="20">
        <f t="shared" ref="O14:AD14" si="12">SUM(O4:O13)</f>
        <v>1870.5</v>
      </c>
      <c r="P14" s="20">
        <f t="shared" si="12"/>
        <v>486.75</v>
      </c>
      <c r="Q14" s="20">
        <f t="shared" si="12"/>
        <v>286.25700000000001</v>
      </c>
      <c r="R14" s="20">
        <f t="shared" si="12"/>
        <v>56.25</v>
      </c>
      <c r="S14" s="20">
        <f t="shared" si="12"/>
        <v>240</v>
      </c>
      <c r="T14" s="20">
        <f t="shared" si="12"/>
        <v>0</v>
      </c>
      <c r="U14" s="20">
        <f t="shared" si="12"/>
        <v>0</v>
      </c>
      <c r="V14" s="20">
        <f t="shared" si="12"/>
        <v>69.064615384615394</v>
      </c>
      <c r="W14" s="20">
        <f t="shared" si="12"/>
        <v>8.6330769230769242</v>
      </c>
      <c r="X14" s="20">
        <f t="shared" si="12"/>
        <v>26.997570000000003</v>
      </c>
      <c r="Y14" s="20">
        <f t="shared" si="12"/>
        <v>80.992710000000002</v>
      </c>
      <c r="Z14" s="44">
        <f t="shared" si="12"/>
        <v>2754.0690276923078</v>
      </c>
      <c r="AA14" s="44">
        <f t="shared" si="12"/>
        <v>14960</v>
      </c>
      <c r="AB14" s="48">
        <f t="shared" si="12"/>
        <v>11384</v>
      </c>
      <c r="AC14" s="48">
        <f t="shared" si="12"/>
        <v>2240</v>
      </c>
      <c r="AD14" s="56">
        <f t="shared" si="12"/>
        <v>31338.069027692305</v>
      </c>
      <c r="AE14" s="49"/>
      <c r="AF14" s="49"/>
      <c r="AG14" s="49"/>
      <c r="AH14" s="49"/>
      <c r="AI14" s="58"/>
      <c r="AJ14" s="58"/>
      <c r="AK14" s="58"/>
      <c r="AP14" s="10"/>
    </row>
    <row r="15" spans="1:42" ht="22.5">
      <c r="A15" s="65">
        <f>A13+1</f>
        <v>11</v>
      </c>
      <c r="B15" s="8" t="s">
        <v>27</v>
      </c>
      <c r="C15" s="3">
        <v>19953964</v>
      </c>
      <c r="D15" s="3" t="s">
        <v>38</v>
      </c>
      <c r="E15" s="4" t="s">
        <v>20</v>
      </c>
      <c r="F15" s="5" t="s">
        <v>18</v>
      </c>
      <c r="G15" s="5" t="s">
        <v>16</v>
      </c>
      <c r="H15" s="2" t="s">
        <v>28</v>
      </c>
      <c r="I15" s="2" t="s">
        <v>42</v>
      </c>
      <c r="J15" s="6" t="s">
        <v>17</v>
      </c>
      <c r="K15" s="6">
        <v>43269</v>
      </c>
      <c r="L15" s="4">
        <v>3</v>
      </c>
      <c r="M15" s="4">
        <v>3</v>
      </c>
      <c r="N15" s="4">
        <v>0</v>
      </c>
      <c r="O15" s="7">
        <f>316/2</f>
        <v>158</v>
      </c>
      <c r="P15" s="7">
        <f>O15*25%</f>
        <v>39.5</v>
      </c>
      <c r="Q15" s="7">
        <f>O15*7.2%</f>
        <v>11.376000000000001</v>
      </c>
      <c r="R15" s="7">
        <v>0</v>
      </c>
      <c r="S15" s="7">
        <v>12</v>
      </c>
      <c r="T15" s="7">
        <v>30.6</v>
      </c>
      <c r="U15" s="7"/>
      <c r="V15" s="7">
        <f t="shared" ref="V15:V23" si="13">(O15*2*12/52)*4%*2</f>
        <v>5.8338461538461539</v>
      </c>
      <c r="W15" s="7">
        <f t="shared" ref="W15:W23" si="14">(O15*2*12/52)*0.5%*2</f>
        <v>0.72923076923076924</v>
      </c>
      <c r="X15" s="7">
        <f t="shared" ref="X15:X23" si="15">SUM(O15:R15)*1%</f>
        <v>2.0887600000000002</v>
      </c>
      <c r="Y15" s="7">
        <f t="shared" ref="Y15:Y23" si="16">SUM(O15:R15)*3%</f>
        <v>6.2662800000000001</v>
      </c>
      <c r="Z15" s="43">
        <f t="shared" ref="Z15:Z23" si="17">SUM(O15:R15)-SUM(V15:Y15)+S15+T15</f>
        <v>236.55788307692308</v>
      </c>
      <c r="AA15" s="45">
        <v>1090</v>
      </c>
      <c r="AB15" s="39"/>
      <c r="AC15" s="9"/>
      <c r="AD15" s="39">
        <f t="shared" ref="AD15:AD23" si="18">Z15+AA15+AB15+AC15</f>
        <v>1326.5578830769232</v>
      </c>
      <c r="AE15" s="57">
        <v>600</v>
      </c>
      <c r="AF15" s="39">
        <v>590</v>
      </c>
      <c r="AG15" s="39">
        <f>AD15-AE15-AF15</f>
        <v>136.55788307692319</v>
      </c>
      <c r="AH15" s="39">
        <v>0</v>
      </c>
      <c r="AI15" s="9"/>
      <c r="AJ15" s="9"/>
      <c r="AK15" s="9"/>
      <c r="AL15" s="9"/>
      <c r="AM15" s="9"/>
      <c r="AN15" s="9"/>
      <c r="AO15" s="10">
        <f t="shared" si="6"/>
        <v>1326.5578830769232</v>
      </c>
      <c r="AP15" s="10">
        <f t="shared" si="7"/>
        <v>0</v>
      </c>
    </row>
    <row r="16" spans="1:42">
      <c r="A16" s="65">
        <f t="shared" si="8"/>
        <v>12</v>
      </c>
      <c r="B16" s="11" t="s">
        <v>55</v>
      </c>
      <c r="C16" s="12">
        <v>20467892</v>
      </c>
      <c r="D16" s="3" t="s">
        <v>38</v>
      </c>
      <c r="E16" s="13"/>
      <c r="F16" s="14"/>
      <c r="G16" s="5"/>
      <c r="H16" s="2"/>
      <c r="I16" s="2"/>
      <c r="J16" s="6"/>
      <c r="K16" s="6">
        <v>44807</v>
      </c>
      <c r="L16" s="4"/>
      <c r="M16" s="4"/>
      <c r="N16" s="4"/>
      <c r="O16" s="7">
        <f>316/2</f>
        <v>158</v>
      </c>
      <c r="P16" s="7">
        <f>O16*25%</f>
        <v>39.5</v>
      </c>
      <c r="Q16" s="7">
        <f>O16*2%</f>
        <v>3.16</v>
      </c>
      <c r="R16" s="7">
        <f>6.25*2</f>
        <v>12.5</v>
      </c>
      <c r="S16" s="7">
        <v>12</v>
      </c>
      <c r="T16" s="7">
        <v>30.6</v>
      </c>
      <c r="U16" s="7"/>
      <c r="V16" s="7">
        <f t="shared" si="13"/>
        <v>5.8338461538461539</v>
      </c>
      <c r="W16" s="7">
        <f t="shared" si="14"/>
        <v>0.72923076923076924</v>
      </c>
      <c r="X16" s="7">
        <f t="shared" si="15"/>
        <v>2.1316000000000002</v>
      </c>
      <c r="Y16" s="7">
        <f t="shared" si="16"/>
        <v>6.3948</v>
      </c>
      <c r="Z16" s="43">
        <f t="shared" si="17"/>
        <v>240.67052307692308</v>
      </c>
      <c r="AA16" s="45">
        <v>900</v>
      </c>
      <c r="AB16" s="39"/>
      <c r="AC16" s="9"/>
      <c r="AD16" s="39">
        <f t="shared" si="18"/>
        <v>1140.670523076923</v>
      </c>
      <c r="AE16" s="57">
        <v>600</v>
      </c>
      <c r="AF16" s="39">
        <f t="shared" ref="AF16:AF22" si="19">AD16-AE16</f>
        <v>540.67052307692302</v>
      </c>
      <c r="AG16" s="9">
        <v>0</v>
      </c>
      <c r="AH16" s="39">
        <v>0</v>
      </c>
      <c r="AI16" s="9"/>
      <c r="AJ16" s="9"/>
      <c r="AK16" s="9"/>
      <c r="AL16" s="9"/>
      <c r="AM16" s="9"/>
      <c r="AN16" s="9"/>
      <c r="AO16" s="10">
        <f t="shared" si="6"/>
        <v>1140.670523076923</v>
      </c>
      <c r="AP16" s="10">
        <f t="shared" si="7"/>
        <v>0</v>
      </c>
    </row>
    <row r="17" spans="1:42">
      <c r="A17" s="65">
        <f t="shared" si="8"/>
        <v>13</v>
      </c>
      <c r="B17" s="11" t="s">
        <v>56</v>
      </c>
      <c r="C17" s="12">
        <v>19455382</v>
      </c>
      <c r="D17" s="3" t="s">
        <v>80</v>
      </c>
      <c r="E17" s="13"/>
      <c r="F17" s="14"/>
      <c r="G17" s="5"/>
      <c r="H17" s="2"/>
      <c r="I17" s="2"/>
      <c r="J17" s="6"/>
      <c r="K17" s="6">
        <v>44835</v>
      </c>
      <c r="L17" s="4"/>
      <c r="M17" s="4"/>
      <c r="N17" s="4"/>
      <c r="O17" s="7">
        <f>316/2</f>
        <v>158</v>
      </c>
      <c r="P17" s="7">
        <f>O17*30%</f>
        <v>47.4</v>
      </c>
      <c r="Q17" s="7">
        <f>O17*5%</f>
        <v>7.9</v>
      </c>
      <c r="R17" s="7">
        <v>12.5</v>
      </c>
      <c r="S17" s="7">
        <v>12</v>
      </c>
      <c r="T17" s="7">
        <v>30.6</v>
      </c>
      <c r="U17" s="7"/>
      <c r="V17" s="7">
        <f t="shared" si="13"/>
        <v>5.8338461538461539</v>
      </c>
      <c r="W17" s="7">
        <f t="shared" si="14"/>
        <v>0.72923076923076924</v>
      </c>
      <c r="X17" s="7">
        <f t="shared" si="15"/>
        <v>2.258</v>
      </c>
      <c r="Y17" s="7">
        <f t="shared" si="16"/>
        <v>6.774</v>
      </c>
      <c r="Z17" s="43">
        <f t="shared" si="17"/>
        <v>252.80492307692307</v>
      </c>
      <c r="AA17" s="45">
        <v>900</v>
      </c>
      <c r="AB17" s="39"/>
      <c r="AC17" s="9"/>
      <c r="AD17" s="39">
        <f t="shared" si="18"/>
        <v>1152.8049230769232</v>
      </c>
      <c r="AE17" s="57">
        <v>600</v>
      </c>
      <c r="AF17" s="39">
        <f t="shared" si="19"/>
        <v>552.80492307692316</v>
      </c>
      <c r="AG17" s="9">
        <v>0</v>
      </c>
      <c r="AH17" s="39">
        <v>0</v>
      </c>
      <c r="AI17" s="9"/>
      <c r="AJ17" s="9"/>
      <c r="AK17" s="9"/>
      <c r="AL17" s="9"/>
      <c r="AM17" s="9"/>
      <c r="AN17" s="9"/>
      <c r="AO17" s="10">
        <f t="shared" si="6"/>
        <v>1152.8049230769232</v>
      </c>
      <c r="AP17" s="10">
        <f t="shared" si="7"/>
        <v>0</v>
      </c>
    </row>
    <row r="18" spans="1:42" ht="22.5">
      <c r="A18" s="65">
        <f t="shared" si="8"/>
        <v>14</v>
      </c>
      <c r="B18" s="21" t="s">
        <v>58</v>
      </c>
      <c r="C18" s="22">
        <v>27011335</v>
      </c>
      <c r="D18" s="22" t="s">
        <v>72</v>
      </c>
      <c r="E18" s="13" t="s">
        <v>20</v>
      </c>
      <c r="F18" s="14" t="s">
        <v>18</v>
      </c>
      <c r="G18" s="5" t="s">
        <v>16</v>
      </c>
      <c r="H18" s="2" t="s">
        <v>28</v>
      </c>
      <c r="I18" s="2" t="s">
        <v>77</v>
      </c>
      <c r="J18" s="6" t="s">
        <v>78</v>
      </c>
      <c r="K18" s="6">
        <v>44571</v>
      </c>
      <c r="L18" s="4">
        <v>0</v>
      </c>
      <c r="M18" s="4">
        <v>0</v>
      </c>
      <c r="N18" s="4">
        <v>2</v>
      </c>
      <c r="O18" s="7">
        <f>228/2</f>
        <v>114</v>
      </c>
      <c r="P18" s="7">
        <f>O18*20%</f>
        <v>22.8</v>
      </c>
      <c r="Q18" s="7">
        <f>O18*2%</f>
        <v>2.2800000000000002</v>
      </c>
      <c r="R18" s="7">
        <v>0</v>
      </c>
      <c r="S18" s="7">
        <v>12</v>
      </c>
      <c r="T18" s="7">
        <v>30.6</v>
      </c>
      <c r="U18" s="7"/>
      <c r="V18" s="7">
        <f t="shared" si="13"/>
        <v>4.2092307692307696</v>
      </c>
      <c r="W18" s="7">
        <f t="shared" si="14"/>
        <v>0.52615384615384619</v>
      </c>
      <c r="X18" s="7">
        <f t="shared" si="15"/>
        <v>1.3908000000000003</v>
      </c>
      <c r="Y18" s="7">
        <f t="shared" si="16"/>
        <v>4.1724000000000006</v>
      </c>
      <c r="Z18" s="43">
        <f t="shared" si="17"/>
        <v>171.38141538461539</v>
      </c>
      <c r="AA18" s="45">
        <v>900</v>
      </c>
      <c r="AB18" s="39"/>
      <c r="AC18" s="9"/>
      <c r="AD18" s="39">
        <f t="shared" si="18"/>
        <v>1071.3814153846154</v>
      </c>
      <c r="AE18" s="57">
        <v>600</v>
      </c>
      <c r="AF18" s="39">
        <f t="shared" si="19"/>
        <v>471.38141538461537</v>
      </c>
      <c r="AG18" s="9">
        <v>0</v>
      </c>
      <c r="AH18" s="39">
        <v>0</v>
      </c>
      <c r="AI18" s="9"/>
      <c r="AJ18" s="9"/>
      <c r="AK18" s="9"/>
      <c r="AL18" s="9"/>
      <c r="AM18" s="9"/>
      <c r="AN18" s="9"/>
      <c r="AO18" s="10">
        <f t="shared" si="6"/>
        <v>1071.3814153846154</v>
      </c>
      <c r="AP18" s="10">
        <f t="shared" si="7"/>
        <v>0</v>
      </c>
    </row>
    <row r="19" spans="1:42" ht="22.5">
      <c r="A19" s="65">
        <f t="shared" si="8"/>
        <v>15</v>
      </c>
      <c r="B19" s="21" t="s">
        <v>65</v>
      </c>
      <c r="C19" s="22">
        <v>11273838</v>
      </c>
      <c r="D19" s="22" t="s">
        <v>73</v>
      </c>
      <c r="E19" s="13"/>
      <c r="F19" s="14"/>
      <c r="G19" s="5"/>
      <c r="H19" s="2" t="s">
        <v>28</v>
      </c>
      <c r="I19" s="2" t="s">
        <v>42</v>
      </c>
      <c r="J19" s="6" t="s">
        <v>17</v>
      </c>
      <c r="K19" s="6">
        <v>45323</v>
      </c>
      <c r="L19" s="4"/>
      <c r="M19" s="4"/>
      <c r="N19" s="4"/>
      <c r="O19" s="7">
        <f>316/2</f>
        <v>158</v>
      </c>
      <c r="P19" s="7">
        <f>O19*25%</f>
        <v>39.5</v>
      </c>
      <c r="Q19" s="7">
        <f>O19*22.8%</f>
        <v>36.024000000000001</v>
      </c>
      <c r="R19" s="7">
        <v>0</v>
      </c>
      <c r="S19" s="7">
        <v>12</v>
      </c>
      <c r="T19" s="7">
        <v>30.6</v>
      </c>
      <c r="U19" s="7"/>
      <c r="V19" s="7">
        <f t="shared" si="13"/>
        <v>5.8338461538461539</v>
      </c>
      <c r="W19" s="7">
        <f t="shared" si="14"/>
        <v>0.72923076923076924</v>
      </c>
      <c r="X19" s="7">
        <f t="shared" si="15"/>
        <v>2.3352400000000002</v>
      </c>
      <c r="Y19" s="7">
        <f t="shared" si="16"/>
        <v>7.0057200000000002</v>
      </c>
      <c r="Z19" s="43">
        <f t="shared" si="17"/>
        <v>260.21996307692308</v>
      </c>
      <c r="AA19" s="45">
        <v>900</v>
      </c>
      <c r="AB19" s="39"/>
      <c r="AC19" s="9"/>
      <c r="AD19" s="39">
        <f t="shared" si="18"/>
        <v>1160.219963076923</v>
      </c>
      <c r="AE19" s="57">
        <v>600</v>
      </c>
      <c r="AF19" s="39">
        <f t="shared" si="19"/>
        <v>560.21996307692302</v>
      </c>
      <c r="AG19" s="9">
        <v>0</v>
      </c>
      <c r="AH19" s="39">
        <v>0</v>
      </c>
      <c r="AI19" s="9"/>
      <c r="AJ19" s="9"/>
      <c r="AK19" s="9"/>
      <c r="AL19" s="9"/>
      <c r="AM19" s="9"/>
      <c r="AN19" s="9"/>
      <c r="AO19" s="10">
        <f t="shared" si="6"/>
        <v>1160.219963076923</v>
      </c>
      <c r="AP19" s="10">
        <f t="shared" si="7"/>
        <v>0</v>
      </c>
    </row>
    <row r="20" spans="1:42" ht="22.5">
      <c r="A20" s="65">
        <f t="shared" si="8"/>
        <v>16</v>
      </c>
      <c r="B20" s="11" t="s">
        <v>66</v>
      </c>
      <c r="C20" s="12">
        <v>22319387</v>
      </c>
      <c r="D20" s="22" t="s">
        <v>38</v>
      </c>
      <c r="E20" s="13"/>
      <c r="F20" s="14"/>
      <c r="G20" s="5"/>
      <c r="H20" s="2" t="s">
        <v>28</v>
      </c>
      <c r="I20" s="2" t="s">
        <v>42</v>
      </c>
      <c r="J20" s="6" t="s">
        <v>17</v>
      </c>
      <c r="K20" s="6">
        <v>45336</v>
      </c>
      <c r="L20" s="4"/>
      <c r="M20" s="4"/>
      <c r="N20" s="4"/>
      <c r="O20" s="7">
        <f>316/2</f>
        <v>158</v>
      </c>
      <c r="P20" s="7">
        <f>O20*25%</f>
        <v>39.5</v>
      </c>
      <c r="Q20" s="7">
        <v>0</v>
      </c>
      <c r="R20" s="7">
        <v>6.25</v>
      </c>
      <c r="S20" s="7">
        <v>12</v>
      </c>
      <c r="T20" s="7">
        <v>30.6</v>
      </c>
      <c r="U20" s="7"/>
      <c r="V20" s="7">
        <f t="shared" si="13"/>
        <v>5.8338461538461539</v>
      </c>
      <c r="W20" s="7">
        <f t="shared" si="14"/>
        <v>0.72923076923076924</v>
      </c>
      <c r="X20" s="7">
        <f t="shared" si="15"/>
        <v>2.0375000000000001</v>
      </c>
      <c r="Y20" s="7">
        <f t="shared" si="16"/>
        <v>6.1124999999999998</v>
      </c>
      <c r="Z20" s="43">
        <f t="shared" si="17"/>
        <v>231.63692307692307</v>
      </c>
      <c r="AA20" s="45">
        <v>900</v>
      </c>
      <c r="AB20" s="39"/>
      <c r="AC20" s="9"/>
      <c r="AD20" s="39">
        <f t="shared" si="18"/>
        <v>1131.636923076923</v>
      </c>
      <c r="AE20" s="57">
        <v>600</v>
      </c>
      <c r="AF20" s="39">
        <f t="shared" si="19"/>
        <v>531.63692307692304</v>
      </c>
      <c r="AG20" s="9">
        <v>0</v>
      </c>
      <c r="AH20" s="39">
        <v>0</v>
      </c>
      <c r="AI20" s="9"/>
      <c r="AJ20" s="9"/>
      <c r="AK20" s="9"/>
      <c r="AL20" s="9"/>
      <c r="AM20" s="9"/>
      <c r="AN20" s="9"/>
      <c r="AO20" s="10">
        <f t="shared" si="6"/>
        <v>1131.636923076923</v>
      </c>
      <c r="AP20" s="10">
        <f t="shared" si="7"/>
        <v>0</v>
      </c>
    </row>
    <row r="21" spans="1:42" ht="22.5">
      <c r="A21" s="65">
        <f t="shared" si="8"/>
        <v>17</v>
      </c>
      <c r="B21" s="11" t="s">
        <v>70</v>
      </c>
      <c r="C21" s="12">
        <v>19061401</v>
      </c>
      <c r="D21" s="22" t="s">
        <v>80</v>
      </c>
      <c r="E21" s="13"/>
      <c r="F21" s="14"/>
      <c r="G21" s="5"/>
      <c r="H21" s="2" t="s">
        <v>28</v>
      </c>
      <c r="I21" s="2" t="s">
        <v>42</v>
      </c>
      <c r="J21" s="6" t="s">
        <v>17</v>
      </c>
      <c r="K21" s="6">
        <v>45383</v>
      </c>
      <c r="L21" s="4"/>
      <c r="M21" s="4"/>
      <c r="N21" s="4"/>
      <c r="O21" s="7">
        <f>316/2</f>
        <v>158</v>
      </c>
      <c r="P21" s="7">
        <f>O21*25%</f>
        <v>39.5</v>
      </c>
      <c r="Q21" s="7">
        <f>O21*3%</f>
        <v>4.74</v>
      </c>
      <c r="R21" s="7">
        <v>0</v>
      </c>
      <c r="S21" s="7">
        <v>12</v>
      </c>
      <c r="T21" s="7">
        <v>30.6</v>
      </c>
      <c r="U21" s="7"/>
      <c r="V21" s="7">
        <f t="shared" si="13"/>
        <v>5.8338461538461539</v>
      </c>
      <c r="W21" s="7">
        <f t="shared" si="14"/>
        <v>0.72923076923076924</v>
      </c>
      <c r="X21" s="7">
        <f t="shared" si="15"/>
        <v>2.0224000000000002</v>
      </c>
      <c r="Y21" s="7">
        <f t="shared" si="16"/>
        <v>6.0671999999999997</v>
      </c>
      <c r="Z21" s="43">
        <f t="shared" si="17"/>
        <v>230.18732307692309</v>
      </c>
      <c r="AA21" s="45">
        <v>900</v>
      </c>
      <c r="AB21" s="39"/>
      <c r="AC21" s="9"/>
      <c r="AD21" s="39">
        <f t="shared" si="18"/>
        <v>1130.1873230769231</v>
      </c>
      <c r="AE21" s="57">
        <v>600</v>
      </c>
      <c r="AF21" s="39">
        <f t="shared" si="19"/>
        <v>530.18732307692312</v>
      </c>
      <c r="AG21" s="9">
        <v>0</v>
      </c>
      <c r="AH21" s="39">
        <v>0</v>
      </c>
      <c r="AI21" s="9"/>
      <c r="AJ21" s="9"/>
      <c r="AK21" s="9"/>
      <c r="AL21" s="9"/>
      <c r="AM21" s="9"/>
      <c r="AN21" s="9"/>
      <c r="AO21" s="10">
        <f t="shared" si="6"/>
        <v>1130.1873230769231</v>
      </c>
      <c r="AP21" s="10">
        <f t="shared" si="7"/>
        <v>0</v>
      </c>
    </row>
    <row r="22" spans="1:42" ht="22.5">
      <c r="A22" s="65">
        <f t="shared" si="8"/>
        <v>18</v>
      </c>
      <c r="B22" s="11" t="s">
        <v>71</v>
      </c>
      <c r="C22" s="12">
        <v>24001822</v>
      </c>
      <c r="D22" s="22" t="s">
        <v>38</v>
      </c>
      <c r="E22" s="13"/>
      <c r="F22" s="14"/>
      <c r="G22" s="5"/>
      <c r="H22" s="2" t="s">
        <v>28</v>
      </c>
      <c r="I22" s="2" t="s">
        <v>42</v>
      </c>
      <c r="J22" s="6" t="s">
        <v>17</v>
      </c>
      <c r="K22" s="6">
        <v>45383</v>
      </c>
      <c r="L22" s="4"/>
      <c r="M22" s="4"/>
      <c r="N22" s="4"/>
      <c r="O22" s="7">
        <f>316/2</f>
        <v>158</v>
      </c>
      <c r="P22" s="7">
        <f>O22*25%</f>
        <v>39.5</v>
      </c>
      <c r="Q22" s="7">
        <v>0</v>
      </c>
      <c r="R22" s="7">
        <v>0</v>
      </c>
      <c r="S22" s="7">
        <v>12</v>
      </c>
      <c r="T22" s="7">
        <v>30.6</v>
      </c>
      <c r="U22" s="7"/>
      <c r="V22" s="7">
        <f t="shared" si="13"/>
        <v>5.8338461538461539</v>
      </c>
      <c r="W22" s="7">
        <f t="shared" si="14"/>
        <v>0.72923076923076924</v>
      </c>
      <c r="X22" s="7">
        <f t="shared" si="15"/>
        <v>1.9750000000000001</v>
      </c>
      <c r="Y22" s="7">
        <f t="shared" si="16"/>
        <v>5.9249999999999998</v>
      </c>
      <c r="Z22" s="43">
        <f t="shared" si="17"/>
        <v>225.63692307692307</v>
      </c>
      <c r="AA22" s="45">
        <v>900</v>
      </c>
      <c r="AB22" s="39"/>
      <c r="AC22" s="9"/>
      <c r="AD22" s="39">
        <f t="shared" si="18"/>
        <v>1125.636923076923</v>
      </c>
      <c r="AE22" s="57">
        <v>600</v>
      </c>
      <c r="AF22" s="39">
        <f t="shared" si="19"/>
        <v>525.63692307692304</v>
      </c>
      <c r="AG22" s="9">
        <v>0</v>
      </c>
      <c r="AH22" s="39">
        <v>0</v>
      </c>
      <c r="AI22" s="9"/>
      <c r="AJ22" s="9"/>
      <c r="AK22" s="9"/>
      <c r="AL22" s="9"/>
      <c r="AM22" s="9"/>
      <c r="AN22" s="9"/>
      <c r="AO22" s="10">
        <f t="shared" si="6"/>
        <v>1125.636923076923</v>
      </c>
      <c r="AP22" s="10">
        <f t="shared" si="7"/>
        <v>0</v>
      </c>
    </row>
    <row r="23" spans="1:42" ht="22.5">
      <c r="A23" s="65">
        <f t="shared" si="8"/>
        <v>19</v>
      </c>
      <c r="B23" s="21" t="s">
        <v>50</v>
      </c>
      <c r="C23" s="22">
        <v>28411780</v>
      </c>
      <c r="D23" s="22" t="s">
        <v>76</v>
      </c>
      <c r="E23" s="13" t="s">
        <v>20</v>
      </c>
      <c r="F23" s="14" t="s">
        <v>18</v>
      </c>
      <c r="G23" s="5" t="s">
        <v>16</v>
      </c>
      <c r="H23" s="2" t="s">
        <v>28</v>
      </c>
      <c r="I23" s="2" t="s">
        <v>42</v>
      </c>
      <c r="J23" s="6" t="s">
        <v>17</v>
      </c>
      <c r="K23" s="6">
        <v>44571</v>
      </c>
      <c r="L23" s="4">
        <v>0</v>
      </c>
      <c r="M23" s="4">
        <v>0</v>
      </c>
      <c r="N23" s="4">
        <v>2</v>
      </c>
      <c r="O23" s="7">
        <f>316/2</f>
        <v>158</v>
      </c>
      <c r="P23" s="7">
        <f>O23*25%</f>
        <v>39.5</v>
      </c>
      <c r="Q23" s="7">
        <f>O23*2%</f>
        <v>3.16</v>
      </c>
      <c r="R23" s="7">
        <v>0</v>
      </c>
      <c r="S23" s="7">
        <v>12</v>
      </c>
      <c r="T23" s="7">
        <v>30.6</v>
      </c>
      <c r="U23" s="7"/>
      <c r="V23" s="7">
        <f t="shared" si="13"/>
        <v>5.8338461538461539</v>
      </c>
      <c r="W23" s="7">
        <f t="shared" si="14"/>
        <v>0.72923076923076924</v>
      </c>
      <c r="X23" s="7">
        <f t="shared" si="15"/>
        <v>2.0066000000000002</v>
      </c>
      <c r="Y23" s="7">
        <f t="shared" si="16"/>
        <v>6.0198</v>
      </c>
      <c r="Z23" s="43">
        <f t="shared" si="17"/>
        <v>228.67052307692308</v>
      </c>
      <c r="AA23" s="45">
        <v>900</v>
      </c>
      <c r="AB23" s="39"/>
      <c r="AC23" s="9"/>
      <c r="AD23" s="39">
        <f t="shared" si="18"/>
        <v>1128.670523076923</v>
      </c>
      <c r="AE23" s="57">
        <v>600</v>
      </c>
      <c r="AF23" s="39">
        <f>AD23-AE23</f>
        <v>528.67052307692302</v>
      </c>
      <c r="AG23" s="9">
        <v>0</v>
      </c>
      <c r="AH23" s="39">
        <v>0</v>
      </c>
      <c r="AI23" s="9"/>
      <c r="AJ23" s="9"/>
      <c r="AK23" s="9"/>
      <c r="AL23" s="9"/>
      <c r="AM23" s="9"/>
      <c r="AN23" s="9"/>
      <c r="AO23" s="10">
        <f t="shared" si="6"/>
        <v>1128.670523076923</v>
      </c>
      <c r="AP23" s="10">
        <f t="shared" si="7"/>
        <v>0</v>
      </c>
    </row>
    <row r="24" spans="1:42" s="24" customFormat="1" ht="15">
      <c r="A24" s="66"/>
      <c r="B24" s="25"/>
      <c r="C24" s="50"/>
      <c r="D24" s="50"/>
      <c r="E24" s="51"/>
      <c r="F24" s="52"/>
      <c r="G24" s="52"/>
      <c r="H24" s="53"/>
      <c r="I24" s="53"/>
      <c r="J24" s="54"/>
      <c r="K24" s="54"/>
      <c r="L24" s="51"/>
      <c r="M24" s="51"/>
      <c r="N24" s="51"/>
      <c r="O24" s="20">
        <f t="shared" ref="O24:AD24" si="20">SUM(O15:O23)</f>
        <v>1378</v>
      </c>
      <c r="P24" s="20">
        <f t="shared" si="20"/>
        <v>346.70000000000005</v>
      </c>
      <c r="Q24" s="20">
        <f t="shared" si="20"/>
        <v>68.64</v>
      </c>
      <c r="R24" s="20">
        <f t="shared" si="20"/>
        <v>31.25</v>
      </c>
      <c r="S24" s="20">
        <f t="shared" si="20"/>
        <v>108</v>
      </c>
      <c r="T24" s="20">
        <f t="shared" si="20"/>
        <v>275.39999999999998</v>
      </c>
      <c r="U24" s="20">
        <f t="shared" si="20"/>
        <v>0</v>
      </c>
      <c r="V24" s="20">
        <f t="shared" si="20"/>
        <v>50.879999999999995</v>
      </c>
      <c r="W24" s="20">
        <f t="shared" si="20"/>
        <v>6.3599999999999994</v>
      </c>
      <c r="X24" s="20">
        <f t="shared" si="20"/>
        <v>18.245900000000002</v>
      </c>
      <c r="Y24" s="20">
        <f t="shared" si="20"/>
        <v>54.73769999999999</v>
      </c>
      <c r="Z24" s="44">
        <f t="shared" si="20"/>
        <v>2077.7664</v>
      </c>
      <c r="AA24" s="44">
        <f t="shared" si="20"/>
        <v>8290</v>
      </c>
      <c r="AB24" s="44">
        <f t="shared" si="20"/>
        <v>0</v>
      </c>
      <c r="AC24" s="48">
        <f t="shared" si="20"/>
        <v>0</v>
      </c>
      <c r="AD24" s="56">
        <f t="shared" si="20"/>
        <v>10367.7664</v>
      </c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P24" s="10"/>
    </row>
    <row r="25" spans="1:42" ht="22.5">
      <c r="A25" s="65">
        <v>22</v>
      </c>
      <c r="B25" s="8" t="s">
        <v>31</v>
      </c>
      <c r="C25" s="3">
        <v>11647628</v>
      </c>
      <c r="D25" s="3" t="s">
        <v>39</v>
      </c>
      <c r="E25" s="4" t="s">
        <v>15</v>
      </c>
      <c r="F25" s="5" t="s">
        <v>18</v>
      </c>
      <c r="G25" s="5" t="s">
        <v>16</v>
      </c>
      <c r="H25" s="2" t="s">
        <v>29</v>
      </c>
      <c r="I25" s="2" t="s">
        <v>44</v>
      </c>
      <c r="J25" s="6" t="s">
        <v>30</v>
      </c>
      <c r="K25" s="6">
        <v>43753</v>
      </c>
      <c r="L25" s="4">
        <v>0</v>
      </c>
      <c r="M25" s="4">
        <v>0</v>
      </c>
      <c r="N25" s="4">
        <v>0</v>
      </c>
      <c r="O25" s="7">
        <f>132/2</f>
        <v>66</v>
      </c>
      <c r="P25" s="7">
        <v>0</v>
      </c>
      <c r="Q25" s="7">
        <f>O25*5%</f>
        <v>3.3000000000000003</v>
      </c>
      <c r="R25" s="7">
        <v>0</v>
      </c>
      <c r="S25" s="7">
        <v>12</v>
      </c>
      <c r="T25" s="7">
        <v>24</v>
      </c>
      <c r="U25" s="7"/>
      <c r="V25" s="7">
        <f t="shared" ref="V25:V27" si="21">(O25*2*12/52)*4%*2</f>
        <v>2.436923076923077</v>
      </c>
      <c r="W25" s="7">
        <f t="shared" ref="W25:W27" si="22">(O25*2*12/52)*0.5%*2</f>
        <v>0.30461538461538462</v>
      </c>
      <c r="X25" s="7">
        <f t="shared" ref="X25:X27" si="23">SUM(O25:R25)*1%</f>
        <v>0.69299999999999995</v>
      </c>
      <c r="Y25" s="7">
        <f t="shared" ref="Y25:Y27" si="24">SUM(O25:R25)*3%</f>
        <v>2.0789999999999997</v>
      </c>
      <c r="Z25" s="43">
        <f>SUM(O25:R25)-SUM(V25:Y25)+S25+T25</f>
        <v>99.786461538461538</v>
      </c>
      <c r="AA25" s="45">
        <v>610</v>
      </c>
      <c r="AB25" s="47"/>
      <c r="AC25" s="9"/>
      <c r="AD25" s="39">
        <f>Z25+AA25+AB25+AC25</f>
        <v>709.78646153846148</v>
      </c>
      <c r="AE25" s="57">
        <v>600</v>
      </c>
      <c r="AF25" s="9">
        <v>109.79</v>
      </c>
      <c r="AG25" s="9">
        <v>0</v>
      </c>
      <c r="AH25" s="39">
        <v>0</v>
      </c>
      <c r="AI25" s="9"/>
      <c r="AJ25" s="9"/>
      <c r="AK25" s="9"/>
      <c r="AL25" s="9"/>
      <c r="AM25" s="9"/>
      <c r="AN25" s="9"/>
      <c r="AO25" s="10">
        <f t="shared" si="6"/>
        <v>709.79</v>
      </c>
      <c r="AP25" s="10">
        <f t="shared" si="7"/>
        <v>3.5384615384828066E-3</v>
      </c>
    </row>
    <row r="26" spans="1:42">
      <c r="A26" s="65">
        <v>23</v>
      </c>
      <c r="B26" s="8" t="s">
        <v>83</v>
      </c>
      <c r="C26" s="3">
        <v>18975786</v>
      </c>
      <c r="D26" s="3" t="s">
        <v>84</v>
      </c>
      <c r="E26" s="4" t="s">
        <v>20</v>
      </c>
      <c r="F26" s="5" t="s">
        <v>18</v>
      </c>
      <c r="G26" s="5" t="s">
        <v>16</v>
      </c>
      <c r="H26" s="2" t="s">
        <v>29</v>
      </c>
      <c r="I26" s="2" t="s">
        <v>85</v>
      </c>
      <c r="J26" s="6" t="s">
        <v>30</v>
      </c>
      <c r="K26" s="6">
        <v>45536</v>
      </c>
      <c r="L26" s="4">
        <v>2</v>
      </c>
      <c r="M26" s="4">
        <v>1</v>
      </c>
      <c r="N26" s="4">
        <v>2</v>
      </c>
      <c r="O26" s="7">
        <f>132/2</f>
        <v>66</v>
      </c>
      <c r="P26" s="7">
        <v>0</v>
      </c>
      <c r="Q26" s="7">
        <f>O26*5%</f>
        <v>3.3000000000000003</v>
      </c>
      <c r="R26" s="7">
        <v>12.5</v>
      </c>
      <c r="S26" s="7">
        <v>12</v>
      </c>
      <c r="T26" s="7">
        <v>24</v>
      </c>
      <c r="U26" s="7"/>
      <c r="V26" s="7">
        <f t="shared" ref="V26" si="25">(O26*2*12/52)*4%*2</f>
        <v>2.436923076923077</v>
      </c>
      <c r="W26" s="7">
        <f t="shared" ref="W26" si="26">(O26*2*12/52)*0.5%*2</f>
        <v>0.30461538461538462</v>
      </c>
      <c r="X26" s="7">
        <f t="shared" ref="X26" si="27">SUM(O26:R26)*1%</f>
        <v>0.81799999999999995</v>
      </c>
      <c r="Y26" s="7">
        <f t="shared" ref="Y26" si="28">SUM(O26:R26)*3%</f>
        <v>2.4539999999999997</v>
      </c>
      <c r="Z26" s="43">
        <f>SUM(O26:R26)-SUM(V26:Y26)+S26+T26</f>
        <v>111.78646153846154</v>
      </c>
      <c r="AA26" s="45">
        <v>610</v>
      </c>
      <c r="AB26" s="47"/>
      <c r="AC26" s="9"/>
      <c r="AD26" s="39">
        <f>Z26+AA26+AB26+AC26</f>
        <v>721.78646153846148</v>
      </c>
      <c r="AE26" s="57">
        <v>600</v>
      </c>
      <c r="AF26" s="9">
        <v>121.79</v>
      </c>
      <c r="AG26" s="9">
        <v>0</v>
      </c>
      <c r="AH26" s="39">
        <v>0</v>
      </c>
      <c r="AI26" s="9"/>
      <c r="AJ26" s="9"/>
      <c r="AK26" s="9"/>
      <c r="AL26" s="9"/>
      <c r="AM26" s="9"/>
      <c r="AN26" s="9"/>
      <c r="AO26" s="10">
        <f t="shared" si="6"/>
        <v>721.79</v>
      </c>
      <c r="AP26" s="10">
        <f t="shared" si="7"/>
        <v>3.5384615384828066E-3</v>
      </c>
    </row>
    <row r="27" spans="1:42">
      <c r="A27" s="65">
        <f>A26+1</f>
        <v>24</v>
      </c>
      <c r="B27" s="8" t="s">
        <v>52</v>
      </c>
      <c r="C27" s="3">
        <v>29530756</v>
      </c>
      <c r="D27" s="3" t="s">
        <v>39</v>
      </c>
      <c r="E27" s="4" t="s">
        <v>15</v>
      </c>
      <c r="F27" s="5" t="s">
        <v>18</v>
      </c>
      <c r="G27" s="5" t="s">
        <v>16</v>
      </c>
      <c r="H27" s="2" t="s">
        <v>29</v>
      </c>
      <c r="I27" s="2" t="s">
        <v>44</v>
      </c>
      <c r="J27" s="6" t="s">
        <v>30</v>
      </c>
      <c r="K27" s="6">
        <v>43753</v>
      </c>
      <c r="L27" s="4">
        <v>0</v>
      </c>
      <c r="M27" s="4">
        <v>0</v>
      </c>
      <c r="N27" s="4">
        <v>0</v>
      </c>
      <c r="O27" s="7">
        <f>132/2</f>
        <v>66</v>
      </c>
      <c r="P27" s="7">
        <v>0</v>
      </c>
      <c r="Q27" s="7">
        <f>O27*3%</f>
        <v>1.98</v>
      </c>
      <c r="R27" s="7">
        <v>0</v>
      </c>
      <c r="S27" s="7">
        <v>12</v>
      </c>
      <c r="T27" s="7">
        <v>24</v>
      </c>
      <c r="U27" s="7"/>
      <c r="V27" s="7">
        <f t="shared" si="21"/>
        <v>2.436923076923077</v>
      </c>
      <c r="W27" s="7">
        <f t="shared" si="22"/>
        <v>0.30461538461538462</v>
      </c>
      <c r="X27" s="7">
        <f t="shared" si="23"/>
        <v>0.67980000000000007</v>
      </c>
      <c r="Y27" s="7">
        <f t="shared" si="24"/>
        <v>2.0394000000000001</v>
      </c>
      <c r="Z27" s="43">
        <f>SUM(O27:R27)-SUM(V27:Y27)+S27+T27</f>
        <v>98.519261538461535</v>
      </c>
      <c r="AA27" s="45">
        <v>610</v>
      </c>
      <c r="AB27" s="47"/>
      <c r="AC27" s="9"/>
      <c r="AD27" s="39">
        <f>Z27+AA27+AB27+AC27</f>
        <v>708.51926153846148</v>
      </c>
      <c r="AE27" s="57">
        <v>600</v>
      </c>
      <c r="AF27" s="9">
        <v>108.52</v>
      </c>
      <c r="AG27" s="9">
        <v>0</v>
      </c>
      <c r="AH27" s="39">
        <v>0</v>
      </c>
      <c r="AI27" s="9"/>
      <c r="AJ27" s="9"/>
      <c r="AK27" s="9"/>
      <c r="AL27" s="9"/>
      <c r="AM27" s="9"/>
      <c r="AN27" s="9"/>
      <c r="AO27" s="10">
        <f t="shared" si="6"/>
        <v>708.52</v>
      </c>
      <c r="AP27" s="10">
        <f t="shared" si="7"/>
        <v>7.3846153850354312E-4</v>
      </c>
    </row>
    <row r="28" spans="1:42" s="24" customFormat="1" ht="11.25" customHeight="1">
      <c r="A28" s="66"/>
      <c r="B28" s="25"/>
      <c r="C28" s="50"/>
      <c r="D28" s="50"/>
      <c r="E28" s="51"/>
      <c r="F28" s="52"/>
      <c r="G28" s="52"/>
      <c r="H28" s="53"/>
      <c r="I28" s="53"/>
      <c r="J28" s="54"/>
      <c r="K28" s="54"/>
      <c r="L28" s="51"/>
      <c r="M28" s="51"/>
      <c r="N28" s="51"/>
      <c r="O28" s="20">
        <f t="shared" ref="O28:T28" si="29">SUM(O25:O27)</f>
        <v>198</v>
      </c>
      <c r="P28" s="20">
        <f t="shared" si="29"/>
        <v>0</v>
      </c>
      <c r="Q28" s="20">
        <f t="shared" si="29"/>
        <v>8.58</v>
      </c>
      <c r="R28" s="20">
        <f t="shared" si="29"/>
        <v>12.5</v>
      </c>
      <c r="S28" s="20">
        <f t="shared" si="29"/>
        <v>36</v>
      </c>
      <c r="T28" s="20">
        <f t="shared" si="29"/>
        <v>72</v>
      </c>
      <c r="U28" s="20"/>
      <c r="V28" s="20">
        <f t="shared" ref="V28:AA28" si="30">SUM(V25:V27)</f>
        <v>7.3107692307692309</v>
      </c>
      <c r="W28" s="20">
        <f t="shared" si="30"/>
        <v>0.91384615384615386</v>
      </c>
      <c r="X28" s="20">
        <f t="shared" si="30"/>
        <v>2.1907999999999999</v>
      </c>
      <c r="Y28" s="20">
        <f t="shared" si="30"/>
        <v>6.5724</v>
      </c>
      <c r="Z28" s="44">
        <f t="shared" si="30"/>
        <v>310.09218461538461</v>
      </c>
      <c r="AA28" s="44">
        <f t="shared" si="30"/>
        <v>1830</v>
      </c>
      <c r="AB28" s="44">
        <f t="shared" ref="AB28:AC28" si="31">SUM(AB25:AB27)</f>
        <v>0</v>
      </c>
      <c r="AC28" s="48">
        <f t="shared" si="31"/>
        <v>0</v>
      </c>
      <c r="AD28" s="56">
        <f>SUM(AD25:AD27)</f>
        <v>2140.0921846153842</v>
      </c>
      <c r="AE28" s="49"/>
      <c r="AF28" s="49"/>
      <c r="AG28" s="49"/>
      <c r="AH28" s="49"/>
      <c r="AI28" s="59"/>
      <c r="AJ28" s="59"/>
      <c r="AK28" s="59"/>
      <c r="AP28" s="10">
        <f t="shared" si="7"/>
        <v>-2140.0921846153842</v>
      </c>
    </row>
    <row r="29" spans="1:42" s="55" customFormat="1" ht="15">
      <c r="A29" s="17"/>
      <c r="B29" s="18"/>
      <c r="C29" s="18"/>
      <c r="D29" s="18"/>
      <c r="E29" s="18"/>
      <c r="F29" s="18"/>
      <c r="G29" s="19"/>
      <c r="H29" s="19"/>
      <c r="I29" s="19"/>
      <c r="J29" s="19"/>
      <c r="K29" s="19"/>
      <c r="L29" s="19"/>
      <c r="M29" s="19"/>
      <c r="N29" s="19"/>
      <c r="O29" s="20">
        <f t="shared" ref="O29:Z29" si="32">SUM(,O28,O24,O14)</f>
        <v>3446.5</v>
      </c>
      <c r="P29" s="20">
        <f t="shared" si="32"/>
        <v>833.45</v>
      </c>
      <c r="Q29" s="20">
        <f t="shared" si="32"/>
        <v>363.47699999999998</v>
      </c>
      <c r="R29" s="20">
        <f t="shared" si="32"/>
        <v>100</v>
      </c>
      <c r="S29" s="20">
        <f t="shared" si="32"/>
        <v>384</v>
      </c>
      <c r="T29" s="20">
        <f t="shared" si="32"/>
        <v>347.4</v>
      </c>
      <c r="U29" s="20">
        <f t="shared" si="32"/>
        <v>0</v>
      </c>
      <c r="V29" s="20">
        <f t="shared" si="32"/>
        <v>127.25538461538463</v>
      </c>
      <c r="W29" s="20">
        <f t="shared" si="32"/>
        <v>15.906923076923078</v>
      </c>
      <c r="X29" s="20">
        <f t="shared" si="32"/>
        <v>47.434270000000005</v>
      </c>
      <c r="Y29" s="20">
        <f t="shared" si="32"/>
        <v>142.30280999999999</v>
      </c>
      <c r="Z29" s="44">
        <f t="shared" si="32"/>
        <v>5141.9276123076925</v>
      </c>
      <c r="AA29" s="44">
        <f>SUM(AA28+AA24+AA14)</f>
        <v>25080</v>
      </c>
      <c r="AB29" s="44">
        <f>SUM(AB28+AB24+AB14)</f>
        <v>11384</v>
      </c>
      <c r="AC29" s="48">
        <f>SUM(AC28+AC24+AC14)</f>
        <v>2240</v>
      </c>
      <c r="AD29" s="48">
        <f>SUM(AD28+AD24+AD14)</f>
        <v>43845.927612307685</v>
      </c>
      <c r="AE29" s="60">
        <f t="shared" ref="AE29:AN29" si="33">SUM(AE4:AE27)</f>
        <v>13200</v>
      </c>
      <c r="AF29" s="60">
        <f t="shared" si="33"/>
        <v>11071.30851692308</v>
      </c>
      <c r="AG29" s="60">
        <f t="shared" si="33"/>
        <v>5937.9978830769232</v>
      </c>
      <c r="AH29" s="60">
        <f t="shared" si="33"/>
        <v>5871.4600000000009</v>
      </c>
      <c r="AI29" s="60">
        <f t="shared" si="33"/>
        <v>3360.8507692307694</v>
      </c>
      <c r="AJ29" s="60">
        <f t="shared" si="33"/>
        <v>1959.2450276923075</v>
      </c>
      <c r="AK29" s="60">
        <f t="shared" si="33"/>
        <v>628.00000000000023</v>
      </c>
      <c r="AL29" s="60">
        <f t="shared" si="33"/>
        <v>597</v>
      </c>
      <c r="AM29" s="60">
        <f t="shared" si="33"/>
        <v>596</v>
      </c>
      <c r="AN29" s="60">
        <f t="shared" si="33"/>
        <v>624.08000000000004</v>
      </c>
    </row>
    <row r="31" spans="1:42">
      <c r="O31"/>
    </row>
    <row r="32" spans="1:42">
      <c r="O32"/>
      <c r="V32" s="10"/>
    </row>
  </sheetData>
  <mergeCells count="3">
    <mergeCell ref="B1:J1"/>
    <mergeCell ref="O2:Z2"/>
    <mergeCell ref="G3:H3"/>
  </mergeCells>
  <pageMargins left="0" right="0" top="0.39370078740157483" bottom="0.39370078740157483" header="0" footer="0"/>
  <pageSetup scale="95" fitToWidth="0" fitToHeight="0" pageOrder="overThenDown" orientation="landscape" useFirstPageNumber="1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50" zoomScaleNormal="150" workbookViewId="0">
      <selection activeCell="I4" sqref="I4"/>
    </sheetView>
  </sheetViews>
  <sheetFormatPr baseColWidth="10" defaultRowHeight="14.25"/>
  <cols>
    <col min="1" max="1" width="4" bestFit="1" customWidth="1"/>
    <col min="2" max="2" width="20.625" customWidth="1"/>
    <col min="3" max="3" width="8.25" customWidth="1"/>
  </cols>
  <sheetData>
    <row r="1" spans="1:9" ht="5.25" customHeight="1">
      <c r="B1" s="61"/>
      <c r="C1" s="61"/>
    </row>
    <row r="2" spans="1:9" ht="11.25" customHeight="1"/>
    <row r="3" spans="1:9" ht="42.4" customHeight="1">
      <c r="B3" s="26" t="s">
        <v>0</v>
      </c>
      <c r="C3" s="26" t="s">
        <v>1</v>
      </c>
      <c r="D3" s="30" t="s">
        <v>62</v>
      </c>
      <c r="E3" s="30" t="s">
        <v>63</v>
      </c>
      <c r="F3" s="30" t="s">
        <v>60</v>
      </c>
      <c r="G3" s="34" t="s">
        <v>61</v>
      </c>
      <c r="H3" s="23" t="s">
        <v>68</v>
      </c>
      <c r="I3" s="9" t="s">
        <v>64</v>
      </c>
    </row>
    <row r="4" spans="1:9" ht="42.4" customHeight="1">
      <c r="A4" s="9">
        <v>1</v>
      </c>
      <c r="B4" s="32" t="s">
        <v>67</v>
      </c>
      <c r="C4" s="33">
        <v>20889608</v>
      </c>
      <c r="D4" s="31">
        <v>314</v>
      </c>
      <c r="E4" s="31">
        <v>312</v>
      </c>
      <c r="F4" s="31">
        <v>313</v>
      </c>
      <c r="G4" s="35">
        <v>311</v>
      </c>
      <c r="H4" s="31">
        <v>130</v>
      </c>
      <c r="I4" s="9">
        <f>SUM(D4:H4)</f>
        <v>1380</v>
      </c>
    </row>
    <row r="5" spans="1:9">
      <c r="A5" s="9">
        <f>A4+1</f>
        <v>2</v>
      </c>
      <c r="B5" s="8" t="s">
        <v>19</v>
      </c>
      <c r="C5" s="29">
        <v>7912155</v>
      </c>
      <c r="D5" s="31">
        <v>314</v>
      </c>
      <c r="E5" s="31">
        <v>312</v>
      </c>
      <c r="F5" s="31">
        <v>313</v>
      </c>
      <c r="G5" s="35">
        <v>151</v>
      </c>
      <c r="H5" s="31">
        <v>120</v>
      </c>
      <c r="I5" s="9">
        <f t="shared" ref="I5:I13" si="0">SUM(D5:H5)</f>
        <v>1210</v>
      </c>
    </row>
    <row r="6" spans="1:9" ht="22.5">
      <c r="A6" s="9">
        <f t="shared" ref="A6:A13" si="1">A5+1</f>
        <v>3</v>
      </c>
      <c r="B6" s="8" t="s">
        <v>23</v>
      </c>
      <c r="C6" s="29">
        <v>16260699</v>
      </c>
      <c r="D6" s="31">
        <v>314</v>
      </c>
      <c r="E6" s="31">
        <v>312</v>
      </c>
      <c r="F6" s="31">
        <v>313</v>
      </c>
      <c r="G6" s="35">
        <v>151</v>
      </c>
      <c r="H6" s="31">
        <v>120</v>
      </c>
      <c r="I6" s="9">
        <f t="shared" si="0"/>
        <v>1210</v>
      </c>
    </row>
    <row r="7" spans="1:9">
      <c r="A7" s="9">
        <f t="shared" si="1"/>
        <v>4</v>
      </c>
      <c r="B7" s="32" t="s">
        <v>79</v>
      </c>
      <c r="C7" s="3">
        <v>14442350</v>
      </c>
      <c r="D7" s="31">
        <v>314</v>
      </c>
      <c r="E7" s="31">
        <v>312</v>
      </c>
      <c r="F7" s="31">
        <v>313</v>
      </c>
      <c r="G7" s="35">
        <v>151</v>
      </c>
      <c r="H7" s="31">
        <v>120</v>
      </c>
      <c r="I7" s="9">
        <f t="shared" si="0"/>
        <v>1210</v>
      </c>
    </row>
    <row r="8" spans="1:9">
      <c r="A8" s="9">
        <f t="shared" si="1"/>
        <v>5</v>
      </c>
      <c r="B8" s="8" t="s">
        <v>53</v>
      </c>
      <c r="C8" s="29">
        <v>12724570</v>
      </c>
      <c r="D8" s="31">
        <v>314</v>
      </c>
      <c r="E8" s="31">
        <v>312</v>
      </c>
      <c r="F8" s="31">
        <v>313</v>
      </c>
      <c r="G8" s="35">
        <v>151</v>
      </c>
      <c r="H8" s="31">
        <v>120</v>
      </c>
      <c r="I8" s="9">
        <f t="shared" si="0"/>
        <v>1210</v>
      </c>
    </row>
    <row r="9" spans="1:9">
      <c r="A9" s="9">
        <f t="shared" si="1"/>
        <v>6</v>
      </c>
      <c r="B9" s="8" t="s">
        <v>24</v>
      </c>
      <c r="C9" s="29">
        <v>12728156</v>
      </c>
      <c r="D9" s="31">
        <v>314</v>
      </c>
      <c r="E9" s="31">
        <v>312</v>
      </c>
      <c r="F9" s="31">
        <v>313</v>
      </c>
      <c r="G9" s="35">
        <v>151</v>
      </c>
      <c r="H9" s="31">
        <v>120</v>
      </c>
      <c r="I9" s="9">
        <f t="shared" si="0"/>
        <v>1210</v>
      </c>
    </row>
    <row r="10" spans="1:9">
      <c r="A10" s="9">
        <f t="shared" si="1"/>
        <v>7</v>
      </c>
      <c r="B10" s="8" t="s">
        <v>40</v>
      </c>
      <c r="C10" s="29">
        <v>20320404</v>
      </c>
      <c r="D10" s="31">
        <v>314</v>
      </c>
      <c r="E10" s="31">
        <v>312</v>
      </c>
      <c r="F10" s="31">
        <v>250</v>
      </c>
      <c r="G10" s="35"/>
      <c r="H10" s="31">
        <v>110</v>
      </c>
      <c r="I10" s="9">
        <f t="shared" si="0"/>
        <v>986</v>
      </c>
    </row>
    <row r="11" spans="1:9" ht="22.5">
      <c r="A11" s="9">
        <f t="shared" si="1"/>
        <v>8</v>
      </c>
      <c r="B11" s="8" t="s">
        <v>25</v>
      </c>
      <c r="C11" s="29">
        <v>15482256</v>
      </c>
      <c r="D11" s="31">
        <v>314</v>
      </c>
      <c r="E11" s="31">
        <v>312</v>
      </c>
      <c r="F11" s="31">
        <v>250</v>
      </c>
      <c r="G11" s="35"/>
      <c r="H11" s="31">
        <v>110</v>
      </c>
      <c r="I11" s="9">
        <f t="shared" si="0"/>
        <v>986</v>
      </c>
    </row>
    <row r="12" spans="1:9">
      <c r="A12" s="9">
        <f t="shared" si="1"/>
        <v>9</v>
      </c>
      <c r="B12" s="8" t="s">
        <v>59</v>
      </c>
      <c r="C12" s="29">
        <v>10860831</v>
      </c>
      <c r="D12" s="31">
        <v>314</v>
      </c>
      <c r="E12" s="31">
        <v>312</v>
      </c>
      <c r="F12" s="31">
        <v>250</v>
      </c>
      <c r="G12" s="35"/>
      <c r="H12" s="31">
        <v>110</v>
      </c>
      <c r="I12" s="9">
        <f t="shared" si="0"/>
        <v>986</v>
      </c>
    </row>
    <row r="13" spans="1:9">
      <c r="A13" s="9">
        <f t="shared" si="1"/>
        <v>10</v>
      </c>
      <c r="B13" s="8" t="s">
        <v>69</v>
      </c>
      <c r="C13" s="29">
        <v>14377793</v>
      </c>
      <c r="D13" s="31">
        <v>314</v>
      </c>
      <c r="E13" s="31">
        <v>312</v>
      </c>
      <c r="F13" s="31">
        <v>250</v>
      </c>
      <c r="G13" s="35"/>
      <c r="H13" s="31">
        <v>110</v>
      </c>
      <c r="I13" s="9">
        <f t="shared" si="0"/>
        <v>986</v>
      </c>
    </row>
    <row r="14" spans="1:9" ht="15">
      <c r="A14" s="9"/>
      <c r="B14" s="27"/>
      <c r="C14" s="28" t="s">
        <v>64</v>
      </c>
      <c r="D14" s="41">
        <f t="shared" ref="D14:I14" si="2">SUM(D4:D13)</f>
        <v>3140</v>
      </c>
      <c r="E14" s="41">
        <f t="shared" si="2"/>
        <v>3120</v>
      </c>
      <c r="F14" s="41">
        <f t="shared" si="2"/>
        <v>2878</v>
      </c>
      <c r="G14" s="41">
        <f t="shared" si="2"/>
        <v>1066</v>
      </c>
      <c r="H14" s="41">
        <f t="shared" si="2"/>
        <v>1170</v>
      </c>
      <c r="I14" s="36">
        <f t="shared" si="2"/>
        <v>11374</v>
      </c>
    </row>
  </sheetData>
  <mergeCells count="1">
    <mergeCell ref="B1:C1"/>
  </mergeCells>
  <pageMargins left="0" right="0" top="0.39370078740157483" bottom="0.39370078740157483" header="0" footer="0"/>
  <pageSetup scale="95" fitToWidth="0" fitToHeight="0" pageOrder="overThenDown" orientation="landscape" useFirstPageNumber="1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PRIMERA</vt:lpstr>
      <vt:lpstr>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Presupuesto</dc:creator>
  <cp:lastModifiedBy>User</cp:lastModifiedBy>
  <cp:revision>2</cp:revision>
  <cp:lastPrinted>2025-02-04T15:06:00Z</cp:lastPrinted>
  <dcterms:created xsi:type="dcterms:W3CDTF">2020-01-06T09:33:27Z</dcterms:created>
  <dcterms:modified xsi:type="dcterms:W3CDTF">2025-02-04T15:08:08Z</dcterms:modified>
</cp:coreProperties>
</file>