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Inverse kinematic" sheetId="1" r:id="rId1"/>
    <sheet name="Advance trajectory" sheetId="6" r:id="rId2"/>
    <sheet name="Joystick smooth" sheetId="7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" i="6" l="1"/>
  <c r="B38" i="7" l="1"/>
  <c r="C38" i="7" s="1"/>
  <c r="D38" i="7" s="1"/>
  <c r="B37" i="7"/>
  <c r="B36" i="7"/>
  <c r="B35" i="7"/>
  <c r="B34" i="7"/>
  <c r="B33" i="7"/>
  <c r="B32" i="7"/>
  <c r="B31" i="7"/>
  <c r="B30" i="7"/>
  <c r="C30" i="7" s="1"/>
  <c r="D30" i="7" s="1"/>
  <c r="B29" i="7"/>
  <c r="B28" i="7"/>
  <c r="B27" i="7"/>
  <c r="B26" i="7"/>
  <c r="C26" i="7" s="1"/>
  <c r="D26" i="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C23" i="7" s="1"/>
  <c r="D23" i="7" s="1"/>
  <c r="C34" i="7" l="1"/>
  <c r="D34" i="7" s="1"/>
  <c r="C7" i="7"/>
  <c r="D7" i="7" s="1"/>
  <c r="C11" i="7"/>
  <c r="D11" i="7" s="1"/>
  <c r="C31" i="7"/>
  <c r="D31" i="7" s="1"/>
  <c r="C24" i="7"/>
  <c r="D24" i="7" s="1"/>
  <c r="C28" i="7"/>
  <c r="D28" i="7" s="1"/>
  <c r="C33" i="7"/>
  <c r="D33" i="7" s="1"/>
  <c r="C13" i="7"/>
  <c r="D13" i="7" s="1"/>
  <c r="C22" i="7"/>
  <c r="D22" i="7" s="1"/>
  <c r="C6" i="7"/>
  <c r="D6" i="7" s="1"/>
  <c r="C36" i="7"/>
  <c r="D36" i="7" s="1"/>
  <c r="C10" i="7"/>
  <c r="D10" i="7" s="1"/>
  <c r="C14" i="7"/>
  <c r="D14" i="7" s="1"/>
  <c r="C18" i="7"/>
  <c r="D18" i="7" s="1"/>
  <c r="C25" i="7"/>
  <c r="D25" i="7" s="1"/>
  <c r="C29" i="7"/>
  <c r="D29" i="7" s="1"/>
  <c r="C32" i="7"/>
  <c r="D32" i="7" s="1"/>
  <c r="C35" i="7"/>
  <c r="D35" i="7" s="1"/>
  <c r="C8" i="7"/>
  <c r="D8" i="7" s="1"/>
  <c r="C16" i="7"/>
  <c r="D16" i="7" s="1"/>
  <c r="C27" i="7"/>
  <c r="D27" i="7" s="1"/>
  <c r="C37" i="7"/>
  <c r="D37" i="7" s="1"/>
  <c r="C3" i="7"/>
  <c r="D3" i="7" s="1"/>
  <c r="C12" i="7"/>
  <c r="D12" i="7" s="1"/>
  <c r="C4" i="7"/>
  <c r="D4" i="7" s="1"/>
  <c r="C9" i="7"/>
  <c r="D9" i="7" s="1"/>
  <c r="C17" i="7"/>
  <c r="D17" i="7" s="1"/>
  <c r="C20" i="7"/>
  <c r="D20" i="7" s="1"/>
  <c r="C5" i="7"/>
  <c r="D5" i="7" s="1"/>
  <c r="C21" i="7"/>
  <c r="D21" i="7" s="1"/>
  <c r="C15" i="7"/>
  <c r="D15" i="7" s="1"/>
  <c r="C19" i="7"/>
  <c r="D19" i="7" s="1"/>
  <c r="J8" i="1" l="1"/>
  <c r="I8" i="1"/>
  <c r="H4" i="1"/>
  <c r="I4" i="1" s="1"/>
  <c r="C13" i="1" s="1"/>
  <c r="G4" i="1"/>
  <c r="F4" i="1"/>
  <c r="K4" i="1" s="1"/>
  <c r="N4" i="1" s="1"/>
  <c r="E4" i="1"/>
  <c r="J4" i="1" s="1"/>
  <c r="M4" i="1" s="1"/>
  <c r="E15" i="6" l="1"/>
  <c r="E19" i="6"/>
  <c r="F19" i="6" s="1"/>
  <c r="E23" i="6"/>
  <c r="F23" i="6" s="1"/>
  <c r="E24" i="6"/>
  <c r="F24" i="6" s="1"/>
  <c r="E21" i="6"/>
  <c r="F21" i="6" s="1"/>
  <c r="E20" i="6"/>
  <c r="F20" i="6" s="1"/>
  <c r="E22" i="6"/>
  <c r="F22" i="6" s="1"/>
  <c r="E16" i="6"/>
  <c r="E14" i="6"/>
  <c r="E17" i="6"/>
  <c r="E13" i="6"/>
  <c r="E18" i="6"/>
  <c r="E8" i="1"/>
  <c r="F8" i="1" s="1"/>
  <c r="G8" i="1"/>
  <c r="L4" i="1"/>
  <c r="E25" i="6" l="1"/>
  <c r="E26" i="6" s="1"/>
  <c r="H8" i="1"/>
  <c r="K8" i="1"/>
  <c r="C33" i="6" l="1"/>
  <c r="L33" i="6"/>
  <c r="F34" i="6"/>
  <c r="C35" i="6"/>
  <c r="I35" i="6"/>
  <c r="R35" i="6"/>
  <c r="R36" i="6"/>
  <c r="O37" i="6"/>
  <c r="C38" i="6"/>
  <c r="L38" i="6"/>
  <c r="L39" i="6"/>
  <c r="I40" i="6"/>
  <c r="O40" i="6"/>
  <c r="F41" i="6"/>
  <c r="F42" i="6"/>
  <c r="C43" i="6"/>
  <c r="I43" i="6"/>
  <c r="R43" i="6"/>
  <c r="R44" i="6"/>
  <c r="O45" i="6"/>
  <c r="C46" i="6"/>
  <c r="L46" i="6"/>
  <c r="L47" i="6"/>
  <c r="I48" i="6"/>
  <c r="O48" i="6"/>
  <c r="F49" i="6"/>
  <c r="F50" i="6"/>
  <c r="C51" i="6"/>
  <c r="I51" i="6"/>
  <c r="R51" i="6"/>
  <c r="L52" i="6"/>
  <c r="F33" i="6"/>
  <c r="R33" i="6"/>
  <c r="R34" i="6"/>
  <c r="O35" i="6"/>
  <c r="C36" i="6"/>
  <c r="L36" i="6"/>
  <c r="L37" i="6"/>
  <c r="I38" i="6"/>
  <c r="O38" i="6"/>
  <c r="F39" i="6"/>
  <c r="F40" i="6"/>
  <c r="C41" i="6"/>
  <c r="I41" i="6"/>
  <c r="R41" i="6"/>
  <c r="R42" i="6"/>
  <c r="O43" i="6"/>
  <c r="C44" i="6"/>
  <c r="L44" i="6"/>
  <c r="L45" i="6"/>
  <c r="I46" i="6"/>
  <c r="O46" i="6"/>
  <c r="F47" i="6"/>
  <c r="F48" i="6"/>
  <c r="C49" i="6"/>
  <c r="I49" i="6"/>
  <c r="R49" i="6"/>
  <c r="R50" i="6"/>
  <c r="O51" i="6"/>
  <c r="C52" i="6"/>
  <c r="I52" i="6"/>
  <c r="O52" i="6"/>
  <c r="I33" i="6"/>
  <c r="C34" i="6"/>
  <c r="L34" i="6"/>
  <c r="L35" i="6"/>
  <c r="I36" i="6"/>
  <c r="O36" i="6"/>
  <c r="F37" i="6"/>
  <c r="F38" i="6"/>
  <c r="C39" i="6"/>
  <c r="I39" i="6"/>
  <c r="R39" i="6"/>
  <c r="R40" i="6"/>
  <c r="O41" i="6"/>
  <c r="C42" i="6"/>
  <c r="L42" i="6"/>
  <c r="L43" i="6"/>
  <c r="I44" i="6"/>
  <c r="O44" i="6"/>
  <c r="F45" i="6"/>
  <c r="F46" i="6"/>
  <c r="C47" i="6"/>
  <c r="I47" i="6"/>
  <c r="R47" i="6"/>
  <c r="R48" i="6"/>
  <c r="O49" i="6"/>
  <c r="C50" i="6"/>
  <c r="L50" i="6"/>
  <c r="L51" i="6"/>
  <c r="F52" i="6"/>
  <c r="R52" i="6"/>
  <c r="O33" i="6"/>
  <c r="I34" i="6"/>
  <c r="O34" i="6"/>
  <c r="F35" i="6"/>
  <c r="F36" i="6"/>
  <c r="C37" i="6"/>
  <c r="I37" i="6"/>
  <c r="R37" i="6"/>
  <c r="R38" i="6"/>
  <c r="O39" i="6"/>
  <c r="C40" i="6"/>
  <c r="L40" i="6"/>
  <c r="L41" i="6"/>
  <c r="I42" i="6"/>
  <c r="O42" i="6"/>
  <c r="F43" i="6"/>
  <c r="F44" i="6"/>
  <c r="C45" i="6"/>
  <c r="I45" i="6"/>
  <c r="R45" i="6"/>
  <c r="R46" i="6"/>
  <c r="O47" i="6"/>
  <c r="C48" i="6"/>
  <c r="L48" i="6"/>
  <c r="L49" i="6"/>
  <c r="I50" i="6"/>
  <c r="O50" i="6"/>
  <c r="F51" i="6"/>
  <c r="R32" i="6"/>
  <c r="C32" i="6"/>
  <c r="D32" i="6" s="1"/>
  <c r="O32" i="6"/>
  <c r="F32" i="6"/>
  <c r="L32" i="6"/>
  <c r="I32" i="6"/>
  <c r="F26" i="6"/>
  <c r="L8" i="1"/>
  <c r="M8" i="1" s="1"/>
  <c r="C14" i="1" s="1"/>
  <c r="N8" i="1"/>
  <c r="O8" i="1" s="1"/>
  <c r="C15" i="1" s="1"/>
  <c r="P47" i="6" l="1"/>
  <c r="Q47" i="6"/>
  <c r="Q39" i="6"/>
  <c r="P39" i="6"/>
  <c r="J34" i="6"/>
  <c r="K34" i="6"/>
  <c r="M50" i="6"/>
  <c r="N50" i="6"/>
  <c r="G45" i="6"/>
  <c r="H45" i="6"/>
  <c r="S39" i="6"/>
  <c r="T39" i="6"/>
  <c r="Q52" i="6"/>
  <c r="P52" i="6"/>
  <c r="G48" i="6"/>
  <c r="H48" i="6"/>
  <c r="T42" i="6"/>
  <c r="S42" i="6"/>
  <c r="N37" i="6"/>
  <c r="M37" i="6"/>
  <c r="S34" i="6"/>
  <c r="T34" i="6"/>
  <c r="D51" i="6"/>
  <c r="E51" i="6"/>
  <c r="K48" i="6"/>
  <c r="J48" i="6"/>
  <c r="Q45" i="6"/>
  <c r="P45" i="6"/>
  <c r="D43" i="6"/>
  <c r="E43" i="6"/>
  <c r="D35" i="6"/>
  <c r="E35" i="6"/>
  <c r="M49" i="6"/>
  <c r="N49" i="6"/>
  <c r="T46" i="6"/>
  <c r="S46" i="6"/>
  <c r="G44" i="6"/>
  <c r="H44" i="6"/>
  <c r="M41" i="6"/>
  <c r="N41" i="6"/>
  <c r="T38" i="6"/>
  <c r="S38" i="6"/>
  <c r="G36" i="6"/>
  <c r="H36" i="6"/>
  <c r="P33" i="6"/>
  <c r="Q33" i="6"/>
  <c r="S52" i="6"/>
  <c r="T52" i="6"/>
  <c r="E50" i="6"/>
  <c r="D50" i="6"/>
  <c r="K47" i="6"/>
  <c r="J47" i="6"/>
  <c r="Q44" i="6"/>
  <c r="P44" i="6"/>
  <c r="E42" i="6"/>
  <c r="D42" i="6"/>
  <c r="K39" i="6"/>
  <c r="J39" i="6"/>
  <c r="Q36" i="6"/>
  <c r="P36" i="6"/>
  <c r="E34" i="6"/>
  <c r="D34" i="6"/>
  <c r="J52" i="6"/>
  <c r="K52" i="6"/>
  <c r="S49" i="6"/>
  <c r="T49" i="6"/>
  <c r="G47" i="6"/>
  <c r="H47" i="6"/>
  <c r="M44" i="6"/>
  <c r="N44" i="6"/>
  <c r="S41" i="6"/>
  <c r="T41" i="6"/>
  <c r="G39" i="6"/>
  <c r="H39" i="6"/>
  <c r="M36" i="6"/>
  <c r="N36" i="6"/>
  <c r="S33" i="6"/>
  <c r="T33" i="6"/>
  <c r="M52" i="6"/>
  <c r="N52" i="6"/>
  <c r="H50" i="6"/>
  <c r="G50" i="6"/>
  <c r="M47" i="6"/>
  <c r="N47" i="6"/>
  <c r="T44" i="6"/>
  <c r="S44" i="6"/>
  <c r="H42" i="6"/>
  <c r="G42" i="6"/>
  <c r="N39" i="6"/>
  <c r="M39" i="6"/>
  <c r="S36" i="6"/>
  <c r="T36" i="6"/>
  <c r="H34" i="6"/>
  <c r="G34" i="6"/>
  <c r="D45" i="6"/>
  <c r="E45" i="6"/>
  <c r="E37" i="6"/>
  <c r="D37" i="6"/>
  <c r="M42" i="6"/>
  <c r="N42" i="6"/>
  <c r="M34" i="6"/>
  <c r="N34" i="6"/>
  <c r="S50" i="6"/>
  <c r="T50" i="6"/>
  <c r="G40" i="6"/>
  <c r="H40" i="6"/>
  <c r="J40" i="6"/>
  <c r="K40" i="6"/>
  <c r="G51" i="6"/>
  <c r="H51" i="6"/>
  <c r="M48" i="6"/>
  <c r="N48" i="6"/>
  <c r="S45" i="6"/>
  <c r="T45" i="6"/>
  <c r="G43" i="6"/>
  <c r="H43" i="6"/>
  <c r="M40" i="6"/>
  <c r="N40" i="6"/>
  <c r="S37" i="6"/>
  <c r="T37" i="6"/>
  <c r="G35" i="6"/>
  <c r="H35" i="6"/>
  <c r="H52" i="6"/>
  <c r="G52" i="6"/>
  <c r="Q49" i="6"/>
  <c r="P49" i="6"/>
  <c r="D47" i="6"/>
  <c r="E47" i="6"/>
  <c r="J44" i="6"/>
  <c r="K44" i="6"/>
  <c r="Q41" i="6"/>
  <c r="P41" i="6"/>
  <c r="D39" i="6"/>
  <c r="E39" i="6"/>
  <c r="J36" i="6"/>
  <c r="K36" i="6"/>
  <c r="K33" i="6"/>
  <c r="J33" i="6"/>
  <c r="E52" i="6"/>
  <c r="D52" i="6"/>
  <c r="K49" i="6"/>
  <c r="J49" i="6"/>
  <c r="Q46" i="6"/>
  <c r="P46" i="6"/>
  <c r="E44" i="6"/>
  <c r="D44" i="6"/>
  <c r="K41" i="6"/>
  <c r="J41" i="6"/>
  <c r="Q38" i="6"/>
  <c r="P38" i="6"/>
  <c r="E36" i="6"/>
  <c r="D36" i="6"/>
  <c r="G33" i="6"/>
  <c r="H33" i="6"/>
  <c r="T51" i="6"/>
  <c r="S51" i="6"/>
  <c r="G49" i="6"/>
  <c r="H49" i="6"/>
  <c r="M46" i="6"/>
  <c r="N46" i="6"/>
  <c r="S43" i="6"/>
  <c r="T43" i="6"/>
  <c r="G41" i="6"/>
  <c r="H41" i="6"/>
  <c r="M38" i="6"/>
  <c r="N38" i="6"/>
  <c r="S35" i="6"/>
  <c r="T35" i="6"/>
  <c r="M33" i="6"/>
  <c r="N33" i="6"/>
  <c r="K50" i="6"/>
  <c r="J50" i="6"/>
  <c r="J42" i="6"/>
  <c r="K42" i="6"/>
  <c r="S47" i="6"/>
  <c r="T47" i="6"/>
  <c r="G37" i="6"/>
  <c r="H37" i="6"/>
  <c r="N45" i="6"/>
  <c r="M45" i="6"/>
  <c r="Q37" i="6"/>
  <c r="P37" i="6"/>
  <c r="Q50" i="6"/>
  <c r="P50" i="6"/>
  <c r="E48" i="6"/>
  <c r="D48" i="6"/>
  <c r="K45" i="6"/>
  <c r="J45" i="6"/>
  <c r="Q42" i="6"/>
  <c r="P42" i="6"/>
  <c r="E40" i="6"/>
  <c r="D40" i="6"/>
  <c r="K37" i="6"/>
  <c r="J37" i="6"/>
  <c r="Q34" i="6"/>
  <c r="P34" i="6"/>
  <c r="N51" i="6"/>
  <c r="M51" i="6"/>
  <c r="S48" i="6"/>
  <c r="T48" i="6"/>
  <c r="G46" i="6"/>
  <c r="H46" i="6"/>
  <c r="M43" i="6"/>
  <c r="N43" i="6"/>
  <c r="S40" i="6"/>
  <c r="T40" i="6"/>
  <c r="H38" i="6"/>
  <c r="G38" i="6"/>
  <c r="M35" i="6"/>
  <c r="N35" i="6"/>
  <c r="Q51" i="6"/>
  <c r="P51" i="6"/>
  <c r="D49" i="6"/>
  <c r="E49" i="6"/>
  <c r="J46" i="6"/>
  <c r="K46" i="6"/>
  <c r="P43" i="6"/>
  <c r="Q43" i="6"/>
  <c r="E41" i="6"/>
  <c r="D41" i="6"/>
  <c r="K38" i="6"/>
  <c r="J38" i="6"/>
  <c r="Q35" i="6"/>
  <c r="P35" i="6"/>
  <c r="K51" i="6"/>
  <c r="J51" i="6"/>
  <c r="Q48" i="6"/>
  <c r="P48" i="6"/>
  <c r="E46" i="6"/>
  <c r="D46" i="6"/>
  <c r="K43" i="6"/>
  <c r="J43" i="6"/>
  <c r="Q40" i="6"/>
  <c r="P40" i="6"/>
  <c r="E38" i="6"/>
  <c r="D38" i="6"/>
  <c r="K35" i="6"/>
  <c r="J35" i="6"/>
  <c r="D33" i="6"/>
  <c r="E33" i="6"/>
  <c r="K32" i="6"/>
  <c r="J32" i="6"/>
  <c r="P32" i="6"/>
  <c r="Q32" i="6"/>
  <c r="T32" i="6"/>
  <c r="S32" i="6"/>
  <c r="N32" i="6"/>
  <c r="M32" i="6"/>
  <c r="G32" i="6"/>
  <c r="H32" i="6"/>
  <c r="E32" i="6"/>
</calcChain>
</file>

<file path=xl/sharedStrings.xml><?xml version="1.0" encoding="utf-8"?>
<sst xmlns="http://schemas.openxmlformats.org/spreadsheetml/2006/main" count="109" uniqueCount="76">
  <si>
    <t>coxa_zero_rotate</t>
  </si>
  <si>
    <t>Переход в (X*, Y*, Z*) - поворот</t>
  </si>
  <si>
    <t>COXA angle</t>
  </si>
  <si>
    <t>Переход в (X*, Y*) - поворот</t>
  </si>
  <si>
    <t>Переход в (X**, Y**)</t>
  </si>
  <si>
    <t>femur_zero_rotate</t>
  </si>
  <si>
    <t>X*</t>
  </si>
  <si>
    <t>Y*</t>
  </si>
  <si>
    <t>Z*</t>
  </si>
  <si>
    <t>rad</t>
  </si>
  <si>
    <t>deg</t>
  </si>
  <si>
    <t>X**</t>
  </si>
  <si>
    <t>Y**</t>
  </si>
  <si>
    <t>tibia_zero_rotate</t>
  </si>
  <si>
    <t>coxa_length</t>
  </si>
  <si>
    <t>femur_length</t>
  </si>
  <si>
    <t>Расчет треугольника</t>
  </si>
  <si>
    <t>tibia_length</t>
  </si>
  <si>
    <t>ϕ</t>
  </si>
  <si>
    <t>D</t>
  </si>
  <si>
    <t>R1 + R2 &gt; d</t>
  </si>
  <si>
    <t>FEMUR^2</t>
  </si>
  <si>
    <t>TIBIA^2</t>
  </si>
  <si>
    <t>D^2</t>
  </si>
  <si>
    <t>α</t>
  </si>
  <si>
    <t>ϒ</t>
  </si>
  <si>
    <t>dest_point_x</t>
  </si>
  <si>
    <t>dest_point_y</t>
  </si>
  <si>
    <t>dest_point_z</t>
  </si>
  <si>
    <t>COXA</t>
  </si>
  <si>
    <t>FEMUR</t>
  </si>
  <si>
    <t>TIBIA</t>
  </si>
  <si>
    <t>x</t>
  </si>
  <si>
    <t xml:space="preserve">x0 = </t>
  </si>
  <si>
    <t xml:space="preserve">y0 = </t>
  </si>
  <si>
    <t>z</t>
  </si>
  <si>
    <t xml:space="preserve">z0 = </t>
  </si>
  <si>
    <t xml:space="preserve">Кривизна [-1.99; 1.99] = </t>
  </si>
  <si>
    <t>Общие вычисления</t>
  </si>
  <si>
    <t>Стартовая точка #1</t>
  </si>
  <si>
    <t>Стартовая точка #2</t>
  </si>
  <si>
    <t>Стартовая точка #3</t>
  </si>
  <si>
    <t>Стартовая точка #4</t>
  </si>
  <si>
    <t>Стартовая точка #5</t>
  </si>
  <si>
    <t>Стартовая точка #6</t>
  </si>
  <si>
    <t>Конфигурация конечностей</t>
  </si>
  <si>
    <t>Магия из неизвестной области математики, но она работает</t>
  </si>
  <si>
    <t>Вычисляется через формулу длины дуги (длина = угол в радианах * радиус)</t>
  </si>
  <si>
    <t>Конечность #1</t>
  </si>
  <si>
    <t>Конечность #2</t>
  </si>
  <si>
    <t>Конечность #3</t>
  </si>
  <si>
    <t>Конечность #4</t>
  </si>
  <si>
    <t>Конечность #5</t>
  </si>
  <si>
    <t>Конечность #6</t>
  </si>
  <si>
    <t xml:space="preserve">Начальный угол конечности 1 = </t>
  </si>
  <si>
    <t xml:space="preserve">Начальный угол конечности 2 = </t>
  </si>
  <si>
    <t xml:space="preserve">Начальный угол конечности 3 = </t>
  </si>
  <si>
    <t xml:space="preserve">Начальный угол конечности 4 = </t>
  </si>
  <si>
    <t xml:space="preserve">Начальный угол конечности 5 = </t>
  </si>
  <si>
    <t xml:space="preserve">Начальный угол конечности 6 = </t>
  </si>
  <si>
    <t>arc angle</t>
  </si>
  <si>
    <t xml:space="preserve">Радиус траектории конечности 1 = </t>
  </si>
  <si>
    <t xml:space="preserve">Радиус траектории конечности 2 = </t>
  </si>
  <si>
    <t xml:space="preserve">Радиус траектории конечности 3 = </t>
  </si>
  <si>
    <t xml:space="preserve">Радиус траектории конечности 4 = </t>
  </si>
  <si>
    <t xml:space="preserve">Радиус траектории конечности 5 = </t>
  </si>
  <si>
    <t xml:space="preserve">Радиус траектории конечности 6 = </t>
  </si>
  <si>
    <t>move time</t>
  </si>
  <si>
    <t>Радиус окружности, центр которой находится в центре кривизны и проходящей через начальную точку конечности
(длина серых линий)</t>
  </si>
  <si>
    <t>При вычислении arc angle предполагается, что в значении move time = 0.5 конечность окажется в своей нулевой точке</t>
  </si>
  <si>
    <t xml:space="preserve"> Начальный угол конечности. По сути это логический ноль для конечности. Относительно этого угла вычисляются начальный и конечный уголы дуги окружности. Вычисляется как угол между осью Х и прямой, проведенной из центра кривизны через начальную точку окружности (ATAN2)
(угол между Х и серой линией)</t>
  </si>
  <si>
    <t xml:space="preserve">k = </t>
  </si>
  <si>
    <t xml:space="preserve">Расстояние [мм] = </t>
  </si>
  <si>
    <t xml:space="preserve">Радиус траектории тела = </t>
  </si>
  <si>
    <t xml:space="preserve">Макс. Радиус траектории = </t>
  </si>
  <si>
    <t xml:space="preserve">Макс. угол дуги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</si>
</sst>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E46C0A"/>
        <bgColor rgb="FFFF420E"/>
      </patternFill>
    </fill>
    <fill>
      <patternFill patternType="solid">
        <fgColor rgb="FFFAC090"/>
        <bgColor rgb="FFE6B9B8"/>
      </patternFill>
    </fill>
    <fill>
      <patternFill patternType="solid">
        <fgColor rgb="FFFF0000"/>
        <bgColor rgb="FFFF420E"/>
      </patternFill>
    </fill>
    <fill>
      <patternFill patternType="solid">
        <fgColor rgb="FF93CDDD"/>
        <bgColor rgb="FFB3B3B3"/>
      </patternFill>
    </fill>
    <fill>
      <patternFill patternType="solid">
        <fgColor rgb="FFD99694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0" fontId="1" fillId="0" borderId="0" xfId="0" applyFont="1" applyBorder="1" applyAlignment="1"/>
    <xf numFmtId="0" fontId="1" fillId="2" borderId="12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top"/>
    </xf>
    <xf numFmtId="0" fontId="0" fillId="5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ont="1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2" fontId="1" fillId="7" borderId="8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2" fontId="1" fillId="6" borderId="15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164" fontId="0" fillId="13" borderId="18" xfId="0" applyNumberFormat="1" applyFill="1" applyBorder="1" applyAlignment="1">
      <alignment horizontal="center"/>
    </xf>
    <xf numFmtId="164" fontId="0" fillId="13" borderId="20" xfId="0" applyNumberFormat="1" applyFill="1" applyBorder="1" applyAlignment="1">
      <alignment horizontal="center"/>
    </xf>
    <xf numFmtId="164" fontId="0" fillId="13" borderId="21" xfId="0" applyNumberForma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164" fontId="0" fillId="14" borderId="18" xfId="0" applyNumberFormat="1" applyFill="1" applyBorder="1" applyAlignment="1">
      <alignment horizontal="center"/>
    </xf>
    <xf numFmtId="164" fontId="0" fillId="14" borderId="20" xfId="0" applyNumberFormat="1" applyFill="1" applyBorder="1" applyAlignment="1">
      <alignment horizontal="center"/>
    </xf>
    <xf numFmtId="164" fontId="0" fillId="14" borderId="21" xfId="0" applyNumberForma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164" fontId="1" fillId="10" borderId="20" xfId="0" applyNumberFormat="1" applyFont="1" applyFill="1" applyBorder="1" applyAlignment="1">
      <alignment horizontal="center"/>
    </xf>
    <xf numFmtId="164" fontId="1" fillId="10" borderId="21" xfId="0" applyNumberFormat="1" applyFont="1" applyFill="1" applyBorder="1" applyAlignment="1">
      <alignment horizontal="center"/>
    </xf>
    <xf numFmtId="2" fontId="0" fillId="10" borderId="19" xfId="0" applyNumberFormat="1" applyFill="1" applyBorder="1" applyAlignment="1">
      <alignment horizontal="center"/>
    </xf>
    <xf numFmtId="164" fontId="0" fillId="10" borderId="18" xfId="0" applyNumberForma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13" borderId="24" xfId="0" applyNumberFormat="1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14" borderId="24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13" borderId="39" xfId="0" applyNumberFormat="1" applyFill="1" applyBorder="1" applyAlignment="1">
      <alignment horizontal="center"/>
    </xf>
    <xf numFmtId="164" fontId="0" fillId="13" borderId="40" xfId="0" applyNumberFormat="1" applyFill="1" applyBorder="1" applyAlignment="1">
      <alignment horizontal="center"/>
    </xf>
    <xf numFmtId="164" fontId="0" fillId="13" borderId="41" xfId="0" applyNumberFormat="1" applyFill="1" applyBorder="1" applyAlignment="1">
      <alignment horizontal="center"/>
    </xf>
    <xf numFmtId="164" fontId="0" fillId="14" borderId="39" xfId="0" applyNumberFormat="1" applyFill="1" applyBorder="1" applyAlignment="1">
      <alignment horizontal="center"/>
    </xf>
    <xf numFmtId="164" fontId="0" fillId="14" borderId="40" xfId="0" applyNumberFormat="1" applyFill="1" applyBorder="1" applyAlignment="1">
      <alignment horizontal="center"/>
    </xf>
    <xf numFmtId="164" fontId="0" fillId="14" borderId="41" xfId="0" applyNumberForma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14" borderId="1" xfId="0" applyFont="1" applyFill="1" applyBorder="1" applyAlignment="1">
      <alignment horizontal="center"/>
    </xf>
    <xf numFmtId="0" fontId="1" fillId="14" borderId="2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1" borderId="12" xfId="0" applyFont="1" applyFill="1" applyBorder="1" applyAlignment="1">
      <alignment horizontal="right"/>
    </xf>
    <xf numFmtId="0" fontId="1" fillId="11" borderId="13" xfId="0" applyFont="1" applyFill="1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11" borderId="7" xfId="0" applyFont="1" applyFill="1" applyBorder="1" applyAlignment="1">
      <alignment horizontal="right"/>
    </xf>
    <xf numFmtId="0" fontId="1" fillId="11" borderId="9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9" borderId="24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2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" fillId="11" borderId="1" xfId="0" applyFont="1" applyFill="1" applyBorder="1" applyAlignment="1">
      <alignment horizontal="right" vertical="center"/>
    </xf>
    <xf numFmtId="0" fontId="1" fillId="11" borderId="24" xfId="0" applyFont="1" applyFill="1" applyBorder="1" applyAlignment="1">
      <alignment horizontal="right" vertical="center"/>
    </xf>
    <xf numFmtId="0" fontId="1" fillId="11" borderId="24" xfId="0" applyFont="1" applyFill="1" applyBorder="1" applyAlignment="1">
      <alignment horizontal="center"/>
    </xf>
    <xf numFmtId="0" fontId="1" fillId="11" borderId="32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2" fillId="12" borderId="27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E6B9B8"/>
      <rgbColor rgb="FFCC99FF"/>
      <rgbColor rgb="FFFAC090"/>
      <rgbColor rgb="FF3366FF"/>
      <rgbColor rgb="FF33CCCC"/>
      <rgbColor rgb="FF92D050"/>
      <rgbColor rgb="FFFFC000"/>
      <rgbColor rgb="FFFF972F"/>
      <rgbColor rgb="FFE46C0A"/>
      <rgbColor rgb="FF4A7EBB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968923418424005"/>
          <c:h val="0.99966756897943698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'Advance trajectory'!$D$32:$D$52</c:f>
              <c:numCache>
                <c:formatCode>0.00000</c:formatCode>
                <c:ptCount val="21"/>
                <c:pt idx="0">
                  <c:v>-100.14892496555947</c:v>
                </c:pt>
                <c:pt idx="1">
                  <c:v>-101.79746874221689</c:v>
                </c:pt>
                <c:pt idx="2">
                  <c:v>-103.41111038876282</c:v>
                </c:pt>
                <c:pt idx="3">
                  <c:v>-104.98929686774301</c:v>
                </c:pt>
                <c:pt idx="4">
                  <c:v>-106.53148729312204</c:v>
                </c:pt>
                <c:pt idx="5">
                  <c:v>-108.03715311565934</c:v>
                </c:pt>
                <c:pt idx="6">
                  <c:v>-109.50577830405679</c:v>
                </c:pt>
                <c:pt idx="7">
                  <c:v>-110.93685952181639</c:v>
                </c:pt>
                <c:pt idx="8">
                  <c:v>-112.32990629974668</c:v>
                </c:pt>
                <c:pt idx="9">
                  <c:v>-113.68444120405972</c:v>
                </c:pt>
                <c:pt idx="10">
                  <c:v>-115</c:v>
                </c:pt>
                <c:pt idx="11">
                  <c:v>-116.27613181094999</c:v>
                </c:pt>
                <c:pt idx="12">
                  <c:v>-117.51239927295748</c:v>
                </c:pt>
                <c:pt idx="13">
                  <c:v>-118.70837868463155</c:v>
                </c:pt>
                <c:pt idx="14">
                  <c:v>-119.86366015235637</c:v>
                </c:pt>
                <c:pt idx="15">
                  <c:v>-120.97784773077237</c:v>
                </c:pt>
                <c:pt idx="16">
                  <c:v>-122.05055955847723</c:v>
                </c:pt>
                <c:pt idx="17">
                  <c:v>-123.08142798889988</c:v>
                </c:pt>
                <c:pt idx="18">
                  <c:v>-124.07009971630248</c:v>
                </c:pt>
                <c:pt idx="19">
                  <c:v>-125.01623589686776</c:v>
                </c:pt>
                <c:pt idx="20">
                  <c:v>-125.91951226482961</c:v>
                </c:pt>
              </c:numCache>
            </c:numRef>
          </c:xVal>
          <c:yVal>
            <c:numRef>
              <c:f>'Advance trajectory'!$E$32:$E$52</c:f>
              <c:numCache>
                <c:formatCode>0.00000</c:formatCode>
                <c:ptCount val="21"/>
                <c:pt idx="0">
                  <c:v>89.979771222137614</c:v>
                </c:pt>
                <c:pt idx="1">
                  <c:v>88.109660550196153</c:v>
                </c:pt>
                <c:pt idx="2">
                  <c:v>86.209352379030832</c:v>
                </c:pt>
                <c:pt idx="3">
                  <c:v>84.279497994257369</c:v>
                </c:pt>
                <c:pt idx="4">
                  <c:v>82.32075880775642</c:v>
                </c:pt>
                <c:pt idx="5">
                  <c:v>80.33380613099024</c:v>
                </c:pt>
                <c:pt idx="6">
                  <c:v>78.319320944926616</c:v>
                </c:pt>
                <c:pt idx="7">
                  <c:v>76.277993666648783</c:v>
                </c:pt>
                <c:pt idx="8">
                  <c:v>74.210523912731404</c:v>
                </c:pt>
                <c:pt idx="9">
                  <c:v>72.117620259463308</c:v>
                </c:pt>
                <c:pt idx="10">
                  <c:v>70.000000000000014</c:v>
                </c:pt>
                <c:pt idx="11">
                  <c:v>67.858388898528361</c:v>
                </c:pt>
                <c:pt idx="12">
                  <c:v>65.693520941528021</c:v>
                </c:pt>
                <c:pt idx="13">
                  <c:v>63.506138086215103</c:v>
                </c:pt>
                <c:pt idx="14">
                  <c:v>61.296990006253715</c:v>
                </c:pt>
                <c:pt idx="15">
                  <c:v>59.066833834823406</c:v>
                </c:pt>
                <c:pt idx="16">
                  <c:v>56.816433905129294</c:v>
                </c:pt>
                <c:pt idx="17">
                  <c:v>54.546561488445221</c:v>
                </c:pt>
                <c:pt idx="18">
                  <c:v>52.257994529778742</c:v>
                </c:pt>
                <c:pt idx="19">
                  <c:v>49.951517381248848</c:v>
                </c:pt>
                <c:pt idx="20">
                  <c:v>47.62792053326794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'Advance trajectory'!$G$32:$G$52</c:f>
              <c:numCache>
                <c:formatCode>0.00000</c:formatCode>
                <c:ptCount val="21"/>
                <c:pt idx="0">
                  <c:v>-132.69246029453819</c:v>
                </c:pt>
                <c:pt idx="1">
                  <c:v>-133.12987773832018</c:v>
                </c:pt>
                <c:pt idx="2">
                  <c:v>-133.52165461093401</c:v>
                </c:pt>
                <c:pt idx="3">
                  <c:v>-133.86765664013609</c:v>
                </c:pt>
                <c:pt idx="4">
                  <c:v>-134.16776524192616</c:v>
                </c:pt>
                <c:pt idx="5">
                  <c:v>-134.42187756118923</c:v>
                </c:pt>
                <c:pt idx="6">
                  <c:v>-134.62990650694664</c:v>
                </c:pt>
                <c:pt idx="7">
                  <c:v>-134.79178078220454</c:v>
                </c:pt>
                <c:pt idx="8">
                  <c:v>-134.90744490838915</c:v>
                </c:pt>
                <c:pt idx="9">
                  <c:v>-134.97685924436081</c:v>
                </c:pt>
                <c:pt idx="10">
                  <c:v>-135</c:v>
                </c:pt>
                <c:pt idx="11">
                  <c:v>-134.97685924436081</c:v>
                </c:pt>
                <c:pt idx="12">
                  <c:v>-134.90744490838915</c:v>
                </c:pt>
                <c:pt idx="13">
                  <c:v>-134.79178078220454</c:v>
                </c:pt>
                <c:pt idx="14">
                  <c:v>-134.62990650694664</c:v>
                </c:pt>
                <c:pt idx="15">
                  <c:v>-134.42187756118923</c:v>
                </c:pt>
                <c:pt idx="16">
                  <c:v>-134.16776524192619</c:v>
                </c:pt>
                <c:pt idx="17">
                  <c:v>-133.86765664013612</c:v>
                </c:pt>
                <c:pt idx="18">
                  <c:v>-133.52165461093401</c:v>
                </c:pt>
                <c:pt idx="19">
                  <c:v>-133.12987773832018</c:v>
                </c:pt>
                <c:pt idx="20">
                  <c:v>-132.69246029453819</c:v>
                </c:pt>
              </c:numCache>
            </c:numRef>
          </c:xVal>
          <c:yVal>
            <c:numRef>
              <c:f>'Advance trajectory'!$H$32:$H$52</c:f>
              <c:numCache>
                <c:formatCode>0.00000</c:formatCode>
                <c:ptCount val="21"/>
                <c:pt idx="0">
                  <c:v>24.857437815759159</c:v>
                </c:pt>
                <c:pt idx="1">
                  <c:v>22.396038320852366</c:v>
                </c:pt>
                <c:pt idx="2">
                  <c:v>19.926963114274585</c:v>
                </c:pt>
                <c:pt idx="3">
                  <c:v>17.451058413071362</c:v>
                </c:pt>
                <c:pt idx="4">
                  <c:v>14.969172774935751</c:v>
                </c:pt>
                <c:pt idx="5">
                  <c:v>12.482156807385293</c:v>
                </c:pt>
                <c:pt idx="6">
                  <c:v>9.9908628762364113</c:v>
                </c:pt>
                <c:pt idx="7">
                  <c:v>7.4961448134761683</c:v>
                </c:pt>
                <c:pt idx="8">
                  <c:v>4.9988576246318139</c:v>
                </c:pt>
                <c:pt idx="9">
                  <c:v>2.4998571957375324</c:v>
                </c:pt>
                <c:pt idx="10">
                  <c:v>1.6544315288987496E-14</c:v>
                </c:pt>
                <c:pt idx="11">
                  <c:v>-2.4998571957374991</c:v>
                </c:pt>
                <c:pt idx="12">
                  <c:v>-4.9988576246317802</c:v>
                </c:pt>
                <c:pt idx="13">
                  <c:v>-7.4961448134761355</c:v>
                </c:pt>
                <c:pt idx="14">
                  <c:v>-9.990862876236319</c:v>
                </c:pt>
                <c:pt idx="15">
                  <c:v>-12.482156807385259</c:v>
                </c:pt>
                <c:pt idx="16">
                  <c:v>-14.96917277493572</c:v>
                </c:pt>
                <c:pt idx="17">
                  <c:v>-17.451058413071326</c:v>
                </c:pt>
                <c:pt idx="18">
                  <c:v>-19.926963114274553</c:v>
                </c:pt>
                <c:pt idx="19">
                  <c:v>-22.39603832085233</c:v>
                </c:pt>
                <c:pt idx="20">
                  <c:v>-24.857437815759127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xVal>
            <c:numRef>
              <c:f>'Advance trajectory'!$J$32:$J$52</c:f>
              <c:numCache>
                <c:formatCode>0.00000</c:formatCode>
                <c:ptCount val="21"/>
                <c:pt idx="0">
                  <c:v>-125.91951226482961</c:v>
                </c:pt>
                <c:pt idx="1">
                  <c:v>-125.01623589686776</c:v>
                </c:pt>
                <c:pt idx="2">
                  <c:v>-124.07009971630248</c:v>
                </c:pt>
                <c:pt idx="3">
                  <c:v>-123.08142798889988</c:v>
                </c:pt>
                <c:pt idx="4">
                  <c:v>-122.05055955847723</c:v>
                </c:pt>
                <c:pt idx="5">
                  <c:v>-120.97784773077237</c:v>
                </c:pt>
                <c:pt idx="6">
                  <c:v>-119.86366015235637</c:v>
                </c:pt>
                <c:pt idx="7">
                  <c:v>-118.70837868463155</c:v>
                </c:pt>
                <c:pt idx="8">
                  <c:v>-117.51239927295748</c:v>
                </c:pt>
                <c:pt idx="9">
                  <c:v>-116.27613181094999</c:v>
                </c:pt>
                <c:pt idx="10">
                  <c:v>-115</c:v>
                </c:pt>
                <c:pt idx="11">
                  <c:v>-113.68444120405972</c:v>
                </c:pt>
                <c:pt idx="12">
                  <c:v>-112.32990629974668</c:v>
                </c:pt>
                <c:pt idx="13">
                  <c:v>-110.93685952181639</c:v>
                </c:pt>
                <c:pt idx="14">
                  <c:v>-109.50577830405679</c:v>
                </c:pt>
                <c:pt idx="15">
                  <c:v>-108.03715311565934</c:v>
                </c:pt>
                <c:pt idx="16">
                  <c:v>-106.53148729312204</c:v>
                </c:pt>
                <c:pt idx="17">
                  <c:v>-104.98929686774301</c:v>
                </c:pt>
                <c:pt idx="18">
                  <c:v>-103.41111038876282</c:v>
                </c:pt>
                <c:pt idx="19">
                  <c:v>-101.79746874221689</c:v>
                </c:pt>
                <c:pt idx="20">
                  <c:v>-100.14892496555947</c:v>
                </c:pt>
              </c:numCache>
            </c:numRef>
          </c:xVal>
          <c:yVal>
            <c:numRef>
              <c:f>'Advance trajectory'!$K$32:$K$52</c:f>
              <c:numCache>
                <c:formatCode>0.00000</c:formatCode>
                <c:ptCount val="21"/>
                <c:pt idx="0">
                  <c:v>-47.62792053326794</c:v>
                </c:pt>
                <c:pt idx="1">
                  <c:v>-49.951517381248848</c:v>
                </c:pt>
                <c:pt idx="2">
                  <c:v>-52.257994529778742</c:v>
                </c:pt>
                <c:pt idx="3">
                  <c:v>-54.546561488445221</c:v>
                </c:pt>
                <c:pt idx="4">
                  <c:v>-56.816433905129294</c:v>
                </c:pt>
                <c:pt idx="5">
                  <c:v>-59.066833834823406</c:v>
                </c:pt>
                <c:pt idx="6">
                  <c:v>-61.296990006253715</c:v>
                </c:pt>
                <c:pt idx="7">
                  <c:v>-63.506138086215103</c:v>
                </c:pt>
                <c:pt idx="8">
                  <c:v>-65.693520941528021</c:v>
                </c:pt>
                <c:pt idx="9">
                  <c:v>-67.858388898528361</c:v>
                </c:pt>
                <c:pt idx="10">
                  <c:v>-70.000000000000014</c:v>
                </c:pt>
                <c:pt idx="11">
                  <c:v>-72.117620259463308</c:v>
                </c:pt>
                <c:pt idx="12">
                  <c:v>-74.210523912731404</c:v>
                </c:pt>
                <c:pt idx="13">
                  <c:v>-76.277993666648783</c:v>
                </c:pt>
                <c:pt idx="14">
                  <c:v>-78.319320944926616</c:v>
                </c:pt>
                <c:pt idx="15">
                  <c:v>-80.33380613099024</c:v>
                </c:pt>
                <c:pt idx="16">
                  <c:v>-82.32075880775642</c:v>
                </c:pt>
                <c:pt idx="17">
                  <c:v>-84.279497994257369</c:v>
                </c:pt>
                <c:pt idx="18">
                  <c:v>-86.209352379030832</c:v>
                </c:pt>
                <c:pt idx="19">
                  <c:v>-88.109660550196153</c:v>
                </c:pt>
                <c:pt idx="20">
                  <c:v>-89.979771222137614</c:v>
                </c:pt>
              </c:numCache>
            </c:numRef>
          </c:yVal>
          <c:smooth val="0"/>
        </c:ser>
        <c:ser>
          <c:idx val="4"/>
          <c:order val="3"/>
          <c:marker>
            <c:symbol val="none"/>
          </c:marker>
          <c:xVal>
            <c:numRef>
              <c:f>'Advance trajectory'!$M$32:$M$52</c:f>
              <c:numCache>
                <c:formatCode>0.00000</c:formatCode>
                <c:ptCount val="21"/>
                <c:pt idx="0">
                  <c:v>125.92085434689243</c:v>
                </c:pt>
                <c:pt idx="1">
                  <c:v>125.01732357372842</c:v>
                </c:pt>
                <c:pt idx="2">
                  <c:v>124.07095953285281</c:v>
                </c:pt>
                <c:pt idx="3">
                  <c:v>123.08208656812548</c:v>
                </c:pt>
                <c:pt idx="4">
                  <c:v>122.05104359233296</c:v>
                </c:pt>
                <c:pt idx="5">
                  <c:v>120.9781839710344</c:v>
                </c:pt>
                <c:pt idx="6">
                  <c:v>119.86387540145367</c:v>
                </c:pt>
                <c:pt idx="7">
                  <c:v>118.70849978645992</c:v>
                </c:pt>
                <c:pt idx="8">
                  <c:v>117.51245310367943</c:v>
                </c:pt>
                <c:pt idx="9">
                  <c:v>116.27614526978367</c:v>
                </c:pt>
                <c:pt idx="10">
                  <c:v>115</c:v>
                </c:pt>
                <c:pt idx="11">
                  <c:v>113.68445466289337</c:v>
                </c:pt>
                <c:pt idx="12">
                  <c:v>112.32996013046863</c:v>
                </c:pt>
                <c:pt idx="13">
                  <c:v>110.93698062364474</c:v>
                </c:pt>
                <c:pt idx="14">
                  <c:v>109.50599355315411</c:v>
                </c:pt>
                <c:pt idx="15">
                  <c:v>108.03748935592138</c:v>
                </c:pt>
                <c:pt idx="16">
                  <c:v>106.53197132697777</c:v>
                </c:pt>
                <c:pt idx="17">
                  <c:v>104.98995544696859</c:v>
                </c:pt>
                <c:pt idx="18">
                  <c:v>103.41197020531315</c:v>
                </c:pt>
                <c:pt idx="19">
                  <c:v>101.79855641907753</c:v>
                </c:pt>
                <c:pt idx="20">
                  <c:v>100.15026704762228</c:v>
                </c:pt>
              </c:numCache>
            </c:numRef>
          </c:xVal>
          <c:yVal>
            <c:numRef>
              <c:f>'Advance trajectory'!$N$32:$N$52</c:f>
              <c:numCache>
                <c:formatCode>0.00000</c:formatCode>
                <c:ptCount val="21"/>
                <c:pt idx="0">
                  <c:v>47.642377801908076</c:v>
                </c:pt>
                <c:pt idx="1">
                  <c:v>49.964543081841143</c:v>
                </c:pt>
                <c:pt idx="2">
                  <c:v>52.26958419807282</c:v>
                </c:pt>
                <c:pt idx="3">
                  <c:v>54.556711152356797</c:v>
                </c:pt>
                <c:pt idx="4">
                  <c:v>56.825140086101463</c:v>
                </c:pt>
                <c:pt idx="5">
                  <c:v>59.074093549018841</c:v>
                </c:pt>
                <c:pt idx="6">
                  <c:v>61.302800765577338</c:v>
                </c:pt>
                <c:pt idx="7">
                  <c:v>63.510497899166715</c:v>
                </c:pt>
                <c:pt idx="8">
                  <c:v>65.696428313885079</c:v>
                </c:pt>
                <c:pt idx="9">
                  <c:v>67.859842833857826</c:v>
                </c:pt>
                <c:pt idx="10">
                  <c:v>70.000000000000014</c:v>
                </c:pt>
                <c:pt idx="11">
                  <c:v>72.116166324133829</c:v>
                </c:pt>
                <c:pt idx="12">
                  <c:v>74.207616540374318</c:v>
                </c:pt>
                <c:pt idx="13">
                  <c:v>76.273633853697149</c:v>
                </c:pt>
                <c:pt idx="14">
                  <c:v>78.313510185602979</c:v>
                </c:pt>
                <c:pt idx="15">
                  <c:v>80.326546416794784</c:v>
                </c:pt>
                <c:pt idx="16">
                  <c:v>82.312052626784237</c:v>
                </c:pt>
                <c:pt idx="17">
                  <c:v>84.269348330345778</c:v>
                </c:pt>
                <c:pt idx="18">
                  <c:v>86.197762710736725</c:v>
                </c:pt>
                <c:pt idx="19">
                  <c:v>88.096634849603845</c:v>
                </c:pt>
                <c:pt idx="20">
                  <c:v>89.965313953497443</c:v>
                </c:pt>
              </c:numCache>
            </c:numRef>
          </c:yVal>
          <c:smooth val="0"/>
        </c:ser>
        <c:ser>
          <c:idx val="5"/>
          <c:order val="4"/>
          <c:marker>
            <c:symbol val="none"/>
          </c:marker>
          <c:xVal>
            <c:numRef>
              <c:f>'Advance trajectory'!$P$32:$P$52</c:f>
              <c:numCache>
                <c:formatCode>0.00000</c:formatCode>
                <c:ptCount val="21"/>
                <c:pt idx="0">
                  <c:v>132.69380237660101</c:v>
                </c:pt>
                <c:pt idx="1">
                  <c:v>133.13096541518081</c:v>
                </c:pt>
                <c:pt idx="2">
                  <c:v>133.52251442748434</c:v>
                </c:pt>
                <c:pt idx="3">
                  <c:v>133.86831521936168</c:v>
                </c:pt>
                <c:pt idx="4">
                  <c:v>134.1682492757819</c:v>
                </c:pt>
                <c:pt idx="5">
                  <c:v>134.42221380145125</c:v>
                </c:pt>
                <c:pt idx="6">
                  <c:v>134.63012175604393</c:v>
                </c:pt>
                <c:pt idx="7">
                  <c:v>134.79190188403288</c:v>
                </c:pt>
                <c:pt idx="8">
                  <c:v>134.90749873911111</c:v>
                </c:pt>
                <c:pt idx="9">
                  <c:v>134.97687270319446</c:v>
                </c:pt>
                <c:pt idx="10">
                  <c:v>135</c:v>
                </c:pt>
                <c:pt idx="11">
                  <c:v>134.97687270319446</c:v>
                </c:pt>
                <c:pt idx="12">
                  <c:v>134.90749873911111</c:v>
                </c:pt>
                <c:pt idx="13">
                  <c:v>134.79190188403288</c:v>
                </c:pt>
                <c:pt idx="14">
                  <c:v>134.63012175604393</c:v>
                </c:pt>
                <c:pt idx="15">
                  <c:v>134.42221380145125</c:v>
                </c:pt>
                <c:pt idx="16">
                  <c:v>134.1682492757819</c:v>
                </c:pt>
                <c:pt idx="17">
                  <c:v>133.86831521936168</c:v>
                </c:pt>
                <c:pt idx="18">
                  <c:v>133.52251442748434</c:v>
                </c:pt>
                <c:pt idx="19">
                  <c:v>133.13096541518081</c:v>
                </c:pt>
                <c:pt idx="20">
                  <c:v>132.69380237660101</c:v>
                </c:pt>
              </c:numCache>
            </c:numRef>
          </c:xVal>
          <c:yVal>
            <c:numRef>
              <c:f>'Advance trajectory'!$Q$32:$Q$52</c:f>
              <c:numCache>
                <c:formatCode>0.00000</c:formatCode>
                <c:ptCount val="21"/>
                <c:pt idx="0">
                  <c:v>-24.842980547118994</c:v>
                </c:pt>
                <c:pt idx="1">
                  <c:v>-22.383012620260054</c:v>
                </c:pt>
                <c:pt idx="2">
                  <c:v>-19.915373445980478</c:v>
                </c:pt>
                <c:pt idx="3">
                  <c:v>-17.440908749159757</c:v>
                </c:pt>
                <c:pt idx="4">
                  <c:v>-14.960466593963559</c:v>
                </c:pt>
                <c:pt idx="5">
                  <c:v>-12.474897093189828</c:v>
                </c:pt>
                <c:pt idx="6">
                  <c:v>-9.9850521169127635</c:v>
                </c:pt>
                <c:pt idx="7">
                  <c:v>-7.4917850005245246</c:v>
                </c:pt>
                <c:pt idx="8">
                  <c:v>-4.9959502522747368</c:v>
                </c:pt>
                <c:pt idx="9">
                  <c:v>-2.4984032604080371</c:v>
                </c:pt>
                <c:pt idx="10">
                  <c:v>0</c:v>
                </c:pt>
                <c:pt idx="11">
                  <c:v>2.4984032604080402</c:v>
                </c:pt>
                <c:pt idx="12">
                  <c:v>4.9959502522747368</c:v>
                </c:pt>
                <c:pt idx="13">
                  <c:v>7.4917850005245246</c:v>
                </c:pt>
                <c:pt idx="14">
                  <c:v>9.98505211691276</c:v>
                </c:pt>
                <c:pt idx="15">
                  <c:v>12.474897093189828</c:v>
                </c:pt>
                <c:pt idx="16">
                  <c:v>14.960466593963563</c:v>
                </c:pt>
                <c:pt idx="17">
                  <c:v>17.440908749159757</c:v>
                </c:pt>
                <c:pt idx="18">
                  <c:v>19.915373445980478</c:v>
                </c:pt>
                <c:pt idx="19">
                  <c:v>22.383012620260047</c:v>
                </c:pt>
                <c:pt idx="20">
                  <c:v>24.842980547118994</c:v>
                </c:pt>
              </c:numCache>
            </c:numRef>
          </c:yVal>
          <c:smooth val="0"/>
        </c:ser>
        <c:ser>
          <c:idx val="6"/>
          <c:order val="5"/>
          <c:marker>
            <c:symbol val="none"/>
          </c:marker>
          <c:xVal>
            <c:numRef>
              <c:f>'Advance trajectory'!$S$32:$S$52</c:f>
              <c:numCache>
                <c:formatCode>0.00000</c:formatCode>
                <c:ptCount val="21"/>
                <c:pt idx="0">
                  <c:v>100.15026704762228</c:v>
                </c:pt>
                <c:pt idx="1">
                  <c:v>101.79855641907753</c:v>
                </c:pt>
                <c:pt idx="2">
                  <c:v>103.41197020531315</c:v>
                </c:pt>
                <c:pt idx="3">
                  <c:v>104.98995544696859</c:v>
                </c:pt>
                <c:pt idx="4">
                  <c:v>106.53197132697777</c:v>
                </c:pt>
                <c:pt idx="5">
                  <c:v>108.03748935592138</c:v>
                </c:pt>
                <c:pt idx="6">
                  <c:v>109.50599355315411</c:v>
                </c:pt>
                <c:pt idx="7">
                  <c:v>110.93698062364474</c:v>
                </c:pt>
                <c:pt idx="8">
                  <c:v>112.32996013046863</c:v>
                </c:pt>
                <c:pt idx="9">
                  <c:v>113.68445466289337</c:v>
                </c:pt>
                <c:pt idx="10">
                  <c:v>115</c:v>
                </c:pt>
                <c:pt idx="11">
                  <c:v>116.27614526978367</c:v>
                </c:pt>
                <c:pt idx="12">
                  <c:v>117.51245310367943</c:v>
                </c:pt>
                <c:pt idx="13">
                  <c:v>118.70849978645992</c:v>
                </c:pt>
                <c:pt idx="14">
                  <c:v>119.86387540145367</c:v>
                </c:pt>
                <c:pt idx="15">
                  <c:v>120.9781839710344</c:v>
                </c:pt>
                <c:pt idx="16">
                  <c:v>122.05104359233296</c:v>
                </c:pt>
                <c:pt idx="17">
                  <c:v>123.08208656812548</c:v>
                </c:pt>
                <c:pt idx="18">
                  <c:v>124.07095953285281</c:v>
                </c:pt>
                <c:pt idx="19">
                  <c:v>125.01732357372842</c:v>
                </c:pt>
                <c:pt idx="20">
                  <c:v>125.92085434689243</c:v>
                </c:pt>
              </c:numCache>
            </c:numRef>
          </c:xVal>
          <c:yVal>
            <c:numRef>
              <c:f>'Advance trajectory'!$T$32:$T$52</c:f>
              <c:numCache>
                <c:formatCode>0.00000</c:formatCode>
                <c:ptCount val="21"/>
                <c:pt idx="0">
                  <c:v>-89.965313953497443</c:v>
                </c:pt>
                <c:pt idx="1">
                  <c:v>-88.096634849603845</c:v>
                </c:pt>
                <c:pt idx="2">
                  <c:v>-86.197762710736725</c:v>
                </c:pt>
                <c:pt idx="3">
                  <c:v>-84.269348330345778</c:v>
                </c:pt>
                <c:pt idx="4">
                  <c:v>-82.312052626784237</c:v>
                </c:pt>
                <c:pt idx="5">
                  <c:v>-80.326546416794784</c:v>
                </c:pt>
                <c:pt idx="6">
                  <c:v>-78.313510185602979</c:v>
                </c:pt>
                <c:pt idx="7">
                  <c:v>-76.273633853697149</c:v>
                </c:pt>
                <c:pt idx="8">
                  <c:v>-74.207616540374318</c:v>
                </c:pt>
                <c:pt idx="9">
                  <c:v>-72.116166324133829</c:v>
                </c:pt>
                <c:pt idx="10">
                  <c:v>-70.000000000000014</c:v>
                </c:pt>
                <c:pt idx="11">
                  <c:v>-67.859842833857826</c:v>
                </c:pt>
                <c:pt idx="12">
                  <c:v>-65.696428313885079</c:v>
                </c:pt>
                <c:pt idx="13">
                  <c:v>-63.510497899166715</c:v>
                </c:pt>
                <c:pt idx="14">
                  <c:v>-61.302800765577338</c:v>
                </c:pt>
                <c:pt idx="15">
                  <c:v>-59.074093549018841</c:v>
                </c:pt>
                <c:pt idx="16">
                  <c:v>-56.825140086101456</c:v>
                </c:pt>
                <c:pt idx="17">
                  <c:v>-54.556711152356797</c:v>
                </c:pt>
                <c:pt idx="18">
                  <c:v>-52.26958419807282</c:v>
                </c:pt>
                <c:pt idx="19">
                  <c:v>-49.964543081841143</c:v>
                </c:pt>
                <c:pt idx="20">
                  <c:v>-47.642377801908076</c:v>
                </c:pt>
              </c:numCache>
            </c:numRef>
          </c:yVal>
          <c:smooth val="0"/>
        </c:ser>
        <c:ser>
          <c:idx val="0"/>
          <c:order val="6"/>
          <c:tx>
            <c:v>Центр кривизны</c:v>
          </c:tx>
          <c:xVal>
            <c:numRef>
              <c:f>'Advance trajectory'!$E$12</c:f>
              <c:numCache>
                <c:formatCode>General</c:formatCode>
                <c:ptCount val="1"/>
                <c:pt idx="0">
                  <c:v>3.9269916244421305E-2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7"/>
          <c:order val="7"/>
          <c:tx>
            <c:v>Вспм. 1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('Advance trajectory'!$E$12,'Advance trajectory'!$C$7,'Advance trajectory'!$E$12,'Advance trajectory'!$E$7,'Advance trajectory'!$E$12,'Advance trajectory'!$G$7,'Advance trajectory'!$E$12,'Advance trajectory'!$I$7,'Advance trajectory'!$E$12,'Advance trajectory'!$K$7,'Advance trajectory'!$E$12,'Advance trajectory'!$M$7)</c:f>
              <c:numCache>
                <c:formatCode>General</c:formatCode>
                <c:ptCount val="12"/>
                <c:pt idx="0">
                  <c:v>3.9269916244421305E-2</c:v>
                </c:pt>
                <c:pt idx="1">
                  <c:v>-115</c:v>
                </c:pt>
                <c:pt idx="2">
                  <c:v>3.9269916244421305E-2</c:v>
                </c:pt>
                <c:pt idx="3">
                  <c:v>-135</c:v>
                </c:pt>
                <c:pt idx="4">
                  <c:v>3.9269916244421305E-2</c:v>
                </c:pt>
                <c:pt idx="5">
                  <c:v>-115</c:v>
                </c:pt>
                <c:pt idx="6">
                  <c:v>3.9269916244421305E-2</c:v>
                </c:pt>
                <c:pt idx="7">
                  <c:v>115</c:v>
                </c:pt>
                <c:pt idx="8">
                  <c:v>3.9269916244421305E-2</c:v>
                </c:pt>
                <c:pt idx="9">
                  <c:v>135</c:v>
                </c:pt>
                <c:pt idx="10">
                  <c:v>3.9269916244421305E-2</c:v>
                </c:pt>
                <c:pt idx="11">
                  <c:v>115</c:v>
                </c:pt>
              </c:numCache>
            </c:numRef>
          </c:xVal>
          <c:yVal>
            <c:numRef>
              <c:f>('Advance trajectory'!$A$1,'Advance trajectory'!$C$9,'Advance trajectory'!$A$1,'Advance trajectory'!$E$9,'Advance trajectory'!$A$1,'Advance trajectory'!$G$9,'Advance trajectory'!$A$1,'Advance trajectory'!$I$9,'Advance trajectory'!$A$1,'Advance trajectory'!$K$9,'Advance trajectory'!$A$1,'Advance trajectory'!$M$9)</c:f>
              <c:numCache>
                <c:formatCode>General</c:formatCode>
                <c:ptCount val="12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-70</c:v>
                </c:pt>
                <c:pt idx="6">
                  <c:v>0</c:v>
                </c:pt>
                <c:pt idx="7">
                  <c:v>70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6656"/>
        <c:axId val="203240192"/>
      </c:scatterChart>
      <c:valAx>
        <c:axId val="202566656"/>
        <c:scaling>
          <c:orientation val="minMax"/>
          <c:max val="150"/>
          <c:min val="-150"/>
        </c:scaling>
        <c:delete val="0"/>
        <c:axPos val="b"/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03240192"/>
        <c:crosses val="autoZero"/>
        <c:crossBetween val="midCat"/>
        <c:majorUnit val="25"/>
      </c:valAx>
      <c:valAx>
        <c:axId val="203240192"/>
        <c:scaling>
          <c:orientation val="minMax"/>
          <c:max val="150"/>
          <c:min val="-1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02566656"/>
        <c:crosses val="autoZero"/>
        <c:crossBetween val="midCat"/>
        <c:majorUnit val="25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'Joystick smooth'!$D$3:$D$38</c:f>
              <c:numCache>
                <c:formatCode>0.00</c:formatCode>
                <c:ptCount val="36"/>
                <c:pt idx="0">
                  <c:v>1999</c:v>
                </c:pt>
                <c:pt idx="1">
                  <c:v>1636.6427754028862</c:v>
                </c:pt>
                <c:pt idx="2">
                  <c:v>1339.9697720252429</c:v>
                </c:pt>
                <c:pt idx="3">
                  <c:v>1097.0744605519587</c:v>
                </c:pt>
                <c:pt idx="4">
                  <c:v>898.20859927032609</c:v>
                </c:pt>
                <c:pt idx="5">
                  <c:v>735.39100290171325</c:v>
                </c:pt>
                <c:pt idx="6">
                  <c:v>602.08722961249202</c:v>
                </c:pt>
                <c:pt idx="7">
                  <c:v>492.94733091927139</c:v>
                </c:pt>
                <c:pt idx="8">
                  <c:v>403.59113947131624</c:v>
                </c:pt>
                <c:pt idx="9">
                  <c:v>330.43247755495156</c:v>
                </c:pt>
                <c:pt idx="10">
                  <c:v>270.53523118998879</c:v>
                </c:pt>
                <c:pt idx="11">
                  <c:v>221.49551356630545</c:v>
                </c:pt>
                <c:pt idx="12">
                  <c:v>181.3451886255356</c:v>
                </c:pt>
                <c:pt idx="13">
                  <c:v>148.47288285045346</c:v>
                </c:pt>
                <c:pt idx="14">
                  <c:v>121.55931518781071</c:v>
                </c:pt>
                <c:pt idx="15">
                  <c:v>99.524349667360042</c:v>
                </c:pt>
                <c:pt idx="16">
                  <c:v>81.483645752754072</c:v>
                </c:pt>
                <c:pt idx="17">
                  <c:v>69.435782630532387</c:v>
                </c:pt>
                <c:pt idx="18">
                  <c:v>69.435782630532387</c:v>
                </c:pt>
                <c:pt idx="19">
                  <c:v>81.483645752754072</c:v>
                </c:pt>
                <c:pt idx="20">
                  <c:v>99.524349667360042</c:v>
                </c:pt>
                <c:pt idx="21">
                  <c:v>121.55931518781071</c:v>
                </c:pt>
                <c:pt idx="22">
                  <c:v>148.47288285045346</c:v>
                </c:pt>
                <c:pt idx="23">
                  <c:v>181.3451886255356</c:v>
                </c:pt>
                <c:pt idx="24">
                  <c:v>221.49551356630545</c:v>
                </c:pt>
                <c:pt idx="25">
                  <c:v>270.53523118998879</c:v>
                </c:pt>
                <c:pt idx="26">
                  <c:v>330.43247755495156</c:v>
                </c:pt>
                <c:pt idx="27">
                  <c:v>403.59113947131624</c:v>
                </c:pt>
                <c:pt idx="28">
                  <c:v>492.94733091927139</c:v>
                </c:pt>
                <c:pt idx="29">
                  <c:v>602.08722961249202</c:v>
                </c:pt>
                <c:pt idx="30">
                  <c:v>735.39100290171325</c:v>
                </c:pt>
                <c:pt idx="31">
                  <c:v>898.20859927032609</c:v>
                </c:pt>
                <c:pt idx="32">
                  <c:v>1097.0744605519587</c:v>
                </c:pt>
                <c:pt idx="33">
                  <c:v>1339.9697720252429</c:v>
                </c:pt>
                <c:pt idx="34">
                  <c:v>1636.6427754028862</c:v>
                </c:pt>
                <c:pt idx="35">
                  <c:v>1999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4480"/>
        <c:axId val="203244672"/>
      </c:scatterChart>
      <c:valAx>
        <c:axId val="1755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44672"/>
        <c:crosses val="autoZero"/>
        <c:crossBetween val="midCat"/>
      </c:valAx>
      <c:valAx>
        <c:axId val="203244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552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117661</xdr:rowOff>
    </xdr:from>
    <xdr:to>
      <xdr:col>19</xdr:col>
      <xdr:colOff>764687</xdr:colOff>
      <xdr:row>28</xdr:row>
      <xdr:rowOff>94014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0</xdr:rowOff>
    </xdr:from>
    <xdr:to>
      <xdr:col>17</xdr:col>
      <xdr:colOff>314325</xdr:colOff>
      <xdr:row>17</xdr:row>
      <xdr:rowOff>47624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zoomScale="85" zoomScaleNormal="85" workbookViewId="0"/>
  </sheetViews>
  <sheetFormatPr defaultColWidth="8.7109375"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2" spans="2:18" x14ac:dyDescent="0.25">
      <c r="B2" s="1" t="s">
        <v>0</v>
      </c>
      <c r="C2" s="2">
        <v>45</v>
      </c>
      <c r="E2" s="99" t="s">
        <v>1</v>
      </c>
      <c r="F2" s="99"/>
      <c r="G2" s="99"/>
      <c r="H2" s="100" t="s">
        <v>2</v>
      </c>
      <c r="I2" s="100"/>
      <c r="J2" s="101" t="s">
        <v>3</v>
      </c>
      <c r="K2" s="101"/>
      <c r="L2" s="101"/>
      <c r="M2" s="102" t="s">
        <v>4</v>
      </c>
      <c r="N2" s="102"/>
    </row>
    <row r="3" spans="2:18" x14ac:dyDescent="0.25">
      <c r="B3" s="3" t="s">
        <v>5</v>
      </c>
      <c r="C3" s="4">
        <v>101</v>
      </c>
      <c r="E3" s="5" t="s">
        <v>6</v>
      </c>
      <c r="F3" s="6" t="s">
        <v>7</v>
      </c>
      <c r="G3" s="7" t="s">
        <v>8</v>
      </c>
      <c r="H3" s="8" t="s">
        <v>9</v>
      </c>
      <c r="I3" s="9" t="s">
        <v>10</v>
      </c>
      <c r="J3" s="10" t="s">
        <v>6</v>
      </c>
      <c r="K3" s="6" t="s">
        <v>7</v>
      </c>
      <c r="L3" s="11" t="s">
        <v>8</v>
      </c>
      <c r="M3" s="12" t="s">
        <v>11</v>
      </c>
      <c r="N3" s="13" t="s">
        <v>12</v>
      </c>
    </row>
    <row r="4" spans="2:18" x14ac:dyDescent="0.25">
      <c r="B4" s="3" t="s">
        <v>13</v>
      </c>
      <c r="C4" s="4">
        <v>47</v>
      </c>
      <c r="E4" s="14">
        <f>C9*COS(RADIANS(C2)) + C11*SIN(RADIANS(C2))</f>
        <v>141.42135623730951</v>
      </c>
      <c r="F4" s="15">
        <f>C10</f>
        <v>-40</v>
      </c>
      <c r="G4" s="16">
        <f>-C9*SIN(RADIANS(C2)) + C11*COS(RADIANS(C2))</f>
        <v>0</v>
      </c>
      <c r="H4" s="17">
        <f>ATAN2(E4, G4)</f>
        <v>0</v>
      </c>
      <c r="I4" s="18">
        <f>DEGREES(H4)</f>
        <v>0</v>
      </c>
      <c r="J4" s="19">
        <f>E4*COS(H4) + G4*SIN(H4)</f>
        <v>141.42135623730951</v>
      </c>
      <c r="K4" s="15">
        <f>F4</f>
        <v>-40</v>
      </c>
      <c r="L4" s="20">
        <f>-E4*SIN(H4) + G4*COS(H4)</f>
        <v>0</v>
      </c>
      <c r="M4" s="21">
        <f>J4-C5</f>
        <v>101.42135623730951</v>
      </c>
      <c r="N4" s="22">
        <f>K4</f>
        <v>-40</v>
      </c>
    </row>
    <row r="5" spans="2:18" x14ac:dyDescent="0.25">
      <c r="B5" s="3" t="s">
        <v>14</v>
      </c>
      <c r="C5" s="4">
        <v>40</v>
      </c>
    </row>
    <row r="6" spans="2:18" x14ac:dyDescent="0.25">
      <c r="B6" s="3" t="s">
        <v>15</v>
      </c>
      <c r="C6" s="4">
        <v>84</v>
      </c>
      <c r="E6" s="100" t="s">
        <v>16</v>
      </c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23"/>
      <c r="Q6" s="23"/>
      <c r="R6" s="23"/>
    </row>
    <row r="7" spans="2:18" x14ac:dyDescent="0.25">
      <c r="B7" s="24" t="s">
        <v>17</v>
      </c>
      <c r="C7" s="25">
        <v>141</v>
      </c>
      <c r="E7" s="96" t="s">
        <v>18</v>
      </c>
      <c r="F7" s="96"/>
      <c r="G7" s="6" t="s">
        <v>19</v>
      </c>
      <c r="H7" s="6" t="s">
        <v>20</v>
      </c>
      <c r="I7" s="6" t="s">
        <v>21</v>
      </c>
      <c r="J7" s="6" t="s">
        <v>22</v>
      </c>
      <c r="K7" s="26" t="s">
        <v>23</v>
      </c>
      <c r="L7" s="97" t="s">
        <v>24</v>
      </c>
      <c r="M7" s="97"/>
      <c r="N7" s="98" t="s">
        <v>25</v>
      </c>
      <c r="O7" s="98"/>
      <c r="P7" s="27"/>
      <c r="Q7" s="27"/>
      <c r="R7" s="27"/>
    </row>
    <row r="8" spans="2:18" x14ac:dyDescent="0.25">
      <c r="E8" s="28">
        <f>ATAN2(M4, N4)</f>
        <v>-0.37566451469282719</v>
      </c>
      <c r="F8" s="29">
        <f>DEGREES(E8)</f>
        <v>-21.523991204729302</v>
      </c>
      <c r="G8" s="29">
        <f>SQRT(M4*M4+N4*N4)</f>
        <v>109.02427023839802</v>
      </c>
      <c r="H8" s="30" t="str">
        <f>IF(C6 + C7 &gt;G8, "TRUE", "FALSE")</f>
        <v>TRUE</v>
      </c>
      <c r="I8" s="31">
        <f>C6*C6</f>
        <v>7056</v>
      </c>
      <c r="J8" s="31">
        <f>C7*C7</f>
        <v>19881</v>
      </c>
      <c r="K8" s="32">
        <f>G8*G8</f>
        <v>11886.291501015239</v>
      </c>
      <c r="L8" s="29">
        <f>ACOS((I8 + K8 - J8) / (2 * C6 * G8))</f>
        <v>1.6220693096897711</v>
      </c>
      <c r="M8" s="29">
        <f>DEGREES(L8)</f>
        <v>92.937725522922776</v>
      </c>
      <c r="N8" s="15">
        <f>ACOS(( J8 + I8 - K8) / (2 * C7 * C6))</f>
        <v>0.88230526008940935</v>
      </c>
      <c r="O8" s="33">
        <f>DEGREES(N8)</f>
        <v>50.552367645315549</v>
      </c>
      <c r="P8" s="34"/>
      <c r="Q8" s="34"/>
      <c r="R8" s="34"/>
    </row>
    <row r="9" spans="2:18" x14ac:dyDescent="0.25">
      <c r="B9" s="35" t="s">
        <v>26</v>
      </c>
      <c r="C9" s="36">
        <v>100</v>
      </c>
    </row>
    <row r="10" spans="2:18" x14ac:dyDescent="0.25">
      <c r="B10" s="37" t="s">
        <v>27</v>
      </c>
      <c r="C10" s="38">
        <v>-40</v>
      </c>
    </row>
    <row r="11" spans="2:18" x14ac:dyDescent="0.25">
      <c r="B11" s="39" t="s">
        <v>28</v>
      </c>
      <c r="C11" s="40">
        <v>100</v>
      </c>
    </row>
    <row r="13" spans="2:18" x14ac:dyDescent="0.25">
      <c r="B13" s="41" t="s">
        <v>29</v>
      </c>
      <c r="C13" s="42">
        <f>I4</f>
        <v>0</v>
      </c>
    </row>
    <row r="14" spans="2:18" x14ac:dyDescent="0.25">
      <c r="B14" s="43" t="s">
        <v>30</v>
      </c>
      <c r="C14" s="44">
        <f>C3 - M8 - F8</f>
        <v>29.586265681806527</v>
      </c>
    </row>
    <row r="15" spans="2:18" x14ac:dyDescent="0.25">
      <c r="B15" s="45" t="s">
        <v>31</v>
      </c>
      <c r="C15" s="46">
        <f>O8-C4</f>
        <v>3.5523676453155488</v>
      </c>
    </row>
  </sheetData>
  <mergeCells count="8">
    <mergeCell ref="E7:F7"/>
    <mergeCell ref="L7:M7"/>
    <mergeCell ref="N7:O7"/>
    <mergeCell ref="E2:G2"/>
    <mergeCell ref="H2:I2"/>
    <mergeCell ref="J2:L2"/>
    <mergeCell ref="M2:N2"/>
    <mergeCell ref="E6:O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zoomScale="85" zoomScaleNormal="85" workbookViewId="0">
      <selection activeCell="D4" sqref="D4"/>
    </sheetView>
  </sheetViews>
  <sheetFormatPr defaultColWidth="11.5703125" defaultRowHeight="15" x14ac:dyDescent="0.25"/>
  <cols>
    <col min="1" max="1" width="3" customWidth="1"/>
    <col min="3" max="3" width="11.7109375" bestFit="1" customWidth="1"/>
    <col min="4" max="4" width="12.28515625" bestFit="1" customWidth="1"/>
    <col min="5" max="6" width="11.7109375" bestFit="1" customWidth="1"/>
    <col min="7" max="7" width="12.28515625" bestFit="1" customWidth="1"/>
    <col min="8" max="9" width="11.7109375" bestFit="1" customWidth="1"/>
    <col min="10" max="11" width="12.28515625" bestFit="1" customWidth="1"/>
    <col min="12" max="13" width="11.7109375" bestFit="1" customWidth="1"/>
    <col min="14" max="14" width="12.28515625" bestFit="1" customWidth="1"/>
    <col min="15" max="20" width="11.7109375" bestFit="1" customWidth="1"/>
  </cols>
  <sheetData>
    <row r="1" spans="1:28" ht="15.75" thickBot="1" x14ac:dyDescent="0.3">
      <c r="A1" s="52">
        <v>0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</row>
    <row r="2" spans="1:28" x14ac:dyDescent="0.25">
      <c r="B2" s="140" t="s">
        <v>37</v>
      </c>
      <c r="C2" s="141"/>
      <c r="D2" s="144">
        <v>1.9990000000000001</v>
      </c>
      <c r="E2" s="145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</row>
    <row r="3" spans="1:28" ht="15.75" thickBot="1" x14ac:dyDescent="0.3">
      <c r="B3" s="142" t="s">
        <v>72</v>
      </c>
      <c r="C3" s="143"/>
      <c r="D3" s="146">
        <v>50</v>
      </c>
      <c r="E3" s="147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</row>
    <row r="4" spans="1:28" ht="15.75" thickBot="1" x14ac:dyDescent="0.3"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</row>
    <row r="5" spans="1:28" ht="15.75" thickBot="1" x14ac:dyDescent="0.3">
      <c r="B5" s="152" t="s">
        <v>45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4"/>
      <c r="N5" s="54"/>
      <c r="O5" s="51"/>
      <c r="P5" s="51"/>
      <c r="Q5" s="51"/>
      <c r="R5" s="51"/>
      <c r="S5" s="59"/>
      <c r="T5" s="59"/>
      <c r="U5" s="59"/>
      <c r="V5" s="59"/>
      <c r="W5" s="59"/>
      <c r="X5" s="59"/>
      <c r="Y5" s="59"/>
      <c r="Z5" s="59"/>
      <c r="AA5" s="59"/>
      <c r="AB5" s="59"/>
    </row>
    <row r="6" spans="1:28" x14ac:dyDescent="0.25">
      <c r="B6" s="158" t="s">
        <v>39</v>
      </c>
      <c r="C6" s="159"/>
      <c r="D6" s="158" t="s">
        <v>40</v>
      </c>
      <c r="E6" s="159"/>
      <c r="F6" s="158" t="s">
        <v>41</v>
      </c>
      <c r="G6" s="159"/>
      <c r="H6" s="158" t="s">
        <v>42</v>
      </c>
      <c r="I6" s="159"/>
      <c r="J6" s="158" t="s">
        <v>43</v>
      </c>
      <c r="K6" s="159"/>
      <c r="L6" s="158" t="s">
        <v>44</v>
      </c>
      <c r="M6" s="1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</row>
    <row r="7" spans="1:28" x14ac:dyDescent="0.25">
      <c r="B7" s="55" t="s">
        <v>33</v>
      </c>
      <c r="C7" s="49">
        <v>-115</v>
      </c>
      <c r="D7" s="55" t="s">
        <v>33</v>
      </c>
      <c r="E7" s="49">
        <v>-135</v>
      </c>
      <c r="F7" s="55" t="s">
        <v>33</v>
      </c>
      <c r="G7" s="49">
        <v>-115</v>
      </c>
      <c r="H7" s="55" t="s">
        <v>33</v>
      </c>
      <c r="I7" s="49">
        <v>115</v>
      </c>
      <c r="J7" s="55" t="s">
        <v>33</v>
      </c>
      <c r="K7" s="49">
        <v>135</v>
      </c>
      <c r="L7" s="55" t="s">
        <v>33</v>
      </c>
      <c r="M7" s="49">
        <v>115</v>
      </c>
      <c r="O7" s="59"/>
      <c r="P7" s="47"/>
      <c r="Q7" s="58"/>
      <c r="R7" s="47"/>
      <c r="S7" s="58"/>
      <c r="T7" s="47"/>
      <c r="U7" s="58"/>
      <c r="V7" s="47"/>
      <c r="W7" s="58"/>
      <c r="X7" s="47"/>
      <c r="Y7" s="58"/>
      <c r="Z7" s="47"/>
      <c r="AA7" s="58"/>
      <c r="AB7" s="59"/>
    </row>
    <row r="8" spans="1:28" x14ac:dyDescent="0.25">
      <c r="B8" s="55" t="s">
        <v>34</v>
      </c>
      <c r="C8" s="49">
        <v>0</v>
      </c>
      <c r="D8" s="55" t="s">
        <v>34</v>
      </c>
      <c r="E8" s="49">
        <v>0</v>
      </c>
      <c r="F8" s="55" t="s">
        <v>34</v>
      </c>
      <c r="G8" s="49">
        <v>0</v>
      </c>
      <c r="H8" s="55" t="s">
        <v>34</v>
      </c>
      <c r="I8" s="49">
        <v>0</v>
      </c>
      <c r="J8" s="55" t="s">
        <v>34</v>
      </c>
      <c r="K8" s="49">
        <v>0</v>
      </c>
      <c r="L8" s="55" t="s">
        <v>34</v>
      </c>
      <c r="M8" s="49">
        <v>0</v>
      </c>
      <c r="O8" s="59"/>
      <c r="P8" s="47"/>
      <c r="Q8" s="58"/>
      <c r="R8" s="47"/>
      <c r="S8" s="58"/>
      <c r="T8" s="47"/>
      <c r="U8" s="58"/>
      <c r="V8" s="47"/>
      <c r="W8" s="58"/>
      <c r="X8" s="47"/>
      <c r="Y8" s="58"/>
      <c r="Z8" s="47"/>
      <c r="AA8" s="58"/>
      <c r="AB8" s="59"/>
    </row>
    <row r="9" spans="1:28" ht="15.75" thickBot="1" x14ac:dyDescent="0.3">
      <c r="B9" s="56" t="s">
        <v>36</v>
      </c>
      <c r="C9" s="50">
        <v>70</v>
      </c>
      <c r="D9" s="56" t="s">
        <v>36</v>
      </c>
      <c r="E9" s="50">
        <v>0</v>
      </c>
      <c r="F9" s="56" t="s">
        <v>36</v>
      </c>
      <c r="G9" s="50">
        <v>-70</v>
      </c>
      <c r="H9" s="56" t="s">
        <v>36</v>
      </c>
      <c r="I9" s="50">
        <v>70</v>
      </c>
      <c r="J9" s="56" t="s">
        <v>36</v>
      </c>
      <c r="K9" s="50">
        <v>0</v>
      </c>
      <c r="L9" s="56" t="s">
        <v>36</v>
      </c>
      <c r="M9" s="50">
        <v>-70</v>
      </c>
      <c r="O9" s="59"/>
      <c r="P9" s="47"/>
      <c r="Q9" s="58"/>
      <c r="R9" s="47"/>
      <c r="S9" s="58"/>
      <c r="T9" s="47"/>
      <c r="U9" s="58"/>
      <c r="V9" s="47"/>
      <c r="W9" s="58"/>
      <c r="X9" s="47"/>
      <c r="Y9" s="58"/>
      <c r="Z9" s="47"/>
      <c r="AA9" s="58"/>
      <c r="AB9" s="59"/>
    </row>
    <row r="10" spans="1:28" ht="15.75" thickBot="1" x14ac:dyDescent="0.3">
      <c r="G10" s="52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 x14ac:dyDescent="0.3">
      <c r="B11" s="155" t="s">
        <v>38</v>
      </c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7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</row>
    <row r="12" spans="1:28" x14ac:dyDescent="0.25">
      <c r="B12" s="148" t="s">
        <v>73</v>
      </c>
      <c r="C12" s="149"/>
      <c r="D12" s="149"/>
      <c r="E12" s="150">
        <f>TAN((2 - D2) * PI() / 4) * ABS(D3)</f>
        <v>3.9269916244421305E-2</v>
      </c>
      <c r="F12" s="151"/>
      <c r="G12" s="160" t="s">
        <v>46</v>
      </c>
      <c r="H12" s="161"/>
      <c r="I12" s="161"/>
      <c r="J12" s="161"/>
      <c r="K12" s="161"/>
      <c r="L12" s="161"/>
      <c r="M12" s="162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</row>
    <row r="13" spans="1:28" ht="15" customHeight="1" x14ac:dyDescent="0.25">
      <c r="B13" s="115" t="s">
        <v>61</v>
      </c>
      <c r="C13" s="116"/>
      <c r="D13" s="116"/>
      <c r="E13" s="136">
        <f>SQRT((E12-C7)^2+C9^2)</f>
        <v>134.66266603206154</v>
      </c>
      <c r="F13" s="137"/>
      <c r="G13" s="133" t="s">
        <v>68</v>
      </c>
      <c r="H13" s="134"/>
      <c r="I13" s="134"/>
      <c r="J13" s="134"/>
      <c r="K13" s="134"/>
      <c r="L13" s="134"/>
      <c r="M13" s="135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</row>
    <row r="14" spans="1:28" x14ac:dyDescent="0.25">
      <c r="B14" s="115" t="s">
        <v>62</v>
      </c>
      <c r="C14" s="116"/>
      <c r="D14" s="116"/>
      <c r="E14" s="136">
        <f>SQRT((E12-E7)^2+E9^2)</f>
        <v>135.03926991624442</v>
      </c>
      <c r="F14" s="137"/>
      <c r="G14" s="133"/>
      <c r="H14" s="134"/>
      <c r="I14" s="134"/>
      <c r="J14" s="134"/>
      <c r="K14" s="134"/>
      <c r="L14" s="134"/>
      <c r="M14" s="135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</row>
    <row r="15" spans="1:28" x14ac:dyDescent="0.25">
      <c r="B15" s="115" t="s">
        <v>63</v>
      </c>
      <c r="C15" s="116"/>
      <c r="D15" s="116"/>
      <c r="E15" s="136">
        <f>SQRT((E12-G7)^2+G9^2)</f>
        <v>134.66266603206154</v>
      </c>
      <c r="F15" s="137"/>
      <c r="G15" s="133"/>
      <c r="H15" s="134"/>
      <c r="I15" s="134"/>
      <c r="J15" s="134"/>
      <c r="K15" s="134"/>
      <c r="L15" s="134"/>
      <c r="M15" s="135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</row>
    <row r="16" spans="1:28" x14ac:dyDescent="0.25">
      <c r="B16" s="115" t="s">
        <v>64</v>
      </c>
      <c r="C16" s="116"/>
      <c r="D16" s="116"/>
      <c r="E16" s="136">
        <f>SQRT((E12-I7)^2+I9^2)</f>
        <v>134.59557742136295</v>
      </c>
      <c r="F16" s="137"/>
      <c r="G16" s="133"/>
      <c r="H16" s="134"/>
      <c r="I16" s="134"/>
      <c r="J16" s="134"/>
      <c r="K16" s="134"/>
      <c r="L16" s="134"/>
      <c r="M16" s="135"/>
    </row>
    <row r="17" spans="2:20" x14ac:dyDescent="0.25">
      <c r="B17" s="115" t="s">
        <v>65</v>
      </c>
      <c r="C17" s="116"/>
      <c r="D17" s="116"/>
      <c r="E17" s="136">
        <f>SQRT((E12-K7)^2+K9^2)</f>
        <v>134.96073008375558</v>
      </c>
      <c r="F17" s="137"/>
      <c r="G17" s="133"/>
      <c r="H17" s="134"/>
      <c r="I17" s="134"/>
      <c r="J17" s="134"/>
      <c r="K17" s="134"/>
      <c r="L17" s="134"/>
      <c r="M17" s="135"/>
    </row>
    <row r="18" spans="2:20" x14ac:dyDescent="0.25">
      <c r="B18" s="115" t="s">
        <v>66</v>
      </c>
      <c r="C18" s="116"/>
      <c r="D18" s="116"/>
      <c r="E18" s="136">
        <f>SQRT((E12-M7)^2+M9^2)</f>
        <v>134.59557742136295</v>
      </c>
      <c r="F18" s="137"/>
      <c r="G18" s="133"/>
      <c r="H18" s="134"/>
      <c r="I18" s="134"/>
      <c r="J18" s="134"/>
      <c r="K18" s="134"/>
      <c r="L18" s="134"/>
      <c r="M18" s="135"/>
    </row>
    <row r="19" spans="2:20" x14ac:dyDescent="0.25">
      <c r="B19" s="115" t="s">
        <v>54</v>
      </c>
      <c r="C19" s="116"/>
      <c r="D19" s="116"/>
      <c r="E19" s="48">
        <f>ATAN2(-(E12-C7), C9)</f>
        <v>2.5949554380450901</v>
      </c>
      <c r="F19" s="57">
        <f t="shared" ref="F19:F24" si="0">DEGREES(E19)</f>
        <v>148.67999462450544</v>
      </c>
      <c r="G19" s="105" t="s">
        <v>70</v>
      </c>
      <c r="H19" s="106"/>
      <c r="I19" s="106"/>
      <c r="J19" s="106"/>
      <c r="K19" s="106"/>
      <c r="L19" s="106"/>
      <c r="M19" s="107"/>
    </row>
    <row r="20" spans="2:20" x14ac:dyDescent="0.25">
      <c r="B20" s="115" t="s">
        <v>55</v>
      </c>
      <c r="C20" s="116"/>
      <c r="D20" s="116"/>
      <c r="E20" s="48">
        <f>ATAN2(-(E12-E7), E9)</f>
        <v>3.1415926535897931</v>
      </c>
      <c r="F20" s="57">
        <f t="shared" si="0"/>
        <v>180</v>
      </c>
      <c r="G20" s="108"/>
      <c r="H20" s="109"/>
      <c r="I20" s="109"/>
      <c r="J20" s="109"/>
      <c r="K20" s="109"/>
      <c r="L20" s="109"/>
      <c r="M20" s="110"/>
    </row>
    <row r="21" spans="2:20" x14ac:dyDescent="0.25">
      <c r="B21" s="115" t="s">
        <v>56</v>
      </c>
      <c r="C21" s="116"/>
      <c r="D21" s="116"/>
      <c r="E21" s="48">
        <f>ATAN2(-(E12-G7), G9)</f>
        <v>-2.5949554380450901</v>
      </c>
      <c r="F21" s="57">
        <f t="shared" si="0"/>
        <v>-148.67999462450544</v>
      </c>
      <c r="G21" s="108"/>
      <c r="H21" s="109"/>
      <c r="I21" s="109"/>
      <c r="J21" s="109"/>
      <c r="K21" s="109"/>
      <c r="L21" s="109"/>
      <c r="M21" s="110"/>
    </row>
    <row r="22" spans="2:20" x14ac:dyDescent="0.25">
      <c r="B22" s="115" t="s">
        <v>57</v>
      </c>
      <c r="C22" s="116"/>
      <c r="D22" s="116"/>
      <c r="E22" s="48">
        <f>ATAN2(-(E12-I7), I9)</f>
        <v>0.5469405418108203</v>
      </c>
      <c r="F22" s="57">
        <f t="shared" si="0"/>
        <v>31.337384690358544</v>
      </c>
      <c r="G22" s="108"/>
      <c r="H22" s="109"/>
      <c r="I22" s="109"/>
      <c r="J22" s="109"/>
      <c r="K22" s="109"/>
      <c r="L22" s="109"/>
      <c r="M22" s="110"/>
    </row>
    <row r="23" spans="2:20" x14ac:dyDescent="0.25">
      <c r="B23" s="115" t="s">
        <v>58</v>
      </c>
      <c r="C23" s="116"/>
      <c r="D23" s="116"/>
      <c r="E23" s="48">
        <f>ATAN2(-(E12-K7), K9)</f>
        <v>0</v>
      </c>
      <c r="F23" s="57">
        <f t="shared" si="0"/>
        <v>0</v>
      </c>
      <c r="G23" s="108"/>
      <c r="H23" s="109"/>
      <c r="I23" s="109"/>
      <c r="J23" s="109"/>
      <c r="K23" s="109"/>
      <c r="L23" s="109"/>
      <c r="M23" s="110"/>
    </row>
    <row r="24" spans="2:20" x14ac:dyDescent="0.25">
      <c r="B24" s="115" t="s">
        <v>59</v>
      </c>
      <c r="C24" s="116"/>
      <c r="D24" s="116"/>
      <c r="E24" s="48">
        <f>ATAN2(-(E12-M7), M9)</f>
        <v>-0.5469405418108203</v>
      </c>
      <c r="F24" s="57">
        <f t="shared" si="0"/>
        <v>-31.337384690358544</v>
      </c>
      <c r="G24" s="111"/>
      <c r="H24" s="112"/>
      <c r="I24" s="112"/>
      <c r="J24" s="112"/>
      <c r="K24" s="112"/>
      <c r="L24" s="112"/>
      <c r="M24" s="113"/>
    </row>
    <row r="25" spans="2:20" x14ac:dyDescent="0.25">
      <c r="B25" s="138" t="s">
        <v>74</v>
      </c>
      <c r="C25" s="139"/>
      <c r="D25" s="139"/>
      <c r="E25" s="123">
        <f>MAX(E13:F18)</f>
        <v>135.03926991624442</v>
      </c>
      <c r="F25" s="124"/>
      <c r="G25" s="125"/>
      <c r="H25" s="126"/>
      <c r="I25" s="126"/>
      <c r="J25" s="126"/>
      <c r="K25" s="126"/>
      <c r="L25" s="126"/>
      <c r="M25" s="127"/>
    </row>
    <row r="26" spans="2:20" ht="15.75" thickBot="1" x14ac:dyDescent="0.3">
      <c r="B26" s="128" t="s">
        <v>75</v>
      </c>
      <c r="C26" s="129"/>
      <c r="D26" s="129"/>
      <c r="E26" s="74">
        <f>SIGN(E12) * D3 / E25</f>
        <v>0.37026266530477814</v>
      </c>
      <c r="F26" s="75">
        <f>ABS(E26)</f>
        <v>0.37026266530477814</v>
      </c>
      <c r="G26" s="130" t="s">
        <v>47</v>
      </c>
      <c r="H26" s="131"/>
      <c r="I26" s="131"/>
      <c r="J26" s="131"/>
      <c r="K26" s="131"/>
      <c r="L26" s="131"/>
      <c r="M26" s="132"/>
    </row>
    <row r="29" spans="2:20" ht="15.75" thickBot="1" x14ac:dyDescent="0.3">
      <c r="B29" s="114" t="s">
        <v>69</v>
      </c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</row>
    <row r="30" spans="2:20" x14ac:dyDescent="0.25">
      <c r="B30" s="103" t="s">
        <v>67</v>
      </c>
      <c r="C30" s="120" t="s">
        <v>48</v>
      </c>
      <c r="D30" s="121"/>
      <c r="E30" s="122"/>
      <c r="F30" s="117" t="s">
        <v>49</v>
      </c>
      <c r="G30" s="118"/>
      <c r="H30" s="119"/>
      <c r="I30" s="120" t="s">
        <v>50</v>
      </c>
      <c r="J30" s="121"/>
      <c r="K30" s="122"/>
      <c r="L30" s="117" t="s">
        <v>51</v>
      </c>
      <c r="M30" s="118"/>
      <c r="N30" s="119"/>
      <c r="O30" s="120" t="s">
        <v>52</v>
      </c>
      <c r="P30" s="121"/>
      <c r="Q30" s="122"/>
      <c r="R30" s="117" t="s">
        <v>53</v>
      </c>
      <c r="S30" s="118"/>
      <c r="T30" s="119"/>
    </row>
    <row r="31" spans="2:20" ht="15.75" thickBot="1" x14ac:dyDescent="0.3">
      <c r="B31" s="104"/>
      <c r="C31" s="62" t="s">
        <v>60</v>
      </c>
      <c r="D31" s="63" t="s">
        <v>32</v>
      </c>
      <c r="E31" s="64" t="s">
        <v>35</v>
      </c>
      <c r="F31" s="68" t="s">
        <v>60</v>
      </c>
      <c r="G31" s="69" t="s">
        <v>32</v>
      </c>
      <c r="H31" s="70" t="s">
        <v>35</v>
      </c>
      <c r="I31" s="62" t="s">
        <v>60</v>
      </c>
      <c r="J31" s="63" t="s">
        <v>32</v>
      </c>
      <c r="K31" s="64" t="s">
        <v>35</v>
      </c>
      <c r="L31" s="68" t="s">
        <v>60</v>
      </c>
      <c r="M31" s="69" t="s">
        <v>32</v>
      </c>
      <c r="N31" s="70" t="s">
        <v>35</v>
      </c>
      <c r="O31" s="62" t="s">
        <v>60</v>
      </c>
      <c r="P31" s="63" t="s">
        <v>32</v>
      </c>
      <c r="Q31" s="64" t="s">
        <v>35</v>
      </c>
      <c r="R31" s="68" t="s">
        <v>60</v>
      </c>
      <c r="S31" s="69" t="s">
        <v>32</v>
      </c>
      <c r="T31" s="70" t="s">
        <v>35</v>
      </c>
    </row>
    <row r="32" spans="2:20" x14ac:dyDescent="0.25">
      <c r="B32" s="80">
        <v>0</v>
      </c>
      <c r="C32" s="81">
        <f>($B32-0.5) * $E$26 + $E$19</f>
        <v>2.4098241053927012</v>
      </c>
      <c r="D32" s="82">
        <f>$E$12+$E$13*COS(C32)</f>
        <v>-100.14892496555947</v>
      </c>
      <c r="E32" s="83">
        <f>$E$13*SIN(C32)</f>
        <v>89.979771222137614</v>
      </c>
      <c r="F32" s="84">
        <f>($B32 - 0.5) * $E$26 + $E$20</f>
        <v>2.9564613209374042</v>
      </c>
      <c r="G32" s="85">
        <f>$E$12+$E$14*COS(F32)</f>
        <v>-132.69246029453819</v>
      </c>
      <c r="H32" s="86">
        <f>$E$14*SIN(F32)</f>
        <v>24.857437815759159</v>
      </c>
      <c r="I32" s="81">
        <f>($B32 - 0.5) * $E$26 + $E$21</f>
        <v>-2.780086770697479</v>
      </c>
      <c r="J32" s="82">
        <f>$E$12+$E$15*COS(I32)</f>
        <v>-125.91951226482961</v>
      </c>
      <c r="K32" s="83">
        <f>$E$15*SIN(I32)</f>
        <v>-47.62792053326794</v>
      </c>
      <c r="L32" s="84">
        <f xml:space="preserve"> ($B32 - 0.5) * $E$26 + $E$22</f>
        <v>0.36180920915843123</v>
      </c>
      <c r="M32" s="85">
        <f>$E$12+$E$16*COS(L32)</f>
        <v>125.92085434689243</v>
      </c>
      <c r="N32" s="86">
        <f>$E$16*SIN(L32)</f>
        <v>47.642377801908076</v>
      </c>
      <c r="O32" s="81">
        <f>($B32 - 0.5) * $E$26 + $E$23</f>
        <v>-0.18513133265238907</v>
      </c>
      <c r="P32" s="82">
        <f>$E$12+$E$17*COS(O32)</f>
        <v>132.69380237660101</v>
      </c>
      <c r="Q32" s="83">
        <f>$E$17*SIN(O32)</f>
        <v>-24.842980547118994</v>
      </c>
      <c r="R32" s="84">
        <f>($B32 - 0.5) * $E$26 + $E$24</f>
        <v>-0.73207187446320932</v>
      </c>
      <c r="S32" s="85">
        <f>$E$12+$E$18*COS(R32)</f>
        <v>100.15026704762228</v>
      </c>
      <c r="T32" s="86">
        <f>$E$18*SIN(R32)</f>
        <v>-89.965313953497443</v>
      </c>
    </row>
    <row r="33" spans="2:20" x14ac:dyDescent="0.25">
      <c r="B33" s="61">
        <v>0.05</v>
      </c>
      <c r="C33" s="65">
        <f t="shared" ref="C33:C52" si="1">($B33-0.5) * $E$26 + $E$19</f>
        <v>2.42833723865794</v>
      </c>
      <c r="D33" s="66">
        <f t="shared" ref="D33:D52" si="2">$E$12+$E$13*COS(C33)</f>
        <v>-101.79746874221689</v>
      </c>
      <c r="E33" s="67">
        <f t="shared" ref="E33:E52" si="3">$E$13*SIN(C33)</f>
        <v>88.109660550196153</v>
      </c>
      <c r="F33" s="71">
        <f t="shared" ref="F33:F52" si="4">($B33 - 0.5) * $E$26 + $E$20</f>
        <v>2.9749744542026431</v>
      </c>
      <c r="G33" s="72">
        <f t="shared" ref="G33:G52" si="5">$E$12+$E$14*COS(F33)</f>
        <v>-133.12987773832018</v>
      </c>
      <c r="H33" s="73">
        <f t="shared" ref="H33:H52" si="6">$E$14*SIN(F33)</f>
        <v>22.396038320852366</v>
      </c>
      <c r="I33" s="65">
        <f t="shared" ref="I33:I52" si="7">($B33 - 0.5) * $E$26 + $E$21</f>
        <v>-2.7615736374322402</v>
      </c>
      <c r="J33" s="66">
        <f t="shared" ref="J33:J52" si="8">$E$12+$E$15*COS(I33)</f>
        <v>-125.01623589686776</v>
      </c>
      <c r="K33" s="67">
        <f t="shared" ref="K33:K52" si="9">$E$15*SIN(I33)</f>
        <v>-49.951517381248848</v>
      </c>
      <c r="L33" s="71">
        <f t="shared" ref="L33:L52" si="10" xml:space="preserve"> ($B33 - 0.5) * $E$26 + $E$22</f>
        <v>0.38032234242367013</v>
      </c>
      <c r="M33" s="72">
        <f t="shared" ref="M33:M52" si="11">$E$12+$E$16*COS(L33)</f>
        <v>125.01732357372842</v>
      </c>
      <c r="N33" s="73">
        <f t="shared" ref="N33:N52" si="12">$E$16*SIN(L33)</f>
        <v>49.964543081841143</v>
      </c>
      <c r="O33" s="65">
        <f t="shared" ref="O33:O52" si="13">($B33 - 0.5) * $E$26 + $E$23</f>
        <v>-0.16661819938715017</v>
      </c>
      <c r="P33" s="66">
        <f t="shared" ref="P33:P52" si="14">$E$12+$E$17*COS(O33)</f>
        <v>133.13096541518081</v>
      </c>
      <c r="Q33" s="67">
        <f t="shared" ref="Q33:Q52" si="15">$E$17*SIN(O33)</f>
        <v>-22.383012620260054</v>
      </c>
      <c r="R33" s="71">
        <f t="shared" ref="R33:R52" si="16">($B33 - 0.5) * $E$26 + $E$24</f>
        <v>-0.71355874119797047</v>
      </c>
      <c r="S33" s="72">
        <f t="shared" ref="S33:S52" si="17">$E$12+$E$18*COS(R33)</f>
        <v>101.79855641907753</v>
      </c>
      <c r="T33" s="73">
        <f t="shared" ref="T33:T52" si="18">$E$18*SIN(R33)</f>
        <v>-88.096634849603845</v>
      </c>
    </row>
    <row r="34" spans="2:20" x14ac:dyDescent="0.25">
      <c r="B34" s="60">
        <v>0.1</v>
      </c>
      <c r="C34" s="65">
        <f t="shared" si="1"/>
        <v>2.4468503719231789</v>
      </c>
      <c r="D34" s="66">
        <f t="shared" si="2"/>
        <v>-103.41111038876282</v>
      </c>
      <c r="E34" s="67">
        <f t="shared" si="3"/>
        <v>86.209352379030832</v>
      </c>
      <c r="F34" s="71">
        <f t="shared" si="4"/>
        <v>2.9934875874678819</v>
      </c>
      <c r="G34" s="72">
        <f t="shared" si="5"/>
        <v>-133.52165461093401</v>
      </c>
      <c r="H34" s="73">
        <f t="shared" si="6"/>
        <v>19.926963114274585</v>
      </c>
      <c r="I34" s="65">
        <f t="shared" si="7"/>
        <v>-2.7430605041670013</v>
      </c>
      <c r="J34" s="66">
        <f t="shared" si="8"/>
        <v>-124.07009971630248</v>
      </c>
      <c r="K34" s="67">
        <f t="shared" si="9"/>
        <v>-52.257994529778742</v>
      </c>
      <c r="L34" s="71">
        <f t="shared" si="10"/>
        <v>0.39883547568890904</v>
      </c>
      <c r="M34" s="72">
        <f t="shared" si="11"/>
        <v>124.07095953285281</v>
      </c>
      <c r="N34" s="73">
        <f t="shared" si="12"/>
        <v>52.26958419807282</v>
      </c>
      <c r="O34" s="65">
        <f t="shared" si="13"/>
        <v>-0.14810506612191127</v>
      </c>
      <c r="P34" s="66">
        <f t="shared" si="14"/>
        <v>133.52251442748434</v>
      </c>
      <c r="Q34" s="67">
        <f t="shared" si="15"/>
        <v>-19.915373445980478</v>
      </c>
      <c r="R34" s="71">
        <f t="shared" si="16"/>
        <v>-0.69504560793273162</v>
      </c>
      <c r="S34" s="72">
        <f t="shared" si="17"/>
        <v>103.41197020531315</v>
      </c>
      <c r="T34" s="73">
        <f t="shared" si="18"/>
        <v>-86.197762710736725</v>
      </c>
    </row>
    <row r="35" spans="2:20" x14ac:dyDescent="0.25">
      <c r="B35" s="61">
        <v>0.15</v>
      </c>
      <c r="C35" s="65">
        <f t="shared" si="1"/>
        <v>2.4653635051884177</v>
      </c>
      <c r="D35" s="66">
        <f t="shared" si="2"/>
        <v>-104.98929686774301</v>
      </c>
      <c r="E35" s="67">
        <f t="shared" si="3"/>
        <v>84.279497994257369</v>
      </c>
      <c r="F35" s="71">
        <f t="shared" si="4"/>
        <v>3.0120007207331208</v>
      </c>
      <c r="G35" s="72">
        <f t="shared" si="5"/>
        <v>-133.86765664013609</v>
      </c>
      <c r="H35" s="73">
        <f t="shared" si="6"/>
        <v>17.451058413071362</v>
      </c>
      <c r="I35" s="65">
        <f t="shared" si="7"/>
        <v>-2.7245473709017625</v>
      </c>
      <c r="J35" s="66">
        <f t="shared" si="8"/>
        <v>-123.08142798889988</v>
      </c>
      <c r="K35" s="67">
        <f t="shared" si="9"/>
        <v>-54.546561488445221</v>
      </c>
      <c r="L35" s="71">
        <f t="shared" si="10"/>
        <v>0.41734860895414794</v>
      </c>
      <c r="M35" s="72">
        <f t="shared" si="11"/>
        <v>123.08208656812548</v>
      </c>
      <c r="N35" s="73">
        <f t="shared" si="12"/>
        <v>54.556711152356797</v>
      </c>
      <c r="O35" s="65">
        <f t="shared" si="13"/>
        <v>-0.12959193285667234</v>
      </c>
      <c r="P35" s="66">
        <f t="shared" si="14"/>
        <v>133.86831521936168</v>
      </c>
      <c r="Q35" s="67">
        <f t="shared" si="15"/>
        <v>-17.440908749159757</v>
      </c>
      <c r="R35" s="71">
        <f t="shared" si="16"/>
        <v>-0.67653247466749267</v>
      </c>
      <c r="S35" s="72">
        <f t="shared" si="17"/>
        <v>104.98995544696859</v>
      </c>
      <c r="T35" s="73">
        <f t="shared" si="18"/>
        <v>-84.269348330345778</v>
      </c>
    </row>
    <row r="36" spans="2:20" x14ac:dyDescent="0.25">
      <c r="B36" s="60">
        <v>0.2</v>
      </c>
      <c r="C36" s="65">
        <f t="shared" si="1"/>
        <v>2.4838766384536566</v>
      </c>
      <c r="D36" s="66">
        <f t="shared" si="2"/>
        <v>-106.53148729312204</v>
      </c>
      <c r="E36" s="67">
        <f t="shared" si="3"/>
        <v>82.32075880775642</v>
      </c>
      <c r="F36" s="71">
        <f t="shared" si="4"/>
        <v>3.0305138539983596</v>
      </c>
      <c r="G36" s="72">
        <f t="shared" si="5"/>
        <v>-134.16776524192616</v>
      </c>
      <c r="H36" s="73">
        <f t="shared" si="6"/>
        <v>14.969172774935751</v>
      </c>
      <c r="I36" s="65">
        <f t="shared" si="7"/>
        <v>-2.7060342376365236</v>
      </c>
      <c r="J36" s="66">
        <f t="shared" si="8"/>
        <v>-122.05055955847723</v>
      </c>
      <c r="K36" s="67">
        <f t="shared" si="9"/>
        <v>-56.816433905129294</v>
      </c>
      <c r="L36" s="71">
        <f t="shared" si="10"/>
        <v>0.43586174221938689</v>
      </c>
      <c r="M36" s="72">
        <f t="shared" si="11"/>
        <v>122.05104359233296</v>
      </c>
      <c r="N36" s="73">
        <f t="shared" si="12"/>
        <v>56.825140086101463</v>
      </c>
      <c r="O36" s="65">
        <f t="shared" si="13"/>
        <v>-0.11107879959143344</v>
      </c>
      <c r="P36" s="66">
        <f t="shared" si="14"/>
        <v>134.1682492757819</v>
      </c>
      <c r="Q36" s="67">
        <f t="shared" si="15"/>
        <v>-14.960466593963559</v>
      </c>
      <c r="R36" s="71">
        <f t="shared" si="16"/>
        <v>-0.65801934140225371</v>
      </c>
      <c r="S36" s="72">
        <f t="shared" si="17"/>
        <v>106.53197132697777</v>
      </c>
      <c r="T36" s="73">
        <f t="shared" si="18"/>
        <v>-82.312052626784237</v>
      </c>
    </row>
    <row r="37" spans="2:20" x14ac:dyDescent="0.25">
      <c r="B37" s="61">
        <v>0.25</v>
      </c>
      <c r="C37" s="65">
        <f t="shared" si="1"/>
        <v>2.5023897717188954</v>
      </c>
      <c r="D37" s="66">
        <f t="shared" si="2"/>
        <v>-108.03715311565934</v>
      </c>
      <c r="E37" s="67">
        <f t="shared" si="3"/>
        <v>80.33380613099024</v>
      </c>
      <c r="F37" s="71">
        <f t="shared" si="4"/>
        <v>3.0490269872635984</v>
      </c>
      <c r="G37" s="72">
        <f t="shared" si="5"/>
        <v>-134.42187756118923</v>
      </c>
      <c r="H37" s="73">
        <f t="shared" si="6"/>
        <v>12.482156807385293</v>
      </c>
      <c r="I37" s="65">
        <f t="shared" si="7"/>
        <v>-2.6875211043712848</v>
      </c>
      <c r="J37" s="66">
        <f t="shared" si="8"/>
        <v>-120.97784773077237</v>
      </c>
      <c r="K37" s="67">
        <f t="shared" si="9"/>
        <v>-59.066833834823406</v>
      </c>
      <c r="L37" s="71">
        <f t="shared" si="10"/>
        <v>0.45437487548462574</v>
      </c>
      <c r="M37" s="72">
        <f t="shared" si="11"/>
        <v>120.9781839710344</v>
      </c>
      <c r="N37" s="73">
        <f t="shared" si="12"/>
        <v>59.074093549018841</v>
      </c>
      <c r="O37" s="65">
        <f t="shared" si="13"/>
        <v>-9.2565666326194534E-2</v>
      </c>
      <c r="P37" s="66">
        <f t="shared" si="14"/>
        <v>134.42221380145125</v>
      </c>
      <c r="Q37" s="67">
        <f t="shared" si="15"/>
        <v>-12.474897093189828</v>
      </c>
      <c r="R37" s="71">
        <f t="shared" si="16"/>
        <v>-0.63950620813701486</v>
      </c>
      <c r="S37" s="72">
        <f t="shared" si="17"/>
        <v>108.03748935592138</v>
      </c>
      <c r="T37" s="73">
        <f t="shared" si="18"/>
        <v>-80.326546416794784</v>
      </c>
    </row>
    <row r="38" spans="2:20" x14ac:dyDescent="0.25">
      <c r="B38" s="60">
        <v>0.3</v>
      </c>
      <c r="C38" s="65">
        <f t="shared" si="1"/>
        <v>2.5209029049841343</v>
      </c>
      <c r="D38" s="66">
        <f t="shared" si="2"/>
        <v>-109.50577830405679</v>
      </c>
      <c r="E38" s="67">
        <f t="shared" si="3"/>
        <v>78.319320944926616</v>
      </c>
      <c r="F38" s="71">
        <f t="shared" si="4"/>
        <v>3.0675401205288373</v>
      </c>
      <c r="G38" s="72">
        <f t="shared" si="5"/>
        <v>-134.62990650694664</v>
      </c>
      <c r="H38" s="73">
        <f t="shared" si="6"/>
        <v>9.9908628762364113</v>
      </c>
      <c r="I38" s="65">
        <f t="shared" si="7"/>
        <v>-2.6690079711060459</v>
      </c>
      <c r="J38" s="66">
        <f t="shared" si="8"/>
        <v>-119.86366015235637</v>
      </c>
      <c r="K38" s="67">
        <f t="shared" si="9"/>
        <v>-61.296990006253715</v>
      </c>
      <c r="L38" s="71">
        <f t="shared" si="10"/>
        <v>0.4728880087498647</v>
      </c>
      <c r="M38" s="72">
        <f t="shared" si="11"/>
        <v>119.86387540145367</v>
      </c>
      <c r="N38" s="73">
        <f t="shared" si="12"/>
        <v>61.302800765577338</v>
      </c>
      <c r="O38" s="65">
        <f t="shared" si="13"/>
        <v>-7.4052533060955633E-2</v>
      </c>
      <c r="P38" s="66">
        <f t="shared" si="14"/>
        <v>134.63012175604393</v>
      </c>
      <c r="Q38" s="67">
        <f t="shared" si="15"/>
        <v>-9.9850521169127635</v>
      </c>
      <c r="R38" s="71">
        <f t="shared" si="16"/>
        <v>-0.62099307487177591</v>
      </c>
      <c r="S38" s="72">
        <f t="shared" si="17"/>
        <v>109.50599355315411</v>
      </c>
      <c r="T38" s="73">
        <f t="shared" si="18"/>
        <v>-78.313510185602979</v>
      </c>
    </row>
    <row r="39" spans="2:20" x14ac:dyDescent="0.25">
      <c r="B39" s="61">
        <v>0.35</v>
      </c>
      <c r="C39" s="65">
        <f t="shared" si="1"/>
        <v>2.5394160382493736</v>
      </c>
      <c r="D39" s="66">
        <f t="shared" si="2"/>
        <v>-110.93685952181639</v>
      </c>
      <c r="E39" s="67">
        <f t="shared" si="3"/>
        <v>76.277993666648783</v>
      </c>
      <c r="F39" s="71">
        <f t="shared" si="4"/>
        <v>3.0860532537940766</v>
      </c>
      <c r="G39" s="72">
        <f t="shared" si="5"/>
        <v>-134.79178078220454</v>
      </c>
      <c r="H39" s="73">
        <f t="shared" si="6"/>
        <v>7.4961448134761683</v>
      </c>
      <c r="I39" s="65">
        <f t="shared" si="7"/>
        <v>-2.6504948378408066</v>
      </c>
      <c r="J39" s="66">
        <f t="shared" si="8"/>
        <v>-118.70837868463155</v>
      </c>
      <c r="K39" s="67">
        <f t="shared" si="9"/>
        <v>-63.506138086215103</v>
      </c>
      <c r="L39" s="71">
        <f t="shared" si="10"/>
        <v>0.49140114201510354</v>
      </c>
      <c r="M39" s="72">
        <f t="shared" si="11"/>
        <v>118.70849978645992</v>
      </c>
      <c r="N39" s="73">
        <f t="shared" si="12"/>
        <v>63.510497899166715</v>
      </c>
      <c r="O39" s="65">
        <f t="shared" si="13"/>
        <v>-5.5539399795716732E-2</v>
      </c>
      <c r="P39" s="66">
        <f t="shared" si="14"/>
        <v>134.79190188403288</v>
      </c>
      <c r="Q39" s="67">
        <f t="shared" si="15"/>
        <v>-7.4917850005245246</v>
      </c>
      <c r="R39" s="71">
        <f t="shared" si="16"/>
        <v>-0.60247994160653706</v>
      </c>
      <c r="S39" s="72">
        <f t="shared" si="17"/>
        <v>110.93698062364474</v>
      </c>
      <c r="T39" s="73">
        <f t="shared" si="18"/>
        <v>-76.273633853697149</v>
      </c>
    </row>
    <row r="40" spans="2:20" x14ac:dyDescent="0.25">
      <c r="B40" s="60">
        <v>0.4</v>
      </c>
      <c r="C40" s="65">
        <f t="shared" si="1"/>
        <v>2.5579291715146124</v>
      </c>
      <c r="D40" s="66">
        <f t="shared" si="2"/>
        <v>-112.32990629974668</v>
      </c>
      <c r="E40" s="67">
        <f t="shared" si="3"/>
        <v>74.210523912731404</v>
      </c>
      <c r="F40" s="71">
        <f t="shared" si="4"/>
        <v>3.1045663870593154</v>
      </c>
      <c r="G40" s="72">
        <f t="shared" si="5"/>
        <v>-134.90744490838915</v>
      </c>
      <c r="H40" s="73">
        <f t="shared" si="6"/>
        <v>4.9988576246318139</v>
      </c>
      <c r="I40" s="65">
        <f t="shared" si="7"/>
        <v>-2.6319817045755678</v>
      </c>
      <c r="J40" s="66">
        <f t="shared" si="8"/>
        <v>-117.51239927295748</v>
      </c>
      <c r="K40" s="67">
        <f t="shared" si="9"/>
        <v>-65.693520941528021</v>
      </c>
      <c r="L40" s="71">
        <f t="shared" si="10"/>
        <v>0.5099142752803425</v>
      </c>
      <c r="M40" s="72">
        <f t="shared" si="11"/>
        <v>117.51245310367943</v>
      </c>
      <c r="N40" s="73">
        <f t="shared" si="12"/>
        <v>65.696428313885079</v>
      </c>
      <c r="O40" s="65">
        <f t="shared" si="13"/>
        <v>-3.7026266530477803E-2</v>
      </c>
      <c r="P40" s="66">
        <f t="shared" si="14"/>
        <v>134.90749873911111</v>
      </c>
      <c r="Q40" s="67">
        <f t="shared" si="15"/>
        <v>-4.9959502522747368</v>
      </c>
      <c r="R40" s="71">
        <f t="shared" si="16"/>
        <v>-0.5839668083412981</v>
      </c>
      <c r="S40" s="72">
        <f t="shared" si="17"/>
        <v>112.32996013046863</v>
      </c>
      <c r="T40" s="73">
        <f t="shared" si="18"/>
        <v>-74.207616540374318</v>
      </c>
    </row>
    <row r="41" spans="2:20" x14ac:dyDescent="0.25">
      <c r="B41" s="61">
        <v>0.45</v>
      </c>
      <c r="C41" s="65">
        <f t="shared" si="1"/>
        <v>2.5764423047798513</v>
      </c>
      <c r="D41" s="66">
        <f t="shared" si="2"/>
        <v>-113.68444120405972</v>
      </c>
      <c r="E41" s="67">
        <f t="shared" si="3"/>
        <v>72.117620259463308</v>
      </c>
      <c r="F41" s="71">
        <f t="shared" si="4"/>
        <v>3.1230795203245543</v>
      </c>
      <c r="G41" s="72">
        <f t="shared" si="5"/>
        <v>-134.97685924436081</v>
      </c>
      <c r="H41" s="73">
        <f t="shared" si="6"/>
        <v>2.4998571957375324</v>
      </c>
      <c r="I41" s="65">
        <f t="shared" si="7"/>
        <v>-2.6134685713103289</v>
      </c>
      <c r="J41" s="66">
        <f t="shared" si="8"/>
        <v>-116.27613181094999</v>
      </c>
      <c r="K41" s="67">
        <f t="shared" si="9"/>
        <v>-67.858388898528361</v>
      </c>
      <c r="L41" s="71">
        <f t="shared" si="10"/>
        <v>0.52842740854558135</v>
      </c>
      <c r="M41" s="72">
        <f t="shared" si="11"/>
        <v>116.27614526978367</v>
      </c>
      <c r="N41" s="73">
        <f t="shared" si="12"/>
        <v>67.859842833857826</v>
      </c>
      <c r="O41" s="65">
        <f t="shared" si="13"/>
        <v>-1.8513133265238901E-2</v>
      </c>
      <c r="P41" s="66">
        <f t="shared" si="14"/>
        <v>134.97687270319446</v>
      </c>
      <c r="Q41" s="67">
        <f t="shared" si="15"/>
        <v>-2.4984032604080371</v>
      </c>
      <c r="R41" s="71">
        <f t="shared" si="16"/>
        <v>-0.56545367507605926</v>
      </c>
      <c r="S41" s="72">
        <f t="shared" si="17"/>
        <v>113.68445466289337</v>
      </c>
      <c r="T41" s="73">
        <f t="shared" si="18"/>
        <v>-72.116166324133829</v>
      </c>
    </row>
    <row r="42" spans="2:20" x14ac:dyDescent="0.25">
      <c r="B42" s="78">
        <v>0.5</v>
      </c>
      <c r="C42" s="79">
        <f t="shared" si="1"/>
        <v>2.5949554380450901</v>
      </c>
      <c r="D42" s="76">
        <f t="shared" si="2"/>
        <v>-115</v>
      </c>
      <c r="E42" s="77">
        <f t="shared" si="3"/>
        <v>70.000000000000014</v>
      </c>
      <c r="F42" s="79">
        <f t="shared" si="4"/>
        <v>3.1415926535897931</v>
      </c>
      <c r="G42" s="76">
        <f t="shared" si="5"/>
        <v>-135</v>
      </c>
      <c r="H42" s="77">
        <f t="shared" si="6"/>
        <v>1.6544315288987496E-14</v>
      </c>
      <c r="I42" s="79">
        <f t="shared" si="7"/>
        <v>-2.5949554380450901</v>
      </c>
      <c r="J42" s="76">
        <f t="shared" si="8"/>
        <v>-115</v>
      </c>
      <c r="K42" s="77">
        <f t="shared" si="9"/>
        <v>-70.000000000000014</v>
      </c>
      <c r="L42" s="79">
        <f t="shared" si="10"/>
        <v>0.5469405418108203</v>
      </c>
      <c r="M42" s="76">
        <f t="shared" si="11"/>
        <v>115</v>
      </c>
      <c r="N42" s="77">
        <f t="shared" si="12"/>
        <v>70.000000000000014</v>
      </c>
      <c r="O42" s="79">
        <f t="shared" si="13"/>
        <v>0</v>
      </c>
      <c r="P42" s="76">
        <f t="shared" si="14"/>
        <v>135</v>
      </c>
      <c r="Q42" s="77">
        <f t="shared" si="15"/>
        <v>0</v>
      </c>
      <c r="R42" s="79">
        <f t="shared" si="16"/>
        <v>-0.5469405418108203</v>
      </c>
      <c r="S42" s="76">
        <f t="shared" si="17"/>
        <v>115</v>
      </c>
      <c r="T42" s="77">
        <f t="shared" si="18"/>
        <v>-70.000000000000014</v>
      </c>
    </row>
    <row r="43" spans="2:20" x14ac:dyDescent="0.25">
      <c r="B43" s="61">
        <v>0.55000000000000004</v>
      </c>
      <c r="C43" s="65">
        <f t="shared" si="1"/>
        <v>2.6134685713103289</v>
      </c>
      <c r="D43" s="66">
        <f t="shared" si="2"/>
        <v>-116.27613181094999</v>
      </c>
      <c r="E43" s="67">
        <f t="shared" si="3"/>
        <v>67.858388898528361</v>
      </c>
      <c r="F43" s="71">
        <f t="shared" si="4"/>
        <v>3.160105786855032</v>
      </c>
      <c r="G43" s="72">
        <f t="shared" si="5"/>
        <v>-134.97685924436081</v>
      </c>
      <c r="H43" s="73">
        <f t="shared" si="6"/>
        <v>-2.4998571957374991</v>
      </c>
      <c r="I43" s="65">
        <f t="shared" si="7"/>
        <v>-2.5764423047798513</v>
      </c>
      <c r="J43" s="66">
        <f t="shared" si="8"/>
        <v>-113.68444120405972</v>
      </c>
      <c r="K43" s="67">
        <f t="shared" si="9"/>
        <v>-72.117620259463308</v>
      </c>
      <c r="L43" s="71">
        <f t="shared" si="10"/>
        <v>0.56545367507605926</v>
      </c>
      <c r="M43" s="72">
        <f t="shared" si="11"/>
        <v>113.68445466289337</v>
      </c>
      <c r="N43" s="73">
        <f t="shared" si="12"/>
        <v>72.116166324133829</v>
      </c>
      <c r="O43" s="65">
        <f t="shared" si="13"/>
        <v>1.8513133265238922E-2</v>
      </c>
      <c r="P43" s="66">
        <f t="shared" si="14"/>
        <v>134.97687270319446</v>
      </c>
      <c r="Q43" s="67">
        <f t="shared" si="15"/>
        <v>2.4984032604080402</v>
      </c>
      <c r="R43" s="71">
        <f t="shared" si="16"/>
        <v>-0.52842740854558135</v>
      </c>
      <c r="S43" s="72">
        <f t="shared" si="17"/>
        <v>116.27614526978367</v>
      </c>
      <c r="T43" s="73">
        <f t="shared" si="18"/>
        <v>-67.859842833857826</v>
      </c>
    </row>
    <row r="44" spans="2:20" x14ac:dyDescent="0.25">
      <c r="B44" s="60">
        <v>0.6</v>
      </c>
      <c r="C44" s="65">
        <f t="shared" si="1"/>
        <v>2.6319817045755678</v>
      </c>
      <c r="D44" s="66">
        <f t="shared" si="2"/>
        <v>-117.51239927295748</v>
      </c>
      <c r="E44" s="67">
        <f t="shared" si="3"/>
        <v>65.693520941528021</v>
      </c>
      <c r="F44" s="71">
        <f t="shared" si="4"/>
        <v>3.1786189201202708</v>
      </c>
      <c r="G44" s="72">
        <f t="shared" si="5"/>
        <v>-134.90744490838915</v>
      </c>
      <c r="H44" s="73">
        <f t="shared" si="6"/>
        <v>-4.9988576246317802</v>
      </c>
      <c r="I44" s="65">
        <f t="shared" si="7"/>
        <v>-2.5579291715146124</v>
      </c>
      <c r="J44" s="66">
        <f t="shared" si="8"/>
        <v>-112.32990629974668</v>
      </c>
      <c r="K44" s="67">
        <f t="shared" si="9"/>
        <v>-74.210523912731404</v>
      </c>
      <c r="L44" s="71">
        <f t="shared" si="10"/>
        <v>0.5839668083412981</v>
      </c>
      <c r="M44" s="72">
        <f t="shared" si="11"/>
        <v>112.32996013046863</v>
      </c>
      <c r="N44" s="73">
        <f t="shared" si="12"/>
        <v>74.207616540374318</v>
      </c>
      <c r="O44" s="65">
        <f t="shared" si="13"/>
        <v>3.7026266530477803E-2</v>
      </c>
      <c r="P44" s="66">
        <f t="shared" si="14"/>
        <v>134.90749873911111</v>
      </c>
      <c r="Q44" s="67">
        <f t="shared" si="15"/>
        <v>4.9959502522747368</v>
      </c>
      <c r="R44" s="71">
        <f t="shared" si="16"/>
        <v>-0.5099142752803425</v>
      </c>
      <c r="S44" s="72">
        <f t="shared" si="17"/>
        <v>117.51245310367943</v>
      </c>
      <c r="T44" s="73">
        <f t="shared" si="18"/>
        <v>-65.696428313885079</v>
      </c>
    </row>
    <row r="45" spans="2:20" x14ac:dyDescent="0.25">
      <c r="B45" s="61">
        <v>0.65</v>
      </c>
      <c r="C45" s="65">
        <f t="shared" si="1"/>
        <v>2.6504948378408066</v>
      </c>
      <c r="D45" s="66">
        <f t="shared" si="2"/>
        <v>-118.70837868463155</v>
      </c>
      <c r="E45" s="67">
        <f t="shared" si="3"/>
        <v>63.506138086215103</v>
      </c>
      <c r="F45" s="71">
        <f t="shared" si="4"/>
        <v>3.1971320533855097</v>
      </c>
      <c r="G45" s="72">
        <f t="shared" si="5"/>
        <v>-134.79178078220454</v>
      </c>
      <c r="H45" s="73">
        <f t="shared" si="6"/>
        <v>-7.4961448134761355</v>
      </c>
      <c r="I45" s="65">
        <f t="shared" si="7"/>
        <v>-2.5394160382493736</v>
      </c>
      <c r="J45" s="66">
        <f t="shared" si="8"/>
        <v>-110.93685952181639</v>
      </c>
      <c r="K45" s="67">
        <f t="shared" si="9"/>
        <v>-76.277993666648783</v>
      </c>
      <c r="L45" s="71">
        <f t="shared" si="10"/>
        <v>0.60247994160653706</v>
      </c>
      <c r="M45" s="72">
        <f t="shared" si="11"/>
        <v>110.93698062364474</v>
      </c>
      <c r="N45" s="73">
        <f t="shared" si="12"/>
        <v>76.273633853697149</v>
      </c>
      <c r="O45" s="65">
        <f t="shared" si="13"/>
        <v>5.5539399795716732E-2</v>
      </c>
      <c r="P45" s="66">
        <f t="shared" si="14"/>
        <v>134.79190188403288</v>
      </c>
      <c r="Q45" s="67">
        <f t="shared" si="15"/>
        <v>7.4917850005245246</v>
      </c>
      <c r="R45" s="71">
        <f t="shared" si="16"/>
        <v>-0.49140114201510354</v>
      </c>
      <c r="S45" s="72">
        <f t="shared" si="17"/>
        <v>118.70849978645992</v>
      </c>
      <c r="T45" s="73">
        <f t="shared" si="18"/>
        <v>-63.510497899166715</v>
      </c>
    </row>
    <row r="46" spans="2:20" x14ac:dyDescent="0.25">
      <c r="B46" s="60">
        <v>0.7</v>
      </c>
      <c r="C46" s="65">
        <f t="shared" si="1"/>
        <v>2.6690079711060459</v>
      </c>
      <c r="D46" s="66">
        <f t="shared" si="2"/>
        <v>-119.86366015235637</v>
      </c>
      <c r="E46" s="67">
        <f t="shared" si="3"/>
        <v>61.296990006253715</v>
      </c>
      <c r="F46" s="71">
        <f t="shared" si="4"/>
        <v>3.2156451866507485</v>
      </c>
      <c r="G46" s="72">
        <f t="shared" si="5"/>
        <v>-134.62990650694664</v>
      </c>
      <c r="H46" s="73">
        <f t="shared" si="6"/>
        <v>-9.990862876236319</v>
      </c>
      <c r="I46" s="65">
        <f t="shared" si="7"/>
        <v>-2.5209029049841343</v>
      </c>
      <c r="J46" s="66">
        <f t="shared" si="8"/>
        <v>-109.50577830405679</v>
      </c>
      <c r="K46" s="67">
        <f t="shared" si="9"/>
        <v>-78.319320944926616</v>
      </c>
      <c r="L46" s="71">
        <f t="shared" si="10"/>
        <v>0.62099307487177591</v>
      </c>
      <c r="M46" s="72">
        <f t="shared" si="11"/>
        <v>109.50599355315411</v>
      </c>
      <c r="N46" s="73">
        <f t="shared" si="12"/>
        <v>78.313510185602979</v>
      </c>
      <c r="O46" s="65">
        <f t="shared" si="13"/>
        <v>7.4052533060955605E-2</v>
      </c>
      <c r="P46" s="66">
        <f t="shared" si="14"/>
        <v>134.63012175604393</v>
      </c>
      <c r="Q46" s="67">
        <f t="shared" si="15"/>
        <v>9.98505211691276</v>
      </c>
      <c r="R46" s="71">
        <f t="shared" si="16"/>
        <v>-0.4728880087498647</v>
      </c>
      <c r="S46" s="72">
        <f t="shared" si="17"/>
        <v>119.86387540145367</v>
      </c>
      <c r="T46" s="73">
        <f t="shared" si="18"/>
        <v>-61.302800765577338</v>
      </c>
    </row>
    <row r="47" spans="2:20" x14ac:dyDescent="0.25">
      <c r="B47" s="61">
        <v>0.75</v>
      </c>
      <c r="C47" s="65">
        <f t="shared" si="1"/>
        <v>2.6875211043712848</v>
      </c>
      <c r="D47" s="66">
        <f t="shared" si="2"/>
        <v>-120.97784773077237</v>
      </c>
      <c r="E47" s="67">
        <f t="shared" si="3"/>
        <v>59.066833834823406</v>
      </c>
      <c r="F47" s="71">
        <f t="shared" si="4"/>
        <v>3.2341583199159878</v>
      </c>
      <c r="G47" s="72">
        <f t="shared" si="5"/>
        <v>-134.42187756118923</v>
      </c>
      <c r="H47" s="73">
        <f t="shared" si="6"/>
        <v>-12.482156807385259</v>
      </c>
      <c r="I47" s="65">
        <f t="shared" si="7"/>
        <v>-2.5023897717188954</v>
      </c>
      <c r="J47" s="66">
        <f t="shared" si="8"/>
        <v>-108.03715311565934</v>
      </c>
      <c r="K47" s="67">
        <f t="shared" si="9"/>
        <v>-80.33380613099024</v>
      </c>
      <c r="L47" s="71">
        <f t="shared" si="10"/>
        <v>0.63950620813701486</v>
      </c>
      <c r="M47" s="72">
        <f t="shared" si="11"/>
        <v>108.03748935592138</v>
      </c>
      <c r="N47" s="73">
        <f t="shared" si="12"/>
        <v>80.326546416794784</v>
      </c>
      <c r="O47" s="65">
        <f t="shared" si="13"/>
        <v>9.2565666326194534E-2</v>
      </c>
      <c r="P47" s="66">
        <f t="shared" si="14"/>
        <v>134.42221380145125</v>
      </c>
      <c r="Q47" s="67">
        <f t="shared" si="15"/>
        <v>12.474897093189828</v>
      </c>
      <c r="R47" s="71">
        <f t="shared" si="16"/>
        <v>-0.45437487548462574</v>
      </c>
      <c r="S47" s="72">
        <f t="shared" si="17"/>
        <v>120.9781839710344</v>
      </c>
      <c r="T47" s="73">
        <f t="shared" si="18"/>
        <v>-59.074093549018841</v>
      </c>
    </row>
    <row r="48" spans="2:20" x14ac:dyDescent="0.25">
      <c r="B48" s="60">
        <v>0.8</v>
      </c>
      <c r="C48" s="65">
        <f t="shared" si="1"/>
        <v>2.7060342376365236</v>
      </c>
      <c r="D48" s="66">
        <f t="shared" si="2"/>
        <v>-122.05055955847723</v>
      </c>
      <c r="E48" s="67">
        <f t="shared" si="3"/>
        <v>56.816433905129294</v>
      </c>
      <c r="F48" s="71">
        <f t="shared" si="4"/>
        <v>3.2526714531812266</v>
      </c>
      <c r="G48" s="72">
        <f t="shared" si="5"/>
        <v>-134.16776524192619</v>
      </c>
      <c r="H48" s="73">
        <f t="shared" si="6"/>
        <v>-14.96917277493572</v>
      </c>
      <c r="I48" s="65">
        <f t="shared" si="7"/>
        <v>-2.4838766384536566</v>
      </c>
      <c r="J48" s="66">
        <f t="shared" si="8"/>
        <v>-106.53148729312204</v>
      </c>
      <c r="K48" s="67">
        <f t="shared" si="9"/>
        <v>-82.32075880775642</v>
      </c>
      <c r="L48" s="71">
        <f t="shared" si="10"/>
        <v>0.65801934140225371</v>
      </c>
      <c r="M48" s="72">
        <f t="shared" si="11"/>
        <v>106.53197132697777</v>
      </c>
      <c r="N48" s="73">
        <f t="shared" si="12"/>
        <v>82.312052626784237</v>
      </c>
      <c r="O48" s="65">
        <f t="shared" si="13"/>
        <v>0.11107879959143346</v>
      </c>
      <c r="P48" s="66">
        <f t="shared" si="14"/>
        <v>134.1682492757819</v>
      </c>
      <c r="Q48" s="67">
        <f t="shared" si="15"/>
        <v>14.960466593963563</v>
      </c>
      <c r="R48" s="71">
        <f t="shared" si="16"/>
        <v>-0.43586174221938684</v>
      </c>
      <c r="S48" s="72">
        <f t="shared" si="17"/>
        <v>122.05104359233296</v>
      </c>
      <c r="T48" s="73">
        <f t="shared" si="18"/>
        <v>-56.825140086101456</v>
      </c>
    </row>
    <row r="49" spans="2:20" x14ac:dyDescent="0.25">
      <c r="B49" s="61">
        <v>0.85</v>
      </c>
      <c r="C49" s="65">
        <f t="shared" si="1"/>
        <v>2.7245473709017625</v>
      </c>
      <c r="D49" s="66">
        <f t="shared" si="2"/>
        <v>-123.08142798889988</v>
      </c>
      <c r="E49" s="67">
        <f t="shared" si="3"/>
        <v>54.546561488445221</v>
      </c>
      <c r="F49" s="71">
        <f t="shared" si="4"/>
        <v>3.2711845864464655</v>
      </c>
      <c r="G49" s="72">
        <f t="shared" si="5"/>
        <v>-133.86765664013612</v>
      </c>
      <c r="H49" s="73">
        <f t="shared" si="6"/>
        <v>-17.451058413071326</v>
      </c>
      <c r="I49" s="65">
        <f t="shared" si="7"/>
        <v>-2.4653635051884177</v>
      </c>
      <c r="J49" s="66">
        <f t="shared" si="8"/>
        <v>-104.98929686774301</v>
      </c>
      <c r="K49" s="67">
        <f t="shared" si="9"/>
        <v>-84.279497994257369</v>
      </c>
      <c r="L49" s="71">
        <f t="shared" si="10"/>
        <v>0.67653247466749267</v>
      </c>
      <c r="M49" s="72">
        <f t="shared" si="11"/>
        <v>104.98995544696859</v>
      </c>
      <c r="N49" s="73">
        <f t="shared" si="12"/>
        <v>84.269348330345778</v>
      </c>
      <c r="O49" s="65">
        <f t="shared" si="13"/>
        <v>0.12959193285667234</v>
      </c>
      <c r="P49" s="66">
        <f t="shared" si="14"/>
        <v>133.86831521936168</v>
      </c>
      <c r="Q49" s="67">
        <f t="shared" si="15"/>
        <v>17.440908749159757</v>
      </c>
      <c r="R49" s="71">
        <f t="shared" si="16"/>
        <v>-0.41734860895414794</v>
      </c>
      <c r="S49" s="72">
        <f t="shared" si="17"/>
        <v>123.08208656812548</v>
      </c>
      <c r="T49" s="73">
        <f t="shared" si="18"/>
        <v>-54.556711152356797</v>
      </c>
    </row>
    <row r="50" spans="2:20" x14ac:dyDescent="0.25">
      <c r="B50" s="60">
        <v>0.9</v>
      </c>
      <c r="C50" s="65">
        <f t="shared" si="1"/>
        <v>2.7430605041670013</v>
      </c>
      <c r="D50" s="66">
        <f t="shared" si="2"/>
        <v>-124.07009971630248</v>
      </c>
      <c r="E50" s="67">
        <f t="shared" si="3"/>
        <v>52.257994529778742</v>
      </c>
      <c r="F50" s="71">
        <f t="shared" si="4"/>
        <v>3.2896977197117043</v>
      </c>
      <c r="G50" s="72">
        <f t="shared" si="5"/>
        <v>-133.52165461093401</v>
      </c>
      <c r="H50" s="73">
        <f t="shared" si="6"/>
        <v>-19.926963114274553</v>
      </c>
      <c r="I50" s="65">
        <f t="shared" si="7"/>
        <v>-2.4468503719231789</v>
      </c>
      <c r="J50" s="66">
        <f t="shared" si="8"/>
        <v>-103.41111038876282</v>
      </c>
      <c r="K50" s="67">
        <f t="shared" si="9"/>
        <v>-86.209352379030832</v>
      </c>
      <c r="L50" s="71">
        <f t="shared" si="10"/>
        <v>0.69504560793273162</v>
      </c>
      <c r="M50" s="72">
        <f t="shared" si="11"/>
        <v>103.41197020531315</v>
      </c>
      <c r="N50" s="73">
        <f t="shared" si="12"/>
        <v>86.197762710736725</v>
      </c>
      <c r="O50" s="65">
        <f t="shared" si="13"/>
        <v>0.14810506612191127</v>
      </c>
      <c r="P50" s="66">
        <f t="shared" si="14"/>
        <v>133.52251442748434</v>
      </c>
      <c r="Q50" s="67">
        <f t="shared" si="15"/>
        <v>19.915373445980478</v>
      </c>
      <c r="R50" s="71">
        <f t="shared" si="16"/>
        <v>-0.39883547568890904</v>
      </c>
      <c r="S50" s="72">
        <f t="shared" si="17"/>
        <v>124.07095953285281</v>
      </c>
      <c r="T50" s="73">
        <f t="shared" si="18"/>
        <v>-52.26958419807282</v>
      </c>
    </row>
    <row r="51" spans="2:20" x14ac:dyDescent="0.25">
      <c r="B51" s="61">
        <v>0.95</v>
      </c>
      <c r="C51" s="65">
        <f t="shared" si="1"/>
        <v>2.7615736374322402</v>
      </c>
      <c r="D51" s="66">
        <f t="shared" si="2"/>
        <v>-125.01623589686776</v>
      </c>
      <c r="E51" s="67">
        <f t="shared" si="3"/>
        <v>49.951517381248848</v>
      </c>
      <c r="F51" s="71">
        <f t="shared" si="4"/>
        <v>3.3082108529769432</v>
      </c>
      <c r="G51" s="72">
        <f t="shared" si="5"/>
        <v>-133.12987773832018</v>
      </c>
      <c r="H51" s="73">
        <f t="shared" si="6"/>
        <v>-22.39603832085233</v>
      </c>
      <c r="I51" s="65">
        <f t="shared" si="7"/>
        <v>-2.42833723865794</v>
      </c>
      <c r="J51" s="66">
        <f t="shared" si="8"/>
        <v>-101.79746874221689</v>
      </c>
      <c r="K51" s="67">
        <f t="shared" si="9"/>
        <v>-88.109660550196153</v>
      </c>
      <c r="L51" s="71">
        <f t="shared" si="10"/>
        <v>0.71355874119797047</v>
      </c>
      <c r="M51" s="72">
        <f t="shared" si="11"/>
        <v>101.79855641907753</v>
      </c>
      <c r="N51" s="73">
        <f t="shared" si="12"/>
        <v>88.096634849603845</v>
      </c>
      <c r="O51" s="65">
        <f t="shared" si="13"/>
        <v>0.16661819938715014</v>
      </c>
      <c r="P51" s="66">
        <f t="shared" si="14"/>
        <v>133.13096541518081</v>
      </c>
      <c r="Q51" s="67">
        <f t="shared" si="15"/>
        <v>22.383012620260047</v>
      </c>
      <c r="R51" s="71">
        <f t="shared" si="16"/>
        <v>-0.38032234242367013</v>
      </c>
      <c r="S51" s="72">
        <f t="shared" si="17"/>
        <v>125.01732357372842</v>
      </c>
      <c r="T51" s="73">
        <f t="shared" si="18"/>
        <v>-49.964543081841143</v>
      </c>
    </row>
    <row r="52" spans="2:20" ht="15.75" thickBot="1" x14ac:dyDescent="0.3">
      <c r="B52" s="87">
        <v>1</v>
      </c>
      <c r="C52" s="88">
        <f t="shared" si="1"/>
        <v>2.780086770697479</v>
      </c>
      <c r="D52" s="89">
        <f t="shared" si="2"/>
        <v>-125.91951226482961</v>
      </c>
      <c r="E52" s="90">
        <f t="shared" si="3"/>
        <v>47.62792053326794</v>
      </c>
      <c r="F52" s="91">
        <f t="shared" si="4"/>
        <v>3.326723986242182</v>
      </c>
      <c r="G52" s="92">
        <f t="shared" si="5"/>
        <v>-132.69246029453819</v>
      </c>
      <c r="H52" s="93">
        <f t="shared" si="6"/>
        <v>-24.857437815759127</v>
      </c>
      <c r="I52" s="88">
        <f t="shared" si="7"/>
        <v>-2.4098241053927012</v>
      </c>
      <c r="J52" s="89">
        <f t="shared" si="8"/>
        <v>-100.14892496555947</v>
      </c>
      <c r="K52" s="90">
        <f t="shared" si="9"/>
        <v>-89.979771222137614</v>
      </c>
      <c r="L52" s="91">
        <f t="shared" si="10"/>
        <v>0.73207187446320932</v>
      </c>
      <c r="M52" s="92">
        <f t="shared" si="11"/>
        <v>100.15026704762228</v>
      </c>
      <c r="N52" s="93">
        <f t="shared" si="12"/>
        <v>89.965313953497443</v>
      </c>
      <c r="O52" s="88">
        <f t="shared" si="13"/>
        <v>0.18513133265238907</v>
      </c>
      <c r="P52" s="89">
        <f t="shared" si="14"/>
        <v>132.69380237660101</v>
      </c>
      <c r="Q52" s="90">
        <f t="shared" si="15"/>
        <v>24.842980547118994</v>
      </c>
      <c r="R52" s="91">
        <f t="shared" si="16"/>
        <v>-0.36180920915843123</v>
      </c>
      <c r="S52" s="92">
        <f t="shared" si="17"/>
        <v>125.92085434689243</v>
      </c>
      <c r="T52" s="93">
        <f t="shared" si="18"/>
        <v>-47.642377801908076</v>
      </c>
    </row>
  </sheetData>
  <mergeCells count="48">
    <mergeCell ref="B18:D18"/>
    <mergeCell ref="B2:C2"/>
    <mergeCell ref="B3:C3"/>
    <mergeCell ref="D2:E2"/>
    <mergeCell ref="D3:E3"/>
    <mergeCell ref="B12:D12"/>
    <mergeCell ref="E12:F12"/>
    <mergeCell ref="B5:M5"/>
    <mergeCell ref="B11:M11"/>
    <mergeCell ref="J6:K6"/>
    <mergeCell ref="L6:M6"/>
    <mergeCell ref="B6:C6"/>
    <mergeCell ref="D6:E6"/>
    <mergeCell ref="F6:G6"/>
    <mergeCell ref="H6:I6"/>
    <mergeCell ref="G12:M12"/>
    <mergeCell ref="B26:D26"/>
    <mergeCell ref="G26:M26"/>
    <mergeCell ref="G13:M18"/>
    <mergeCell ref="E18:F18"/>
    <mergeCell ref="E17:F17"/>
    <mergeCell ref="E16:F16"/>
    <mergeCell ref="E15:F15"/>
    <mergeCell ref="E14:F14"/>
    <mergeCell ref="B24:D24"/>
    <mergeCell ref="E13:F13"/>
    <mergeCell ref="B25:D25"/>
    <mergeCell ref="B13:D13"/>
    <mergeCell ref="B14:D14"/>
    <mergeCell ref="B15:D15"/>
    <mergeCell ref="B16:D16"/>
    <mergeCell ref="B17:D17"/>
    <mergeCell ref="B30:B31"/>
    <mergeCell ref="G19:M24"/>
    <mergeCell ref="B29:T29"/>
    <mergeCell ref="B19:D19"/>
    <mergeCell ref="B20:D20"/>
    <mergeCell ref="B21:D21"/>
    <mergeCell ref="B22:D22"/>
    <mergeCell ref="B23:D23"/>
    <mergeCell ref="F30:H30"/>
    <mergeCell ref="C30:E30"/>
    <mergeCell ref="I30:K30"/>
    <mergeCell ref="L30:N30"/>
    <mergeCell ref="O30:Q30"/>
    <mergeCell ref="R30:T30"/>
    <mergeCell ref="E25:F25"/>
    <mergeCell ref="G25:M2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workbookViewId="0"/>
  </sheetViews>
  <sheetFormatPr defaultRowHeight="15" x14ac:dyDescent="0.25"/>
  <cols>
    <col min="2" max="2" width="9.28515625" bestFit="1" customWidth="1"/>
    <col min="3" max="3" width="13.42578125" customWidth="1"/>
    <col min="4" max="4" width="10.5703125" bestFit="1" customWidth="1"/>
  </cols>
  <sheetData>
    <row r="2" spans="1:4" x14ac:dyDescent="0.25">
      <c r="A2" s="53" t="s">
        <v>71</v>
      </c>
      <c r="B2" s="52">
        <v>25</v>
      </c>
      <c r="D2" s="52">
        <v>1999</v>
      </c>
    </row>
    <row r="3" spans="1:4" x14ac:dyDescent="0.25">
      <c r="A3">
        <v>-85</v>
      </c>
      <c r="B3" s="94">
        <f t="shared" ref="B3:B19" si="0">ABS(A3)/$B$2</f>
        <v>3.4</v>
      </c>
      <c r="C3" s="94">
        <f>EXP(B3) / EXP($B$3)</f>
        <v>1</v>
      </c>
      <c r="D3" s="95">
        <f t="shared" ref="D3:D38" si="1">$D$2*C3</f>
        <v>1999</v>
      </c>
    </row>
    <row r="4" spans="1:4" x14ac:dyDescent="0.25">
      <c r="A4">
        <v>-80</v>
      </c>
      <c r="B4" s="94">
        <f t="shared" si="0"/>
        <v>3.2</v>
      </c>
      <c r="C4" s="94">
        <f t="shared" ref="C4:C23" si="2">EXP(B4) / EXP($B$3)</f>
        <v>0.81873075307798204</v>
      </c>
      <c r="D4" s="95">
        <f t="shared" si="1"/>
        <v>1636.6427754028862</v>
      </c>
    </row>
    <row r="5" spans="1:4" x14ac:dyDescent="0.25">
      <c r="A5">
        <v>-75</v>
      </c>
      <c r="B5" s="94">
        <f t="shared" si="0"/>
        <v>3</v>
      </c>
      <c r="C5" s="94">
        <f t="shared" si="2"/>
        <v>0.67032004603563933</v>
      </c>
      <c r="D5" s="95">
        <f t="shared" si="1"/>
        <v>1339.9697720252429</v>
      </c>
    </row>
    <row r="6" spans="1:4" x14ac:dyDescent="0.25">
      <c r="A6">
        <v>-70</v>
      </c>
      <c r="B6" s="94">
        <f t="shared" si="0"/>
        <v>2.8</v>
      </c>
      <c r="C6" s="94">
        <f t="shared" si="2"/>
        <v>0.54881163609402639</v>
      </c>
      <c r="D6" s="95">
        <f t="shared" si="1"/>
        <v>1097.0744605519587</v>
      </c>
    </row>
    <row r="7" spans="1:4" x14ac:dyDescent="0.25">
      <c r="A7">
        <v>-65</v>
      </c>
      <c r="B7" s="94">
        <f t="shared" si="0"/>
        <v>2.6</v>
      </c>
      <c r="C7" s="94">
        <f t="shared" si="2"/>
        <v>0.44932896411722167</v>
      </c>
      <c r="D7" s="95">
        <f t="shared" si="1"/>
        <v>898.20859927032609</v>
      </c>
    </row>
    <row r="8" spans="1:4" x14ac:dyDescent="0.25">
      <c r="A8">
        <v>-60</v>
      </c>
      <c r="B8" s="94">
        <f t="shared" si="0"/>
        <v>2.4</v>
      </c>
      <c r="C8" s="94">
        <f t="shared" si="2"/>
        <v>0.36787944117144233</v>
      </c>
      <c r="D8" s="95">
        <f t="shared" si="1"/>
        <v>735.39100290171325</v>
      </c>
    </row>
    <row r="9" spans="1:4" x14ac:dyDescent="0.25">
      <c r="A9">
        <v>-55</v>
      </c>
      <c r="B9" s="94">
        <f t="shared" si="0"/>
        <v>2.2000000000000002</v>
      </c>
      <c r="C9" s="94">
        <f t="shared" si="2"/>
        <v>0.30119421191220214</v>
      </c>
      <c r="D9" s="95">
        <f t="shared" si="1"/>
        <v>602.08722961249202</v>
      </c>
    </row>
    <row r="10" spans="1:4" x14ac:dyDescent="0.25">
      <c r="A10">
        <v>-50</v>
      </c>
      <c r="B10" s="94">
        <f t="shared" si="0"/>
        <v>2</v>
      </c>
      <c r="C10" s="94">
        <f t="shared" si="2"/>
        <v>0.24659696394160649</v>
      </c>
      <c r="D10" s="95">
        <f t="shared" si="1"/>
        <v>492.94733091927139</v>
      </c>
    </row>
    <row r="11" spans="1:4" x14ac:dyDescent="0.25">
      <c r="A11">
        <v>-45</v>
      </c>
      <c r="B11" s="94">
        <f t="shared" si="0"/>
        <v>1.8</v>
      </c>
      <c r="C11" s="94">
        <f t="shared" si="2"/>
        <v>0.20189651799465544</v>
      </c>
      <c r="D11" s="95">
        <f t="shared" si="1"/>
        <v>403.59113947131624</v>
      </c>
    </row>
    <row r="12" spans="1:4" x14ac:dyDescent="0.25">
      <c r="A12">
        <v>-40</v>
      </c>
      <c r="B12" s="94">
        <f t="shared" si="0"/>
        <v>1.6</v>
      </c>
      <c r="C12" s="94">
        <f t="shared" si="2"/>
        <v>0.16529888822158656</v>
      </c>
      <c r="D12" s="95">
        <f t="shared" si="1"/>
        <v>330.43247755495156</v>
      </c>
    </row>
    <row r="13" spans="1:4" x14ac:dyDescent="0.25">
      <c r="A13">
        <v>-35</v>
      </c>
      <c r="B13" s="94">
        <f t="shared" si="0"/>
        <v>1.4</v>
      </c>
      <c r="C13" s="94">
        <f t="shared" si="2"/>
        <v>0.1353352832366127</v>
      </c>
      <c r="D13" s="95">
        <f t="shared" si="1"/>
        <v>270.53523118998879</v>
      </c>
    </row>
    <row r="14" spans="1:4" x14ac:dyDescent="0.25">
      <c r="A14">
        <v>-30</v>
      </c>
      <c r="B14" s="94">
        <f t="shared" si="0"/>
        <v>1.2</v>
      </c>
      <c r="C14" s="94">
        <f t="shared" si="2"/>
        <v>0.11080315836233388</v>
      </c>
      <c r="D14" s="95">
        <f t="shared" si="1"/>
        <v>221.49551356630545</v>
      </c>
    </row>
    <row r="15" spans="1:4" x14ac:dyDescent="0.25">
      <c r="A15">
        <v>-25</v>
      </c>
      <c r="B15" s="94">
        <f t="shared" si="0"/>
        <v>1</v>
      </c>
      <c r="C15" s="94">
        <f t="shared" si="2"/>
        <v>9.0717953289412512E-2</v>
      </c>
      <c r="D15" s="95">
        <f t="shared" si="1"/>
        <v>181.3451886255356</v>
      </c>
    </row>
    <row r="16" spans="1:4" x14ac:dyDescent="0.25">
      <c r="A16">
        <v>-20</v>
      </c>
      <c r="B16" s="94">
        <f t="shared" si="0"/>
        <v>0.8</v>
      </c>
      <c r="C16" s="94">
        <f t="shared" si="2"/>
        <v>7.4273578214333891E-2</v>
      </c>
      <c r="D16" s="95">
        <f t="shared" si="1"/>
        <v>148.47288285045346</v>
      </c>
    </row>
    <row r="17" spans="1:4" x14ac:dyDescent="0.25">
      <c r="A17">
        <v>-15</v>
      </c>
      <c r="B17" s="94">
        <f t="shared" si="0"/>
        <v>0.6</v>
      </c>
      <c r="C17" s="94">
        <f t="shared" si="2"/>
        <v>6.0810062625217966E-2</v>
      </c>
      <c r="D17" s="95">
        <f t="shared" si="1"/>
        <v>121.55931518781071</v>
      </c>
    </row>
    <row r="18" spans="1:4" x14ac:dyDescent="0.25">
      <c r="A18">
        <v>-10</v>
      </c>
      <c r="B18" s="94">
        <f t="shared" si="0"/>
        <v>0.4</v>
      </c>
      <c r="C18" s="94">
        <f t="shared" si="2"/>
        <v>4.9787068367863951E-2</v>
      </c>
      <c r="D18" s="95">
        <f t="shared" si="1"/>
        <v>99.524349667360042</v>
      </c>
    </row>
    <row r="19" spans="1:4" x14ac:dyDescent="0.25">
      <c r="A19">
        <v>-5</v>
      </c>
      <c r="B19" s="94">
        <f t="shared" si="0"/>
        <v>0.2</v>
      </c>
      <c r="C19" s="94">
        <f t="shared" si="2"/>
        <v>4.0762203978366218E-2</v>
      </c>
      <c r="D19" s="95">
        <f t="shared" si="1"/>
        <v>81.483645752754072</v>
      </c>
    </row>
    <row r="20" spans="1:4" x14ac:dyDescent="0.25">
      <c r="A20">
        <v>-1</v>
      </c>
      <c r="B20" s="94">
        <f>ABS(A20)/$B$2</f>
        <v>0.04</v>
      </c>
      <c r="C20" s="94">
        <f t="shared" si="2"/>
        <v>3.4735258944738563E-2</v>
      </c>
      <c r="D20" s="95">
        <f t="shared" si="1"/>
        <v>69.435782630532387</v>
      </c>
    </row>
    <row r="21" spans="1:4" x14ac:dyDescent="0.25">
      <c r="A21">
        <v>1</v>
      </c>
      <c r="B21" s="94">
        <f>ABS(A21)/$B$2</f>
        <v>0.04</v>
      </c>
      <c r="C21" s="94">
        <f t="shared" si="2"/>
        <v>3.4735258944738563E-2</v>
      </c>
      <c r="D21" s="95">
        <f t="shared" si="1"/>
        <v>69.435782630532387</v>
      </c>
    </row>
    <row r="22" spans="1:4" x14ac:dyDescent="0.25">
      <c r="A22">
        <v>5</v>
      </c>
      <c r="B22" s="94">
        <f t="shared" ref="B22:B38" si="3">ABS(A22)/$B$2</f>
        <v>0.2</v>
      </c>
      <c r="C22" s="94">
        <f t="shared" si="2"/>
        <v>4.0762203978366218E-2</v>
      </c>
      <c r="D22" s="95">
        <f t="shared" si="1"/>
        <v>81.483645752754072</v>
      </c>
    </row>
    <row r="23" spans="1:4" x14ac:dyDescent="0.25">
      <c r="A23">
        <v>10</v>
      </c>
      <c r="B23" s="94">
        <f t="shared" si="3"/>
        <v>0.4</v>
      </c>
      <c r="C23" s="94">
        <f t="shared" si="2"/>
        <v>4.9787068367863951E-2</v>
      </c>
      <c r="D23" s="95">
        <f t="shared" si="1"/>
        <v>99.524349667360042</v>
      </c>
    </row>
    <row r="24" spans="1:4" x14ac:dyDescent="0.25">
      <c r="A24">
        <v>15</v>
      </c>
      <c r="B24" s="94">
        <f t="shared" si="3"/>
        <v>0.6</v>
      </c>
      <c r="C24" s="94">
        <f t="shared" ref="C24:C38" si="4">EXP(B24) / EXP($B$38)</f>
        <v>6.0810062625217966E-2</v>
      </c>
      <c r="D24" s="95">
        <f t="shared" si="1"/>
        <v>121.55931518781071</v>
      </c>
    </row>
    <row r="25" spans="1:4" x14ac:dyDescent="0.25">
      <c r="A25">
        <v>20</v>
      </c>
      <c r="B25" s="94">
        <f t="shared" si="3"/>
        <v>0.8</v>
      </c>
      <c r="C25" s="94">
        <f t="shared" si="4"/>
        <v>7.4273578214333891E-2</v>
      </c>
      <c r="D25" s="95">
        <f t="shared" si="1"/>
        <v>148.47288285045346</v>
      </c>
    </row>
    <row r="26" spans="1:4" x14ac:dyDescent="0.25">
      <c r="A26">
        <v>25</v>
      </c>
      <c r="B26" s="94">
        <f t="shared" si="3"/>
        <v>1</v>
      </c>
      <c r="C26" s="94">
        <f t="shared" si="4"/>
        <v>9.0717953289412512E-2</v>
      </c>
      <c r="D26" s="95">
        <f t="shared" si="1"/>
        <v>181.3451886255356</v>
      </c>
    </row>
    <row r="27" spans="1:4" x14ac:dyDescent="0.25">
      <c r="A27">
        <v>30</v>
      </c>
      <c r="B27" s="94">
        <f t="shared" si="3"/>
        <v>1.2</v>
      </c>
      <c r="C27" s="94">
        <f t="shared" si="4"/>
        <v>0.11080315836233388</v>
      </c>
      <c r="D27" s="95">
        <f t="shared" si="1"/>
        <v>221.49551356630545</v>
      </c>
    </row>
    <row r="28" spans="1:4" x14ac:dyDescent="0.25">
      <c r="A28">
        <v>35</v>
      </c>
      <c r="B28" s="94">
        <f t="shared" si="3"/>
        <v>1.4</v>
      </c>
      <c r="C28" s="94">
        <f t="shared" si="4"/>
        <v>0.1353352832366127</v>
      </c>
      <c r="D28" s="95">
        <f t="shared" si="1"/>
        <v>270.53523118998879</v>
      </c>
    </row>
    <row r="29" spans="1:4" x14ac:dyDescent="0.25">
      <c r="A29">
        <v>40</v>
      </c>
      <c r="B29" s="94">
        <f t="shared" si="3"/>
        <v>1.6</v>
      </c>
      <c r="C29" s="94">
        <f t="shared" si="4"/>
        <v>0.16529888822158656</v>
      </c>
      <c r="D29" s="95">
        <f t="shared" si="1"/>
        <v>330.43247755495156</v>
      </c>
    </row>
    <row r="30" spans="1:4" x14ac:dyDescent="0.25">
      <c r="A30">
        <v>45</v>
      </c>
      <c r="B30" s="94">
        <f t="shared" si="3"/>
        <v>1.8</v>
      </c>
      <c r="C30" s="94">
        <f t="shared" si="4"/>
        <v>0.20189651799465544</v>
      </c>
      <c r="D30" s="95">
        <f t="shared" si="1"/>
        <v>403.59113947131624</v>
      </c>
    </row>
    <row r="31" spans="1:4" x14ac:dyDescent="0.25">
      <c r="A31">
        <v>50</v>
      </c>
      <c r="B31" s="94">
        <f t="shared" si="3"/>
        <v>2</v>
      </c>
      <c r="C31" s="94">
        <f t="shared" si="4"/>
        <v>0.24659696394160649</v>
      </c>
      <c r="D31" s="95">
        <f t="shared" si="1"/>
        <v>492.94733091927139</v>
      </c>
    </row>
    <row r="32" spans="1:4" x14ac:dyDescent="0.25">
      <c r="A32">
        <v>55</v>
      </c>
      <c r="B32" s="94">
        <f t="shared" si="3"/>
        <v>2.2000000000000002</v>
      </c>
      <c r="C32" s="94">
        <f t="shared" si="4"/>
        <v>0.30119421191220214</v>
      </c>
      <c r="D32" s="95">
        <f t="shared" si="1"/>
        <v>602.08722961249202</v>
      </c>
    </row>
    <row r="33" spans="1:4" x14ac:dyDescent="0.25">
      <c r="A33">
        <v>60</v>
      </c>
      <c r="B33" s="94">
        <f t="shared" si="3"/>
        <v>2.4</v>
      </c>
      <c r="C33" s="94">
        <f t="shared" si="4"/>
        <v>0.36787944117144233</v>
      </c>
      <c r="D33" s="95">
        <f t="shared" si="1"/>
        <v>735.39100290171325</v>
      </c>
    </row>
    <row r="34" spans="1:4" x14ac:dyDescent="0.25">
      <c r="A34">
        <v>65</v>
      </c>
      <c r="B34" s="94">
        <f t="shared" si="3"/>
        <v>2.6</v>
      </c>
      <c r="C34" s="94">
        <f t="shared" si="4"/>
        <v>0.44932896411722167</v>
      </c>
      <c r="D34" s="95">
        <f t="shared" si="1"/>
        <v>898.20859927032609</v>
      </c>
    </row>
    <row r="35" spans="1:4" x14ac:dyDescent="0.25">
      <c r="A35">
        <v>70</v>
      </c>
      <c r="B35" s="94">
        <f t="shared" si="3"/>
        <v>2.8</v>
      </c>
      <c r="C35" s="94">
        <f t="shared" si="4"/>
        <v>0.54881163609402639</v>
      </c>
      <c r="D35" s="95">
        <f t="shared" si="1"/>
        <v>1097.0744605519587</v>
      </c>
    </row>
    <row r="36" spans="1:4" x14ac:dyDescent="0.25">
      <c r="A36">
        <v>75</v>
      </c>
      <c r="B36" s="94">
        <f t="shared" si="3"/>
        <v>3</v>
      </c>
      <c r="C36" s="94">
        <f t="shared" si="4"/>
        <v>0.67032004603563933</v>
      </c>
      <c r="D36" s="95">
        <f t="shared" si="1"/>
        <v>1339.9697720252429</v>
      </c>
    </row>
    <row r="37" spans="1:4" x14ac:dyDescent="0.25">
      <c r="A37">
        <v>80</v>
      </c>
      <c r="B37" s="94">
        <f t="shared" si="3"/>
        <v>3.2</v>
      </c>
      <c r="C37" s="94">
        <f t="shared" si="4"/>
        <v>0.81873075307798204</v>
      </c>
      <c r="D37" s="95">
        <f t="shared" si="1"/>
        <v>1636.6427754028862</v>
      </c>
    </row>
    <row r="38" spans="1:4" x14ac:dyDescent="0.25">
      <c r="A38">
        <v>85</v>
      </c>
      <c r="B38" s="94">
        <f t="shared" si="3"/>
        <v>3.4</v>
      </c>
      <c r="C38" s="94">
        <f t="shared" si="4"/>
        <v>1</v>
      </c>
      <c r="D38" s="95">
        <f t="shared" si="1"/>
        <v>1999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Inverse kinematic</vt:lpstr>
      <vt:lpstr>Advance trajectory</vt:lpstr>
      <vt:lpstr>Joystick smooth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NeoProg</cp:lastModifiedBy>
  <cp:revision>8</cp:revision>
  <dcterms:created xsi:type="dcterms:W3CDTF">2006-09-16T00:00:00Z</dcterms:created>
  <dcterms:modified xsi:type="dcterms:W3CDTF">2021-05-04T15:53:41Z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