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Inverse kinematic" sheetId="1" r:id="rId1"/>
    <sheet name="Advance trajectory" sheetId="6" r:id="rId2"/>
    <sheet name="Joystick smooth" sheetId="7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" i="7"/>
  <c r="B2" i="7"/>
  <c r="Y3" i="6"/>
  <c r="W4" i="6" s="1"/>
  <c r="E12" i="6" l="1"/>
  <c r="W31" i="6"/>
  <c r="W18" i="6"/>
  <c r="W35" i="6"/>
  <c r="W3" i="6"/>
  <c r="W43" i="6"/>
  <c r="W14" i="6"/>
  <c r="W40" i="6"/>
  <c r="W27" i="6"/>
  <c r="W10" i="6"/>
  <c r="W39" i="6"/>
  <c r="W22" i="6"/>
  <c r="W6" i="6"/>
  <c r="W36" i="6"/>
  <c r="W32" i="6"/>
  <c r="W28" i="6"/>
  <c r="W24" i="6"/>
  <c r="W19" i="6"/>
  <c r="W15" i="6"/>
  <c r="W11" i="6"/>
  <c r="W7" i="6"/>
  <c r="W42" i="6"/>
  <c r="W38" i="6"/>
  <c r="W34" i="6"/>
  <c r="W30" i="6"/>
  <c r="W26" i="6"/>
  <c r="W21" i="6"/>
  <c r="W17" i="6"/>
  <c r="W13" i="6"/>
  <c r="W9" i="6"/>
  <c r="W5" i="6"/>
  <c r="W41" i="6"/>
  <c r="W37" i="6"/>
  <c r="W33" i="6"/>
  <c r="W29" i="6"/>
  <c r="W25" i="6"/>
  <c r="W20" i="6"/>
  <c r="W16" i="6"/>
  <c r="W12" i="6"/>
  <c r="W8" i="6"/>
  <c r="J8" i="1" l="1"/>
  <c r="I8" i="1"/>
  <c r="G4" i="1"/>
  <c r="F4" i="1"/>
  <c r="K4" i="1" s="1"/>
  <c r="N4" i="1" s="1"/>
  <c r="E4" i="1"/>
  <c r="H4" i="1" l="1"/>
  <c r="I4" i="1" s="1"/>
  <c r="C13" i="1" s="1"/>
  <c r="J4" i="1"/>
  <c r="M4" i="1" s="1"/>
  <c r="G8" i="1" s="1"/>
  <c r="E15" i="6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L4" i="1"/>
  <c r="E8" i="1" l="1"/>
  <c r="F8" i="1" s="1"/>
  <c r="E25" i="6"/>
  <c r="E26" i="6" s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<sst xmlns="http://schemas.openxmlformats.org/spreadsheetml/2006/main" count="112" uniqueCount="78">
  <si>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</si>
  <si>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</si>
  <si>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</si>
  <si>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</si>
  <si>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</si>
  <si>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</si>
  <si>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</si>
  <si>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</si>
  <si>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</si>
  <si>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</si>
  <si>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</si>
  <si>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</si>
  <si>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</si>
  <si>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</si>
  <si>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</si>
  <si>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</si>
  <si>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</si>
  <si>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</si>
  <si>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</si>
  <si>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</si>
  <si>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</si>
  <si>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</si>
  <si>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</si>
  <si>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</si>
  <si>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</si>
  <si>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</si>
  <si>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</si>
  <si>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</si>
  <si>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</si>
  <si>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</si>
  <si>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</si>
  <si>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</si>
  <si>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</si>
  <si>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</si>
  <si>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</si>
  <si>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</si>
  <si>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</si>
  <si>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</si>
  <si>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</si>
  <si>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</si>
  <si>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</si>
  <si>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</si>
  <si>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</si>
  <si>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</si>
  <si>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</si>
  <si>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</si>
  <si>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</si>
  <si>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</si>
  <si>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</si>
  <si>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</si>
  <si>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</si>
  <si>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</si>
  <si>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</si>
  <si>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</si>
  <si>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</si>
  <si>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</si>
  <si>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</si>
  <si>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</si>
  <si>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</si>
  <si>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</si>
  <si>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</si>
  <si>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</si>
  <si>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</si>
  <si>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</si>
  <si>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</si>
  <si>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</si>
  <si>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</si>
  <si>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</si>
  <si>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</si>
  <si>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</si>
  <si>
    <t xml:space="preserve">Радиус траектории тела = </t>
  </si>
  <si>
    <t xml:space="preserve">Макс. Радиус траектории = </t>
  </si>
  <si>
    <t xml:space="preserve">Макс. угол дуги = </t>
  </si>
  <si>
    <t>Функция кривизны</t>
  </si>
  <si>
    <t xml:space="preserve">range = </t>
  </si>
  <si>
    <t xml:space="preserve">Расстояние цикла [мм] = </t>
  </si>
  <si>
    <t xml:space="preserve">Кривизна траектории = </t>
  </si>
  <si>
    <t>Функция кривизны. Она определяет на сколько далеко находится точка вращения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</si>
</sst>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1" fontId="0" fillId="15" borderId="21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0" fontId="0" fillId="9" borderId="44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1" fontId="0" fillId="15" borderId="4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24" xfId="0" applyNumberForma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4" borderId="24" xfId="0" applyNumberForma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3" borderId="18" xfId="0" applyNumberFormat="1" applyFill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0" fillId="13" borderId="21" xfId="0" applyNumberFormat="1" applyFill="1" applyBorder="1" applyAlignment="1">
      <alignment horizontal="center"/>
    </xf>
    <xf numFmtId="2" fontId="0" fillId="14" borderId="18" xfId="0" applyNumberForma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2" fontId="1" fillId="10" borderId="20" xfId="0" applyNumberFormat="1" applyFont="1" applyFill="1" applyBorder="1" applyAlignment="1">
      <alignment horizontal="center"/>
    </xf>
    <xf numFmtId="2" fontId="1" fillId="10" borderId="21" xfId="0" applyNumberFormat="1" applyFont="1" applyFill="1" applyBorder="1" applyAlignment="1">
      <alignment horizontal="center"/>
    </xf>
    <xf numFmtId="2" fontId="0" fillId="13" borderId="39" xfId="0" applyNumberFormat="1" applyFill="1" applyBorder="1" applyAlignment="1">
      <alignment horizontal="center"/>
    </xf>
    <xf numFmtId="2" fontId="0" fillId="13" borderId="40" xfId="0" applyNumberFormat="1" applyFill="1" applyBorder="1" applyAlignment="1">
      <alignment horizontal="center"/>
    </xf>
    <xf numFmtId="2" fontId="0" fillId="13" borderId="41" xfId="0" applyNumberFormat="1" applyFill="1" applyBorder="1" applyAlignment="1">
      <alignment horizontal="center"/>
    </xf>
    <xf numFmtId="2" fontId="0" fillId="14" borderId="39" xfId="0" applyNumberFormat="1" applyFill="1" applyBorder="1" applyAlignment="1">
      <alignment horizontal="center"/>
    </xf>
    <xf numFmtId="2" fontId="0" fillId="14" borderId="40" xfId="0" applyNumberFormat="1" applyFill="1" applyBorder="1" applyAlignment="1">
      <alignment horizontal="center"/>
    </xf>
    <xf numFmtId="2" fontId="0" fillId="14" borderId="41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1" fillId="11" borderId="24" xfId="0" applyNumberFormat="1" applyFont="1" applyFill="1" applyBorder="1" applyAlignment="1">
      <alignment horizontal="center"/>
    </xf>
    <xf numFmtId="2" fontId="1" fillId="11" borderId="32" xfId="0" applyNumberFormat="1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2" fontId="1" fillId="11" borderId="13" xfId="0" applyNumberFormat="1" applyFont="1" applyFill="1" applyBorder="1" applyAlignment="1">
      <alignment horizontal="center"/>
    </xf>
    <xf numFmtId="2" fontId="1" fillId="11" borderId="14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</c:formatCode>
                <c:ptCount val="21"/>
                <c:pt idx="0">
                  <c:v>-104.86427732785779</c:v>
                </c:pt>
                <c:pt idx="1">
                  <c:v>-105.99391329540958</c:v>
                </c:pt>
                <c:pt idx="2">
                  <c:v>-107.09814841556084</c:v>
                </c:pt>
                <c:pt idx="3">
                  <c:v>-108.17682979673131</c:v>
                </c:pt>
                <c:pt idx="4">
                  <c:v>-109.22980808549258</c:v>
                </c:pt>
                <c:pt idx="5">
                  <c:v>-110.25693748724748</c:v>
                </c:pt>
                <c:pt idx="6">
                  <c:v>-111.25807578641667</c:v>
                </c:pt>
                <c:pt idx="7">
                  <c:v>-112.2330843661297</c:v>
                </c:pt>
                <c:pt idx="8">
                  <c:v>-113.18182822741775</c:v>
                </c:pt>
                <c:pt idx="9">
                  <c:v>-114.10417600790564</c:v>
                </c:pt>
                <c:pt idx="10">
                  <c:v>-115</c:v>
                </c:pt>
                <c:pt idx="11">
                  <c:v>-115.86917616857161</c:v>
                </c:pt>
                <c:pt idx="12">
                  <c:v>-116.71158416812932</c:v>
                </c:pt>
                <c:pt idx="13">
                  <c:v>-117.5271073594829</c:v>
                </c:pt>
                <c:pt idx="14">
                  <c:v>-118.31563282589275</c:v>
                </c:pt>
                <c:pt idx="15">
                  <c:v>-119.07705138870446</c:v>
                </c:pt>
                <c:pt idx="16">
                  <c:v>-119.81125762246543</c:v>
                </c:pt>
                <c:pt idx="17">
                  <c:v>-120.51814986952206</c:v>
                </c:pt>
                <c:pt idx="18">
                  <c:v>-121.19763025409532</c:v>
                </c:pt>
                <c:pt idx="19">
                  <c:v>-121.84960469583228</c:v>
                </c:pt>
                <c:pt idx="20">
                  <c:v>-122.47398292283262</c:v>
                </c:pt>
              </c:numCache>
            </c:numRef>
          </c:xVal>
          <c:yVal>
            <c:numRef>
              <c:f>'Advance trajectory'!$E$32:$E$52</c:f>
              <c:numCache>
                <c:formatCode>0.00</c:formatCode>
                <c:ptCount val="21"/>
                <c:pt idx="0">
                  <c:v>97.075757761376607</c:v>
                </c:pt>
                <c:pt idx="1">
                  <c:v>94.92369196981511</c:v>
                </c:pt>
                <c:pt idx="2">
                  <c:v>92.758483113879748</c:v>
                </c:pt>
                <c:pt idx="3">
                  <c:v>90.580430986791768</c:v>
                </c:pt>
                <c:pt idx="4">
                  <c:v>88.389837160042191</c:v>
                </c:pt>
                <c:pt idx="5">
                  <c:v>86.187004941636317</c:v>
                </c:pt>
                <c:pt idx="6">
                  <c:v>83.972239334098361</c:v>
                </c:pt>
                <c:pt idx="7">
                  <c:v>81.745846992240729</c:v>
                </c:pt>
                <c:pt idx="8">
                  <c:v>79.508136180704852</c:v>
                </c:pt>
                <c:pt idx="9">
                  <c:v>77.259416731279231</c:v>
                </c:pt>
                <c:pt idx="10">
                  <c:v>75.000000000000014</c:v>
                </c:pt>
                <c:pt idx="11">
                  <c:v>72.73019882404131</c:v>
                </c:pt>
                <c:pt idx="12">
                  <c:v>70.450327478399828</c:v>
                </c:pt>
                <c:pt idx="13">
                  <c:v>68.160701632380253</c:v>
                </c:pt>
                <c:pt idx="14">
                  <c:v>65.861638305888476</c:v>
                </c:pt>
                <c:pt idx="15">
                  <c:v>63.553455825536872</c:v>
                </c:pt>
                <c:pt idx="16">
                  <c:v>61.236473780569128</c:v>
                </c:pt>
                <c:pt idx="17">
                  <c:v>58.911012978610273</c:v>
                </c:pt>
                <c:pt idx="18">
                  <c:v>56.577395401247486</c:v>
                </c:pt>
                <c:pt idx="19">
                  <c:v>54.235944159449339</c:v>
                </c:pt>
                <c:pt idx="20">
                  <c:v>51.886983448827763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</c:formatCode>
                <c:ptCount val="21"/>
                <c:pt idx="0">
                  <c:v>-133.53082895337246</c:v>
                </c:pt>
                <c:pt idx="1">
                  <c:v>-133.80971047952286</c:v>
                </c:pt>
                <c:pt idx="2">
                  <c:v>-134.05933980351173</c:v>
                </c:pt>
                <c:pt idx="3">
                  <c:v>-134.27968236184699</c:v>
                </c:pt>
                <c:pt idx="4">
                  <c:v>-134.47070764606053</c:v>
                </c:pt>
                <c:pt idx="5">
                  <c:v>-134.6323892069324</c:v>
                </c:pt>
                <c:pt idx="6">
                  <c:v>-134.76470465815299</c:v>
                </c:pt>
                <c:pt idx="7">
                  <c:v>-134.86763567942242</c:v>
                </c:pt>
                <c:pt idx="8">
                  <c:v>-134.9411680189875</c:v>
                </c:pt>
                <c:pt idx="9">
                  <c:v>-134.98529149561472</c:v>
                </c:pt>
                <c:pt idx="10">
                  <c:v>-135</c:v>
                </c:pt>
                <c:pt idx="11">
                  <c:v>-134.98529149561472</c:v>
                </c:pt>
                <c:pt idx="12">
                  <c:v>-134.9411680189875</c:v>
                </c:pt>
                <c:pt idx="13">
                  <c:v>-134.86763567942245</c:v>
                </c:pt>
                <c:pt idx="14">
                  <c:v>-134.76470465815299</c:v>
                </c:pt>
                <c:pt idx="15">
                  <c:v>-134.6323892069324</c:v>
                </c:pt>
                <c:pt idx="16">
                  <c:v>-134.47070764606053</c:v>
                </c:pt>
                <c:pt idx="17">
                  <c:v>-134.27968236184699</c:v>
                </c:pt>
                <c:pt idx="18">
                  <c:v>-134.05933980351173</c:v>
                </c:pt>
                <c:pt idx="19">
                  <c:v>-133.80971047952286</c:v>
                </c:pt>
                <c:pt idx="20">
                  <c:v>-133.53082895337246</c:v>
                </c:pt>
              </c:numCache>
            </c:numRef>
          </c:xVal>
          <c:yVal>
            <c:numRef>
              <c:f>'Advance trajectory'!$H$32:$H$52</c:f>
              <c:numCache>
                <c:formatCode>0.00</c:formatCode>
                <c:ptCount val="21"/>
                <c:pt idx="0">
                  <c:v>24.942347902271187</c:v>
                </c:pt>
                <c:pt idx="1">
                  <c:v>22.457966091905934</c:v>
                </c:pt>
                <c:pt idx="2">
                  <c:v>19.970474768120752</c:v>
                </c:pt>
                <c:pt idx="3">
                  <c:v>17.480218347129536</c:v>
                </c:pt>
                <c:pt idx="4">
                  <c:v>14.98754162799951</c:v>
                </c:pt>
                <c:pt idx="5">
                  <c:v>12.492789744910681</c:v>
                </c:pt>
                <c:pt idx="6">
                  <c:v>9.9963081193684449</c:v>
                </c:pt>
                <c:pt idx="7">
                  <c:v>7.498442412377349</c:v>
                </c:pt>
                <c:pt idx="8">
                  <c:v>4.9995384765807396</c:v>
                </c:pt>
                <c:pt idx="9">
                  <c:v>2.4999423083744512</c:v>
                </c:pt>
                <c:pt idx="10">
                  <c:v>2.6029463266252034E-14</c:v>
                </c:pt>
                <c:pt idx="11">
                  <c:v>-2.4999423083743992</c:v>
                </c:pt>
                <c:pt idx="12">
                  <c:v>-4.9995384765806872</c:v>
                </c:pt>
                <c:pt idx="13">
                  <c:v>-7.4984424123772975</c:v>
                </c:pt>
                <c:pt idx="14">
                  <c:v>-9.9963081193683934</c:v>
                </c:pt>
                <c:pt idx="15">
                  <c:v>-12.492789744910629</c:v>
                </c:pt>
                <c:pt idx="16">
                  <c:v>-14.987541627999551</c:v>
                </c:pt>
                <c:pt idx="17">
                  <c:v>-17.480218347129487</c:v>
                </c:pt>
                <c:pt idx="18">
                  <c:v>-19.970474768120699</c:v>
                </c:pt>
                <c:pt idx="19">
                  <c:v>-22.457966091905885</c:v>
                </c:pt>
                <c:pt idx="20">
                  <c:v>-24.942347902271134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</c:formatCode>
                <c:ptCount val="21"/>
                <c:pt idx="0">
                  <c:v>-122.47398292283262</c:v>
                </c:pt>
                <c:pt idx="1">
                  <c:v>-121.84960469583228</c:v>
                </c:pt>
                <c:pt idx="2">
                  <c:v>-121.19763025409532</c:v>
                </c:pt>
                <c:pt idx="3">
                  <c:v>-120.51814986952206</c:v>
                </c:pt>
                <c:pt idx="4">
                  <c:v>-119.81125762246543</c:v>
                </c:pt>
                <c:pt idx="5">
                  <c:v>-119.07705138870446</c:v>
                </c:pt>
                <c:pt idx="6">
                  <c:v>-118.31563282589275</c:v>
                </c:pt>
                <c:pt idx="7">
                  <c:v>-117.5271073594829</c:v>
                </c:pt>
                <c:pt idx="8">
                  <c:v>-116.71158416812932</c:v>
                </c:pt>
                <c:pt idx="9">
                  <c:v>-115.86917616857161</c:v>
                </c:pt>
                <c:pt idx="10">
                  <c:v>-115</c:v>
                </c:pt>
                <c:pt idx="11">
                  <c:v>-114.10417600790564</c:v>
                </c:pt>
                <c:pt idx="12">
                  <c:v>-113.18182822741775</c:v>
                </c:pt>
                <c:pt idx="13">
                  <c:v>-112.2330843661297</c:v>
                </c:pt>
                <c:pt idx="14">
                  <c:v>-111.25807578641667</c:v>
                </c:pt>
                <c:pt idx="15">
                  <c:v>-110.25693748724748</c:v>
                </c:pt>
                <c:pt idx="16">
                  <c:v>-109.22980808549258</c:v>
                </c:pt>
                <c:pt idx="17">
                  <c:v>-108.17682979673131</c:v>
                </c:pt>
                <c:pt idx="18">
                  <c:v>-107.09814841556084</c:v>
                </c:pt>
                <c:pt idx="19">
                  <c:v>-105.99391329540958</c:v>
                </c:pt>
                <c:pt idx="20">
                  <c:v>-104.86427732785779</c:v>
                </c:pt>
              </c:numCache>
            </c:numRef>
          </c:xVal>
          <c:yVal>
            <c:numRef>
              <c:f>'Advance trajectory'!$K$32:$K$52</c:f>
              <c:numCache>
                <c:formatCode>0.00</c:formatCode>
                <c:ptCount val="21"/>
                <c:pt idx="0">
                  <c:v>-51.886983448827763</c:v>
                </c:pt>
                <c:pt idx="1">
                  <c:v>-54.235944159449339</c:v>
                </c:pt>
                <c:pt idx="2">
                  <c:v>-56.577395401247486</c:v>
                </c:pt>
                <c:pt idx="3">
                  <c:v>-58.911012978610273</c:v>
                </c:pt>
                <c:pt idx="4">
                  <c:v>-61.236473780569128</c:v>
                </c:pt>
                <c:pt idx="5">
                  <c:v>-63.553455825536872</c:v>
                </c:pt>
                <c:pt idx="6">
                  <c:v>-65.861638305888476</c:v>
                </c:pt>
                <c:pt idx="7">
                  <c:v>-68.160701632380253</c:v>
                </c:pt>
                <c:pt idx="8">
                  <c:v>-70.450327478399828</c:v>
                </c:pt>
                <c:pt idx="9">
                  <c:v>-72.73019882404131</c:v>
                </c:pt>
                <c:pt idx="10">
                  <c:v>-75.000000000000014</c:v>
                </c:pt>
                <c:pt idx="11">
                  <c:v>-77.259416731279231</c:v>
                </c:pt>
                <c:pt idx="12">
                  <c:v>-79.508136180704852</c:v>
                </c:pt>
                <c:pt idx="13">
                  <c:v>-81.745846992240729</c:v>
                </c:pt>
                <c:pt idx="14">
                  <c:v>-83.972239334098361</c:v>
                </c:pt>
                <c:pt idx="15">
                  <c:v>-86.187004941636317</c:v>
                </c:pt>
                <c:pt idx="16">
                  <c:v>-88.389837160042191</c:v>
                </c:pt>
                <c:pt idx="17">
                  <c:v>-90.580430986791768</c:v>
                </c:pt>
                <c:pt idx="18">
                  <c:v>-92.758483113879748</c:v>
                </c:pt>
                <c:pt idx="19">
                  <c:v>-94.92369196981511</c:v>
                </c:pt>
                <c:pt idx="20">
                  <c:v>-97.075757761376607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</c:formatCode>
                <c:ptCount val="21"/>
                <c:pt idx="0">
                  <c:v>123.54525919445554</c:v>
                </c:pt>
                <c:pt idx="1">
                  <c:v>122.71752876946249</c:v>
                </c:pt>
                <c:pt idx="2">
                  <c:v>121.88353197430089</c:v>
                </c:pt>
                <c:pt idx="3">
                  <c:v>121.04338428355177</c:v>
                </c:pt>
                <c:pt idx="4">
                  <c:v>120.19720202344473</c:v>
                </c:pt>
                <c:pt idx="5">
                  <c:v>119.34510235575135</c:v>
                </c:pt>
                <c:pt idx="6">
                  <c:v>118.4872032615631</c:v>
                </c:pt>
                <c:pt idx="7">
                  <c:v>117.62362352495578</c:v>
                </c:pt>
                <c:pt idx="8">
                  <c:v>116.7544827165427</c:v>
                </c:pt>
                <c:pt idx="9">
                  <c:v>115.87990117691915</c:v>
                </c:pt>
                <c:pt idx="10">
                  <c:v>115</c:v>
                </c:pt>
                <c:pt idx="11">
                  <c:v>114.11490101625319</c:v>
                </c:pt>
                <c:pt idx="12">
                  <c:v>113.22472677583113</c:v>
                </c:pt>
                <c:pt idx="13">
                  <c:v>112.32960053160257</c:v>
                </c:pt>
                <c:pt idx="14">
                  <c:v>111.42964622208703</c:v>
                </c:pt>
                <c:pt idx="15">
                  <c:v>110.5249884542944</c:v>
                </c:pt>
                <c:pt idx="16">
                  <c:v>109.61575248647191</c:v>
                </c:pt>
                <c:pt idx="17">
                  <c:v>108.70206421076099</c:v>
                </c:pt>
                <c:pt idx="18">
                  <c:v>107.78405013576642</c:v>
                </c:pt>
                <c:pt idx="19">
                  <c:v>106.86183736903985</c:v>
                </c:pt>
                <c:pt idx="20">
                  <c:v>105.93555359948068</c:v>
                </c:pt>
              </c:numCache>
            </c:numRef>
          </c:xVal>
          <c:yVal>
            <c:numRef>
              <c:f>'Advance trajectory'!$N$32:$N$52</c:f>
              <c:numCache>
                <c:formatCode>0.00</c:formatCode>
                <c:ptCount val="21"/>
                <c:pt idx="0">
                  <c:v>70.074209182415203</c:v>
                </c:pt>
                <c:pt idx="1">
                  <c:v>70.611631822500328</c:v>
                </c:pt>
                <c:pt idx="2">
                  <c:v>71.139277628126919</c:v>
                </c:pt>
                <c:pt idx="3">
                  <c:v>71.657073541845946</c:v>
                </c:pt>
                <c:pt idx="4">
                  <c:v>72.164947870017144</c:v>
                </c:pt>
                <c:pt idx="5">
                  <c:v>72.662830292735634</c:v>
                </c:pt>
                <c:pt idx="6">
                  <c:v>73.150651873568393</c:v>
                </c:pt>
                <c:pt idx="7">
                  <c:v>73.628345069099169</c:v>
                </c:pt>
                <c:pt idx="8">
                  <c:v>74.095843738280479</c:v>
                </c:pt>
                <c:pt idx="9">
                  <c:v>74.553083151591395</c:v>
                </c:pt>
                <c:pt idx="10">
                  <c:v>75</c:v>
                </c:pt>
                <c:pt idx="11">
                  <c:v>75.43653240372916</c:v>
                </c:pt>
                <c:pt idx="12">
                  <c:v>75.862619920824187</c:v>
                </c:pt>
                <c:pt idx="13">
                  <c:v>76.278203555521799</c:v>
                </c:pt>
                <c:pt idx="14">
                  <c:v>76.683225766418431</c:v>
                </c:pt>
                <c:pt idx="15">
                  <c:v>77.077630474437541</c:v>
                </c:pt>
                <c:pt idx="16">
                  <c:v>77.46136307059416</c:v>
                </c:pt>
                <c:pt idx="17">
                  <c:v>77.834370423556081</c:v>
                </c:pt>
                <c:pt idx="18">
                  <c:v>78.196600887000315</c:v>
                </c:pt>
                <c:pt idx="19">
                  <c:v>78.548004306764113</c:v>
                </c:pt>
                <c:pt idx="20">
                  <c:v>78.88853202778914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</c:formatCode>
                <c:ptCount val="21"/>
                <c:pt idx="0">
                  <c:v>134.60210522499534</c:v>
                </c:pt>
                <c:pt idx="1">
                  <c:v>134.6776345531531</c:v>
                </c:pt>
                <c:pt idx="2">
                  <c:v>134.74524152371728</c:v>
                </c:pt>
                <c:pt idx="3">
                  <c:v>134.80491677587665</c:v>
                </c:pt>
                <c:pt idx="4">
                  <c:v>134.8566520470398</c:v>
                </c:pt>
                <c:pt idx="5">
                  <c:v>134.90044017397929</c:v>
                </c:pt>
                <c:pt idx="6">
                  <c:v>134.9362750938233</c:v>
                </c:pt>
                <c:pt idx="7">
                  <c:v>134.9641518448953</c:v>
                </c:pt>
                <c:pt idx="8">
                  <c:v>134.98406656740087</c:v>
                </c:pt>
                <c:pt idx="9">
                  <c:v>134.99601650396224</c:v>
                </c:pt>
                <c:pt idx="10">
                  <c:v>135</c:v>
                </c:pt>
                <c:pt idx="11">
                  <c:v>134.99601650396224</c:v>
                </c:pt>
                <c:pt idx="12">
                  <c:v>134.98406656740087</c:v>
                </c:pt>
                <c:pt idx="13">
                  <c:v>134.9641518448953</c:v>
                </c:pt>
                <c:pt idx="14">
                  <c:v>134.9362750938233</c:v>
                </c:pt>
                <c:pt idx="15">
                  <c:v>134.90044017397929</c:v>
                </c:pt>
                <c:pt idx="16">
                  <c:v>134.8566520470398</c:v>
                </c:pt>
                <c:pt idx="17">
                  <c:v>134.80491677587665</c:v>
                </c:pt>
                <c:pt idx="18">
                  <c:v>134.74524152371728</c:v>
                </c:pt>
                <c:pt idx="19">
                  <c:v>134.6776345531531</c:v>
                </c:pt>
                <c:pt idx="20">
                  <c:v>134.60210522499534</c:v>
                </c:pt>
              </c:numCache>
            </c:numRef>
          </c:xVal>
          <c:yVal>
            <c:numRef>
              <c:f>'Advance trajectory'!$Q$32:$Q$52</c:f>
              <c:numCache>
                <c:formatCode>0.00</c:formatCode>
                <c:ptCount val="21"/>
                <c:pt idx="0">
                  <c:v>-6.755122168683612</c:v>
                </c:pt>
                <c:pt idx="1">
                  <c:v>-6.0822784288549183</c:v>
                </c:pt>
                <c:pt idx="2">
                  <c:v>-5.4085925412412958</c:v>
                </c:pt>
                <c:pt idx="3">
                  <c:v>-4.7341577838938296</c:v>
                </c:pt>
                <c:pt idx="4">
                  <c:v>-4.0590675385515533</c:v>
                </c:pt>
                <c:pt idx="5">
                  <c:v>-3.3834152777118858</c:v>
                </c:pt>
                <c:pt idx="6">
                  <c:v>-2.7072945516884968</c:v>
                </c:pt>
                <c:pt idx="7">
                  <c:v>-2.0307989756584015</c:v>
                </c:pt>
                <c:pt idx="8">
                  <c:v>-1.3540222167000664</c:v>
                </c:pt>
                <c:pt idx="9">
                  <c:v>-0.67705798082434421</c:v>
                </c:pt>
                <c:pt idx="10">
                  <c:v>0</c:v>
                </c:pt>
                <c:pt idx="11">
                  <c:v>0.6770579808243451</c:v>
                </c:pt>
                <c:pt idx="12">
                  <c:v>1.3540222167000664</c:v>
                </c:pt>
                <c:pt idx="13">
                  <c:v>2.0307989756584015</c:v>
                </c:pt>
                <c:pt idx="14">
                  <c:v>2.7072945516884963</c:v>
                </c:pt>
                <c:pt idx="15">
                  <c:v>3.3834152777118858</c:v>
                </c:pt>
                <c:pt idx="16">
                  <c:v>4.0590675385515542</c:v>
                </c:pt>
                <c:pt idx="17">
                  <c:v>4.7341577838938296</c:v>
                </c:pt>
                <c:pt idx="18">
                  <c:v>5.4085925412412958</c:v>
                </c:pt>
                <c:pt idx="19">
                  <c:v>6.0822784288549174</c:v>
                </c:pt>
                <c:pt idx="20">
                  <c:v>6.755122168683612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</c:formatCode>
                <c:ptCount val="21"/>
                <c:pt idx="0">
                  <c:v>105.93555359948068</c:v>
                </c:pt>
                <c:pt idx="1">
                  <c:v>106.86183736903985</c:v>
                </c:pt>
                <c:pt idx="2">
                  <c:v>107.78405013576642</c:v>
                </c:pt>
                <c:pt idx="3">
                  <c:v>108.70206421076099</c:v>
                </c:pt>
                <c:pt idx="4">
                  <c:v>109.61575248647191</c:v>
                </c:pt>
                <c:pt idx="5">
                  <c:v>110.5249884542944</c:v>
                </c:pt>
                <c:pt idx="6">
                  <c:v>111.42964622208703</c:v>
                </c:pt>
                <c:pt idx="7">
                  <c:v>112.32960053160257</c:v>
                </c:pt>
                <c:pt idx="8">
                  <c:v>113.22472677583113</c:v>
                </c:pt>
                <c:pt idx="9">
                  <c:v>114.11490101625319</c:v>
                </c:pt>
                <c:pt idx="10">
                  <c:v>115</c:v>
                </c:pt>
                <c:pt idx="11">
                  <c:v>115.87990117691916</c:v>
                </c:pt>
                <c:pt idx="12">
                  <c:v>116.7544827165427</c:v>
                </c:pt>
                <c:pt idx="13">
                  <c:v>117.62362352495578</c:v>
                </c:pt>
                <c:pt idx="14">
                  <c:v>118.4872032615631</c:v>
                </c:pt>
                <c:pt idx="15">
                  <c:v>119.34510235575135</c:v>
                </c:pt>
                <c:pt idx="16">
                  <c:v>120.19720202344473</c:v>
                </c:pt>
                <c:pt idx="17">
                  <c:v>121.04338428355177</c:v>
                </c:pt>
                <c:pt idx="18">
                  <c:v>121.88353197430089</c:v>
                </c:pt>
                <c:pt idx="19">
                  <c:v>122.71752876946249</c:v>
                </c:pt>
                <c:pt idx="20">
                  <c:v>123.54525919445554</c:v>
                </c:pt>
              </c:numCache>
            </c:numRef>
          </c:xVal>
          <c:yVal>
            <c:numRef>
              <c:f>'Advance trajectory'!$T$32:$T$52</c:f>
              <c:numCache>
                <c:formatCode>0.00</c:formatCode>
                <c:ptCount val="21"/>
                <c:pt idx="0">
                  <c:v>-78.88853202778914</c:v>
                </c:pt>
                <c:pt idx="1">
                  <c:v>-78.548004306764113</c:v>
                </c:pt>
                <c:pt idx="2">
                  <c:v>-78.196600887000315</c:v>
                </c:pt>
                <c:pt idx="3">
                  <c:v>-77.834370423556081</c:v>
                </c:pt>
                <c:pt idx="4">
                  <c:v>-77.46136307059416</c:v>
                </c:pt>
                <c:pt idx="5">
                  <c:v>-77.077630474437541</c:v>
                </c:pt>
                <c:pt idx="6">
                  <c:v>-76.683225766418431</c:v>
                </c:pt>
                <c:pt idx="7">
                  <c:v>-76.278203555521799</c:v>
                </c:pt>
                <c:pt idx="8">
                  <c:v>-75.862619920824187</c:v>
                </c:pt>
                <c:pt idx="9">
                  <c:v>-75.436532403729146</c:v>
                </c:pt>
                <c:pt idx="10">
                  <c:v>-75</c:v>
                </c:pt>
                <c:pt idx="11">
                  <c:v>-74.55308315159138</c:v>
                </c:pt>
                <c:pt idx="12">
                  <c:v>-74.095843738280479</c:v>
                </c:pt>
                <c:pt idx="13">
                  <c:v>-73.628345069099169</c:v>
                </c:pt>
                <c:pt idx="14">
                  <c:v>-73.150651873568393</c:v>
                </c:pt>
                <c:pt idx="15">
                  <c:v>-72.662830292735634</c:v>
                </c:pt>
                <c:pt idx="16">
                  <c:v>-72.164947870017144</c:v>
                </c:pt>
                <c:pt idx="17">
                  <c:v>-71.657073541845946</c:v>
                </c:pt>
                <c:pt idx="18">
                  <c:v>-71.139277628126919</c:v>
                </c:pt>
                <c:pt idx="19">
                  <c:v>-70.611631822500328</c:v>
                </c:pt>
                <c:pt idx="20">
                  <c:v>-70.074209182415203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0.00</c:formatCode>
                <c:ptCount val="1"/>
                <c:pt idx="0">
                  <c:v>77.459666924148308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 formatCode="0.00">
                  <c:v>77.459666924148308</c:v>
                </c:pt>
                <c:pt idx="1">
                  <c:v>-115</c:v>
                </c:pt>
                <c:pt idx="2" formatCode="0.00">
                  <c:v>77.459666924148308</c:v>
                </c:pt>
                <c:pt idx="3">
                  <c:v>-135</c:v>
                </c:pt>
                <c:pt idx="4" formatCode="0.00">
                  <c:v>77.459666924148308</c:v>
                </c:pt>
                <c:pt idx="5">
                  <c:v>-115</c:v>
                </c:pt>
                <c:pt idx="6" formatCode="0.00">
                  <c:v>77.459666924148308</c:v>
                </c:pt>
                <c:pt idx="7">
                  <c:v>115</c:v>
                </c:pt>
                <c:pt idx="8" formatCode="0.00">
                  <c:v>77.459666924148308</c:v>
                </c:pt>
                <c:pt idx="9">
                  <c:v>135</c:v>
                </c:pt>
                <c:pt idx="10" formatCode="0.00">
                  <c:v>77.459666924148308</c:v>
                </c:pt>
                <c:pt idx="11">
                  <c:v>115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-75</c:v>
                </c:pt>
                <c:pt idx="6">
                  <c:v>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49120"/>
        <c:axId val="218104576"/>
      </c:scatterChart>
      <c:valAx>
        <c:axId val="217349120"/>
        <c:scaling>
          <c:orientation val="minMax"/>
          <c:max val="150"/>
          <c:min val="-1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18104576"/>
        <c:crosses val="autoZero"/>
        <c:crossBetween val="midCat"/>
        <c:majorUnit val="25"/>
      </c:valAx>
      <c:valAx>
        <c:axId val="218104576"/>
        <c:scaling>
          <c:orientation val="minMax"/>
          <c:max val="150"/>
          <c:min val="-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17349120"/>
        <c:crosses val="autoZero"/>
        <c:crossBetween val="midCat"/>
        <c:majorUnit val="25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'Advance trajectory'!$V$3:$V$43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'Advance trajectory'!$W$3:$W$43</c:f>
              <c:numCache>
                <c:formatCode>0</c:formatCode>
                <c:ptCount val="41"/>
                <c:pt idx="0">
                  <c:v>-1</c:v>
                </c:pt>
                <c:pt idx="1">
                  <c:v>-1.5449255746015966</c:v>
                </c:pt>
                <c:pt idx="2">
                  <c:v>-2.3867950310580737</c:v>
                </c:pt>
                <c:pt idx="3">
                  <c:v>-3.6874206848136306</c:v>
                </c:pt>
                <c:pt idx="4">
                  <c:v>-5.6967905202835105</c:v>
                </c:pt>
                <c:pt idx="5">
                  <c:v>-8.8011173679339318</c:v>
                </c:pt>
                <c:pt idx="6">
                  <c:v>-13.597071306791424</c:v>
                </c:pt>
                <c:pt idx="7">
                  <c:v>-21.006463201543625</c:v>
                </c:pt>
                <c:pt idx="8">
                  <c:v>-32.453422231992072</c:v>
                </c:pt>
                <c:pt idx="9">
                  <c:v>-50.138121989548587</c:v>
                </c:pt>
                <c:pt idx="10">
                  <c:v>-77.459666924148308</c:v>
                </c:pt>
                <c:pt idx="11">
                  <c:v>-119.66942043123808</c:v>
                </c:pt>
                <c:pt idx="12">
                  <c:v>-184.88034812197066</c:v>
                </c:pt>
                <c:pt idx="13">
                  <c:v>-285.62637805487861</c:v>
                </c:pt>
                <c:pt idx="14">
                  <c:v>-441.2714962378065</c:v>
                </c:pt>
                <c:pt idx="15">
                  <c:v>-681.73161988049924</c:v>
                </c:pt>
                <c:pt idx="16">
                  <c:v>-1053.2246145679571</c:v>
                </c:pt>
                <c:pt idx="17">
                  <c:v>-1627.1536428459474</c:v>
                </c:pt>
                <c:pt idx="18">
                  <c:v>-2513.8312766388558</c:v>
                </c:pt>
                <c:pt idx="19">
                  <c:v>-3883.6822295127517</c:v>
                </c:pt>
                <c:pt idx="21">
                  <c:v>3883.6822295127517</c:v>
                </c:pt>
                <c:pt idx="22">
                  <c:v>2513.8312766388558</c:v>
                </c:pt>
                <c:pt idx="23">
                  <c:v>1627.1536428459474</c:v>
                </c:pt>
                <c:pt idx="24">
                  <c:v>1053.2246145679571</c:v>
                </c:pt>
                <c:pt idx="25">
                  <c:v>681.73161988049924</c:v>
                </c:pt>
                <c:pt idx="26">
                  <c:v>441.2714962378065</c:v>
                </c:pt>
                <c:pt idx="27">
                  <c:v>285.62637805487861</c:v>
                </c:pt>
                <c:pt idx="28">
                  <c:v>184.88034812197066</c:v>
                </c:pt>
                <c:pt idx="29">
                  <c:v>119.66942043123808</c:v>
                </c:pt>
                <c:pt idx="30">
                  <c:v>77.459666924148308</c:v>
                </c:pt>
                <c:pt idx="31">
                  <c:v>50.138121989548587</c:v>
                </c:pt>
                <c:pt idx="32">
                  <c:v>32.453422231992072</c:v>
                </c:pt>
                <c:pt idx="33">
                  <c:v>21.006463201543625</c:v>
                </c:pt>
                <c:pt idx="34">
                  <c:v>13.597071306791424</c:v>
                </c:pt>
                <c:pt idx="35">
                  <c:v>8.8011173679339318</c:v>
                </c:pt>
                <c:pt idx="36">
                  <c:v>5.6967905202835105</c:v>
                </c:pt>
                <c:pt idx="37">
                  <c:v>3.6874206848136306</c:v>
                </c:pt>
                <c:pt idx="38">
                  <c:v>2.3867950310580737</c:v>
                </c:pt>
                <c:pt idx="39">
                  <c:v>1.5449255746015966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4000"/>
        <c:axId val="218113536"/>
      </c:scatterChart>
      <c:valAx>
        <c:axId val="192384000"/>
        <c:scaling>
          <c:orientation val="minMax"/>
          <c:max val="1000"/>
          <c:min val="-1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113536"/>
        <c:crosses val="autoZero"/>
        <c:crossBetween val="midCat"/>
        <c:majorUnit val="200"/>
      </c:valAx>
      <c:valAx>
        <c:axId val="218113536"/>
        <c:scaling>
          <c:orientation val="minMax"/>
          <c:max val="10000"/>
          <c:min val="-1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384000"/>
        <c:crosses val="autoZero"/>
        <c:crossBetween val="midCat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'Joystick smooth'!$B$3:$B$38</c:f>
              <c:numCache>
                <c:formatCode>0.0000</c:formatCode>
                <c:ptCount val="36"/>
                <c:pt idx="0">
                  <c:v>-999.99999999999989</c:v>
                </c:pt>
                <c:pt idx="1">
                  <c:v>-941.17647058823525</c:v>
                </c:pt>
                <c:pt idx="2">
                  <c:v>-882.35294117647049</c:v>
                </c:pt>
                <c:pt idx="3">
                  <c:v>-823.52941176470586</c:v>
                </c:pt>
                <c:pt idx="4">
                  <c:v>-764.7058823529411</c:v>
                </c:pt>
                <c:pt idx="5">
                  <c:v>-705.88235294117646</c:v>
                </c:pt>
                <c:pt idx="6">
                  <c:v>-647.05882352941171</c:v>
                </c:pt>
                <c:pt idx="7">
                  <c:v>-588.23529411764707</c:v>
                </c:pt>
                <c:pt idx="8">
                  <c:v>-529.41176470588232</c:v>
                </c:pt>
                <c:pt idx="9">
                  <c:v>-470.58823529411762</c:v>
                </c:pt>
                <c:pt idx="10">
                  <c:v>-411.76470588235293</c:v>
                </c:pt>
                <c:pt idx="11">
                  <c:v>-352.94117647058823</c:v>
                </c:pt>
                <c:pt idx="12">
                  <c:v>-294.11764705882354</c:v>
                </c:pt>
                <c:pt idx="13">
                  <c:v>-235.29411764705881</c:v>
                </c:pt>
                <c:pt idx="14">
                  <c:v>-176.47058823529412</c:v>
                </c:pt>
                <c:pt idx="15">
                  <c:v>-117.64705882352941</c:v>
                </c:pt>
                <c:pt idx="16">
                  <c:v>-58.823529411764703</c:v>
                </c:pt>
                <c:pt idx="17">
                  <c:v>-11.76470588235294</c:v>
                </c:pt>
                <c:pt idx="18">
                  <c:v>11.76470588235294</c:v>
                </c:pt>
                <c:pt idx="19">
                  <c:v>58.823529411764703</c:v>
                </c:pt>
                <c:pt idx="20">
                  <c:v>117.64705882352941</c:v>
                </c:pt>
                <c:pt idx="21">
                  <c:v>176.47058823529412</c:v>
                </c:pt>
                <c:pt idx="22">
                  <c:v>235.29411764705881</c:v>
                </c:pt>
                <c:pt idx="23">
                  <c:v>294.11764705882354</c:v>
                </c:pt>
                <c:pt idx="24">
                  <c:v>352.94117647058823</c:v>
                </c:pt>
                <c:pt idx="25">
                  <c:v>411.76470588235293</c:v>
                </c:pt>
                <c:pt idx="26">
                  <c:v>470.58823529411762</c:v>
                </c:pt>
                <c:pt idx="27">
                  <c:v>529.41176470588232</c:v>
                </c:pt>
                <c:pt idx="28">
                  <c:v>588.23529411764707</c:v>
                </c:pt>
                <c:pt idx="29">
                  <c:v>647.05882352941171</c:v>
                </c:pt>
                <c:pt idx="30">
                  <c:v>705.88235294117646</c:v>
                </c:pt>
                <c:pt idx="31">
                  <c:v>764.7058823529411</c:v>
                </c:pt>
                <c:pt idx="32">
                  <c:v>823.52941176470586</c:v>
                </c:pt>
                <c:pt idx="33">
                  <c:v>882.35294117647049</c:v>
                </c:pt>
                <c:pt idx="34">
                  <c:v>941.17647058823525</c:v>
                </c:pt>
                <c:pt idx="35">
                  <c:v>999.99999999999989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32640"/>
        <c:axId val="218434176"/>
      </c:lineChart>
      <c:catAx>
        <c:axId val="218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4176"/>
        <c:crosses val="autoZero"/>
        <c:auto val="1"/>
        <c:lblAlgn val="ctr"/>
        <c:lblOffset val="100"/>
        <c:noMultiLvlLbl val="0"/>
      </c:catAx>
      <c:valAx>
        <c:axId val="2184341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843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20</xdr:col>
      <xdr:colOff>13893</xdr:colOff>
      <xdr:row>28</xdr:row>
      <xdr:rowOff>82808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44823</xdr:colOff>
      <xdr:row>3</xdr:row>
      <xdr:rowOff>40340</xdr:rowOff>
    </xdr:from>
    <xdr:to>
      <xdr:col>31</xdr:col>
      <xdr:colOff>44823</xdr:colOff>
      <xdr:row>35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47625</xdr:rowOff>
    </xdr:from>
    <xdr:to>
      <xdr:col>19</xdr:col>
      <xdr:colOff>209550</xdr:colOff>
      <xdr:row>35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106" t="s">
        <v>1</v>
      </c>
      <c r="F2" s="106"/>
      <c r="G2" s="106"/>
      <c r="H2" s="107" t="s">
        <v>2</v>
      </c>
      <c r="I2" s="107"/>
      <c r="J2" s="108" t="s">
        <v>3</v>
      </c>
      <c r="K2" s="108"/>
      <c r="L2" s="108"/>
      <c r="M2" s="109" t="s">
        <v>4</v>
      </c>
      <c r="N2" s="109"/>
    </row>
    <row r="3" spans="2:18" x14ac:dyDescent="0.25">
      <c r="B3" s="3" t="s">
        <v>5</v>
      </c>
      <c r="C3" s="4">
        <v>101</v>
      </c>
      <c r="E3" s="70" t="s">
        <v>6</v>
      </c>
      <c r="F3" s="71" t="s">
        <v>7</v>
      </c>
      <c r="G3" s="5" t="s">
        <v>8</v>
      </c>
      <c r="H3" s="6" t="s">
        <v>9</v>
      </c>
      <c r="I3" s="7" t="s">
        <v>10</v>
      </c>
      <c r="J3" s="8" t="s">
        <v>6</v>
      </c>
      <c r="K3" s="71" t="s">
        <v>7</v>
      </c>
      <c r="L3" s="9" t="s">
        <v>8</v>
      </c>
      <c r="M3" s="10" t="s">
        <v>11</v>
      </c>
      <c r="N3" s="11" t="s">
        <v>12</v>
      </c>
    </row>
    <row r="4" spans="2:18" x14ac:dyDescent="0.25">
      <c r="B4" s="3" t="s">
        <v>13</v>
      </c>
      <c r="C4" s="4">
        <v>47</v>
      </c>
      <c r="E4" s="12">
        <f>C9*COS(RADIANS(C2)) + C11*SIN(RADIANS(C2))</f>
        <v>95.459415460183919</v>
      </c>
      <c r="F4" s="13">
        <f>C10</f>
        <v>-15</v>
      </c>
      <c r="G4" s="14">
        <f>-C9*SIN(RADIANS(C2)) + C11*COS(RADIANS(C2))</f>
        <v>-95.459415460183905</v>
      </c>
      <c r="H4" s="15">
        <f>ATAN2(E4, G4)</f>
        <v>-0.78539816339744828</v>
      </c>
      <c r="I4" s="16">
        <f>DEGREES(H4)</f>
        <v>-45</v>
      </c>
      <c r="J4" s="17">
        <f>E4*COS(H4) + G4*SIN(H4)</f>
        <v>135</v>
      </c>
      <c r="K4" s="13">
        <f>F4</f>
        <v>-15</v>
      </c>
      <c r="L4" s="18">
        <f>-E4*SIN(H4) + G4*COS(H4)</f>
        <v>0</v>
      </c>
      <c r="M4" s="19">
        <f>J4-C5</f>
        <v>95</v>
      </c>
      <c r="N4" s="20">
        <f>K4</f>
        <v>-15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107" t="s">
        <v>16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21"/>
      <c r="Q6" s="21"/>
      <c r="R6" s="21"/>
    </row>
    <row r="7" spans="2:18" x14ac:dyDescent="0.25">
      <c r="B7" s="22" t="s">
        <v>17</v>
      </c>
      <c r="C7" s="23">
        <v>141</v>
      </c>
      <c r="E7" s="103" t="s">
        <v>18</v>
      </c>
      <c r="F7" s="103"/>
      <c r="G7" s="71" t="s">
        <v>19</v>
      </c>
      <c r="H7" s="71" t="s">
        <v>20</v>
      </c>
      <c r="I7" s="71" t="s">
        <v>21</v>
      </c>
      <c r="J7" s="71" t="s">
        <v>22</v>
      </c>
      <c r="K7" s="24" t="s">
        <v>23</v>
      </c>
      <c r="L7" s="104" t="s">
        <v>24</v>
      </c>
      <c r="M7" s="104"/>
      <c r="N7" s="105" t="s">
        <v>25</v>
      </c>
      <c r="O7" s="105"/>
      <c r="P7" s="25"/>
      <c r="Q7" s="25"/>
      <c r="R7" s="25"/>
    </row>
    <row r="8" spans="2:18" x14ac:dyDescent="0.25">
      <c r="E8" s="26">
        <f>ATAN2(M4, N4)</f>
        <v>-0.15660187698201536</v>
      </c>
      <c r="F8" s="27">
        <f>DEGREES(E8)</f>
        <v>-8.9726266148963933</v>
      </c>
      <c r="G8" s="27">
        <f>SQRT(M4*M4+N4*N4)</f>
        <v>96.176920308356728</v>
      </c>
      <c r="H8" s="28" t="str">
        <f>IF(C6 + C7 &gt;G8, "TRUE", "FALSE")</f>
        <v>TRUE</v>
      </c>
      <c r="I8" s="29">
        <f>C6*C6</f>
        <v>7056</v>
      </c>
      <c r="J8" s="29">
        <f>C7*C7</f>
        <v>19881</v>
      </c>
      <c r="K8" s="30">
        <f>G8*G8</f>
        <v>9250</v>
      </c>
      <c r="L8" s="27">
        <f>ACOS((I8 + K8 - J8) / (2 * C6 * G8))</f>
        <v>1.7938989691855225</v>
      </c>
      <c r="M8" s="27">
        <f>DEGREES(L8)</f>
        <v>102.78283980719935</v>
      </c>
      <c r="N8" s="13">
        <f>ACOS(( J8 + I8 - K8) / (2 * C7 * C6))</f>
        <v>0.72776201674430985</v>
      </c>
      <c r="O8" s="31">
        <f>DEGREES(N8)</f>
        <v>41.697692049378105</v>
      </c>
      <c r="P8" s="32"/>
      <c r="Q8" s="32"/>
      <c r="R8" s="32"/>
    </row>
    <row r="9" spans="2:18" x14ac:dyDescent="0.25">
      <c r="B9" s="33" t="s">
        <v>26</v>
      </c>
      <c r="C9" s="34">
        <v>135</v>
      </c>
    </row>
    <row r="10" spans="2:18" x14ac:dyDescent="0.25">
      <c r="B10" s="35" t="s">
        <v>27</v>
      </c>
      <c r="C10" s="36">
        <v>-15</v>
      </c>
    </row>
    <row r="11" spans="2:18" x14ac:dyDescent="0.25">
      <c r="B11" s="37" t="s">
        <v>28</v>
      </c>
      <c r="C11" s="38">
        <v>0</v>
      </c>
    </row>
    <row r="13" spans="2:18" x14ac:dyDescent="0.25">
      <c r="B13" s="39" t="s">
        <v>29</v>
      </c>
      <c r="C13" s="40">
        <f>I4</f>
        <v>-45</v>
      </c>
    </row>
    <row r="14" spans="2:18" x14ac:dyDescent="0.25">
      <c r="B14" s="41" t="s">
        <v>30</v>
      </c>
      <c r="C14" s="42">
        <f>C3 - M8 - F8</f>
        <v>7.1897868076970415</v>
      </c>
    </row>
    <row r="15" spans="2:18" x14ac:dyDescent="0.25">
      <c r="B15" s="43" t="s">
        <v>31</v>
      </c>
      <c r="C15" s="44">
        <f>O8-C4</f>
        <v>-5.3023079506218949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/>
  </sheetViews>
  <sheetFormatPr defaultColWidth="11.5703125" defaultRowHeight="15" x14ac:dyDescent="0.25"/>
  <cols>
    <col min="1" max="1" width="3" customWidth="1"/>
    <col min="2" max="20" width="11.7109375" customWidth="1"/>
    <col min="21" max="21" width="1.85546875" customWidth="1"/>
  </cols>
  <sheetData>
    <row r="1" spans="1:28" ht="15.75" thickBot="1" x14ac:dyDescent="0.3">
      <c r="A1" s="49">
        <v>0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5.75" thickBot="1" x14ac:dyDescent="0.3">
      <c r="B2" s="145" t="s">
        <v>76</v>
      </c>
      <c r="C2" s="146"/>
      <c r="D2" s="149">
        <v>500</v>
      </c>
      <c r="E2" s="150"/>
      <c r="G2" s="102"/>
      <c r="H2" s="102"/>
      <c r="I2" s="51"/>
      <c r="J2" s="51"/>
      <c r="O2" s="55"/>
      <c r="P2" s="55"/>
      <c r="Q2" s="55"/>
      <c r="R2" s="55"/>
      <c r="S2" s="55"/>
      <c r="T2" s="55"/>
      <c r="U2" s="55"/>
      <c r="V2" s="110" t="s">
        <v>73</v>
      </c>
      <c r="W2" s="111"/>
      <c r="X2" s="78" t="s">
        <v>74</v>
      </c>
      <c r="Y2" s="69">
        <v>6000</v>
      </c>
      <c r="AA2" s="55"/>
      <c r="AB2" s="55"/>
    </row>
    <row r="3" spans="1:28" ht="15.75" thickBot="1" x14ac:dyDescent="0.3">
      <c r="B3" s="147" t="s">
        <v>75</v>
      </c>
      <c r="C3" s="148"/>
      <c r="D3" s="151">
        <v>50</v>
      </c>
      <c r="E3" s="152"/>
      <c r="G3" s="72"/>
      <c r="H3" s="72"/>
      <c r="O3" s="55"/>
      <c r="P3" s="55"/>
      <c r="Q3" s="55"/>
      <c r="R3" s="55"/>
      <c r="S3" s="55"/>
      <c r="T3" s="55"/>
      <c r="U3" s="55"/>
      <c r="V3" s="75">
        <v>-1000</v>
      </c>
      <c r="W3" s="76">
        <f>EXP((1000 - ABS(V3)) / $Y$3) * (V3 / ABS(V3))</f>
        <v>-1</v>
      </c>
      <c r="X3" s="79" t="s">
        <v>69</v>
      </c>
      <c r="Y3" s="77">
        <f>V43 / LN(Y2)</f>
        <v>114.94894013551004</v>
      </c>
      <c r="Z3" s="55"/>
      <c r="AA3" s="55"/>
      <c r="AB3" s="55"/>
    </row>
    <row r="4" spans="1:28" ht="15.75" thickBot="1" x14ac:dyDescent="0.3">
      <c r="O4" s="55"/>
      <c r="P4" s="55"/>
      <c r="Q4" s="55"/>
      <c r="R4" s="55"/>
      <c r="S4" s="55"/>
      <c r="T4" s="55"/>
      <c r="U4" s="55"/>
      <c r="V4" s="73">
        <v>-950</v>
      </c>
      <c r="W4" s="76">
        <f t="shared" ref="W4:W43" si="0">EXP((1000 - ABS(V4)) / $Y$3) * (V4 / ABS(V4))</f>
        <v>-1.5449255746015966</v>
      </c>
      <c r="X4" s="55"/>
      <c r="Y4" s="55"/>
      <c r="Z4" s="55"/>
      <c r="AA4" s="55"/>
      <c r="AB4" s="55"/>
    </row>
    <row r="5" spans="1:28" ht="15.75" thickBot="1" x14ac:dyDescent="0.3">
      <c r="B5" s="155" t="s">
        <v>44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N5" s="51"/>
      <c r="O5" s="48"/>
      <c r="P5" s="48"/>
      <c r="Q5" s="48"/>
      <c r="R5" s="48"/>
      <c r="S5" s="55"/>
      <c r="T5" s="55"/>
      <c r="U5" s="55"/>
      <c r="V5" s="73">
        <v>-900</v>
      </c>
      <c r="W5" s="76">
        <f t="shared" si="0"/>
        <v>-2.3867950310580737</v>
      </c>
      <c r="X5" s="55"/>
      <c r="Y5" s="55"/>
      <c r="Z5" s="55"/>
      <c r="AA5" s="55"/>
      <c r="AB5" s="55"/>
    </row>
    <row r="6" spans="1:28" x14ac:dyDescent="0.25">
      <c r="B6" s="161" t="s">
        <v>38</v>
      </c>
      <c r="C6" s="162"/>
      <c r="D6" s="161" t="s">
        <v>39</v>
      </c>
      <c r="E6" s="162"/>
      <c r="F6" s="161" t="s">
        <v>40</v>
      </c>
      <c r="G6" s="162"/>
      <c r="H6" s="161" t="s">
        <v>41</v>
      </c>
      <c r="I6" s="162"/>
      <c r="J6" s="161" t="s">
        <v>42</v>
      </c>
      <c r="K6" s="162"/>
      <c r="L6" s="161" t="s">
        <v>43</v>
      </c>
      <c r="M6" s="162"/>
      <c r="O6" s="55"/>
      <c r="P6" s="55"/>
      <c r="Q6" s="55"/>
      <c r="R6" s="55"/>
      <c r="S6" s="55"/>
      <c r="T6" s="55"/>
      <c r="U6" s="55"/>
      <c r="V6" s="73">
        <v>-850</v>
      </c>
      <c r="W6" s="76">
        <f t="shared" si="0"/>
        <v>-3.6874206848136306</v>
      </c>
      <c r="X6" s="55"/>
      <c r="Y6" s="55"/>
      <c r="Z6" s="55"/>
      <c r="AA6" s="55"/>
      <c r="AB6" s="55"/>
    </row>
    <row r="7" spans="1:28" x14ac:dyDescent="0.25">
      <c r="B7" s="52" t="s">
        <v>33</v>
      </c>
      <c r="C7" s="46">
        <v>-115</v>
      </c>
      <c r="D7" s="52" t="s">
        <v>33</v>
      </c>
      <c r="E7" s="46">
        <v>-135</v>
      </c>
      <c r="F7" s="52" t="s">
        <v>33</v>
      </c>
      <c r="G7" s="46">
        <v>-115</v>
      </c>
      <c r="H7" s="52" t="s">
        <v>33</v>
      </c>
      <c r="I7" s="46">
        <v>115</v>
      </c>
      <c r="J7" s="52" t="s">
        <v>33</v>
      </c>
      <c r="K7" s="46">
        <v>135</v>
      </c>
      <c r="L7" s="52" t="s">
        <v>33</v>
      </c>
      <c r="M7" s="46">
        <v>115</v>
      </c>
      <c r="O7" s="55"/>
      <c r="P7" s="45"/>
      <c r="Q7" s="54"/>
      <c r="R7" s="45"/>
      <c r="S7" s="54"/>
      <c r="T7" s="45"/>
      <c r="U7" s="54"/>
      <c r="V7" s="73">
        <v>-800</v>
      </c>
      <c r="W7" s="76">
        <f t="shared" si="0"/>
        <v>-5.6967905202835105</v>
      </c>
      <c r="X7" s="45"/>
      <c r="Y7" s="54"/>
      <c r="Z7" s="45"/>
      <c r="AA7" s="54"/>
      <c r="AB7" s="55"/>
    </row>
    <row r="8" spans="1:28" x14ac:dyDescent="0.25">
      <c r="B8" s="52" t="s">
        <v>34</v>
      </c>
      <c r="C8" s="46">
        <v>0</v>
      </c>
      <c r="D8" s="52" t="s">
        <v>34</v>
      </c>
      <c r="E8" s="46">
        <v>0</v>
      </c>
      <c r="F8" s="52" t="s">
        <v>34</v>
      </c>
      <c r="G8" s="46">
        <v>0</v>
      </c>
      <c r="H8" s="52" t="s">
        <v>34</v>
      </c>
      <c r="I8" s="46">
        <v>0</v>
      </c>
      <c r="J8" s="52" t="s">
        <v>34</v>
      </c>
      <c r="K8" s="46">
        <v>0</v>
      </c>
      <c r="L8" s="52" t="s">
        <v>34</v>
      </c>
      <c r="M8" s="46">
        <v>0</v>
      </c>
      <c r="O8" s="55"/>
      <c r="P8" s="45"/>
      <c r="Q8" s="54"/>
      <c r="R8" s="45"/>
      <c r="S8" s="54"/>
      <c r="T8" s="45"/>
      <c r="U8" s="54"/>
      <c r="V8" s="73">
        <v>-750</v>
      </c>
      <c r="W8" s="76">
        <f t="shared" si="0"/>
        <v>-8.8011173679339318</v>
      </c>
      <c r="X8" s="45"/>
      <c r="Y8" s="54"/>
      <c r="Z8" s="45"/>
      <c r="AA8" s="54"/>
      <c r="AB8" s="55"/>
    </row>
    <row r="9" spans="1:28" ht="15.75" thickBot="1" x14ac:dyDescent="0.3">
      <c r="B9" s="53" t="s">
        <v>36</v>
      </c>
      <c r="C9" s="47">
        <v>75</v>
      </c>
      <c r="D9" s="53" t="s">
        <v>36</v>
      </c>
      <c r="E9" s="47">
        <v>0</v>
      </c>
      <c r="F9" s="53" t="s">
        <v>36</v>
      </c>
      <c r="G9" s="47">
        <v>-75</v>
      </c>
      <c r="H9" s="53" t="s">
        <v>36</v>
      </c>
      <c r="I9" s="47">
        <v>75</v>
      </c>
      <c r="J9" s="53" t="s">
        <v>36</v>
      </c>
      <c r="K9" s="47">
        <v>0</v>
      </c>
      <c r="L9" s="53" t="s">
        <v>36</v>
      </c>
      <c r="M9" s="47">
        <v>-75</v>
      </c>
      <c r="O9" s="55"/>
      <c r="P9" s="45"/>
      <c r="Q9" s="54"/>
      <c r="R9" s="45"/>
      <c r="S9" s="54"/>
      <c r="T9" s="45"/>
      <c r="U9" s="54"/>
      <c r="V9" s="73">
        <v>-700</v>
      </c>
      <c r="W9" s="76">
        <f t="shared" si="0"/>
        <v>-13.597071306791424</v>
      </c>
      <c r="X9" s="45"/>
      <c r="Y9" s="54"/>
      <c r="Z9" s="45"/>
      <c r="AA9" s="54"/>
      <c r="AB9" s="55"/>
    </row>
    <row r="10" spans="1:28" ht="15.75" thickBot="1" x14ac:dyDescent="0.3">
      <c r="G10" s="49"/>
      <c r="O10" s="55"/>
      <c r="P10" s="55"/>
      <c r="Q10" s="55"/>
      <c r="R10" s="55"/>
      <c r="S10" s="55"/>
      <c r="T10" s="55"/>
      <c r="U10" s="55"/>
      <c r="V10" s="73">
        <v>-650</v>
      </c>
      <c r="W10" s="76">
        <f t="shared" si="0"/>
        <v>-21.006463201543625</v>
      </c>
      <c r="X10" s="55"/>
      <c r="Y10" s="55"/>
      <c r="Z10" s="55"/>
      <c r="AA10" s="55"/>
      <c r="AB10" s="55"/>
    </row>
    <row r="11" spans="1:28" ht="15.75" thickBot="1" x14ac:dyDescent="0.3">
      <c r="B11" s="158" t="s">
        <v>37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60"/>
      <c r="O11" s="55"/>
      <c r="P11" s="55"/>
      <c r="Q11" s="55"/>
      <c r="R11" s="55"/>
      <c r="S11" s="55"/>
      <c r="T11" s="55"/>
      <c r="U11" s="55"/>
      <c r="V11" s="73">
        <v>-600</v>
      </c>
      <c r="W11" s="76">
        <f t="shared" si="0"/>
        <v>-32.453422231992072</v>
      </c>
      <c r="X11" s="55"/>
      <c r="Y11" s="55"/>
      <c r="Z11" s="55"/>
      <c r="AA11" s="55"/>
      <c r="AB11" s="55"/>
    </row>
    <row r="12" spans="1:28" x14ac:dyDescent="0.25">
      <c r="B12" s="153" t="s">
        <v>70</v>
      </c>
      <c r="C12" s="154"/>
      <c r="D12" s="154"/>
      <c r="E12" s="166">
        <f>EXP((1000 - ABS(D2)) / $Y$3) * (D2 / ABS(D2))</f>
        <v>77.459666924148308</v>
      </c>
      <c r="F12" s="167"/>
      <c r="G12" s="163" t="s">
        <v>77</v>
      </c>
      <c r="H12" s="164"/>
      <c r="I12" s="164"/>
      <c r="J12" s="164"/>
      <c r="K12" s="164"/>
      <c r="L12" s="164"/>
      <c r="M12" s="165"/>
      <c r="O12" s="55"/>
      <c r="P12" s="55"/>
      <c r="Q12" s="55"/>
      <c r="R12" s="55"/>
      <c r="S12" s="55"/>
      <c r="T12" s="55"/>
      <c r="U12" s="55"/>
      <c r="V12" s="73">
        <v>-550</v>
      </c>
      <c r="W12" s="76">
        <f t="shared" si="0"/>
        <v>-50.138121989548587</v>
      </c>
      <c r="X12" s="55"/>
      <c r="Y12" s="55"/>
      <c r="Z12" s="55"/>
      <c r="AA12" s="55"/>
      <c r="AB12" s="55"/>
    </row>
    <row r="13" spans="1:28" ht="15" customHeight="1" x14ac:dyDescent="0.25">
      <c r="B13" s="124" t="s">
        <v>59</v>
      </c>
      <c r="C13" s="125"/>
      <c r="D13" s="125"/>
      <c r="E13" s="168">
        <f>SQRT((E12-C7)^2+C9^2)</f>
        <v>206.55682848202841</v>
      </c>
      <c r="F13" s="169"/>
      <c r="G13" s="140" t="s">
        <v>66</v>
      </c>
      <c r="H13" s="141"/>
      <c r="I13" s="141"/>
      <c r="J13" s="141"/>
      <c r="K13" s="141"/>
      <c r="L13" s="141"/>
      <c r="M13" s="142"/>
      <c r="O13" s="55"/>
      <c r="P13" s="55"/>
      <c r="Q13" s="55"/>
      <c r="R13" s="55"/>
      <c r="S13" s="55"/>
      <c r="T13" s="55"/>
      <c r="U13" s="55"/>
      <c r="V13" s="73">
        <v>-500</v>
      </c>
      <c r="W13" s="76">
        <f t="shared" si="0"/>
        <v>-77.459666924148308</v>
      </c>
      <c r="X13" s="55"/>
      <c r="Y13" s="55"/>
      <c r="Z13" s="55"/>
      <c r="AA13" s="55"/>
      <c r="AB13" s="55"/>
    </row>
    <row r="14" spans="1:28" x14ac:dyDescent="0.25">
      <c r="B14" s="124" t="s">
        <v>60</v>
      </c>
      <c r="C14" s="125"/>
      <c r="D14" s="125"/>
      <c r="E14" s="168">
        <f>SQRT((E12-E7)^2+E9^2)</f>
        <v>212.45966692414831</v>
      </c>
      <c r="F14" s="169"/>
      <c r="G14" s="140"/>
      <c r="H14" s="141"/>
      <c r="I14" s="141"/>
      <c r="J14" s="141"/>
      <c r="K14" s="141"/>
      <c r="L14" s="141"/>
      <c r="M14" s="142"/>
      <c r="O14" s="55"/>
      <c r="P14" s="55"/>
      <c r="Q14" s="55"/>
      <c r="R14" s="55"/>
      <c r="S14" s="55"/>
      <c r="T14" s="55"/>
      <c r="U14" s="55"/>
      <c r="V14" s="73">
        <v>-450</v>
      </c>
      <c r="W14" s="76">
        <f t="shared" si="0"/>
        <v>-119.66942043123808</v>
      </c>
      <c r="X14" s="55"/>
      <c r="Y14" s="55"/>
      <c r="Z14" s="55"/>
      <c r="AA14" s="55"/>
      <c r="AB14" s="55"/>
    </row>
    <row r="15" spans="1:28" x14ac:dyDescent="0.25">
      <c r="B15" s="124" t="s">
        <v>61</v>
      </c>
      <c r="C15" s="125"/>
      <c r="D15" s="125"/>
      <c r="E15" s="168">
        <f>SQRT((E12-G7)^2+G9^2)</f>
        <v>206.55682848202841</v>
      </c>
      <c r="F15" s="169"/>
      <c r="G15" s="140"/>
      <c r="H15" s="141"/>
      <c r="I15" s="141"/>
      <c r="J15" s="141"/>
      <c r="K15" s="141"/>
      <c r="L15" s="141"/>
      <c r="M15" s="142"/>
      <c r="O15" s="55"/>
      <c r="P15" s="55"/>
      <c r="Q15" s="55"/>
      <c r="R15" s="55"/>
      <c r="S15" s="55"/>
      <c r="T15" s="55"/>
      <c r="U15" s="55"/>
      <c r="V15" s="73">
        <v>-400</v>
      </c>
      <c r="W15" s="76">
        <f t="shared" si="0"/>
        <v>-184.88034812197066</v>
      </c>
      <c r="X15" s="55"/>
      <c r="Y15" s="55"/>
      <c r="Z15" s="55"/>
      <c r="AA15" s="55"/>
      <c r="AB15" s="55"/>
    </row>
    <row r="16" spans="1:28" x14ac:dyDescent="0.25">
      <c r="B16" s="124" t="s">
        <v>62</v>
      </c>
      <c r="C16" s="125"/>
      <c r="D16" s="125"/>
      <c r="E16" s="168">
        <f>SQRT((E12-I7)^2+I9^2)</f>
        <v>83.870594414525797</v>
      </c>
      <c r="F16" s="169"/>
      <c r="G16" s="140"/>
      <c r="H16" s="141"/>
      <c r="I16" s="141"/>
      <c r="J16" s="141"/>
      <c r="K16" s="141"/>
      <c r="L16" s="141"/>
      <c r="M16" s="142"/>
      <c r="V16" s="73">
        <v>-350</v>
      </c>
      <c r="W16" s="76">
        <f t="shared" si="0"/>
        <v>-285.62637805487861</v>
      </c>
    </row>
    <row r="17" spans="2:23" x14ac:dyDescent="0.25">
      <c r="B17" s="124" t="s">
        <v>63</v>
      </c>
      <c r="C17" s="125"/>
      <c r="D17" s="125"/>
      <c r="E17" s="168">
        <f>SQRT((E12-K7)^2+K9^2)</f>
        <v>57.540333075851692</v>
      </c>
      <c r="F17" s="169"/>
      <c r="G17" s="140"/>
      <c r="H17" s="141"/>
      <c r="I17" s="141"/>
      <c r="J17" s="141"/>
      <c r="K17" s="141"/>
      <c r="L17" s="141"/>
      <c r="M17" s="142"/>
      <c r="V17" s="73">
        <v>-300</v>
      </c>
      <c r="W17" s="76">
        <f t="shared" si="0"/>
        <v>-441.2714962378065</v>
      </c>
    </row>
    <row r="18" spans="2:23" x14ac:dyDescent="0.25">
      <c r="B18" s="124" t="s">
        <v>64</v>
      </c>
      <c r="C18" s="125"/>
      <c r="D18" s="125"/>
      <c r="E18" s="168">
        <f>SQRT((E12-M7)^2+M9^2)</f>
        <v>83.870594414525797</v>
      </c>
      <c r="F18" s="169"/>
      <c r="G18" s="140"/>
      <c r="H18" s="141"/>
      <c r="I18" s="141"/>
      <c r="J18" s="141"/>
      <c r="K18" s="141"/>
      <c r="L18" s="141"/>
      <c r="M18" s="142"/>
      <c r="V18" s="73">
        <v>-250</v>
      </c>
      <c r="W18" s="76">
        <f t="shared" si="0"/>
        <v>-681.73161988049924</v>
      </c>
    </row>
    <row r="19" spans="2:23" x14ac:dyDescent="0.25">
      <c r="B19" s="124" t="s">
        <v>52</v>
      </c>
      <c r="C19" s="125"/>
      <c r="D19" s="125"/>
      <c r="E19" s="170">
        <f>ATAN2(-(E12-C7), C9)</f>
        <v>2.7700039117877941</v>
      </c>
      <c r="F19" s="171">
        <f t="shared" ref="F19:F24" si="1">DEGREES(E19)</f>
        <v>158.70953338016898</v>
      </c>
      <c r="G19" s="114" t="s">
        <v>68</v>
      </c>
      <c r="H19" s="115"/>
      <c r="I19" s="115"/>
      <c r="J19" s="115"/>
      <c r="K19" s="115"/>
      <c r="L19" s="115"/>
      <c r="M19" s="116"/>
      <c r="V19" s="73">
        <v>-200</v>
      </c>
      <c r="W19" s="76">
        <f t="shared" si="0"/>
        <v>-1053.2246145679571</v>
      </c>
    </row>
    <row r="20" spans="2:23" x14ac:dyDescent="0.25">
      <c r="B20" s="124" t="s">
        <v>53</v>
      </c>
      <c r="C20" s="125"/>
      <c r="D20" s="125"/>
      <c r="E20" s="170">
        <f>ATAN2(-(E12-E7), E9)</f>
        <v>3.1415926535897931</v>
      </c>
      <c r="F20" s="171">
        <f t="shared" si="1"/>
        <v>180</v>
      </c>
      <c r="G20" s="117"/>
      <c r="H20" s="118"/>
      <c r="I20" s="118"/>
      <c r="J20" s="118"/>
      <c r="K20" s="118"/>
      <c r="L20" s="118"/>
      <c r="M20" s="119"/>
      <c r="V20" s="73">
        <v>-150</v>
      </c>
      <c r="W20" s="76">
        <f t="shared" si="0"/>
        <v>-1627.1536428459474</v>
      </c>
    </row>
    <row r="21" spans="2:23" x14ac:dyDescent="0.25">
      <c r="B21" s="124" t="s">
        <v>54</v>
      </c>
      <c r="C21" s="125"/>
      <c r="D21" s="125"/>
      <c r="E21" s="170">
        <f>ATAN2(-(E12-G7), G9)</f>
        <v>-2.7700039117877941</v>
      </c>
      <c r="F21" s="171">
        <f t="shared" si="1"/>
        <v>-158.70953338016898</v>
      </c>
      <c r="G21" s="117"/>
      <c r="H21" s="118"/>
      <c r="I21" s="118"/>
      <c r="J21" s="118"/>
      <c r="K21" s="118"/>
      <c r="L21" s="118"/>
      <c r="M21" s="119"/>
      <c r="V21" s="73">
        <v>-100</v>
      </c>
      <c r="W21" s="76">
        <f t="shared" si="0"/>
        <v>-2513.8312766388558</v>
      </c>
    </row>
    <row r="22" spans="2:23" x14ac:dyDescent="0.25">
      <c r="B22" s="124" t="s">
        <v>55</v>
      </c>
      <c r="C22" s="125"/>
      <c r="D22" s="125"/>
      <c r="E22" s="170">
        <f>ATAN2(-(E12-I7), I9)</f>
        <v>1.1067185908693606</v>
      </c>
      <c r="F22" s="171">
        <f t="shared" si="1"/>
        <v>63.410304365480052</v>
      </c>
      <c r="G22" s="117"/>
      <c r="H22" s="118"/>
      <c r="I22" s="118"/>
      <c r="J22" s="118"/>
      <c r="K22" s="118"/>
      <c r="L22" s="118"/>
      <c r="M22" s="119"/>
      <c r="V22" s="73">
        <v>-50</v>
      </c>
      <c r="W22" s="76">
        <f t="shared" si="0"/>
        <v>-3883.6822295127517</v>
      </c>
    </row>
    <row r="23" spans="2:23" x14ac:dyDescent="0.25">
      <c r="B23" s="124" t="s">
        <v>56</v>
      </c>
      <c r="C23" s="125"/>
      <c r="D23" s="125"/>
      <c r="E23" s="170">
        <f>ATAN2(-(E12-K7), K9)</f>
        <v>0</v>
      </c>
      <c r="F23" s="171">
        <f t="shared" si="1"/>
        <v>0</v>
      </c>
      <c r="G23" s="117"/>
      <c r="H23" s="118"/>
      <c r="I23" s="118"/>
      <c r="J23" s="118"/>
      <c r="K23" s="118"/>
      <c r="L23" s="118"/>
      <c r="M23" s="119"/>
      <c r="V23" s="73">
        <v>0</v>
      </c>
      <c r="W23" s="76"/>
    </row>
    <row r="24" spans="2:23" x14ac:dyDescent="0.25">
      <c r="B24" s="124" t="s">
        <v>57</v>
      </c>
      <c r="C24" s="125"/>
      <c r="D24" s="125"/>
      <c r="E24" s="170">
        <f>ATAN2(-(E12-M7), M9)</f>
        <v>-1.1067185908693606</v>
      </c>
      <c r="F24" s="171">
        <f t="shared" si="1"/>
        <v>-63.410304365480052</v>
      </c>
      <c r="G24" s="120"/>
      <c r="H24" s="121"/>
      <c r="I24" s="121"/>
      <c r="J24" s="121"/>
      <c r="K24" s="121"/>
      <c r="L24" s="121"/>
      <c r="M24" s="122"/>
      <c r="V24" s="73">
        <v>50</v>
      </c>
      <c r="W24" s="76">
        <f t="shared" si="0"/>
        <v>3883.6822295127517</v>
      </c>
    </row>
    <row r="25" spans="2:23" x14ac:dyDescent="0.25">
      <c r="B25" s="143" t="s">
        <v>71</v>
      </c>
      <c r="C25" s="144"/>
      <c r="D25" s="144"/>
      <c r="E25" s="172">
        <f>MAX(E13:F18)</f>
        <v>212.45966692414831</v>
      </c>
      <c r="F25" s="173"/>
      <c r="G25" s="132"/>
      <c r="H25" s="133"/>
      <c r="I25" s="133"/>
      <c r="J25" s="133"/>
      <c r="K25" s="133"/>
      <c r="L25" s="133"/>
      <c r="M25" s="134"/>
      <c r="V25" s="73">
        <v>100</v>
      </c>
      <c r="W25" s="76">
        <f t="shared" si="0"/>
        <v>2513.8312766388558</v>
      </c>
    </row>
    <row r="26" spans="2:23" ht="15.75" thickBot="1" x14ac:dyDescent="0.3">
      <c r="B26" s="135" t="s">
        <v>72</v>
      </c>
      <c r="C26" s="136"/>
      <c r="D26" s="136"/>
      <c r="E26" s="174">
        <f>SIGN(E12) * D3 / E25</f>
        <v>0.23533878558630539</v>
      </c>
      <c r="F26" s="175">
        <f>ABS(E26)</f>
        <v>0.23533878558630539</v>
      </c>
      <c r="G26" s="137" t="s">
        <v>45</v>
      </c>
      <c r="H26" s="138"/>
      <c r="I26" s="138"/>
      <c r="J26" s="138"/>
      <c r="K26" s="138"/>
      <c r="L26" s="138"/>
      <c r="M26" s="139"/>
      <c r="V26" s="73">
        <v>150</v>
      </c>
      <c r="W26" s="76">
        <f t="shared" si="0"/>
        <v>1627.1536428459474</v>
      </c>
    </row>
    <row r="27" spans="2:23" x14ac:dyDescent="0.25">
      <c r="V27" s="73">
        <v>200</v>
      </c>
      <c r="W27" s="76">
        <f t="shared" si="0"/>
        <v>1053.2246145679571</v>
      </c>
    </row>
    <row r="28" spans="2:23" x14ac:dyDescent="0.25">
      <c r="V28" s="73">
        <v>250</v>
      </c>
      <c r="W28" s="76">
        <f t="shared" si="0"/>
        <v>681.73161988049924</v>
      </c>
    </row>
    <row r="29" spans="2:23" ht="15.75" thickBot="1" x14ac:dyDescent="0.3">
      <c r="B29" s="123" t="s">
        <v>67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V29" s="73">
        <v>300</v>
      </c>
      <c r="W29" s="76">
        <f t="shared" si="0"/>
        <v>441.2714962378065</v>
      </c>
    </row>
    <row r="30" spans="2:23" x14ac:dyDescent="0.25">
      <c r="B30" s="112" t="s">
        <v>65</v>
      </c>
      <c r="C30" s="129" t="s">
        <v>46</v>
      </c>
      <c r="D30" s="130"/>
      <c r="E30" s="131"/>
      <c r="F30" s="126" t="s">
        <v>47</v>
      </c>
      <c r="G30" s="127"/>
      <c r="H30" s="128"/>
      <c r="I30" s="129" t="s">
        <v>48</v>
      </c>
      <c r="J30" s="130"/>
      <c r="K30" s="131"/>
      <c r="L30" s="126" t="s">
        <v>49</v>
      </c>
      <c r="M30" s="127"/>
      <c r="N30" s="128"/>
      <c r="O30" s="129" t="s">
        <v>50</v>
      </c>
      <c r="P30" s="130"/>
      <c r="Q30" s="131"/>
      <c r="R30" s="126" t="s">
        <v>51</v>
      </c>
      <c r="S30" s="127"/>
      <c r="T30" s="128"/>
      <c r="V30" s="73">
        <v>350</v>
      </c>
      <c r="W30" s="76">
        <f t="shared" si="0"/>
        <v>285.62637805487861</v>
      </c>
    </row>
    <row r="31" spans="2:23" ht="15.75" thickBot="1" x14ac:dyDescent="0.3">
      <c r="B31" s="113"/>
      <c r="C31" s="58" t="s">
        <v>58</v>
      </c>
      <c r="D31" s="59" t="s">
        <v>32</v>
      </c>
      <c r="E31" s="60" t="s">
        <v>35</v>
      </c>
      <c r="F31" s="61" t="s">
        <v>58</v>
      </c>
      <c r="G31" s="62" t="s">
        <v>32</v>
      </c>
      <c r="H31" s="63" t="s">
        <v>35</v>
      </c>
      <c r="I31" s="58" t="s">
        <v>58</v>
      </c>
      <c r="J31" s="59" t="s">
        <v>32</v>
      </c>
      <c r="K31" s="60" t="s">
        <v>35</v>
      </c>
      <c r="L31" s="61" t="s">
        <v>58</v>
      </c>
      <c r="M31" s="62" t="s">
        <v>32</v>
      </c>
      <c r="N31" s="63" t="s">
        <v>35</v>
      </c>
      <c r="O31" s="58" t="s">
        <v>58</v>
      </c>
      <c r="P31" s="59" t="s">
        <v>32</v>
      </c>
      <c r="Q31" s="60" t="s">
        <v>35</v>
      </c>
      <c r="R31" s="61" t="s">
        <v>58</v>
      </c>
      <c r="S31" s="62" t="s">
        <v>32</v>
      </c>
      <c r="T31" s="63" t="s">
        <v>35</v>
      </c>
      <c r="V31" s="73">
        <v>400</v>
      </c>
      <c r="W31" s="76">
        <f t="shared" si="0"/>
        <v>184.88034812197066</v>
      </c>
    </row>
    <row r="32" spans="2:23" x14ac:dyDescent="0.25">
      <c r="B32" s="65">
        <v>0</v>
      </c>
      <c r="C32" s="81">
        <f>($B32-0.5) * $E$26 + $E$19</f>
        <v>2.6523345189946417</v>
      </c>
      <c r="D32" s="82">
        <f>$E$12+$E$13*COS(C32)</f>
        <v>-104.86427732785779</v>
      </c>
      <c r="E32" s="83">
        <f>$E$13*SIN(C32)</f>
        <v>97.075757761376607</v>
      </c>
      <c r="F32" s="84">
        <f>($B32 - 0.5) * $E$26 + $E$20</f>
        <v>3.0239232607966402</v>
      </c>
      <c r="G32" s="85">
        <f>$E$12+$E$14*COS(F32)</f>
        <v>-133.53082895337246</v>
      </c>
      <c r="H32" s="86">
        <f>$E$14*SIN(F32)</f>
        <v>24.942347902271187</v>
      </c>
      <c r="I32" s="81">
        <f>($B32 - 0.5) * $E$26 + $E$21</f>
        <v>-2.8876733045809466</v>
      </c>
      <c r="J32" s="82">
        <f>$E$12+$E$15*COS(I32)</f>
        <v>-122.47398292283262</v>
      </c>
      <c r="K32" s="83">
        <f>$E$15*SIN(I32)</f>
        <v>-51.886983448827763</v>
      </c>
      <c r="L32" s="84">
        <f xml:space="preserve"> ($B32 - 0.5) * $E$26 + $E$22</f>
        <v>0.98904919807620795</v>
      </c>
      <c r="M32" s="85">
        <f>$E$12+$E$16*COS(L32)</f>
        <v>123.54525919445554</v>
      </c>
      <c r="N32" s="86">
        <f>$E$16*SIN(L32)</f>
        <v>70.074209182415203</v>
      </c>
      <c r="O32" s="81">
        <f>($B32 - 0.5) * $E$26 + $E$23</f>
        <v>-0.11766939279315269</v>
      </c>
      <c r="P32" s="82">
        <f>$E$12+$E$17*COS(O32)</f>
        <v>134.60210522499534</v>
      </c>
      <c r="Q32" s="83">
        <f>$E$17*SIN(O32)</f>
        <v>-6.755122168683612</v>
      </c>
      <c r="R32" s="84">
        <f>($B32 - 0.5) * $E$26 + $E$24</f>
        <v>-1.2243879836625133</v>
      </c>
      <c r="S32" s="85">
        <f>$E$12+$E$18*COS(R32)</f>
        <v>105.93555359948068</v>
      </c>
      <c r="T32" s="86">
        <f>$E$18*SIN(R32)</f>
        <v>-78.88853202778914</v>
      </c>
      <c r="V32" s="73">
        <v>450</v>
      </c>
      <c r="W32" s="76">
        <f t="shared" si="0"/>
        <v>119.66942043123808</v>
      </c>
    </row>
    <row r="33" spans="2:23" x14ac:dyDescent="0.25">
      <c r="B33" s="57">
        <v>0.05</v>
      </c>
      <c r="C33" s="87">
        <f t="shared" ref="C33:C52" si="2">($B33-0.5) * $E$26 + $E$19</f>
        <v>2.6641014582739566</v>
      </c>
      <c r="D33" s="88">
        <f t="shared" ref="D33:D52" si="3">$E$12+$E$13*COS(C33)</f>
        <v>-105.99391329540958</v>
      </c>
      <c r="E33" s="89">
        <f t="shared" ref="E33:E52" si="4">$E$13*SIN(C33)</f>
        <v>94.92369196981511</v>
      </c>
      <c r="F33" s="90">
        <f t="shared" ref="F33:F52" si="5">($B33 - 0.5) * $E$26 + $E$20</f>
        <v>3.0356902000759556</v>
      </c>
      <c r="G33" s="91">
        <f t="shared" ref="G33:G52" si="6">$E$12+$E$14*COS(F33)</f>
        <v>-133.80971047952286</v>
      </c>
      <c r="H33" s="92">
        <f t="shared" ref="H33:H52" si="7">$E$14*SIN(F33)</f>
        <v>22.457966091905934</v>
      </c>
      <c r="I33" s="87">
        <f t="shared" ref="I33:I52" si="8">($B33 - 0.5) * $E$26 + $E$21</f>
        <v>-2.8759063653016317</v>
      </c>
      <c r="J33" s="88">
        <f t="shared" ref="J33:J52" si="9">$E$12+$E$15*COS(I33)</f>
        <v>-121.84960469583228</v>
      </c>
      <c r="K33" s="89">
        <f t="shared" ref="K33:K52" si="10">$E$15*SIN(I33)</f>
        <v>-54.235944159449339</v>
      </c>
      <c r="L33" s="90">
        <f t="shared" ref="L33:L52" si="11" xml:space="preserve"> ($B33 - 0.5) * $E$26 + $E$22</f>
        <v>1.0008161373555233</v>
      </c>
      <c r="M33" s="91">
        <f t="shared" ref="M33:M52" si="12">$E$12+$E$16*COS(L33)</f>
        <v>122.71752876946249</v>
      </c>
      <c r="N33" s="92">
        <f t="shared" ref="N33:N52" si="13">$E$16*SIN(L33)</f>
        <v>70.611631822500328</v>
      </c>
      <c r="O33" s="87">
        <f t="shared" ref="O33:O52" si="14">($B33 - 0.5) * $E$26 + $E$23</f>
        <v>-0.10590245351383742</v>
      </c>
      <c r="P33" s="88">
        <f t="shared" ref="P33:P52" si="15">$E$12+$E$17*COS(O33)</f>
        <v>134.6776345531531</v>
      </c>
      <c r="Q33" s="89">
        <f t="shared" ref="Q33:Q52" si="16">$E$17*SIN(O33)</f>
        <v>-6.0822784288549183</v>
      </c>
      <c r="R33" s="90">
        <f t="shared" ref="R33:R52" si="17">($B33 - 0.5) * $E$26 + $E$24</f>
        <v>-1.212621044383198</v>
      </c>
      <c r="S33" s="91">
        <f t="shared" ref="S33:S52" si="18">$E$12+$E$18*COS(R33)</f>
        <v>106.86183736903985</v>
      </c>
      <c r="T33" s="92">
        <f t="shared" ref="T33:T52" si="19">$E$18*SIN(R33)</f>
        <v>-78.548004306764113</v>
      </c>
      <c r="V33" s="73">
        <v>500</v>
      </c>
      <c r="W33" s="76">
        <f t="shared" si="0"/>
        <v>77.459666924148308</v>
      </c>
    </row>
    <row r="34" spans="2:23" x14ac:dyDescent="0.25">
      <c r="B34" s="56">
        <v>0.1</v>
      </c>
      <c r="C34" s="87">
        <f t="shared" si="2"/>
        <v>2.675868397553272</v>
      </c>
      <c r="D34" s="88">
        <f t="shared" si="3"/>
        <v>-107.09814841556084</v>
      </c>
      <c r="E34" s="89">
        <f t="shared" si="4"/>
        <v>92.758483113879748</v>
      </c>
      <c r="F34" s="90">
        <f t="shared" si="5"/>
        <v>3.047457139355271</v>
      </c>
      <c r="G34" s="91">
        <f t="shared" si="6"/>
        <v>-134.05933980351173</v>
      </c>
      <c r="H34" s="92">
        <f t="shared" si="7"/>
        <v>19.970474768120752</v>
      </c>
      <c r="I34" s="87">
        <f t="shared" si="8"/>
        <v>-2.8641394260223163</v>
      </c>
      <c r="J34" s="88">
        <f t="shared" si="9"/>
        <v>-121.19763025409532</v>
      </c>
      <c r="K34" s="89">
        <f t="shared" si="10"/>
        <v>-56.577395401247486</v>
      </c>
      <c r="L34" s="90">
        <f t="shared" si="11"/>
        <v>1.0125830766348385</v>
      </c>
      <c r="M34" s="91">
        <f t="shared" si="12"/>
        <v>121.88353197430089</v>
      </c>
      <c r="N34" s="92">
        <f t="shared" si="13"/>
        <v>71.139277628126919</v>
      </c>
      <c r="O34" s="87">
        <f t="shared" si="14"/>
        <v>-9.4135514234522155E-2</v>
      </c>
      <c r="P34" s="88">
        <f t="shared" si="15"/>
        <v>134.74524152371728</v>
      </c>
      <c r="Q34" s="89">
        <f t="shared" si="16"/>
        <v>-5.4085925412412958</v>
      </c>
      <c r="R34" s="90">
        <f t="shared" si="17"/>
        <v>-1.2008541051038828</v>
      </c>
      <c r="S34" s="91">
        <f t="shared" si="18"/>
        <v>107.78405013576642</v>
      </c>
      <c r="T34" s="92">
        <f t="shared" si="19"/>
        <v>-78.196600887000315</v>
      </c>
      <c r="V34" s="73">
        <v>550</v>
      </c>
      <c r="W34" s="76">
        <f t="shared" si="0"/>
        <v>50.138121989548587</v>
      </c>
    </row>
    <row r="35" spans="2:23" x14ac:dyDescent="0.25">
      <c r="B35" s="57">
        <v>0.15</v>
      </c>
      <c r="C35" s="87">
        <f t="shared" si="2"/>
        <v>2.6876353368325874</v>
      </c>
      <c r="D35" s="88">
        <f t="shared" si="3"/>
        <v>-108.17682979673131</v>
      </c>
      <c r="E35" s="89">
        <f t="shared" si="4"/>
        <v>90.580430986791768</v>
      </c>
      <c r="F35" s="90">
        <f t="shared" si="5"/>
        <v>3.0592240786345863</v>
      </c>
      <c r="G35" s="91">
        <f t="shared" si="6"/>
        <v>-134.27968236184699</v>
      </c>
      <c r="H35" s="92">
        <f t="shared" si="7"/>
        <v>17.480218347129536</v>
      </c>
      <c r="I35" s="87">
        <f t="shared" si="8"/>
        <v>-2.8523724867430009</v>
      </c>
      <c r="J35" s="88">
        <f t="shared" si="9"/>
        <v>-120.51814986952206</v>
      </c>
      <c r="K35" s="89">
        <f t="shared" si="10"/>
        <v>-58.911012978610273</v>
      </c>
      <c r="L35" s="90">
        <f t="shared" si="11"/>
        <v>1.0243500159141536</v>
      </c>
      <c r="M35" s="91">
        <f t="shared" si="12"/>
        <v>121.04338428355177</v>
      </c>
      <c r="N35" s="92">
        <f t="shared" si="13"/>
        <v>71.657073541845946</v>
      </c>
      <c r="O35" s="87">
        <f t="shared" si="14"/>
        <v>-8.2368574955206886E-2</v>
      </c>
      <c r="P35" s="88">
        <f t="shared" si="15"/>
        <v>134.80491677587665</v>
      </c>
      <c r="Q35" s="89">
        <f t="shared" si="16"/>
        <v>-4.7341577838938296</v>
      </c>
      <c r="R35" s="90">
        <f t="shared" si="17"/>
        <v>-1.1890871658245676</v>
      </c>
      <c r="S35" s="91">
        <f t="shared" si="18"/>
        <v>108.70206421076099</v>
      </c>
      <c r="T35" s="92">
        <f t="shared" si="19"/>
        <v>-77.834370423556081</v>
      </c>
      <c r="V35" s="73">
        <v>600</v>
      </c>
      <c r="W35" s="76">
        <f t="shared" si="0"/>
        <v>32.453422231992072</v>
      </c>
    </row>
    <row r="36" spans="2:23" x14ac:dyDescent="0.25">
      <c r="B36" s="56">
        <v>0.2</v>
      </c>
      <c r="C36" s="87">
        <f t="shared" si="2"/>
        <v>2.6994022761119023</v>
      </c>
      <c r="D36" s="88">
        <f t="shared" si="3"/>
        <v>-109.22980808549258</v>
      </c>
      <c r="E36" s="89">
        <f t="shared" si="4"/>
        <v>88.389837160042191</v>
      </c>
      <c r="F36" s="90">
        <f t="shared" si="5"/>
        <v>3.0709910179139017</v>
      </c>
      <c r="G36" s="91">
        <f t="shared" si="6"/>
        <v>-134.47070764606053</v>
      </c>
      <c r="H36" s="92">
        <f t="shared" si="7"/>
        <v>14.98754162799951</v>
      </c>
      <c r="I36" s="87">
        <f t="shared" si="8"/>
        <v>-2.840605547463686</v>
      </c>
      <c r="J36" s="88">
        <f t="shared" si="9"/>
        <v>-119.81125762246543</v>
      </c>
      <c r="K36" s="89">
        <f t="shared" si="10"/>
        <v>-61.236473780569128</v>
      </c>
      <c r="L36" s="90">
        <f t="shared" si="11"/>
        <v>1.036116955193469</v>
      </c>
      <c r="M36" s="91">
        <f t="shared" si="12"/>
        <v>120.19720202344473</v>
      </c>
      <c r="N36" s="92">
        <f t="shared" si="13"/>
        <v>72.164947870017144</v>
      </c>
      <c r="O36" s="87">
        <f t="shared" si="14"/>
        <v>-7.0601635675891616E-2</v>
      </c>
      <c r="P36" s="88">
        <f t="shared" si="15"/>
        <v>134.8566520470398</v>
      </c>
      <c r="Q36" s="89">
        <f t="shared" si="16"/>
        <v>-4.0590675385515533</v>
      </c>
      <c r="R36" s="90">
        <f t="shared" si="17"/>
        <v>-1.1773202265452523</v>
      </c>
      <c r="S36" s="91">
        <f t="shared" si="18"/>
        <v>109.61575248647191</v>
      </c>
      <c r="T36" s="92">
        <f t="shared" si="19"/>
        <v>-77.46136307059416</v>
      </c>
      <c r="V36" s="73">
        <v>650</v>
      </c>
      <c r="W36" s="76">
        <f t="shared" si="0"/>
        <v>21.006463201543625</v>
      </c>
    </row>
    <row r="37" spans="2:23" x14ac:dyDescent="0.25">
      <c r="B37" s="57">
        <v>0.25</v>
      </c>
      <c r="C37" s="87">
        <f t="shared" si="2"/>
        <v>2.7111692153912177</v>
      </c>
      <c r="D37" s="88">
        <f t="shared" si="3"/>
        <v>-110.25693748724748</v>
      </c>
      <c r="E37" s="89">
        <f t="shared" si="4"/>
        <v>86.187004941636317</v>
      </c>
      <c r="F37" s="90">
        <f t="shared" si="5"/>
        <v>3.0827579571932167</v>
      </c>
      <c r="G37" s="91">
        <f t="shared" si="6"/>
        <v>-134.6323892069324</v>
      </c>
      <c r="H37" s="92">
        <f t="shared" si="7"/>
        <v>12.492789744910681</v>
      </c>
      <c r="I37" s="87">
        <f t="shared" si="8"/>
        <v>-2.8288386081843706</v>
      </c>
      <c r="J37" s="88">
        <f t="shared" si="9"/>
        <v>-119.07705138870446</v>
      </c>
      <c r="K37" s="89">
        <f t="shared" si="10"/>
        <v>-63.553455825536872</v>
      </c>
      <c r="L37" s="90">
        <f t="shared" si="11"/>
        <v>1.0478838944727844</v>
      </c>
      <c r="M37" s="91">
        <f t="shared" si="12"/>
        <v>119.34510235575135</v>
      </c>
      <c r="N37" s="92">
        <f t="shared" si="13"/>
        <v>72.662830292735634</v>
      </c>
      <c r="O37" s="87">
        <f t="shared" si="14"/>
        <v>-5.8834696396576347E-2</v>
      </c>
      <c r="P37" s="88">
        <f t="shared" si="15"/>
        <v>134.90044017397929</v>
      </c>
      <c r="Q37" s="89">
        <f t="shared" si="16"/>
        <v>-3.3834152777118858</v>
      </c>
      <c r="R37" s="90">
        <f t="shared" si="17"/>
        <v>-1.1655532872659369</v>
      </c>
      <c r="S37" s="91">
        <f t="shared" si="18"/>
        <v>110.5249884542944</v>
      </c>
      <c r="T37" s="92">
        <f t="shared" si="19"/>
        <v>-77.077630474437541</v>
      </c>
      <c r="V37" s="73">
        <v>700</v>
      </c>
      <c r="W37" s="76">
        <f t="shared" si="0"/>
        <v>13.597071306791424</v>
      </c>
    </row>
    <row r="38" spans="2:23" x14ac:dyDescent="0.25">
      <c r="B38" s="56">
        <v>0.3</v>
      </c>
      <c r="C38" s="87">
        <f t="shared" si="2"/>
        <v>2.7229361546705331</v>
      </c>
      <c r="D38" s="88">
        <f t="shared" si="3"/>
        <v>-111.25807578641667</v>
      </c>
      <c r="E38" s="89">
        <f t="shared" si="4"/>
        <v>83.972239334098361</v>
      </c>
      <c r="F38" s="90">
        <f t="shared" si="5"/>
        <v>3.094524896472532</v>
      </c>
      <c r="G38" s="91">
        <f t="shared" si="6"/>
        <v>-134.76470465815299</v>
      </c>
      <c r="H38" s="92">
        <f t="shared" si="7"/>
        <v>9.9963081193684449</v>
      </c>
      <c r="I38" s="87">
        <f t="shared" si="8"/>
        <v>-2.8170716689050552</v>
      </c>
      <c r="J38" s="88">
        <f t="shared" si="9"/>
        <v>-118.31563282589275</v>
      </c>
      <c r="K38" s="89">
        <f t="shared" si="10"/>
        <v>-65.861638305888476</v>
      </c>
      <c r="L38" s="90">
        <f t="shared" si="11"/>
        <v>1.0596508337520996</v>
      </c>
      <c r="M38" s="91">
        <f t="shared" si="12"/>
        <v>118.4872032615631</v>
      </c>
      <c r="N38" s="92">
        <f t="shared" si="13"/>
        <v>73.150651873568393</v>
      </c>
      <c r="O38" s="87">
        <f t="shared" si="14"/>
        <v>-4.7067757117261078E-2</v>
      </c>
      <c r="P38" s="88">
        <f t="shared" si="15"/>
        <v>134.9362750938233</v>
      </c>
      <c r="Q38" s="89">
        <f t="shared" si="16"/>
        <v>-2.7072945516884968</v>
      </c>
      <c r="R38" s="90">
        <f t="shared" si="17"/>
        <v>-1.1537863479866217</v>
      </c>
      <c r="S38" s="91">
        <f t="shared" si="18"/>
        <v>111.42964622208703</v>
      </c>
      <c r="T38" s="92">
        <f t="shared" si="19"/>
        <v>-76.683225766418431</v>
      </c>
      <c r="V38" s="73">
        <v>750</v>
      </c>
      <c r="W38" s="76">
        <f t="shared" si="0"/>
        <v>8.8011173679339318</v>
      </c>
    </row>
    <row r="39" spans="2:23" x14ac:dyDescent="0.25">
      <c r="B39" s="57">
        <v>0.35</v>
      </c>
      <c r="C39" s="87">
        <f t="shared" si="2"/>
        <v>2.7347030939498485</v>
      </c>
      <c r="D39" s="88">
        <f t="shared" si="3"/>
        <v>-112.2330843661297</v>
      </c>
      <c r="E39" s="89">
        <f t="shared" si="4"/>
        <v>81.745846992240729</v>
      </c>
      <c r="F39" s="90">
        <f t="shared" si="5"/>
        <v>3.1062918357518474</v>
      </c>
      <c r="G39" s="91">
        <f t="shared" si="6"/>
        <v>-134.86763567942242</v>
      </c>
      <c r="H39" s="92">
        <f t="shared" si="7"/>
        <v>7.498442412377349</v>
      </c>
      <c r="I39" s="87">
        <f t="shared" si="8"/>
        <v>-2.8053047296257398</v>
      </c>
      <c r="J39" s="88">
        <f t="shared" si="9"/>
        <v>-117.5271073594829</v>
      </c>
      <c r="K39" s="89">
        <f t="shared" si="10"/>
        <v>-68.160701632380253</v>
      </c>
      <c r="L39" s="90">
        <f t="shared" si="11"/>
        <v>1.0714177730314147</v>
      </c>
      <c r="M39" s="91">
        <f t="shared" si="12"/>
        <v>117.62362352495578</v>
      </c>
      <c r="N39" s="92">
        <f t="shared" si="13"/>
        <v>73.628345069099169</v>
      </c>
      <c r="O39" s="87">
        <f t="shared" si="14"/>
        <v>-3.5300817837945815E-2</v>
      </c>
      <c r="P39" s="88">
        <f t="shared" si="15"/>
        <v>134.9641518448953</v>
      </c>
      <c r="Q39" s="89">
        <f t="shared" si="16"/>
        <v>-2.0307989756584015</v>
      </c>
      <c r="R39" s="90">
        <f t="shared" si="17"/>
        <v>-1.1420194087073066</v>
      </c>
      <c r="S39" s="91">
        <f t="shared" si="18"/>
        <v>112.32960053160257</v>
      </c>
      <c r="T39" s="92">
        <f t="shared" si="19"/>
        <v>-76.278203555521799</v>
      </c>
      <c r="V39" s="73">
        <v>800</v>
      </c>
      <c r="W39" s="76">
        <f t="shared" si="0"/>
        <v>5.6967905202835105</v>
      </c>
    </row>
    <row r="40" spans="2:23" x14ac:dyDescent="0.25">
      <c r="B40" s="56">
        <v>0.4</v>
      </c>
      <c r="C40" s="87">
        <f t="shared" si="2"/>
        <v>2.7464700332291638</v>
      </c>
      <c r="D40" s="88">
        <f t="shared" si="3"/>
        <v>-113.18182822741775</v>
      </c>
      <c r="E40" s="89">
        <f t="shared" si="4"/>
        <v>79.508136180704852</v>
      </c>
      <c r="F40" s="90">
        <f t="shared" si="5"/>
        <v>3.1180587750311628</v>
      </c>
      <c r="G40" s="91">
        <f t="shared" si="6"/>
        <v>-134.9411680189875</v>
      </c>
      <c r="H40" s="92">
        <f t="shared" si="7"/>
        <v>4.9995384765807396</v>
      </c>
      <c r="I40" s="87">
        <f t="shared" si="8"/>
        <v>-2.7935377903464245</v>
      </c>
      <c r="J40" s="88">
        <f t="shared" si="9"/>
        <v>-116.71158416812932</v>
      </c>
      <c r="K40" s="89">
        <f t="shared" si="10"/>
        <v>-70.450327478399828</v>
      </c>
      <c r="L40" s="90">
        <f t="shared" si="11"/>
        <v>1.0831847123107301</v>
      </c>
      <c r="M40" s="91">
        <f t="shared" si="12"/>
        <v>116.7544827165427</v>
      </c>
      <c r="N40" s="92">
        <f t="shared" si="13"/>
        <v>74.095843738280479</v>
      </c>
      <c r="O40" s="87">
        <f t="shared" si="14"/>
        <v>-2.3533878558630532E-2</v>
      </c>
      <c r="P40" s="88">
        <f t="shared" si="15"/>
        <v>134.98406656740087</v>
      </c>
      <c r="Q40" s="89">
        <f t="shared" si="16"/>
        <v>-1.3540222167000664</v>
      </c>
      <c r="R40" s="90">
        <f t="shared" si="17"/>
        <v>-1.1302524694279912</v>
      </c>
      <c r="S40" s="91">
        <f t="shared" si="18"/>
        <v>113.22472677583113</v>
      </c>
      <c r="T40" s="92">
        <f t="shared" si="19"/>
        <v>-75.862619920824187</v>
      </c>
      <c r="V40" s="73">
        <v>850</v>
      </c>
      <c r="W40" s="76">
        <f t="shared" si="0"/>
        <v>3.6874206848136306</v>
      </c>
    </row>
    <row r="41" spans="2:23" x14ac:dyDescent="0.25">
      <c r="B41" s="57">
        <v>0.45</v>
      </c>
      <c r="C41" s="87">
        <f t="shared" si="2"/>
        <v>2.7582369725084788</v>
      </c>
      <c r="D41" s="88">
        <f t="shared" si="3"/>
        <v>-114.10417600790564</v>
      </c>
      <c r="E41" s="89">
        <f t="shared" si="4"/>
        <v>77.259416731279231</v>
      </c>
      <c r="F41" s="90">
        <f t="shared" si="5"/>
        <v>3.1298257143104777</v>
      </c>
      <c r="G41" s="91">
        <f t="shared" si="6"/>
        <v>-134.98529149561472</v>
      </c>
      <c r="H41" s="92">
        <f t="shared" si="7"/>
        <v>2.4999423083744512</v>
      </c>
      <c r="I41" s="87">
        <f t="shared" si="8"/>
        <v>-2.7817708510671095</v>
      </c>
      <c r="J41" s="88">
        <f t="shared" si="9"/>
        <v>-115.86917616857161</v>
      </c>
      <c r="K41" s="89">
        <f t="shared" si="10"/>
        <v>-72.73019882404131</v>
      </c>
      <c r="L41" s="90">
        <f t="shared" si="11"/>
        <v>1.0949516515900455</v>
      </c>
      <c r="M41" s="91">
        <f t="shared" si="12"/>
        <v>115.87990117691915</v>
      </c>
      <c r="N41" s="92">
        <f t="shared" si="13"/>
        <v>74.553083151591395</v>
      </c>
      <c r="O41" s="87">
        <f t="shared" si="14"/>
        <v>-1.1766939279315266E-2</v>
      </c>
      <c r="P41" s="88">
        <f t="shared" si="15"/>
        <v>134.99601650396224</v>
      </c>
      <c r="Q41" s="89">
        <f t="shared" si="16"/>
        <v>-0.67705798082434421</v>
      </c>
      <c r="R41" s="90">
        <f t="shared" si="17"/>
        <v>-1.1184855301486758</v>
      </c>
      <c r="S41" s="91">
        <f t="shared" si="18"/>
        <v>114.11490101625319</v>
      </c>
      <c r="T41" s="92">
        <f t="shared" si="19"/>
        <v>-75.436532403729146</v>
      </c>
      <c r="V41" s="73">
        <v>900</v>
      </c>
      <c r="W41" s="76">
        <f t="shared" si="0"/>
        <v>2.3867950310580737</v>
      </c>
    </row>
    <row r="42" spans="2:23" x14ac:dyDescent="0.25">
      <c r="B42" s="64">
        <v>0.5</v>
      </c>
      <c r="C42" s="93">
        <f t="shared" si="2"/>
        <v>2.7700039117877941</v>
      </c>
      <c r="D42" s="94">
        <f t="shared" si="3"/>
        <v>-115</v>
      </c>
      <c r="E42" s="95">
        <f t="shared" si="4"/>
        <v>75.000000000000014</v>
      </c>
      <c r="F42" s="93">
        <f t="shared" si="5"/>
        <v>3.1415926535897931</v>
      </c>
      <c r="G42" s="94">
        <f t="shared" si="6"/>
        <v>-135</v>
      </c>
      <c r="H42" s="95">
        <f t="shared" si="7"/>
        <v>2.6029463266252034E-14</v>
      </c>
      <c r="I42" s="93">
        <f t="shared" si="8"/>
        <v>-2.7700039117877941</v>
      </c>
      <c r="J42" s="94">
        <f t="shared" si="9"/>
        <v>-115</v>
      </c>
      <c r="K42" s="95">
        <f t="shared" si="10"/>
        <v>-75.000000000000014</v>
      </c>
      <c r="L42" s="93">
        <f t="shared" si="11"/>
        <v>1.1067185908693606</v>
      </c>
      <c r="M42" s="94">
        <f t="shared" si="12"/>
        <v>115</v>
      </c>
      <c r="N42" s="95">
        <f t="shared" si="13"/>
        <v>75</v>
      </c>
      <c r="O42" s="93">
        <f t="shared" si="14"/>
        <v>0</v>
      </c>
      <c r="P42" s="94">
        <f t="shared" si="15"/>
        <v>135</v>
      </c>
      <c r="Q42" s="95">
        <f t="shared" si="16"/>
        <v>0</v>
      </c>
      <c r="R42" s="93">
        <f t="shared" si="17"/>
        <v>-1.1067185908693606</v>
      </c>
      <c r="S42" s="94">
        <f t="shared" si="18"/>
        <v>115</v>
      </c>
      <c r="T42" s="95">
        <f t="shared" si="19"/>
        <v>-75</v>
      </c>
      <c r="V42" s="73">
        <v>950</v>
      </c>
      <c r="W42" s="76">
        <f t="shared" si="0"/>
        <v>1.5449255746015966</v>
      </c>
    </row>
    <row r="43" spans="2:23" ht="15.75" thickBot="1" x14ac:dyDescent="0.3">
      <c r="B43" s="57">
        <v>0.55000000000000004</v>
      </c>
      <c r="C43" s="87">
        <f t="shared" si="2"/>
        <v>2.7817708510671095</v>
      </c>
      <c r="D43" s="88">
        <f t="shared" si="3"/>
        <v>-115.86917616857161</v>
      </c>
      <c r="E43" s="89">
        <f t="shared" si="4"/>
        <v>72.73019882404131</v>
      </c>
      <c r="F43" s="90">
        <f t="shared" si="5"/>
        <v>3.1533595928691085</v>
      </c>
      <c r="G43" s="91">
        <f t="shared" si="6"/>
        <v>-134.98529149561472</v>
      </c>
      <c r="H43" s="92">
        <f t="shared" si="7"/>
        <v>-2.4999423083743992</v>
      </c>
      <c r="I43" s="87">
        <f t="shared" si="8"/>
        <v>-2.7582369725084788</v>
      </c>
      <c r="J43" s="88">
        <f t="shared" si="9"/>
        <v>-114.10417600790564</v>
      </c>
      <c r="K43" s="89">
        <f t="shared" si="10"/>
        <v>-77.259416731279231</v>
      </c>
      <c r="L43" s="90">
        <f t="shared" si="11"/>
        <v>1.118485530148676</v>
      </c>
      <c r="M43" s="91">
        <f t="shared" si="12"/>
        <v>114.11490101625319</v>
      </c>
      <c r="N43" s="92">
        <f t="shared" si="13"/>
        <v>75.43653240372916</v>
      </c>
      <c r="O43" s="87">
        <f t="shared" si="14"/>
        <v>1.176693927931528E-2</v>
      </c>
      <c r="P43" s="88">
        <f t="shared" si="15"/>
        <v>134.99601650396224</v>
      </c>
      <c r="Q43" s="89">
        <f t="shared" si="16"/>
        <v>0.6770579808243451</v>
      </c>
      <c r="R43" s="90">
        <f t="shared" si="17"/>
        <v>-1.0949516515900453</v>
      </c>
      <c r="S43" s="91">
        <f t="shared" si="18"/>
        <v>115.87990117691916</v>
      </c>
      <c r="T43" s="92">
        <f t="shared" si="19"/>
        <v>-74.55308315159138</v>
      </c>
      <c r="V43" s="74">
        <v>1000</v>
      </c>
      <c r="W43" s="80">
        <f t="shared" si="0"/>
        <v>1</v>
      </c>
    </row>
    <row r="44" spans="2:23" x14ac:dyDescent="0.25">
      <c r="B44" s="56">
        <v>0.6</v>
      </c>
      <c r="C44" s="87">
        <f t="shared" si="2"/>
        <v>2.7935377903464245</v>
      </c>
      <c r="D44" s="88">
        <f t="shared" si="3"/>
        <v>-116.71158416812932</v>
      </c>
      <c r="E44" s="89">
        <f t="shared" si="4"/>
        <v>70.450327478399828</v>
      </c>
      <c r="F44" s="90">
        <f t="shared" si="5"/>
        <v>3.1651265321484234</v>
      </c>
      <c r="G44" s="91">
        <f t="shared" si="6"/>
        <v>-134.9411680189875</v>
      </c>
      <c r="H44" s="92">
        <f t="shared" si="7"/>
        <v>-4.9995384765806872</v>
      </c>
      <c r="I44" s="87">
        <f t="shared" si="8"/>
        <v>-2.7464700332291638</v>
      </c>
      <c r="J44" s="88">
        <f t="shared" si="9"/>
        <v>-113.18182822741775</v>
      </c>
      <c r="K44" s="89">
        <f t="shared" si="10"/>
        <v>-79.508136180704852</v>
      </c>
      <c r="L44" s="90">
        <f t="shared" si="11"/>
        <v>1.1302524694279912</v>
      </c>
      <c r="M44" s="91">
        <f t="shared" si="12"/>
        <v>113.22472677583113</v>
      </c>
      <c r="N44" s="92">
        <f t="shared" si="13"/>
        <v>75.862619920824187</v>
      </c>
      <c r="O44" s="87">
        <f t="shared" si="14"/>
        <v>2.3533878558630532E-2</v>
      </c>
      <c r="P44" s="88">
        <f t="shared" si="15"/>
        <v>134.98406656740087</v>
      </c>
      <c r="Q44" s="89">
        <f t="shared" si="16"/>
        <v>1.3540222167000664</v>
      </c>
      <c r="R44" s="90">
        <f t="shared" si="17"/>
        <v>-1.0831847123107301</v>
      </c>
      <c r="S44" s="91">
        <f t="shared" si="18"/>
        <v>116.7544827165427</v>
      </c>
      <c r="T44" s="92">
        <f t="shared" si="19"/>
        <v>-74.095843738280479</v>
      </c>
      <c r="V44" s="55"/>
      <c r="W44" s="55"/>
    </row>
    <row r="45" spans="2:23" x14ac:dyDescent="0.25">
      <c r="B45" s="57">
        <v>0.65</v>
      </c>
      <c r="C45" s="87">
        <f t="shared" si="2"/>
        <v>2.8053047296257398</v>
      </c>
      <c r="D45" s="88">
        <f t="shared" si="3"/>
        <v>-117.5271073594829</v>
      </c>
      <c r="E45" s="89">
        <f t="shared" si="4"/>
        <v>68.160701632380253</v>
      </c>
      <c r="F45" s="90">
        <f t="shared" si="5"/>
        <v>3.1768934714277388</v>
      </c>
      <c r="G45" s="91">
        <f t="shared" si="6"/>
        <v>-134.86763567942245</v>
      </c>
      <c r="H45" s="92">
        <f t="shared" si="7"/>
        <v>-7.4984424123772975</v>
      </c>
      <c r="I45" s="87">
        <f t="shared" si="8"/>
        <v>-2.7347030939498485</v>
      </c>
      <c r="J45" s="88">
        <f t="shared" si="9"/>
        <v>-112.2330843661297</v>
      </c>
      <c r="K45" s="89">
        <f t="shared" si="10"/>
        <v>-81.745846992240729</v>
      </c>
      <c r="L45" s="90">
        <f t="shared" si="11"/>
        <v>1.1420194087073066</v>
      </c>
      <c r="M45" s="91">
        <f t="shared" si="12"/>
        <v>112.32960053160257</v>
      </c>
      <c r="N45" s="92">
        <f t="shared" si="13"/>
        <v>76.278203555521799</v>
      </c>
      <c r="O45" s="87">
        <f t="shared" si="14"/>
        <v>3.5300817837945815E-2</v>
      </c>
      <c r="P45" s="88">
        <f t="shared" si="15"/>
        <v>134.9641518448953</v>
      </c>
      <c r="Q45" s="89">
        <f t="shared" si="16"/>
        <v>2.0307989756584015</v>
      </c>
      <c r="R45" s="90">
        <f t="shared" si="17"/>
        <v>-1.0714177730314147</v>
      </c>
      <c r="S45" s="91">
        <f t="shared" si="18"/>
        <v>117.62362352495578</v>
      </c>
      <c r="T45" s="92">
        <f t="shared" si="19"/>
        <v>-73.628345069099169</v>
      </c>
    </row>
    <row r="46" spans="2:23" x14ac:dyDescent="0.25">
      <c r="B46" s="56">
        <v>0.7</v>
      </c>
      <c r="C46" s="87">
        <f t="shared" si="2"/>
        <v>2.8170716689050552</v>
      </c>
      <c r="D46" s="88">
        <f t="shared" si="3"/>
        <v>-118.31563282589275</v>
      </c>
      <c r="E46" s="89">
        <f t="shared" si="4"/>
        <v>65.861638305888476</v>
      </c>
      <c r="F46" s="90">
        <f t="shared" si="5"/>
        <v>3.1886604107070542</v>
      </c>
      <c r="G46" s="91">
        <f t="shared" si="6"/>
        <v>-134.76470465815299</v>
      </c>
      <c r="H46" s="92">
        <f t="shared" si="7"/>
        <v>-9.9963081193683934</v>
      </c>
      <c r="I46" s="87">
        <f t="shared" si="8"/>
        <v>-2.7229361546705331</v>
      </c>
      <c r="J46" s="88">
        <f t="shared" si="9"/>
        <v>-111.25807578641667</v>
      </c>
      <c r="K46" s="89">
        <f t="shared" si="10"/>
        <v>-83.972239334098361</v>
      </c>
      <c r="L46" s="90">
        <f t="shared" si="11"/>
        <v>1.1537863479866217</v>
      </c>
      <c r="M46" s="91">
        <f t="shared" si="12"/>
        <v>111.42964622208703</v>
      </c>
      <c r="N46" s="92">
        <f t="shared" si="13"/>
        <v>76.683225766418431</v>
      </c>
      <c r="O46" s="87">
        <f t="shared" si="14"/>
        <v>4.7067757117261064E-2</v>
      </c>
      <c r="P46" s="88">
        <f t="shared" si="15"/>
        <v>134.9362750938233</v>
      </c>
      <c r="Q46" s="89">
        <f t="shared" si="16"/>
        <v>2.7072945516884963</v>
      </c>
      <c r="R46" s="90">
        <f t="shared" si="17"/>
        <v>-1.0596508337520996</v>
      </c>
      <c r="S46" s="91">
        <f t="shared" si="18"/>
        <v>118.4872032615631</v>
      </c>
      <c r="T46" s="92">
        <f t="shared" si="19"/>
        <v>-73.150651873568393</v>
      </c>
    </row>
    <row r="47" spans="2:23" x14ac:dyDescent="0.25">
      <c r="B47" s="57">
        <v>0.75</v>
      </c>
      <c r="C47" s="87">
        <f t="shared" si="2"/>
        <v>2.8288386081843706</v>
      </c>
      <c r="D47" s="88">
        <f t="shared" si="3"/>
        <v>-119.07705138870446</v>
      </c>
      <c r="E47" s="89">
        <f t="shared" si="4"/>
        <v>63.553455825536872</v>
      </c>
      <c r="F47" s="90">
        <f t="shared" si="5"/>
        <v>3.2004273499863696</v>
      </c>
      <c r="G47" s="91">
        <f t="shared" si="6"/>
        <v>-134.6323892069324</v>
      </c>
      <c r="H47" s="92">
        <f t="shared" si="7"/>
        <v>-12.492789744910629</v>
      </c>
      <c r="I47" s="87">
        <f t="shared" si="8"/>
        <v>-2.7111692153912177</v>
      </c>
      <c r="J47" s="88">
        <f t="shared" si="9"/>
        <v>-110.25693748724748</v>
      </c>
      <c r="K47" s="89">
        <f t="shared" si="10"/>
        <v>-86.187004941636317</v>
      </c>
      <c r="L47" s="90">
        <f t="shared" si="11"/>
        <v>1.1655532872659369</v>
      </c>
      <c r="M47" s="91">
        <f t="shared" si="12"/>
        <v>110.5249884542944</v>
      </c>
      <c r="N47" s="92">
        <f t="shared" si="13"/>
        <v>77.077630474437541</v>
      </c>
      <c r="O47" s="87">
        <f t="shared" si="14"/>
        <v>5.8834696396576347E-2</v>
      </c>
      <c r="P47" s="88">
        <f t="shared" si="15"/>
        <v>134.90044017397929</v>
      </c>
      <c r="Q47" s="89">
        <f t="shared" si="16"/>
        <v>3.3834152777118858</v>
      </c>
      <c r="R47" s="90">
        <f t="shared" si="17"/>
        <v>-1.0478838944727844</v>
      </c>
      <c r="S47" s="91">
        <f t="shared" si="18"/>
        <v>119.34510235575135</v>
      </c>
      <c r="T47" s="92">
        <f t="shared" si="19"/>
        <v>-72.662830292735634</v>
      </c>
    </row>
    <row r="48" spans="2:23" x14ac:dyDescent="0.25">
      <c r="B48" s="56">
        <v>0.8</v>
      </c>
      <c r="C48" s="87">
        <f t="shared" si="2"/>
        <v>2.840605547463686</v>
      </c>
      <c r="D48" s="88">
        <f t="shared" si="3"/>
        <v>-119.81125762246543</v>
      </c>
      <c r="E48" s="89">
        <f t="shared" si="4"/>
        <v>61.236473780569128</v>
      </c>
      <c r="F48" s="90">
        <f t="shared" si="5"/>
        <v>3.212194289265685</v>
      </c>
      <c r="G48" s="91">
        <f t="shared" si="6"/>
        <v>-134.47070764606053</v>
      </c>
      <c r="H48" s="92">
        <f t="shared" si="7"/>
        <v>-14.987541627999551</v>
      </c>
      <c r="I48" s="87">
        <f t="shared" si="8"/>
        <v>-2.6994022761119023</v>
      </c>
      <c r="J48" s="88">
        <f t="shared" si="9"/>
        <v>-109.22980808549258</v>
      </c>
      <c r="K48" s="89">
        <f t="shared" si="10"/>
        <v>-88.389837160042191</v>
      </c>
      <c r="L48" s="90">
        <f t="shared" si="11"/>
        <v>1.1773202265452523</v>
      </c>
      <c r="M48" s="91">
        <f t="shared" si="12"/>
        <v>109.61575248647191</v>
      </c>
      <c r="N48" s="92">
        <f t="shared" si="13"/>
        <v>77.46136307059416</v>
      </c>
      <c r="O48" s="87">
        <f t="shared" si="14"/>
        <v>7.060163567589163E-2</v>
      </c>
      <c r="P48" s="88">
        <f t="shared" si="15"/>
        <v>134.8566520470398</v>
      </c>
      <c r="Q48" s="89">
        <f t="shared" si="16"/>
        <v>4.0590675385515542</v>
      </c>
      <c r="R48" s="90">
        <f t="shared" si="17"/>
        <v>-1.036116955193469</v>
      </c>
      <c r="S48" s="91">
        <f t="shared" si="18"/>
        <v>120.19720202344473</v>
      </c>
      <c r="T48" s="92">
        <f t="shared" si="19"/>
        <v>-72.164947870017144</v>
      </c>
    </row>
    <row r="49" spans="2:20" x14ac:dyDescent="0.25">
      <c r="B49" s="57">
        <v>0.85</v>
      </c>
      <c r="C49" s="87">
        <f t="shared" si="2"/>
        <v>2.8523724867430009</v>
      </c>
      <c r="D49" s="88">
        <f t="shared" si="3"/>
        <v>-120.51814986952206</v>
      </c>
      <c r="E49" s="89">
        <f t="shared" si="4"/>
        <v>58.911012978610273</v>
      </c>
      <c r="F49" s="90">
        <f t="shared" si="5"/>
        <v>3.2239612285449999</v>
      </c>
      <c r="G49" s="91">
        <f t="shared" si="6"/>
        <v>-134.27968236184699</v>
      </c>
      <c r="H49" s="92">
        <f t="shared" si="7"/>
        <v>-17.480218347129487</v>
      </c>
      <c r="I49" s="87">
        <f t="shared" si="8"/>
        <v>-2.6876353368325874</v>
      </c>
      <c r="J49" s="88">
        <f t="shared" si="9"/>
        <v>-108.17682979673131</v>
      </c>
      <c r="K49" s="89">
        <f t="shared" si="10"/>
        <v>-90.580430986791768</v>
      </c>
      <c r="L49" s="90">
        <f t="shared" si="11"/>
        <v>1.1890871658245676</v>
      </c>
      <c r="M49" s="91">
        <f t="shared" si="12"/>
        <v>108.70206421076099</v>
      </c>
      <c r="N49" s="92">
        <f t="shared" si="13"/>
        <v>77.834370423556081</v>
      </c>
      <c r="O49" s="87">
        <f t="shared" si="14"/>
        <v>8.2368574955206886E-2</v>
      </c>
      <c r="P49" s="88">
        <f t="shared" si="15"/>
        <v>134.80491677587665</v>
      </c>
      <c r="Q49" s="89">
        <f t="shared" si="16"/>
        <v>4.7341577838938296</v>
      </c>
      <c r="R49" s="90">
        <f t="shared" si="17"/>
        <v>-1.0243500159141536</v>
      </c>
      <c r="S49" s="91">
        <f t="shared" si="18"/>
        <v>121.04338428355177</v>
      </c>
      <c r="T49" s="92">
        <f t="shared" si="19"/>
        <v>-71.657073541845946</v>
      </c>
    </row>
    <row r="50" spans="2:20" x14ac:dyDescent="0.25">
      <c r="B50" s="56">
        <v>0.9</v>
      </c>
      <c r="C50" s="87">
        <f t="shared" si="2"/>
        <v>2.8641394260223163</v>
      </c>
      <c r="D50" s="88">
        <f t="shared" si="3"/>
        <v>-121.19763025409532</v>
      </c>
      <c r="E50" s="89">
        <f t="shared" si="4"/>
        <v>56.577395401247486</v>
      </c>
      <c r="F50" s="90">
        <f t="shared" si="5"/>
        <v>3.2357281678243153</v>
      </c>
      <c r="G50" s="91">
        <f t="shared" si="6"/>
        <v>-134.05933980351173</v>
      </c>
      <c r="H50" s="92">
        <f t="shared" si="7"/>
        <v>-19.970474768120699</v>
      </c>
      <c r="I50" s="87">
        <f t="shared" si="8"/>
        <v>-2.675868397553272</v>
      </c>
      <c r="J50" s="88">
        <f t="shared" si="9"/>
        <v>-107.09814841556084</v>
      </c>
      <c r="K50" s="89">
        <f t="shared" si="10"/>
        <v>-92.758483113879748</v>
      </c>
      <c r="L50" s="90">
        <f t="shared" si="11"/>
        <v>1.2008541051038828</v>
      </c>
      <c r="M50" s="91">
        <f t="shared" si="12"/>
        <v>107.78405013576642</v>
      </c>
      <c r="N50" s="92">
        <f t="shared" si="13"/>
        <v>78.196600887000315</v>
      </c>
      <c r="O50" s="87">
        <f t="shared" si="14"/>
        <v>9.4135514234522155E-2</v>
      </c>
      <c r="P50" s="88">
        <f t="shared" si="15"/>
        <v>134.74524152371728</v>
      </c>
      <c r="Q50" s="89">
        <f t="shared" si="16"/>
        <v>5.4085925412412958</v>
      </c>
      <c r="R50" s="90">
        <f t="shared" si="17"/>
        <v>-1.0125830766348385</v>
      </c>
      <c r="S50" s="91">
        <f t="shared" si="18"/>
        <v>121.88353197430089</v>
      </c>
      <c r="T50" s="92">
        <f t="shared" si="19"/>
        <v>-71.139277628126919</v>
      </c>
    </row>
    <row r="51" spans="2:20" x14ac:dyDescent="0.25">
      <c r="B51" s="57">
        <v>0.95</v>
      </c>
      <c r="C51" s="87">
        <f t="shared" si="2"/>
        <v>2.8759063653016317</v>
      </c>
      <c r="D51" s="88">
        <f t="shared" si="3"/>
        <v>-121.84960469583228</v>
      </c>
      <c r="E51" s="89">
        <f t="shared" si="4"/>
        <v>54.235944159449339</v>
      </c>
      <c r="F51" s="90">
        <f t="shared" si="5"/>
        <v>3.2474951071036307</v>
      </c>
      <c r="G51" s="91">
        <f t="shared" si="6"/>
        <v>-133.80971047952286</v>
      </c>
      <c r="H51" s="92">
        <f t="shared" si="7"/>
        <v>-22.457966091905885</v>
      </c>
      <c r="I51" s="87">
        <f t="shared" si="8"/>
        <v>-2.6641014582739566</v>
      </c>
      <c r="J51" s="88">
        <f t="shared" si="9"/>
        <v>-105.99391329540958</v>
      </c>
      <c r="K51" s="89">
        <f t="shared" si="10"/>
        <v>-94.92369196981511</v>
      </c>
      <c r="L51" s="90">
        <f t="shared" si="11"/>
        <v>1.212621044383198</v>
      </c>
      <c r="M51" s="91">
        <f t="shared" si="12"/>
        <v>106.86183736903985</v>
      </c>
      <c r="N51" s="92">
        <f t="shared" si="13"/>
        <v>78.548004306764113</v>
      </c>
      <c r="O51" s="87">
        <f t="shared" si="14"/>
        <v>0.10590245351383741</v>
      </c>
      <c r="P51" s="88">
        <f t="shared" si="15"/>
        <v>134.6776345531531</v>
      </c>
      <c r="Q51" s="89">
        <f t="shared" si="16"/>
        <v>6.0822784288549174</v>
      </c>
      <c r="R51" s="90">
        <f t="shared" si="17"/>
        <v>-1.0008161373555233</v>
      </c>
      <c r="S51" s="91">
        <f t="shared" si="18"/>
        <v>122.71752876946249</v>
      </c>
      <c r="T51" s="92">
        <f t="shared" si="19"/>
        <v>-70.611631822500328</v>
      </c>
    </row>
    <row r="52" spans="2:20" ht="15.75" thickBot="1" x14ac:dyDescent="0.3">
      <c r="B52" s="66">
        <v>1</v>
      </c>
      <c r="C52" s="96">
        <f t="shared" si="2"/>
        <v>2.8876733045809466</v>
      </c>
      <c r="D52" s="97">
        <f t="shared" si="3"/>
        <v>-122.47398292283262</v>
      </c>
      <c r="E52" s="98">
        <f t="shared" si="4"/>
        <v>51.886983448827763</v>
      </c>
      <c r="F52" s="99">
        <f t="shared" si="5"/>
        <v>3.259262046382946</v>
      </c>
      <c r="G52" s="100">
        <f t="shared" si="6"/>
        <v>-133.53082895337246</v>
      </c>
      <c r="H52" s="101">
        <f t="shared" si="7"/>
        <v>-24.942347902271134</v>
      </c>
      <c r="I52" s="96">
        <f t="shared" si="8"/>
        <v>-2.6523345189946417</v>
      </c>
      <c r="J52" s="97">
        <f t="shared" si="9"/>
        <v>-104.86427732785779</v>
      </c>
      <c r="K52" s="98">
        <f t="shared" si="10"/>
        <v>-97.075757761376607</v>
      </c>
      <c r="L52" s="99">
        <f t="shared" si="11"/>
        <v>1.2243879836625133</v>
      </c>
      <c r="M52" s="100">
        <f t="shared" si="12"/>
        <v>105.93555359948068</v>
      </c>
      <c r="N52" s="101">
        <f t="shared" si="13"/>
        <v>78.88853202778914</v>
      </c>
      <c r="O52" s="96">
        <f t="shared" si="14"/>
        <v>0.11766939279315269</v>
      </c>
      <c r="P52" s="97">
        <f t="shared" si="15"/>
        <v>134.60210522499534</v>
      </c>
      <c r="Q52" s="98">
        <f t="shared" si="16"/>
        <v>6.755122168683612</v>
      </c>
      <c r="R52" s="99">
        <f t="shared" si="17"/>
        <v>-0.98904919807620795</v>
      </c>
      <c r="S52" s="100">
        <f t="shared" si="18"/>
        <v>123.54525919445554</v>
      </c>
      <c r="T52" s="101">
        <f t="shared" si="19"/>
        <v>-70.074209182415203</v>
      </c>
    </row>
  </sheetData>
  <mergeCells count="49">
    <mergeCell ref="G12:M12"/>
    <mergeCell ref="B17:D17"/>
    <mergeCell ref="B18:D18"/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  <mergeCell ref="B6:C6"/>
    <mergeCell ref="D6:E6"/>
    <mergeCell ref="F6:G6"/>
    <mergeCell ref="H6:I6"/>
    <mergeCell ref="G25:M25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25:D25"/>
    <mergeCell ref="B13:D13"/>
    <mergeCell ref="B14:D14"/>
    <mergeCell ref="B15:D15"/>
    <mergeCell ref="B16:D16"/>
    <mergeCell ref="V2:W2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B3" sqref="B3"/>
    </sheetView>
  </sheetViews>
  <sheetFormatPr defaultRowHeight="15" x14ac:dyDescent="0.25"/>
  <cols>
    <col min="2" max="2" width="10.28515625" bestFit="1" customWidth="1"/>
    <col min="3" max="3" width="13.42578125" customWidth="1"/>
    <col min="4" max="4" width="10.5703125" bestFit="1" customWidth="1"/>
  </cols>
  <sheetData>
    <row r="2" spans="1:4" x14ac:dyDescent="0.25">
      <c r="A2" s="50" t="s">
        <v>69</v>
      </c>
      <c r="B2" s="49">
        <f>170/2000</f>
        <v>8.5000000000000006E-2</v>
      </c>
      <c r="D2" s="49"/>
    </row>
    <row r="3" spans="1:4" x14ac:dyDescent="0.25">
      <c r="A3">
        <v>-85</v>
      </c>
      <c r="B3" s="67">
        <f>A3/$B$2</f>
        <v>-999.99999999999989</v>
      </c>
      <c r="C3" s="67"/>
      <c r="D3" s="68"/>
    </row>
    <row r="4" spans="1:4" x14ac:dyDescent="0.25">
      <c r="A4">
        <v>-80</v>
      </c>
      <c r="B4" s="67">
        <f t="shared" ref="B4:B38" si="0">A4/$B$2</f>
        <v>-941.17647058823525</v>
      </c>
      <c r="C4" s="67"/>
      <c r="D4" s="68"/>
    </row>
    <row r="5" spans="1:4" x14ac:dyDescent="0.25">
      <c r="A5">
        <v>-75</v>
      </c>
      <c r="B5" s="67">
        <f t="shared" si="0"/>
        <v>-882.35294117647049</v>
      </c>
      <c r="C5" s="67"/>
      <c r="D5" s="68"/>
    </row>
    <row r="6" spans="1:4" x14ac:dyDescent="0.25">
      <c r="A6">
        <v>-70</v>
      </c>
      <c r="B6" s="67">
        <f t="shared" si="0"/>
        <v>-823.52941176470586</v>
      </c>
      <c r="C6" s="67"/>
      <c r="D6" s="68"/>
    </row>
    <row r="7" spans="1:4" x14ac:dyDescent="0.25">
      <c r="A7">
        <v>-65</v>
      </c>
      <c r="B7" s="67">
        <f t="shared" si="0"/>
        <v>-764.7058823529411</v>
      </c>
      <c r="C7" s="67"/>
      <c r="D7" s="68"/>
    </row>
    <row r="8" spans="1:4" x14ac:dyDescent="0.25">
      <c r="A8">
        <v>-60</v>
      </c>
      <c r="B8" s="67">
        <f t="shared" si="0"/>
        <v>-705.88235294117646</v>
      </c>
      <c r="C8" s="67"/>
      <c r="D8" s="68"/>
    </row>
    <row r="9" spans="1:4" x14ac:dyDescent="0.25">
      <c r="A9">
        <v>-55</v>
      </c>
      <c r="B9" s="67">
        <f t="shared" si="0"/>
        <v>-647.05882352941171</v>
      </c>
      <c r="C9" s="67"/>
      <c r="D9" s="68"/>
    </row>
    <row r="10" spans="1:4" x14ac:dyDescent="0.25">
      <c r="A10">
        <v>-50</v>
      </c>
      <c r="B10" s="67">
        <f t="shared" si="0"/>
        <v>-588.23529411764707</v>
      </c>
      <c r="C10" s="67"/>
      <c r="D10" s="68"/>
    </row>
    <row r="11" spans="1:4" x14ac:dyDescent="0.25">
      <c r="A11">
        <v>-45</v>
      </c>
      <c r="B11" s="67">
        <f t="shared" si="0"/>
        <v>-529.41176470588232</v>
      </c>
      <c r="C11" s="67"/>
      <c r="D11" s="68"/>
    </row>
    <row r="12" spans="1:4" x14ac:dyDescent="0.25">
      <c r="A12">
        <v>-40</v>
      </c>
      <c r="B12" s="67">
        <f t="shared" si="0"/>
        <v>-470.58823529411762</v>
      </c>
      <c r="C12" s="67"/>
      <c r="D12" s="68"/>
    </row>
    <row r="13" spans="1:4" x14ac:dyDescent="0.25">
      <c r="A13">
        <v>-35</v>
      </c>
      <c r="B13" s="67">
        <f t="shared" si="0"/>
        <v>-411.76470588235293</v>
      </c>
      <c r="C13" s="67"/>
      <c r="D13" s="68"/>
    </row>
    <row r="14" spans="1:4" x14ac:dyDescent="0.25">
      <c r="A14">
        <v>-30</v>
      </c>
      <c r="B14" s="67">
        <f t="shared" si="0"/>
        <v>-352.94117647058823</v>
      </c>
      <c r="C14" s="67"/>
      <c r="D14" s="68"/>
    </row>
    <row r="15" spans="1:4" x14ac:dyDescent="0.25">
      <c r="A15">
        <v>-25</v>
      </c>
      <c r="B15" s="67">
        <f t="shared" si="0"/>
        <v>-294.11764705882354</v>
      </c>
      <c r="C15" s="67"/>
      <c r="D15" s="68"/>
    </row>
    <row r="16" spans="1:4" x14ac:dyDescent="0.25">
      <c r="A16">
        <v>-20</v>
      </c>
      <c r="B16" s="67">
        <f t="shared" si="0"/>
        <v>-235.29411764705881</v>
      </c>
      <c r="C16" s="67"/>
      <c r="D16" s="68"/>
    </row>
    <row r="17" spans="1:4" x14ac:dyDescent="0.25">
      <c r="A17">
        <v>-15</v>
      </c>
      <c r="B17" s="67">
        <f t="shared" si="0"/>
        <v>-176.47058823529412</v>
      </c>
      <c r="C17" s="67"/>
      <c r="D17" s="68"/>
    </row>
    <row r="18" spans="1:4" x14ac:dyDescent="0.25">
      <c r="A18">
        <v>-10</v>
      </c>
      <c r="B18" s="67">
        <f t="shared" si="0"/>
        <v>-117.64705882352941</v>
      </c>
      <c r="C18" s="67"/>
      <c r="D18" s="68"/>
    </row>
    <row r="19" spans="1:4" x14ac:dyDescent="0.25">
      <c r="A19">
        <v>-5</v>
      </c>
      <c r="B19" s="67">
        <f t="shared" si="0"/>
        <v>-58.823529411764703</v>
      </c>
      <c r="C19" s="67"/>
      <c r="D19" s="68"/>
    </row>
    <row r="20" spans="1:4" x14ac:dyDescent="0.25">
      <c r="A20">
        <v>-1</v>
      </c>
      <c r="B20" s="67">
        <f t="shared" si="0"/>
        <v>-11.76470588235294</v>
      </c>
      <c r="C20" s="67"/>
      <c r="D20" s="68"/>
    </row>
    <row r="21" spans="1:4" x14ac:dyDescent="0.25">
      <c r="A21">
        <v>1</v>
      </c>
      <c r="B21" s="67">
        <f t="shared" si="0"/>
        <v>11.76470588235294</v>
      </c>
      <c r="C21" s="67"/>
      <c r="D21" s="68"/>
    </row>
    <row r="22" spans="1:4" x14ac:dyDescent="0.25">
      <c r="A22">
        <v>5</v>
      </c>
      <c r="B22" s="67">
        <f t="shared" si="0"/>
        <v>58.823529411764703</v>
      </c>
      <c r="C22" s="67"/>
      <c r="D22" s="68"/>
    </row>
    <row r="23" spans="1:4" x14ac:dyDescent="0.25">
      <c r="A23">
        <v>10</v>
      </c>
      <c r="B23" s="67">
        <f t="shared" si="0"/>
        <v>117.64705882352941</v>
      </c>
      <c r="C23" s="67"/>
      <c r="D23" s="68"/>
    </row>
    <row r="24" spans="1:4" x14ac:dyDescent="0.25">
      <c r="A24">
        <v>15</v>
      </c>
      <c r="B24" s="67">
        <f t="shared" si="0"/>
        <v>176.47058823529412</v>
      </c>
      <c r="C24" s="67"/>
      <c r="D24" s="68"/>
    </row>
    <row r="25" spans="1:4" x14ac:dyDescent="0.25">
      <c r="A25">
        <v>20</v>
      </c>
      <c r="B25" s="67">
        <f t="shared" si="0"/>
        <v>235.29411764705881</v>
      </c>
      <c r="C25" s="67"/>
      <c r="D25" s="68"/>
    </row>
    <row r="26" spans="1:4" x14ac:dyDescent="0.25">
      <c r="A26">
        <v>25</v>
      </c>
      <c r="B26" s="67">
        <f t="shared" si="0"/>
        <v>294.11764705882354</v>
      </c>
      <c r="C26" s="67"/>
      <c r="D26" s="68"/>
    </row>
    <row r="27" spans="1:4" x14ac:dyDescent="0.25">
      <c r="A27">
        <v>30</v>
      </c>
      <c r="B27" s="67">
        <f t="shared" si="0"/>
        <v>352.94117647058823</v>
      </c>
      <c r="C27" s="67"/>
      <c r="D27" s="68"/>
    </row>
    <row r="28" spans="1:4" x14ac:dyDescent="0.25">
      <c r="A28">
        <v>35</v>
      </c>
      <c r="B28" s="67">
        <f t="shared" si="0"/>
        <v>411.76470588235293</v>
      </c>
      <c r="C28" s="67"/>
      <c r="D28" s="68"/>
    </row>
    <row r="29" spans="1:4" x14ac:dyDescent="0.25">
      <c r="A29">
        <v>40</v>
      </c>
      <c r="B29" s="67">
        <f t="shared" si="0"/>
        <v>470.58823529411762</v>
      </c>
      <c r="C29" s="67"/>
      <c r="D29" s="68"/>
    </row>
    <row r="30" spans="1:4" x14ac:dyDescent="0.25">
      <c r="A30">
        <v>45</v>
      </c>
      <c r="B30" s="67">
        <f t="shared" si="0"/>
        <v>529.41176470588232</v>
      </c>
      <c r="C30" s="67"/>
      <c r="D30" s="68"/>
    </row>
    <row r="31" spans="1:4" x14ac:dyDescent="0.25">
      <c r="A31">
        <v>50</v>
      </c>
      <c r="B31" s="67">
        <f t="shared" si="0"/>
        <v>588.23529411764707</v>
      </c>
      <c r="C31" s="67"/>
      <c r="D31" s="68"/>
    </row>
    <row r="32" spans="1:4" x14ac:dyDescent="0.25">
      <c r="A32">
        <v>55</v>
      </c>
      <c r="B32" s="67">
        <f t="shared" si="0"/>
        <v>647.05882352941171</v>
      </c>
      <c r="C32" s="67"/>
      <c r="D32" s="68"/>
    </row>
    <row r="33" spans="1:4" x14ac:dyDescent="0.25">
      <c r="A33">
        <v>60</v>
      </c>
      <c r="B33" s="67">
        <f t="shared" si="0"/>
        <v>705.88235294117646</v>
      </c>
      <c r="C33" s="67"/>
      <c r="D33" s="68"/>
    </row>
    <row r="34" spans="1:4" x14ac:dyDescent="0.25">
      <c r="A34">
        <v>65</v>
      </c>
      <c r="B34" s="67">
        <f t="shared" si="0"/>
        <v>764.7058823529411</v>
      </c>
      <c r="C34" s="67"/>
      <c r="D34" s="68"/>
    </row>
    <row r="35" spans="1:4" x14ac:dyDescent="0.25">
      <c r="A35">
        <v>70</v>
      </c>
      <c r="B35" s="67">
        <f t="shared" si="0"/>
        <v>823.52941176470586</v>
      </c>
      <c r="C35" s="67"/>
      <c r="D35" s="68"/>
    </row>
    <row r="36" spans="1:4" x14ac:dyDescent="0.25">
      <c r="A36">
        <v>75</v>
      </c>
      <c r="B36" s="67">
        <f t="shared" si="0"/>
        <v>882.35294117647049</v>
      </c>
      <c r="C36" s="67"/>
      <c r="D36" s="68"/>
    </row>
    <row r="37" spans="1:4" x14ac:dyDescent="0.25">
      <c r="A37">
        <v>80</v>
      </c>
      <c r="B37" s="67">
        <f t="shared" si="0"/>
        <v>941.17647058823525</v>
      </c>
      <c r="C37" s="67"/>
      <c r="D37" s="68"/>
    </row>
    <row r="38" spans="1:4" x14ac:dyDescent="0.25">
      <c r="A38">
        <v>85</v>
      </c>
      <c r="B38" s="67">
        <f t="shared" si="0"/>
        <v>999.99999999999989</v>
      </c>
      <c r="C38" s="67"/>
      <c r="D38" s="6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2021-12-14T05:10:14Z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