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3256" windowHeight="13176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2" i="1"/>
  <c r="G121"/>
  <c r="G118"/>
  <c r="G119"/>
  <c r="G113"/>
  <c r="G110"/>
  <c r="B78"/>
  <c r="B76"/>
  <c r="B75"/>
  <c r="B72"/>
  <c r="B67"/>
  <c r="B66"/>
  <c r="B63"/>
  <c r="B73"/>
  <c r="G101"/>
  <c r="G95"/>
  <c r="H95" s="1"/>
  <c r="I95" s="1"/>
  <c r="J95" s="1"/>
  <c r="K95" s="1"/>
  <c r="L95" s="1"/>
  <c r="M95" s="1"/>
  <c r="N95" s="1"/>
  <c r="O95" s="1"/>
  <c r="P95" s="1"/>
  <c r="Q95" s="1"/>
  <c r="G94"/>
  <c r="H94" s="1"/>
  <c r="I94" s="1"/>
  <c r="J94" s="1"/>
  <c r="K94" s="1"/>
  <c r="L94" s="1"/>
  <c r="M94" s="1"/>
  <c r="N94" s="1"/>
  <c r="O94" s="1"/>
  <c r="P94" s="1"/>
  <c r="Q94" s="1"/>
  <c r="G93"/>
  <c r="H93" s="1"/>
  <c r="I93" s="1"/>
  <c r="J93" s="1"/>
  <c r="K93" s="1"/>
  <c r="L93" s="1"/>
  <c r="M93" s="1"/>
  <c r="N93" s="1"/>
  <c r="O93" s="1"/>
  <c r="P93" s="1"/>
  <c r="Q93" s="1"/>
  <c r="B11"/>
  <c r="H98" s="1"/>
  <c r="B40"/>
  <c r="G97" s="1"/>
  <c r="H97" s="1"/>
  <c r="I97" s="1"/>
  <c r="J97" s="1"/>
  <c r="K97" s="1"/>
  <c r="L97" s="1"/>
  <c r="M97" s="1"/>
  <c r="N97" s="1"/>
  <c r="O97" s="1"/>
  <c r="P97" s="1"/>
  <c r="Q97" s="1"/>
  <c r="D27"/>
  <c r="D26"/>
  <c r="B32" l="1"/>
  <c r="B33" s="1"/>
  <c r="G90" s="1"/>
  <c r="G96" s="1"/>
  <c r="I98"/>
  <c r="B10"/>
  <c r="G107" s="1"/>
  <c r="G92" l="1"/>
  <c r="G99" s="1"/>
  <c r="G100" s="1"/>
  <c r="H90"/>
  <c r="G104" s="1"/>
  <c r="J98"/>
  <c r="H96" l="1"/>
  <c r="H92"/>
  <c r="K98"/>
  <c r="L98" s="1"/>
  <c r="I90"/>
  <c r="H104" s="1"/>
  <c r="G105" s="1"/>
  <c r="G111" l="1"/>
  <c r="H99"/>
  <c r="H100" s="1"/>
  <c r="H101" s="1"/>
  <c r="I96"/>
  <c r="J90"/>
  <c r="J96" s="1"/>
  <c r="I92"/>
  <c r="M98"/>
  <c r="I104" l="1"/>
  <c r="H105" s="1"/>
  <c r="H110" s="1"/>
  <c r="K90"/>
  <c r="K96" s="1"/>
  <c r="J92"/>
  <c r="J99" s="1"/>
  <c r="I99"/>
  <c r="H111" l="1"/>
  <c r="J104"/>
  <c r="I105" s="1"/>
  <c r="I110" s="1"/>
  <c r="K92"/>
  <c r="L90"/>
  <c r="K104" s="1"/>
  <c r="J100"/>
  <c r="J101" s="1"/>
  <c r="I100"/>
  <c r="I101" s="1"/>
  <c r="I111" s="1"/>
  <c r="K99"/>
  <c r="J105" l="1"/>
  <c r="L92"/>
  <c r="M90"/>
  <c r="N90" s="1"/>
  <c r="L96"/>
  <c r="K100"/>
  <c r="K101" s="1"/>
  <c r="J111" l="1"/>
  <c r="J110"/>
  <c r="L99"/>
  <c r="L100" s="1"/>
  <c r="L101" s="1"/>
  <c r="L104"/>
  <c r="K105" s="1"/>
  <c r="K110" s="1"/>
  <c r="M92"/>
  <c r="M96"/>
  <c r="O90"/>
  <c r="N92"/>
  <c r="N96"/>
  <c r="M104"/>
  <c r="K111" l="1"/>
  <c r="L105"/>
  <c r="L110" s="1"/>
  <c r="M99"/>
  <c r="M100" s="1"/>
  <c r="M101" s="1"/>
  <c r="N99"/>
  <c r="P90"/>
  <c r="O96"/>
  <c r="N104"/>
  <c r="M105" s="1"/>
  <c r="M110" s="1"/>
  <c r="O92"/>
  <c r="L111" l="1"/>
  <c r="N100"/>
  <c r="N101" s="1"/>
  <c r="M111"/>
  <c r="O99"/>
  <c r="Q90"/>
  <c r="P96"/>
  <c r="O104"/>
  <c r="N105" s="1"/>
  <c r="N110" s="1"/>
  <c r="P92"/>
  <c r="N111" l="1"/>
  <c r="P99"/>
  <c r="O100"/>
  <c r="O101" s="1"/>
  <c r="P104"/>
  <c r="Q104" s="1"/>
  <c r="P105" s="1"/>
  <c r="Q92"/>
  <c r="Q96"/>
  <c r="Q105" l="1"/>
  <c r="Q110" s="1"/>
  <c r="P110"/>
  <c r="P100"/>
  <c r="P101" s="1"/>
  <c r="P111" s="1"/>
  <c r="Q99"/>
  <c r="O105"/>
  <c r="O111" l="1"/>
  <c r="O110"/>
  <c r="Q100"/>
  <c r="Q101" s="1"/>
  <c r="Q111" s="1"/>
  <c r="G114" s="1"/>
  <c r="G115" l="1"/>
  <c r="G123" s="1"/>
</calcChain>
</file>

<file path=xl/sharedStrings.xml><?xml version="1.0" encoding="utf-8"?>
<sst xmlns="http://schemas.openxmlformats.org/spreadsheetml/2006/main" count="127" uniqueCount="123">
  <si>
    <t>Assumptions</t>
  </si>
  <si>
    <t>Model</t>
  </si>
  <si>
    <t>Stove</t>
  </si>
  <si>
    <t>Double Fryer</t>
  </si>
  <si>
    <t>Sinks</t>
  </si>
  <si>
    <t>Prep Tables</t>
  </si>
  <si>
    <t>Pots/Utensils</t>
  </si>
  <si>
    <t>Tables &amp; Chairs</t>
  </si>
  <si>
    <t>Renovation</t>
  </si>
  <si>
    <t>YR1</t>
  </si>
  <si>
    <t>YR2</t>
  </si>
  <si>
    <t>YR3</t>
  </si>
  <si>
    <t>YR4</t>
  </si>
  <si>
    <t>YR5</t>
  </si>
  <si>
    <t>YR6</t>
  </si>
  <si>
    <t>Revenue</t>
  </si>
  <si>
    <t>Growth Rate</t>
  </si>
  <si>
    <t>Breakfast</t>
  </si>
  <si>
    <t>Lunch</t>
  </si>
  <si>
    <t>Days Open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</si>
  <si>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</si>
  <si>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</si>
  <si>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</si>
  <si>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</si>
  <si>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</si>
  <si>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</si>
  <si>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</si>
  <si>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</si>
  <si>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</si>
  <si>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</si>
  <si>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</si>
  <si>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Monthly Rent</t>
  </si>
  <si>
    <t>utilities</t>
  </si>
  <si>
    <t>Insurance</t>
  </si>
  <si>
    <t>Yearly Inflation</t>
  </si>
  <si>
    <t>Perishables</t>
  </si>
  <si>
    <t>Non-labor</t>
  </si>
  <si>
    <t>Manager</t>
  </si>
  <si>
    <t>Taxes</t>
  </si>
  <si>
    <t>Cooks wage</t>
  </si>
  <si>
    <t># of cook</t>
  </si>
  <si>
    <t># of hours for cooks</t>
  </si>
  <si>
    <t>Server wage</t>
  </si>
  <si>
    <t># of servers</t>
  </si>
  <si>
    <t># of hours for servers</t>
  </si>
  <si>
    <t># of manager hours</t>
  </si>
  <si>
    <t># of manager</t>
  </si>
  <si>
    <t>Perisables</t>
  </si>
  <si>
    <t>non-labor</t>
  </si>
  <si>
    <t>Depreciation</t>
  </si>
  <si>
    <t>EBIT</t>
  </si>
  <si>
    <t>Net Income</t>
  </si>
  <si>
    <t>Cook</t>
  </si>
  <si>
    <t>Server</t>
  </si>
  <si>
    <t>Server wage increase</t>
  </si>
  <si>
    <t>Selected Income Statement</t>
  </si>
  <si>
    <t>NWC</t>
  </si>
  <si>
    <t>Net Working Capital</t>
  </si>
  <si>
    <t>of next year's revenue</t>
  </si>
  <si>
    <t>Borrowing Rate</t>
  </si>
  <si>
    <t>Debt To Equity Ratio</t>
  </si>
  <si>
    <t>Risk Free Rate</t>
  </si>
  <si>
    <t>Risk Premium</t>
  </si>
  <si>
    <t>Correlation with Market</t>
  </si>
  <si>
    <t>Cost Of Equity</t>
  </si>
  <si>
    <t>Cost of Debt</t>
  </si>
  <si>
    <t>WACC</t>
  </si>
  <si>
    <t>Total Revenue</t>
  </si>
  <si>
    <t>Total Annual Costs</t>
  </si>
  <si>
    <t>Manager wage increase</t>
  </si>
  <si>
    <t>Cook wage increase</t>
  </si>
  <si>
    <t>5 year MACRS</t>
  </si>
  <si>
    <t># of Customers</t>
  </si>
  <si>
    <t>Average Check</t>
  </si>
  <si>
    <t>Addition to NWC</t>
  </si>
  <si>
    <t>Start-up costs</t>
  </si>
  <si>
    <t>NPV</t>
  </si>
  <si>
    <t>IRR</t>
  </si>
  <si>
    <t>Tax on sale of business</t>
  </si>
  <si>
    <t>Cash flows</t>
  </si>
  <si>
    <t>Operating cash flows</t>
  </si>
  <si>
    <t>Start-up Costs</t>
  </si>
  <si>
    <t>Total start-up costs</t>
  </si>
  <si>
    <t>Expenses</t>
  </si>
  <si>
    <t>Annual rent, utilities and insurance</t>
  </si>
  <si>
    <t>Free cash flow</t>
  </si>
  <si>
    <t>β</t>
  </si>
  <si>
    <t>Daily Revenue</t>
  </si>
  <si>
    <t>Annual revenue</t>
  </si>
  <si>
    <t>Total equipment costs</t>
  </si>
  <si>
    <t>Change in NWC</t>
  </si>
  <si>
    <t>Beta Unlevered (BU)</t>
  </si>
  <si>
    <t>Levered Beta (BL)</t>
  </si>
  <si>
    <t>Total Beta</t>
  </si>
  <si>
    <t>Weighted Debt</t>
  </si>
  <si>
    <t>Weighted Equity</t>
  </si>
  <si>
    <t xml:space="preserve">Cost of capital </t>
  </si>
  <si>
    <t>Sale price</t>
  </si>
  <si>
    <t>r</t>
  </si>
  <si>
    <t>Payback</t>
  </si>
  <si>
    <t xml:space="preserve">If you have created a spreadsheet to analyze the project, you should be able to create additional scenarios. </t>
  </si>
  <si>
    <t>What if revenues are not as good as Ramsay has forecasted? What if costs are higher?</t>
  </si>
  <si>
    <t>Consequently, the NPV and IRR of the project would be affected.</t>
  </si>
  <si>
    <t>If revenues are not as good as forecasted or costs turn out to be higher, it would impact the free cash flows of the restaurant business.</t>
  </si>
  <si>
    <t xml:space="preserve">If revenues are lower than forecasted, the free cash flows generated by the project would be lower, resulting in a lower NPV and IRR. </t>
  </si>
  <si>
    <t>Similarly, if costs turn out to be higher than expected, the free cash flows would also be lower, leading to a lower NPV and IRR.</t>
  </si>
  <si>
    <t xml:space="preserve">In such a scenario, Ramsay would need to reassess the viability of the project and potentially explore options to reduce costs or increase revenues to improve the project's financial performance. </t>
  </si>
  <si>
    <t>Ramsay may also need to revise the assumptions made in the initial analysis and re-calculate the NPV and IRR based on the new estimates of revenues and costs.</t>
  </si>
  <si>
    <t xml:space="preserve">Are there any other issues you think are important? </t>
  </si>
  <si>
    <t>Considering the scenarios you have created, and any other issues you feel are important, what would you recommend Ramsay do?</t>
  </si>
  <si>
    <t>Here are some recommendations for Ramsay:</t>
  </si>
  <si>
    <t xml:space="preserve">He can consider a more conservative revenue forecast: As discussed earlier, Ramsay's revenue forecast may be optimistic. </t>
  </si>
  <si>
    <t>To mitigate the risk of lower revenues, Ramsay should consider a more conservative forecast that takes into account the uncertainties of the restaurant business.</t>
  </si>
  <si>
    <t>Evaluate cost-saving opportunities: Ramsay should look for opportunities to reduce costs without compromising the quality of the restaurant's offerings.</t>
  </si>
  <si>
    <t xml:space="preserve"> This could involve negotiating better deals with suppliers, optimizing staffing levels, and exploring energy-efficient equipment.</t>
  </si>
  <si>
    <t xml:space="preserve">Monitor and adjust pricing: Ramsay should monitor pricing and adjust it as necessary to maintain profitability. </t>
  </si>
  <si>
    <t>If costs are higher than expected, Ramsay may need to raise prices to maintain profitability. However, it is essential to ensure that the restaurant's pricing remains competitive.</t>
  </si>
  <si>
    <t xml:space="preserve">Consider alternative financing options: If Ramsay is unable to secure a loan with favorable terms, he may need to consider alternative financing options. </t>
  </si>
  <si>
    <t>For example, he could look for investors who are willing to provide equity financing, or he could explore crowdfunding options.</t>
  </si>
  <si>
    <t>Build a contingency plan: Ramsay should have a contingency plan in case revenues are lower than expected or costs are higher.</t>
  </si>
  <si>
    <t>This could involve having cash reserves on hand, cutting costs quickly if necessary, and exploring alternative revenue streams.</t>
  </si>
  <si>
    <t xml:space="preserve">Overall, Ramsay should carefully evaluate the risks and uncertainties of the restaurant business and develop a plan that addresses these risks. </t>
  </si>
  <si>
    <t>With a conservative forecast, cost-saving measures, and a contingency plan, Ramsay can increase the likelihood of the restaurant's success.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</si>
</sst>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(* #,##0.000_);_(* \(#,##0.000\);_(* &quot;-&quot;??_);_(@_)"/>
    <numFmt numFmtId="170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3" applyNumberFormat="0" applyAlignment="0" applyProtection="0"/>
    <xf numFmtId="0" fontId="11" fillId="8" borderId="4" applyNumberFormat="0" applyAlignment="0" applyProtection="0"/>
  </cellStyleXfs>
  <cellXfs count="50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2" borderId="0" xfId="2" applyFont="1" applyFill="1"/>
    <xf numFmtId="9" fontId="0" fillId="2" borderId="0" xfId="3" applyFont="1" applyFill="1"/>
    <xf numFmtId="10" fontId="0" fillId="2" borderId="0" xfId="3" applyNumberFormat="1" applyFont="1" applyFill="1"/>
    <xf numFmtId="165" fontId="0" fillId="2" borderId="0" xfId="0" applyNumberFormat="1" applyFill="1"/>
    <xf numFmtId="0" fontId="3" fillId="2" borderId="0" xfId="0" applyFont="1" applyFill="1"/>
    <xf numFmtId="165" fontId="3" fillId="2" borderId="0" xfId="2" applyFont="1" applyFill="1"/>
    <xf numFmtId="0" fontId="0" fillId="2" borderId="0" xfId="3" applyNumberFormat="1" applyFont="1" applyFill="1"/>
    <xf numFmtId="164" fontId="0" fillId="2" borderId="0" xfId="3" applyNumberFormat="1" applyFont="1" applyFill="1"/>
    <xf numFmtId="166" fontId="0" fillId="2" borderId="0" xfId="1" applyFont="1" applyFill="1"/>
    <xf numFmtId="164" fontId="0" fillId="2" borderId="0" xfId="1" applyNumberFormat="1" applyFont="1" applyFill="1"/>
    <xf numFmtId="9" fontId="0" fillId="2" borderId="0" xfId="1" applyNumberFormat="1" applyFont="1" applyFill="1"/>
    <xf numFmtId="9" fontId="0" fillId="2" borderId="0" xfId="0" applyNumberFormat="1" applyFill="1"/>
    <xf numFmtId="167" fontId="0" fillId="2" borderId="0" xfId="0" applyNumberFormat="1" applyFill="1"/>
    <xf numFmtId="166" fontId="0" fillId="3" borderId="0" xfId="0" applyNumberFormat="1" applyFill="1"/>
    <xf numFmtId="168" fontId="0" fillId="3" borderId="0" xfId="1" applyNumberFormat="1" applyFont="1" applyFill="1"/>
    <xf numFmtId="168" fontId="0" fillId="3" borderId="0" xfId="0" applyNumberFormat="1" applyFill="1"/>
    <xf numFmtId="10" fontId="0" fillId="3" borderId="0" xfId="0" applyNumberFormat="1" applyFill="1"/>
    <xf numFmtId="0" fontId="4" fillId="0" borderId="0" xfId="0" applyFont="1"/>
    <xf numFmtId="0" fontId="5" fillId="2" borderId="0" xfId="0" applyFont="1" applyFill="1"/>
    <xf numFmtId="0" fontId="0" fillId="0" borderId="1" xfId="0" applyBorder="1"/>
    <xf numFmtId="168" fontId="0" fillId="3" borderId="1" xfId="1" applyNumberFormat="1" applyFont="1" applyFill="1" applyBorder="1"/>
    <xf numFmtId="0" fontId="6" fillId="0" borderId="0" xfId="0" applyFont="1"/>
    <xf numFmtId="9" fontId="2" fillId="2" borderId="0" xfId="3" applyFont="1" applyFill="1" applyAlignment="1">
      <alignment horizontal="right"/>
    </xf>
    <xf numFmtId="43" fontId="0" fillId="2" borderId="0" xfId="0" applyNumberFormat="1" applyFill="1"/>
    <xf numFmtId="0" fontId="0" fillId="2" borderId="0" xfId="0" applyFont="1" applyFill="1"/>
    <xf numFmtId="43" fontId="0" fillId="2" borderId="0" xfId="3" applyNumberFormat="1" applyFont="1" applyFill="1"/>
    <xf numFmtId="168" fontId="0" fillId="3" borderId="0" xfId="1" applyNumberFormat="1" applyFont="1" applyFill="1" applyAlignment="1">
      <alignment horizontal="right"/>
    </xf>
    <xf numFmtId="0" fontId="3" fillId="0" borderId="0" xfId="0" applyFont="1"/>
    <xf numFmtId="166" fontId="0" fillId="3" borderId="0" xfId="1" applyNumberFormat="1" applyFont="1" applyFill="1"/>
    <xf numFmtId="0" fontId="0" fillId="0" borderId="0" xfId="0" applyBorder="1"/>
    <xf numFmtId="0" fontId="0" fillId="0" borderId="2" xfId="0" applyBorder="1"/>
    <xf numFmtId="168" fontId="0" fillId="3" borderId="2" xfId="1" applyNumberFormat="1" applyFont="1" applyFill="1" applyBorder="1"/>
    <xf numFmtId="170" fontId="0" fillId="2" borderId="0" xfId="0" applyNumberFormat="1" applyFill="1"/>
    <xf numFmtId="2" fontId="0" fillId="2" borderId="0" xfId="0" applyNumberFormat="1" applyFill="1"/>
    <xf numFmtId="168" fontId="0" fillId="3" borderId="0" xfId="1" applyNumberFormat="1" applyFont="1" applyFill="1" applyBorder="1"/>
    <xf numFmtId="0" fontId="0" fillId="0" borderId="0" xfId="0" applyFill="1" applyBorder="1"/>
    <xf numFmtId="10" fontId="0" fillId="3" borderId="0" xfId="1" applyNumberFormat="1" applyFont="1" applyFill="1" applyBorder="1"/>
    <xf numFmtId="169" fontId="0" fillId="3" borderId="0" xfId="0" applyNumberFormat="1" applyFill="1"/>
    <xf numFmtId="0" fontId="0" fillId="0" borderId="0" xfId="0" applyNumberFormat="1"/>
    <xf numFmtId="0" fontId="2" fillId="0" borderId="0" xfId="0" applyFont="1"/>
    <xf numFmtId="0" fontId="8" fillId="5" borderId="0" xfId="5"/>
    <xf numFmtId="0" fontId="7" fillId="4" borderId="0" xfId="4"/>
    <xf numFmtId="0" fontId="10" fillId="7" borderId="3" xfId="7"/>
    <xf numFmtId="0" fontId="9" fillId="6" borderId="0" xfId="6"/>
    <xf numFmtId="0" fontId="11" fillId="8" borderId="4" xfId="8"/>
  </cellXfs>
  <cellStyles count="9">
    <cellStyle name="Bad" xfId="5" builtinId="27"/>
    <cellStyle name="Calculation" xfId="7" builtinId="22"/>
    <cellStyle name="Check Cell" xfId="8" builtinId="23"/>
    <cellStyle name="Comma" xfId="1" builtinId="3"/>
    <cellStyle name="Currency" xfId="2" builtinId="4"/>
    <cellStyle name="Good" xfId="4" builtinId="26"/>
    <cellStyle name="Neutral" xfId="6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7"/>
  <sheetViews>
    <sheetView tabSelected="1" topLeftCell="C88" zoomScale="85" zoomScaleNormal="85" workbookViewId="0">
      <selection activeCell="F67" sqref="F67"/>
    </sheetView>
  </sheetViews>
  <sheetFormatPr defaultRowHeight="14.4"/>
  <cols>
    <col min="1" max="1" width="22.5546875" style="2" bestFit="1" customWidth="1"/>
    <col min="2" max="3" width="11.5546875" style="2" bestFit="1" customWidth="1"/>
    <col min="4" max="4" width="12.88671875" style="2" bestFit="1" customWidth="1"/>
    <col min="5" max="5" width="20.6640625" style="2" bestFit="1" customWidth="1"/>
    <col min="6" max="6" width="26" bestFit="1" customWidth="1"/>
    <col min="7" max="16" width="12.5546875" style="3" bestFit="1" customWidth="1"/>
    <col min="17" max="17" width="14.88671875" style="3" customWidth="1"/>
  </cols>
  <sheetData>
    <row r="1" spans="1:6">
      <c r="A1" s="1" t="s">
        <v>0</v>
      </c>
    </row>
    <row r="2" spans="1:6">
      <c r="A2" s="23" t="s">
        <v>81</v>
      </c>
      <c r="F2" s="45"/>
    </row>
    <row r="3" spans="1:6">
      <c r="A3" s="2" t="s">
        <v>2</v>
      </c>
      <c r="B3" s="5">
        <v>1600</v>
      </c>
      <c r="F3" s="45"/>
    </row>
    <row r="4" spans="1:6">
      <c r="A4" s="2" t="s">
        <v>3</v>
      </c>
      <c r="B4" s="5">
        <v>800</v>
      </c>
      <c r="F4" s="45"/>
    </row>
    <row r="5" spans="1:6">
      <c r="A5" s="2" t="s">
        <v>4</v>
      </c>
      <c r="B5" s="5">
        <v>700</v>
      </c>
      <c r="F5" s="45"/>
    </row>
    <row r="6" spans="1:6">
      <c r="A6" s="2" t="s">
        <v>5</v>
      </c>
      <c r="B6" s="5">
        <v>1500</v>
      </c>
      <c r="F6" s="45"/>
    </row>
    <row r="7" spans="1:6">
      <c r="A7" s="2" t="s">
        <v>6</v>
      </c>
      <c r="B7" s="5">
        <v>1500</v>
      </c>
      <c r="F7" s="45"/>
    </row>
    <row r="8" spans="1:6">
      <c r="A8" s="2" t="s">
        <v>7</v>
      </c>
      <c r="B8" s="5">
        <v>2000</v>
      </c>
      <c r="F8" s="45"/>
    </row>
    <row r="9" spans="1:6">
      <c r="A9" s="9" t="s">
        <v>8</v>
      </c>
      <c r="B9" s="10">
        <v>10000</v>
      </c>
      <c r="F9" s="45"/>
    </row>
    <row r="10" spans="1:6">
      <c r="A10" s="2" t="s">
        <v>82</v>
      </c>
      <c r="B10" s="5">
        <f>SUM(B3:B9)</f>
        <v>18100</v>
      </c>
      <c r="F10" s="45"/>
    </row>
    <row r="11" spans="1:6">
      <c r="A11" s="2" t="s">
        <v>89</v>
      </c>
      <c r="B11" s="5">
        <f>SUM(B3:B8)</f>
        <v>8100</v>
      </c>
      <c r="F11" s="45"/>
    </row>
    <row r="12" spans="1:6">
      <c r="F12" s="48"/>
    </row>
    <row r="13" spans="1:6">
      <c r="A13" s="2" t="s">
        <v>71</v>
      </c>
      <c r="F13" s="48"/>
    </row>
    <row r="14" spans="1:6">
      <c r="A14" s="2" t="s">
        <v>9</v>
      </c>
      <c r="B14" s="6">
        <v>0.2</v>
      </c>
      <c r="C14" s="8"/>
      <c r="F14" s="48"/>
    </row>
    <row r="15" spans="1:6">
      <c r="A15" s="2" t="s">
        <v>10</v>
      </c>
      <c r="B15" s="6">
        <v>0.32</v>
      </c>
      <c r="C15" s="8"/>
      <c r="F15" s="48"/>
    </row>
    <row r="16" spans="1:6">
      <c r="A16" s="2" t="s">
        <v>11</v>
      </c>
      <c r="B16" s="7">
        <v>0.192</v>
      </c>
      <c r="C16" s="8"/>
      <c r="F16" s="48"/>
    </row>
    <row r="17" spans="1:6">
      <c r="A17" s="2" t="s">
        <v>12</v>
      </c>
      <c r="B17" s="7">
        <v>0.1152</v>
      </c>
      <c r="C17" s="8"/>
      <c r="F17" s="48"/>
    </row>
    <row r="18" spans="1:6">
      <c r="A18" s="2" t="s">
        <v>13</v>
      </c>
      <c r="B18" s="7">
        <v>0.1152</v>
      </c>
      <c r="C18" s="8"/>
      <c r="F18" s="48"/>
    </row>
    <row r="19" spans="1:6">
      <c r="A19" s="2" t="s">
        <v>14</v>
      </c>
      <c r="B19" s="7">
        <v>5.7599999999999998E-2</v>
      </c>
      <c r="C19" s="8"/>
      <c r="F19" s="48"/>
    </row>
    <row r="20" spans="1:6">
      <c r="B20" s="7"/>
      <c r="C20" s="8"/>
      <c r="F20" s="48"/>
    </row>
    <row r="21" spans="1:6">
      <c r="A21" s="2" t="s">
        <v>57</v>
      </c>
      <c r="B21" s="16">
        <v>0.05</v>
      </c>
      <c r="C21" s="2" t="s">
        <v>58</v>
      </c>
      <c r="F21" s="48"/>
    </row>
    <row r="22" spans="1:6">
      <c r="B22" s="16"/>
      <c r="F22" s="48"/>
    </row>
    <row r="23" spans="1:6">
      <c r="A23" s="23" t="s">
        <v>15</v>
      </c>
      <c r="F23" s="48"/>
    </row>
    <row r="24" spans="1:6">
      <c r="F24" s="48"/>
    </row>
    <row r="25" spans="1:6">
      <c r="B25" s="27" t="s">
        <v>73</v>
      </c>
      <c r="C25" s="1" t="s">
        <v>72</v>
      </c>
      <c r="D25" s="1" t="s">
        <v>87</v>
      </c>
      <c r="F25" s="48"/>
    </row>
    <row r="26" spans="1:6">
      <c r="A26" s="2" t="s">
        <v>17</v>
      </c>
      <c r="B26" s="5">
        <v>7.5</v>
      </c>
      <c r="C26" s="2">
        <v>60</v>
      </c>
      <c r="D26" s="28">
        <f>B26*C26</f>
        <v>450</v>
      </c>
      <c r="F26" s="48"/>
    </row>
    <row r="27" spans="1:6">
      <c r="A27" s="2" t="s">
        <v>18</v>
      </c>
      <c r="B27" s="5">
        <v>11.5</v>
      </c>
      <c r="C27" s="2">
        <v>90</v>
      </c>
      <c r="D27" s="28">
        <f>B27*C27</f>
        <v>1035</v>
      </c>
      <c r="F27" s="48"/>
    </row>
    <row r="28" spans="1:6">
      <c r="B28" s="5"/>
      <c r="D28" s="28"/>
      <c r="F28" s="48"/>
    </row>
    <row r="29" spans="1:6">
      <c r="A29" s="2" t="s">
        <v>16</v>
      </c>
      <c r="B29" s="6">
        <v>0.04</v>
      </c>
      <c r="D29" s="28"/>
      <c r="F29" s="48"/>
    </row>
    <row r="30" spans="1:6">
      <c r="A30" s="2" t="s">
        <v>19</v>
      </c>
      <c r="B30" s="11">
        <v>260</v>
      </c>
      <c r="D30" s="28"/>
      <c r="F30" s="48"/>
    </row>
    <row r="31" spans="1:6">
      <c r="B31" s="11"/>
      <c r="D31" s="28"/>
      <c r="F31" s="48"/>
    </row>
    <row r="32" spans="1:6">
      <c r="A32" s="29" t="s">
        <v>87</v>
      </c>
      <c r="B32" s="30">
        <f>D26+D27</f>
        <v>1485</v>
      </c>
      <c r="D32" s="28"/>
      <c r="F32" s="48"/>
    </row>
    <row r="33" spans="1:6">
      <c r="A33" s="29" t="s">
        <v>88</v>
      </c>
      <c r="B33" s="30">
        <f>B32*B30</f>
        <v>386100</v>
      </c>
      <c r="D33" s="28"/>
      <c r="F33" s="48"/>
    </row>
    <row r="34" spans="1:6">
      <c r="F34" s="48"/>
    </row>
    <row r="35" spans="1:6">
      <c r="A35" s="23" t="s">
        <v>83</v>
      </c>
      <c r="F35" s="48"/>
    </row>
    <row r="36" spans="1:6">
      <c r="A36" s="2" t="s">
        <v>31</v>
      </c>
      <c r="B36" s="2">
        <v>600</v>
      </c>
      <c r="F36" s="48"/>
    </row>
    <row r="37" spans="1:6">
      <c r="A37" s="2" t="s">
        <v>32</v>
      </c>
      <c r="B37" s="2">
        <v>500</v>
      </c>
      <c r="F37" s="48"/>
    </row>
    <row r="38" spans="1:6">
      <c r="A38" s="2" t="s">
        <v>33</v>
      </c>
      <c r="B38" s="2">
        <v>300</v>
      </c>
      <c r="F38" s="48"/>
    </row>
    <row r="39" spans="1:6">
      <c r="A39" s="2" t="s">
        <v>34</v>
      </c>
      <c r="B39" s="6">
        <v>0.04</v>
      </c>
      <c r="F39" s="48"/>
    </row>
    <row r="40" spans="1:6">
      <c r="A40" s="1" t="s">
        <v>68</v>
      </c>
      <c r="B40" s="5">
        <f>SUM(B36:B38)*12</f>
        <v>16800</v>
      </c>
      <c r="F40" s="48"/>
    </row>
    <row r="41" spans="1:6">
      <c r="F41" s="48"/>
    </row>
    <row r="42" spans="1:6">
      <c r="A42" s="2" t="s">
        <v>35</v>
      </c>
      <c r="B42" s="6">
        <v>0.6</v>
      </c>
      <c r="F42" s="48"/>
    </row>
    <row r="43" spans="1:6">
      <c r="A43" s="2" t="s">
        <v>36</v>
      </c>
      <c r="B43" s="6">
        <v>0.03</v>
      </c>
      <c r="F43" s="48"/>
    </row>
    <row r="44" spans="1:6">
      <c r="B44" s="6"/>
      <c r="F44" s="48"/>
    </row>
    <row r="45" spans="1:6">
      <c r="A45" s="2" t="s">
        <v>39</v>
      </c>
      <c r="B45" s="12">
        <v>11</v>
      </c>
      <c r="F45" s="48"/>
    </row>
    <row r="46" spans="1:6">
      <c r="A46" s="2" t="s">
        <v>40</v>
      </c>
      <c r="B46" s="13">
        <v>3</v>
      </c>
      <c r="F46" s="48"/>
    </row>
    <row r="47" spans="1:6">
      <c r="A47" s="2" t="s">
        <v>41</v>
      </c>
      <c r="B47" s="13">
        <v>8</v>
      </c>
      <c r="F47" s="48"/>
    </row>
    <row r="48" spans="1:6">
      <c r="A48" s="2" t="s">
        <v>70</v>
      </c>
      <c r="B48" s="15">
        <v>0.04</v>
      </c>
      <c r="F48" s="48"/>
    </row>
    <row r="49" spans="1:6">
      <c r="A49" s="2" t="s">
        <v>42</v>
      </c>
      <c r="B49" s="12">
        <v>4</v>
      </c>
      <c r="F49" s="48"/>
    </row>
    <row r="50" spans="1:6">
      <c r="A50" s="2" t="s">
        <v>43</v>
      </c>
      <c r="B50" s="13">
        <v>2</v>
      </c>
      <c r="F50" s="48"/>
    </row>
    <row r="51" spans="1:6">
      <c r="A51" s="2" t="s">
        <v>44</v>
      </c>
      <c r="B51" s="13">
        <v>8</v>
      </c>
      <c r="F51" s="48"/>
    </row>
    <row r="52" spans="1:6">
      <c r="A52" s="2" t="s">
        <v>54</v>
      </c>
      <c r="B52" s="15">
        <v>0.04</v>
      </c>
      <c r="F52" s="48"/>
    </row>
    <row r="53" spans="1:6">
      <c r="A53" s="2" t="s">
        <v>37</v>
      </c>
      <c r="B53" s="14">
        <v>12</v>
      </c>
      <c r="F53" s="48"/>
    </row>
    <row r="54" spans="1:6">
      <c r="A54" s="2" t="s">
        <v>45</v>
      </c>
      <c r="B54" s="13">
        <v>8</v>
      </c>
      <c r="F54" s="48"/>
    </row>
    <row r="55" spans="1:6">
      <c r="A55" s="2" t="s">
        <v>46</v>
      </c>
      <c r="B55" s="13">
        <v>1</v>
      </c>
      <c r="F55" s="48"/>
    </row>
    <row r="56" spans="1:6">
      <c r="A56" s="2" t="s">
        <v>69</v>
      </c>
      <c r="B56" s="15">
        <v>0.04</v>
      </c>
      <c r="F56" s="48"/>
    </row>
    <row r="57" spans="1:6">
      <c r="B57" s="13"/>
      <c r="F57" s="48"/>
    </row>
    <row r="58" spans="1:6">
      <c r="A58" s="2" t="s">
        <v>38</v>
      </c>
      <c r="B58" s="6">
        <v>0.35</v>
      </c>
      <c r="F58" s="48"/>
    </row>
    <row r="59" spans="1:6" ht="15" thickBot="1"/>
    <row r="60" spans="1:6" ht="15.6" thickTop="1" thickBot="1">
      <c r="A60" s="23" t="s">
        <v>66</v>
      </c>
      <c r="E60" s="49"/>
    </row>
    <row r="61" spans="1:6" ht="15.6" thickTop="1" thickBot="1">
      <c r="A61" s="2" t="s">
        <v>59</v>
      </c>
      <c r="B61" s="6">
        <v>0.09</v>
      </c>
      <c r="E61" s="49"/>
    </row>
    <row r="62" spans="1:6" ht="15.6" thickTop="1" thickBot="1">
      <c r="A62" s="2" t="s">
        <v>63</v>
      </c>
      <c r="B62" s="37">
        <v>0.30530000000000002</v>
      </c>
      <c r="E62" s="49"/>
    </row>
    <row r="63" spans="1:6" ht="15.6" thickTop="1" thickBot="1">
      <c r="A63" s="2" t="s">
        <v>91</v>
      </c>
      <c r="B63" s="38">
        <f>0.69</f>
        <v>0.69</v>
      </c>
      <c r="E63" s="49"/>
    </row>
    <row r="64" spans="1:6" ht="15.6" thickTop="1" thickBot="1">
      <c r="A64" s="2" t="s">
        <v>60</v>
      </c>
      <c r="B64" s="37">
        <v>0.2757</v>
      </c>
      <c r="E64" s="49"/>
    </row>
    <row r="65" spans="1:17" ht="15.6" thickTop="1" thickBot="1">
      <c r="B65" s="37"/>
      <c r="E65" s="49"/>
    </row>
    <row r="66" spans="1:17" ht="15.6" thickTop="1" thickBot="1">
      <c r="A66" s="2" t="s">
        <v>92</v>
      </c>
      <c r="B66" s="37">
        <f xml:space="preserve"> B63*(1+(1-0.35)*B64)</f>
        <v>0.81365144999999994</v>
      </c>
      <c r="E66" s="49"/>
    </row>
    <row r="67" spans="1:17" ht="15.6" thickTop="1" thickBot="1">
      <c r="A67" s="2" t="s">
        <v>93</v>
      </c>
      <c r="B67" s="37">
        <f>B66/B62</f>
        <v>2.6650882738290202</v>
      </c>
      <c r="E67" s="49"/>
    </row>
    <row r="68" spans="1:17" ht="15.6" thickTop="1" thickBot="1">
      <c r="B68" s="37"/>
      <c r="E68" s="49"/>
    </row>
    <row r="69" spans="1:17" ht="15.6" thickTop="1" thickBot="1">
      <c r="A69" s="2" t="s">
        <v>61</v>
      </c>
      <c r="B69" s="37">
        <v>3.04E-2</v>
      </c>
      <c r="E69" s="49"/>
    </row>
    <row r="70" spans="1:17" ht="15.6" thickTop="1" thickBot="1">
      <c r="A70" s="2" t="s">
        <v>62</v>
      </c>
      <c r="B70" s="38">
        <v>0.05</v>
      </c>
      <c r="E70" s="49"/>
    </row>
    <row r="71" spans="1:17" ht="15.6" thickTop="1" thickBot="1">
      <c r="E71" s="49"/>
    </row>
    <row r="72" spans="1:17" ht="15.6" thickTop="1" thickBot="1">
      <c r="A72" s="2" t="s">
        <v>64</v>
      </c>
      <c r="B72" s="7">
        <f>B69+(B70)*B66</f>
        <v>7.1082572499999996E-2</v>
      </c>
      <c r="E72" s="49"/>
    </row>
    <row r="73" spans="1:17" ht="15.6" thickTop="1" thickBot="1">
      <c r="A73" s="2" t="s">
        <v>65</v>
      </c>
      <c r="B73" s="7">
        <f>B61*(1-0.35)</f>
        <v>5.8499999999999996E-2</v>
      </c>
      <c r="E73" s="49"/>
    </row>
    <row r="74" spans="1:17" ht="15.6" thickTop="1" thickBot="1">
      <c r="E74" s="49"/>
    </row>
    <row r="75" spans="1:17" ht="15.6" thickTop="1" thickBot="1">
      <c r="A75" s="2" t="s">
        <v>94</v>
      </c>
      <c r="B75" s="37">
        <f>B64/(1+B64)</f>
        <v>0.21611664184369364</v>
      </c>
      <c r="E75" s="49"/>
    </row>
    <row r="76" spans="1:17" ht="15.6" thickTop="1" thickBot="1">
      <c r="A76" s="2" t="s">
        <v>95</v>
      </c>
      <c r="B76" s="37">
        <f>1-B75</f>
        <v>0.78388335815630639</v>
      </c>
      <c r="E76" s="49"/>
    </row>
    <row r="77" spans="1:17" ht="15.6" thickTop="1" thickBot="1">
      <c r="B77" s="17"/>
      <c r="E77" s="49"/>
    </row>
    <row r="78" spans="1:17" ht="15.6" thickTop="1" thickBot="1">
      <c r="A78" s="2" t="s">
        <v>66</v>
      </c>
      <c r="B78" s="7">
        <f>B76*B72 + B75*B73* (1-0.35)</f>
        <v>6.3938280943795556E-2</v>
      </c>
      <c r="E78" s="49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</row>
    <row r="79" spans="1:17" ht="15.6" thickTop="1" thickBot="1">
      <c r="E79" s="49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ht="15.6" thickTop="1" thickBot="1">
      <c r="E80" s="49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</row>
    <row r="81" spans="5:17" ht="15.6" thickTop="1" thickBot="1">
      <c r="E81" s="49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  <row r="82" spans="5:17" ht="15.6" thickTop="1" thickBot="1">
      <c r="E82" s="49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5:17" ht="15.6" thickTop="1" thickBot="1">
      <c r="E83" s="49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</row>
    <row r="84" spans="5:17" ht="15.6" thickTop="1" thickBot="1">
      <c r="E84" s="49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</row>
    <row r="85" spans="5:17" ht="15.6" thickTop="1" thickBot="1">
      <c r="E85" s="49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</row>
    <row r="86" spans="5:17" ht="15.6" thickTop="1" thickBot="1">
      <c r="E86" s="49"/>
    </row>
    <row r="87" spans="5:17" ht="15.6" thickTop="1" thickBot="1">
      <c r="E87" s="49"/>
    </row>
    <row r="88" spans="5:17" ht="15.6" thickTop="1" thickBot="1">
      <c r="E88" s="49"/>
      <c r="G88" s="4" t="s">
        <v>1</v>
      </c>
    </row>
    <row r="89" spans="5:17" ht="15.6" thickTop="1" thickBot="1">
      <c r="E89" s="49"/>
      <c r="G89" s="3" t="s">
        <v>20</v>
      </c>
      <c r="H89" s="3" t="s">
        <v>21</v>
      </c>
      <c r="I89" s="3" t="s">
        <v>22</v>
      </c>
      <c r="J89" s="3" t="s">
        <v>23</v>
      </c>
      <c r="K89" s="3" t="s">
        <v>24</v>
      </c>
      <c r="L89" s="3" t="s">
        <v>25</v>
      </c>
      <c r="M89" s="3" t="s">
        <v>26</v>
      </c>
      <c r="N89" s="3" t="s">
        <v>27</v>
      </c>
      <c r="O89" s="3" t="s">
        <v>28</v>
      </c>
      <c r="P89" s="3" t="s">
        <v>29</v>
      </c>
      <c r="Q89" s="3" t="s">
        <v>30</v>
      </c>
    </row>
    <row r="90" spans="5:17" ht="15.6" thickTop="1" thickBot="1">
      <c r="E90" s="49"/>
      <c r="F90" t="s">
        <v>67</v>
      </c>
      <c r="G90" s="31">
        <f>$B$33</f>
        <v>386100</v>
      </c>
      <c r="H90" s="19">
        <f>1.04*G90</f>
        <v>401544</v>
      </c>
      <c r="I90" s="19">
        <f t="shared" ref="I90:Q90" si="0">1.04*H90</f>
        <v>417605.76</v>
      </c>
      <c r="J90" s="19">
        <f t="shared" si="0"/>
        <v>434309.99040000001</v>
      </c>
      <c r="K90" s="19">
        <f t="shared" si="0"/>
        <v>451682.39001600002</v>
      </c>
      <c r="L90" s="19">
        <f t="shared" si="0"/>
        <v>469749.68561664002</v>
      </c>
      <c r="M90" s="19">
        <f t="shared" si="0"/>
        <v>488539.67304130562</v>
      </c>
      <c r="N90" s="19">
        <f t="shared" si="0"/>
        <v>508081.25996295788</v>
      </c>
      <c r="O90" s="19">
        <f t="shared" si="0"/>
        <v>528404.51036147622</v>
      </c>
      <c r="P90" s="19">
        <f t="shared" si="0"/>
        <v>549540.69077593531</v>
      </c>
      <c r="Q90" s="19">
        <f t="shared" si="0"/>
        <v>571522.31840697268</v>
      </c>
    </row>
    <row r="91" spans="5:17" ht="15.6" thickTop="1" thickBot="1">
      <c r="E91" s="4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5:17" ht="15.6" thickTop="1" thickBot="1">
      <c r="E92" s="49"/>
      <c r="F92" t="s">
        <v>47</v>
      </c>
      <c r="G92" s="19">
        <f>0.6*G90</f>
        <v>231660</v>
      </c>
      <c r="H92" s="19">
        <f t="shared" ref="H92:Q92" si="1">0.6*H90</f>
        <v>240926.4</v>
      </c>
      <c r="I92" s="19">
        <f t="shared" si="1"/>
        <v>250563.45600000001</v>
      </c>
      <c r="J92" s="19">
        <f t="shared" si="1"/>
        <v>260585.99424</v>
      </c>
      <c r="K92" s="19">
        <f t="shared" si="1"/>
        <v>271009.43400960002</v>
      </c>
      <c r="L92" s="19">
        <f t="shared" si="1"/>
        <v>281849.811369984</v>
      </c>
      <c r="M92" s="19">
        <f t="shared" si="1"/>
        <v>293123.80382478336</v>
      </c>
      <c r="N92" s="19">
        <f t="shared" si="1"/>
        <v>304848.75597777474</v>
      </c>
      <c r="O92" s="19">
        <f t="shared" si="1"/>
        <v>317042.70621688571</v>
      </c>
      <c r="P92" s="19">
        <f t="shared" si="1"/>
        <v>329724.41446556116</v>
      </c>
      <c r="Q92" s="19">
        <f t="shared" si="1"/>
        <v>342913.39104418358</v>
      </c>
    </row>
    <row r="93" spans="5:17" ht="15.6" thickTop="1" thickBot="1">
      <c r="E93" s="49"/>
      <c r="F93" t="s">
        <v>52</v>
      </c>
      <c r="G93" s="19">
        <f>$B$45*$B$46*$B$47*$B$30</f>
        <v>68640</v>
      </c>
      <c r="H93" s="19">
        <f t="shared" ref="H93:Q94" si="2">G93*1.04</f>
        <v>71385.600000000006</v>
      </c>
      <c r="I93" s="19">
        <f t="shared" si="2"/>
        <v>74241.024000000005</v>
      </c>
      <c r="J93" s="19">
        <f t="shared" si="2"/>
        <v>77210.664960000009</v>
      </c>
      <c r="K93" s="19">
        <f t="shared" si="2"/>
        <v>80299.091558400018</v>
      </c>
      <c r="L93" s="19">
        <f t="shared" si="2"/>
        <v>83511.055220736016</v>
      </c>
      <c r="M93" s="19">
        <f t="shared" si="2"/>
        <v>86851.497429565454</v>
      </c>
      <c r="N93" s="19">
        <f t="shared" si="2"/>
        <v>90325.55732674808</v>
      </c>
      <c r="O93" s="19">
        <f t="shared" si="2"/>
        <v>93938.579619818003</v>
      </c>
      <c r="P93" s="19">
        <f t="shared" si="2"/>
        <v>97696.122804610728</v>
      </c>
      <c r="Q93" s="19">
        <f t="shared" si="2"/>
        <v>101603.96771679516</v>
      </c>
    </row>
    <row r="94" spans="5:17" ht="15.6" thickTop="1" thickBot="1">
      <c r="E94" s="49"/>
      <c r="F94" t="s">
        <v>53</v>
      </c>
      <c r="G94" s="19">
        <f>$B$49*$B$50*$B$51*$B$30</f>
        <v>16640</v>
      </c>
      <c r="H94" s="19">
        <f t="shared" si="2"/>
        <v>17305.600000000002</v>
      </c>
      <c r="I94" s="19">
        <f t="shared" si="2"/>
        <v>17997.824000000004</v>
      </c>
      <c r="J94" s="19">
        <f t="shared" si="2"/>
        <v>18717.736960000006</v>
      </c>
      <c r="K94" s="19">
        <f t="shared" si="2"/>
        <v>19466.446438400006</v>
      </c>
      <c r="L94" s="19">
        <f t="shared" si="2"/>
        <v>20245.104295936006</v>
      </c>
      <c r="M94" s="19">
        <f t="shared" si="2"/>
        <v>21054.908467773446</v>
      </c>
      <c r="N94" s="19">
        <f t="shared" si="2"/>
        <v>21897.104806484385</v>
      </c>
      <c r="O94" s="19">
        <f t="shared" si="2"/>
        <v>22772.98899874376</v>
      </c>
      <c r="P94" s="19">
        <f t="shared" si="2"/>
        <v>23683.908558693511</v>
      </c>
      <c r="Q94" s="19">
        <f t="shared" si="2"/>
        <v>24631.264901041253</v>
      </c>
    </row>
    <row r="95" spans="5:17" ht="15.6" thickTop="1" thickBot="1">
      <c r="E95" s="49"/>
      <c r="F95" t="s">
        <v>37</v>
      </c>
      <c r="G95" s="19">
        <f>$B$53*$B$54*$B$55*$B$30</f>
        <v>24960</v>
      </c>
      <c r="H95" s="19">
        <f>G95*1.04</f>
        <v>25958.400000000001</v>
      </c>
      <c r="I95" s="19">
        <f t="shared" ref="I95:Q95" si="3">H95*1.04</f>
        <v>26996.736000000001</v>
      </c>
      <c r="J95" s="19">
        <f t="shared" si="3"/>
        <v>28076.605440000003</v>
      </c>
      <c r="K95" s="19">
        <f t="shared" si="3"/>
        <v>29199.669657600003</v>
      </c>
      <c r="L95" s="19">
        <f t="shared" si="3"/>
        <v>30367.656443904005</v>
      </c>
      <c r="M95" s="19">
        <f t="shared" si="3"/>
        <v>31582.362701660168</v>
      </c>
      <c r="N95" s="19">
        <f t="shared" si="3"/>
        <v>32845.657209726574</v>
      </c>
      <c r="O95" s="19">
        <f t="shared" si="3"/>
        <v>34159.483498115638</v>
      </c>
      <c r="P95" s="19">
        <f t="shared" si="3"/>
        <v>35525.862838040266</v>
      </c>
      <c r="Q95" s="19">
        <f t="shared" si="3"/>
        <v>36946.897351561878</v>
      </c>
    </row>
    <row r="96" spans="5:17" ht="15.6" thickTop="1" thickBot="1">
      <c r="E96" s="49"/>
      <c r="F96" t="s">
        <v>48</v>
      </c>
      <c r="G96" s="19">
        <f>0.03*G90</f>
        <v>11583</v>
      </c>
      <c r="H96" s="19">
        <f t="shared" ref="H96:Q96" si="4">0.03*H90</f>
        <v>12046.32</v>
      </c>
      <c r="I96" s="19">
        <f t="shared" si="4"/>
        <v>12528.1728</v>
      </c>
      <c r="J96" s="19">
        <f t="shared" si="4"/>
        <v>13029.299712</v>
      </c>
      <c r="K96" s="19">
        <f t="shared" si="4"/>
        <v>13550.47170048</v>
      </c>
      <c r="L96" s="19">
        <f t="shared" si="4"/>
        <v>14092.490568499201</v>
      </c>
      <c r="M96" s="19">
        <f t="shared" si="4"/>
        <v>14656.190191239168</v>
      </c>
      <c r="N96" s="19">
        <f t="shared" si="4"/>
        <v>15242.437798888735</v>
      </c>
      <c r="O96" s="19">
        <f t="shared" si="4"/>
        <v>15852.135310844285</v>
      </c>
      <c r="P96" s="19">
        <f t="shared" si="4"/>
        <v>16486.22072327806</v>
      </c>
      <c r="Q96" s="19">
        <f t="shared" si="4"/>
        <v>17145.66955220918</v>
      </c>
    </row>
    <row r="97" spans="5:17" ht="15.6" thickTop="1" thickBot="1">
      <c r="E97" s="49"/>
      <c r="F97" t="s">
        <v>84</v>
      </c>
      <c r="G97" s="19">
        <f>$B$40</f>
        <v>16800</v>
      </c>
      <c r="H97" s="19">
        <f>1.04*G97</f>
        <v>17472</v>
      </c>
      <c r="I97" s="19">
        <f>1.04*H97</f>
        <v>18170.88</v>
      </c>
      <c r="J97" s="19">
        <f t="shared" ref="J97:Q97" si="5">1.04*I97</f>
        <v>18897.715200000002</v>
      </c>
      <c r="K97" s="19">
        <f t="shared" si="5"/>
        <v>19653.623808000004</v>
      </c>
      <c r="L97" s="19">
        <f t="shared" si="5"/>
        <v>20439.768760320007</v>
      </c>
      <c r="M97" s="19">
        <f t="shared" si="5"/>
        <v>21257.359510732807</v>
      </c>
      <c r="N97" s="19">
        <f t="shared" si="5"/>
        <v>22107.653891162121</v>
      </c>
      <c r="O97" s="19">
        <f t="shared" si="5"/>
        <v>22991.960046808606</v>
      </c>
      <c r="P97" s="19">
        <f t="shared" si="5"/>
        <v>23911.638448680951</v>
      </c>
      <c r="Q97" s="19">
        <f t="shared" si="5"/>
        <v>24868.10398662819</v>
      </c>
    </row>
    <row r="98" spans="5:17" ht="15.6" thickTop="1" thickBot="1">
      <c r="E98" s="49"/>
      <c r="F98" s="24" t="s">
        <v>49</v>
      </c>
      <c r="G98" s="25">
        <v>0</v>
      </c>
      <c r="H98" s="25">
        <f>B11*0.2</f>
        <v>1620</v>
      </c>
      <c r="I98" s="25">
        <f>(B11-H98)*0.32</f>
        <v>2073.6</v>
      </c>
      <c r="J98" s="25">
        <f>(B11-SUM(H98:I98))*0.192</f>
        <v>846.02879999999993</v>
      </c>
      <c r="K98" s="25">
        <f>(B11-SUM(H98:J98))*0.1152</f>
        <v>410.15476224000003</v>
      </c>
      <c r="L98" s="25">
        <f>(B11-SUM(H98:K98))*0.1152</f>
        <v>362.90493362995198</v>
      </c>
      <c r="M98" s="25">
        <f>(B11-SUM(H98:L98))*0.0576</f>
        <v>160.54914263789075</v>
      </c>
      <c r="N98" s="25">
        <v>0</v>
      </c>
      <c r="O98" s="25">
        <v>0</v>
      </c>
      <c r="P98" s="25">
        <v>0</v>
      </c>
      <c r="Q98" s="25">
        <v>0</v>
      </c>
    </row>
    <row r="99" spans="5:17" ht="15.6" thickTop="1" thickBot="1">
      <c r="E99" s="49"/>
      <c r="F99" t="s">
        <v>50</v>
      </c>
      <c r="G99" s="19">
        <f t="shared" ref="G99:Q99" si="6">G90-SUM(G92:G98)</f>
        <v>15817</v>
      </c>
      <c r="H99" s="19">
        <f t="shared" si="6"/>
        <v>14829.679999999993</v>
      </c>
      <c r="I99" s="19">
        <f t="shared" si="6"/>
        <v>15034.067200000049</v>
      </c>
      <c r="J99" s="19">
        <f t="shared" si="6"/>
        <v>16945.945088000037</v>
      </c>
      <c r="K99" s="19">
        <f t="shared" si="6"/>
        <v>18093.498081279977</v>
      </c>
      <c r="L99" s="19">
        <f t="shared" si="6"/>
        <v>18880.894023630826</v>
      </c>
      <c r="M99" s="19">
        <f t="shared" si="6"/>
        <v>19853.001772913325</v>
      </c>
      <c r="N99" s="19">
        <f t="shared" si="6"/>
        <v>20814.092952173261</v>
      </c>
      <c r="O99" s="19">
        <f t="shared" si="6"/>
        <v>21646.656670260243</v>
      </c>
      <c r="P99" s="19">
        <f t="shared" si="6"/>
        <v>22512.522937070578</v>
      </c>
      <c r="Q99" s="19">
        <f t="shared" si="6"/>
        <v>23413.023854553467</v>
      </c>
    </row>
    <row r="100" spans="5:17" ht="15.6" thickTop="1" thickBot="1">
      <c r="E100" s="49"/>
      <c r="F100" s="24" t="s">
        <v>38</v>
      </c>
      <c r="G100" s="25">
        <f>0.35*G99</f>
        <v>5535.95</v>
      </c>
      <c r="H100" s="25">
        <f t="shared" ref="H100:Q100" si="7">0.35*H99</f>
        <v>5190.3879999999972</v>
      </c>
      <c r="I100" s="25">
        <f t="shared" si="7"/>
        <v>5261.9235200000167</v>
      </c>
      <c r="J100" s="25">
        <f t="shared" si="7"/>
        <v>5931.0807808000127</v>
      </c>
      <c r="K100" s="25">
        <f t="shared" si="7"/>
        <v>6332.7243284479919</v>
      </c>
      <c r="L100" s="25">
        <f t="shared" si="7"/>
        <v>6608.3129082707892</v>
      </c>
      <c r="M100" s="25">
        <f t="shared" si="7"/>
        <v>6948.5506205196634</v>
      </c>
      <c r="N100" s="25">
        <f t="shared" si="7"/>
        <v>7284.9325332606413</v>
      </c>
      <c r="O100" s="25">
        <f t="shared" si="7"/>
        <v>7576.3298345910844</v>
      </c>
      <c r="P100" s="25">
        <f t="shared" si="7"/>
        <v>7879.3830279747017</v>
      </c>
      <c r="Q100" s="25">
        <f t="shared" si="7"/>
        <v>8194.5583490937133</v>
      </c>
    </row>
    <row r="101" spans="5:17" ht="15.6" thickTop="1" thickBot="1">
      <c r="E101" s="49"/>
      <c r="F101" t="s">
        <v>51</v>
      </c>
      <c r="G101" s="19">
        <f>G99-G100-G107</f>
        <v>-7818.9500000000007</v>
      </c>
      <c r="H101" s="19">
        <f t="shared" ref="H101:Q101" si="8">H99-H100</f>
        <v>9639.2919999999958</v>
      </c>
      <c r="I101" s="19">
        <f t="shared" si="8"/>
        <v>9772.143680000032</v>
      </c>
      <c r="J101" s="19">
        <f t="shared" si="8"/>
        <v>11014.864307200023</v>
      </c>
      <c r="K101" s="19">
        <f t="shared" si="8"/>
        <v>11760.773752831985</v>
      </c>
      <c r="L101" s="19">
        <f t="shared" si="8"/>
        <v>12272.581115360037</v>
      </c>
      <c r="M101" s="19">
        <f t="shared" si="8"/>
        <v>12904.451152393662</v>
      </c>
      <c r="N101" s="19">
        <f t="shared" si="8"/>
        <v>13529.160418912619</v>
      </c>
      <c r="O101" s="19">
        <f t="shared" si="8"/>
        <v>14070.326835669159</v>
      </c>
      <c r="P101" s="19">
        <f t="shared" si="8"/>
        <v>14633.139909095877</v>
      </c>
      <c r="Q101" s="19">
        <f t="shared" si="8"/>
        <v>15218.465505459753</v>
      </c>
    </row>
    <row r="102" spans="5:17" ht="15.6" thickTop="1" thickBot="1">
      <c r="E102" s="4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5:17" ht="15.6" thickTop="1" thickBot="1">
      <c r="E103" s="49"/>
      <c r="F103" s="32" t="s">
        <v>55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5:17" ht="15.6" thickTop="1" thickBot="1">
      <c r="E104" s="49"/>
      <c r="F104" t="s">
        <v>56</v>
      </c>
      <c r="G104" s="19">
        <f>H90*0.05</f>
        <v>20077.2</v>
      </c>
      <c r="H104" s="19">
        <f>I90*0.05</f>
        <v>20880.288</v>
      </c>
      <c r="I104" s="19">
        <f t="shared" ref="I104:P104" si="9">J90*0.05</f>
        <v>21715.499520000001</v>
      </c>
      <c r="J104" s="19">
        <f t="shared" si="9"/>
        <v>22584.119500800003</v>
      </c>
      <c r="K104" s="19">
        <f t="shared" si="9"/>
        <v>23487.484280832003</v>
      </c>
      <c r="L104" s="19">
        <f t="shared" si="9"/>
        <v>24426.983652065283</v>
      </c>
      <c r="M104" s="19">
        <f t="shared" si="9"/>
        <v>25404.062998147896</v>
      </c>
      <c r="N104" s="19">
        <f t="shared" si="9"/>
        <v>26420.225518073814</v>
      </c>
      <c r="O104" s="19">
        <f t="shared" si="9"/>
        <v>27477.034538796768</v>
      </c>
      <c r="P104" s="19">
        <f t="shared" si="9"/>
        <v>28576.115920348635</v>
      </c>
      <c r="Q104" s="19">
        <f>P104*G106</f>
        <v>29719.160557162621</v>
      </c>
    </row>
    <row r="105" spans="5:17" ht="15.6" thickTop="1" thickBot="1">
      <c r="E105" s="49"/>
      <c r="F105" t="s">
        <v>90</v>
      </c>
      <c r="G105" s="19">
        <f>H104-G104</f>
        <v>803.08799999999974</v>
      </c>
      <c r="H105" s="19">
        <f t="shared" ref="H105:P105" si="10">I104-H104</f>
        <v>835.21152000000075</v>
      </c>
      <c r="I105" s="19">
        <f t="shared" si="10"/>
        <v>868.61998080000194</v>
      </c>
      <c r="J105" s="19">
        <f t="shared" si="10"/>
        <v>903.36478003199954</v>
      </c>
      <c r="K105" s="19">
        <f t="shared" si="10"/>
        <v>939.49937123327982</v>
      </c>
      <c r="L105" s="19">
        <f t="shared" si="10"/>
        <v>977.07934608261348</v>
      </c>
      <c r="M105" s="19">
        <f t="shared" si="10"/>
        <v>1016.1625199259179</v>
      </c>
      <c r="N105" s="19">
        <f t="shared" si="10"/>
        <v>1056.8090207229543</v>
      </c>
      <c r="O105" s="19">
        <f t="shared" si="10"/>
        <v>1099.0813815518668</v>
      </c>
      <c r="P105" s="19">
        <f t="shared" si="10"/>
        <v>1143.0446368139856</v>
      </c>
      <c r="Q105" s="19">
        <f>P105*G106</f>
        <v>1188.7664222865465</v>
      </c>
    </row>
    <row r="106" spans="5:17" ht="15.6" thickTop="1" thickBot="1">
      <c r="E106" s="49"/>
      <c r="F106" s="34" t="s">
        <v>74</v>
      </c>
      <c r="G106" s="33">
        <v>1.0400000000000014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5:17" ht="15.6" thickTop="1" thickBot="1">
      <c r="E107" s="49"/>
      <c r="F107" t="s">
        <v>75</v>
      </c>
      <c r="G107" s="19">
        <f>$B$10</f>
        <v>18100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5:17" ht="15.6" thickTop="1" thickBot="1">
      <c r="E108" s="4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5:17" ht="15.6" thickTop="1" thickBot="1">
      <c r="E109" s="49"/>
      <c r="F109" s="22" t="s">
        <v>79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5:17" ht="15.6" thickTop="1" thickBot="1">
      <c r="E110" s="49"/>
      <c r="F110" t="s">
        <v>80</v>
      </c>
      <c r="G110" s="19">
        <f>G99 * (1 - 0.35) + G98 +G105</f>
        <v>11084.138000000001</v>
      </c>
      <c r="H110" s="19">
        <f t="shared" ref="H110:Q110" si="11">H99 * (1 - 0.35) + H98 +H105</f>
        <v>12094.503519999997</v>
      </c>
      <c r="I110" s="19">
        <f t="shared" si="11"/>
        <v>12714.363660800034</v>
      </c>
      <c r="J110" s="19">
        <f t="shared" si="11"/>
        <v>12764.257887232025</v>
      </c>
      <c r="K110" s="19">
        <f t="shared" si="11"/>
        <v>13110.427886305264</v>
      </c>
      <c r="L110" s="19">
        <f t="shared" si="11"/>
        <v>13612.565395072603</v>
      </c>
      <c r="M110" s="19">
        <f t="shared" si="11"/>
        <v>14081.16281495747</v>
      </c>
      <c r="N110" s="19">
        <f t="shared" si="11"/>
        <v>14585.969439635575</v>
      </c>
      <c r="O110" s="19">
        <f t="shared" si="11"/>
        <v>15169.408217221026</v>
      </c>
      <c r="P110" s="19">
        <f t="shared" si="11"/>
        <v>15776.184545909862</v>
      </c>
      <c r="Q110" s="19">
        <f t="shared" si="11"/>
        <v>16407.231927746299</v>
      </c>
    </row>
    <row r="111" spans="5:17" ht="15.6" thickTop="1" thickBot="1">
      <c r="E111" s="49"/>
      <c r="F111" s="35" t="s">
        <v>85</v>
      </c>
      <c r="G111" s="36">
        <f>G101+G98+G105</f>
        <v>-7015.862000000001</v>
      </c>
      <c r="H111" s="36">
        <f>H101+H98+H105</f>
        <v>12094.503519999997</v>
      </c>
      <c r="I111" s="36">
        <f t="shared" ref="I111:Q111" si="12">I101+I98+I105</f>
        <v>12714.363660800034</v>
      </c>
      <c r="J111" s="36">
        <f t="shared" si="12"/>
        <v>12764.257887232023</v>
      </c>
      <c r="K111" s="36">
        <f t="shared" si="12"/>
        <v>13110.427886305264</v>
      </c>
      <c r="L111" s="36">
        <f t="shared" si="12"/>
        <v>13612.565395072603</v>
      </c>
      <c r="M111" s="36">
        <f t="shared" si="12"/>
        <v>14081.16281495747</v>
      </c>
      <c r="N111" s="36">
        <f t="shared" si="12"/>
        <v>14585.969439635574</v>
      </c>
      <c r="O111" s="36">
        <f t="shared" si="12"/>
        <v>15169.408217221026</v>
      </c>
      <c r="P111" s="36">
        <f t="shared" si="12"/>
        <v>15776.184545909862</v>
      </c>
      <c r="Q111" s="36">
        <f t="shared" si="12"/>
        <v>16407.231927746299</v>
      </c>
    </row>
    <row r="112" spans="5:17" ht="15.6" thickTop="1" thickBot="1">
      <c r="E112" s="49"/>
      <c r="F112" s="34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5:17" ht="15.6" thickTop="1" thickBot="1">
      <c r="E113" s="49"/>
      <c r="F113" s="40" t="s">
        <v>96</v>
      </c>
      <c r="G113" s="41">
        <f>B78</f>
        <v>6.3938280943795556E-2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</row>
    <row r="114" spans="5:17" ht="15.6" thickTop="1" thickBot="1">
      <c r="E114" s="49"/>
      <c r="F114" t="s">
        <v>97</v>
      </c>
      <c r="G114" s="19">
        <f>(Q111/(G113))</f>
        <v>256610.46380288122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5:17" ht="15.6" thickTop="1" thickBot="1">
      <c r="E115" s="49"/>
      <c r="F115" s="24" t="s">
        <v>78</v>
      </c>
      <c r="G115" s="25">
        <f>G114*0.35</f>
        <v>89813.662331008425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5:17" ht="15.6" thickTop="1" thickBot="1">
      <c r="E116" s="49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5:17" ht="15.6" thickTop="1" thickBot="1">
      <c r="E117" s="49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5:17" ht="15.6" thickTop="1" thickBot="1">
      <c r="E118" s="49"/>
      <c r="F118" t="s">
        <v>98</v>
      </c>
      <c r="G118" s="42">
        <f>B69+G119*(B70-B69)</f>
        <v>8.263573016704881E-2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5:17" ht="15.6" thickTop="1" thickBot="1">
      <c r="E119" s="49"/>
      <c r="F119" s="26" t="s">
        <v>86</v>
      </c>
      <c r="G119" s="42">
        <f>$B$67</f>
        <v>2.6650882738290202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5:17" ht="15.6" thickTop="1" thickBot="1">
      <c r="E120" s="49"/>
    </row>
    <row r="121" spans="5:17" ht="15" thickTop="1">
      <c r="E121" s="47"/>
      <c r="F121" t="s">
        <v>76</v>
      </c>
      <c r="G121" s="18">
        <f>-$G$107  + (G111 / (1+$G$118)^1) + (H111 / (1+$G$118)^1) + (I111 / (1+$G$118)^1) + (J111 / (1+$G$118)^1) + (K111 / (1+$G$118)^1) +  (L111 / (1+$G$118)^1) + (M111 / (1+$G$118)^1) + (N111 / (1+$G$118)^1) +  (O111 / (1+$G$118)^1) + (P111 / (1+$G$118)^1) + (Q111 / (1+$G$118)^1)</f>
        <v>105025.63642649421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5:17">
      <c r="E122" s="47"/>
      <c r="F122" t="s">
        <v>77</v>
      </c>
      <c r="G122" s="21">
        <f>IRR(G111:Q111)</f>
        <v>1.7609798944289417</v>
      </c>
    </row>
    <row r="123" spans="5:17">
      <c r="E123" s="47"/>
      <c r="F123" t="s">
        <v>99</v>
      </c>
      <c r="G123" s="20">
        <f>G114-G115</f>
        <v>166796.80147187278</v>
      </c>
    </row>
    <row r="124" spans="5:17">
      <c r="E124" s="47"/>
    </row>
    <row r="125" spans="5:17">
      <c r="E125" s="47"/>
      <c r="F125" s="44" t="s">
        <v>100</v>
      </c>
    </row>
    <row r="126" spans="5:17">
      <c r="E126" s="47"/>
      <c r="F126" s="44" t="s">
        <v>101</v>
      </c>
    </row>
    <row r="127" spans="5:17">
      <c r="E127" s="47"/>
    </row>
    <row r="128" spans="5:17">
      <c r="E128" s="47"/>
      <c r="F128" s="43" t="s">
        <v>103</v>
      </c>
    </row>
    <row r="129" spans="5:6">
      <c r="E129" s="47"/>
      <c r="F129" t="s">
        <v>102</v>
      </c>
    </row>
    <row r="130" spans="5:6">
      <c r="E130" s="47"/>
      <c r="F130" s="43" t="s">
        <v>104</v>
      </c>
    </row>
    <row r="131" spans="5:6">
      <c r="E131" s="47"/>
      <c r="F131" s="43" t="s">
        <v>105</v>
      </c>
    </row>
    <row r="132" spans="5:6">
      <c r="E132" s="47"/>
    </row>
    <row r="133" spans="5:6">
      <c r="E133" s="47"/>
      <c r="F133" s="43" t="s">
        <v>106</v>
      </c>
    </row>
    <row r="134" spans="5:6">
      <c r="E134" s="47"/>
      <c r="F134" t="s">
        <v>107</v>
      </c>
    </row>
    <row r="135" spans="5:6">
      <c r="E135" s="47"/>
    </row>
    <row r="136" spans="5:6">
      <c r="E136" s="47"/>
      <c r="F136" s="44" t="s">
        <v>108</v>
      </c>
    </row>
    <row r="137" spans="5:6">
      <c r="E137" s="47"/>
      <c r="F137" s="44" t="s">
        <v>109</v>
      </c>
    </row>
    <row r="138" spans="5:6">
      <c r="E138" s="47"/>
    </row>
    <row r="139" spans="5:6">
      <c r="E139" s="47"/>
      <c r="F139" s="43" t="s">
        <v>110</v>
      </c>
    </row>
    <row r="140" spans="5:6">
      <c r="E140" s="47"/>
    </row>
    <row r="141" spans="5:6">
      <c r="E141" s="47"/>
      <c r="F141" s="43" t="s">
        <v>111</v>
      </c>
    </row>
    <row r="142" spans="5:6">
      <c r="E142" s="47"/>
      <c r="F142" s="43" t="s">
        <v>112</v>
      </c>
    </row>
    <row r="143" spans="5:6">
      <c r="E143" s="47"/>
    </row>
    <row r="144" spans="5:6">
      <c r="E144" s="47"/>
      <c r="F144" s="43" t="s">
        <v>113</v>
      </c>
    </row>
    <row r="145" spans="5:6">
      <c r="E145" s="47"/>
      <c r="F145" s="43" t="s">
        <v>114</v>
      </c>
    </row>
    <row r="146" spans="5:6">
      <c r="E146" s="47"/>
    </row>
    <row r="147" spans="5:6">
      <c r="E147" s="47"/>
      <c r="F147" s="43" t="s">
        <v>115</v>
      </c>
    </row>
    <row r="148" spans="5:6">
      <c r="E148" s="47"/>
      <c r="F148" s="43" t="s">
        <v>116</v>
      </c>
    </row>
    <row r="149" spans="5:6">
      <c r="E149" s="47"/>
    </row>
    <row r="150" spans="5:6">
      <c r="E150" s="47"/>
      <c r="F150" s="43" t="s">
        <v>117</v>
      </c>
    </row>
    <row r="151" spans="5:6">
      <c r="E151" s="47"/>
      <c r="F151" s="43" t="s">
        <v>118</v>
      </c>
    </row>
    <row r="152" spans="5:6">
      <c r="E152" s="47"/>
    </row>
    <row r="153" spans="5:6">
      <c r="E153" s="47"/>
      <c r="F153" s="43" t="s">
        <v>119</v>
      </c>
    </row>
    <row r="154" spans="5:6">
      <c r="E154" s="47"/>
      <c r="F154" s="43" t="s">
        <v>120</v>
      </c>
    </row>
    <row r="155" spans="5:6">
      <c r="E155" s="47"/>
    </row>
    <row r="156" spans="5:6">
      <c r="E156" s="47"/>
      <c r="F156" s="43" t="s">
        <v>121</v>
      </c>
    </row>
    <row r="157" spans="5:6">
      <c r="E157" s="47"/>
      <c r="F157" t="s">
        <v>122</v>
      </c>
    </row>
  </sheetData>
  <pageMargins left="0.7" right="0.7" top="0.75" bottom="0.75" header="0.3" footer="0.3"/>
  <pageSetup orientation="portrait" r:id="rId1"/>
  <ignoredErrors>
    <ignoredError sqref="B11 B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2017-11-16T22:34:50Z</dcterms:created>
  <dcterms:modified xsi:type="dcterms:W3CDTF">2023-04-25T04:36:20Z</dcterms:modified>
</cp:coreProperties>
</file>