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6732" activeTab="3"/>
  </bookViews>
  <sheets>
    <sheet name="11 HW" sheetId="1" r:id="rId1"/>
    <sheet name="12 WU" sheetId="2" r:id="rId2"/>
    <sheet name="12HW" sheetId="3" r:id="rId3"/>
    <sheet name="18WU" sheetId="4" r:id="rId4"/>
    <sheet name="18HW" sheetId="5" r:id="rId5"/>
    <sheet name="19WU" sheetId="7" r:id="rId6"/>
    <sheet name="19 HW" sheetId="6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/>
  <c r="C16" s="1"/>
  <c r="D709" i="5" l="1"/>
  <c r="C708"/>
  <c r="D706"/>
  <c r="C702"/>
  <c r="D703" s="1"/>
  <c r="C699"/>
  <c r="D700" s="1"/>
  <c r="C693"/>
  <c r="D691"/>
  <c r="C690"/>
  <c r="D694"/>
  <c r="D685"/>
  <c r="C684"/>
  <c r="E680"/>
  <c r="F680" s="1"/>
  <c r="F679"/>
  <c r="D680" s="1"/>
  <c r="E679"/>
  <c r="C681"/>
  <c r="C680"/>
  <c r="F678"/>
  <c r="C675"/>
  <c r="D681" l="1"/>
  <c r="E681" s="1"/>
  <c r="F681" s="1"/>
  <c r="C671"/>
  <c r="C663"/>
  <c r="C659"/>
  <c r="C656"/>
  <c r="D660"/>
  <c r="D657"/>
  <c r="D654"/>
  <c r="C653"/>
  <c r="C652"/>
  <c r="D650"/>
  <c r="C649"/>
  <c r="D647"/>
  <c r="C646"/>
  <c r="D644"/>
  <c r="E644" s="1"/>
  <c r="F644" s="1"/>
  <c r="F643"/>
  <c r="C629"/>
  <c r="F641" s="1"/>
  <c r="F642" s="1"/>
  <c r="D643" s="1"/>
  <c r="E643" s="1"/>
  <c r="E642"/>
  <c r="D638"/>
  <c r="C634"/>
  <c r="D635" s="1"/>
  <c r="D627"/>
  <c r="C626"/>
  <c r="D609"/>
  <c r="F607"/>
  <c r="B600"/>
  <c r="B609"/>
  <c r="B610" s="1"/>
  <c r="B611" s="1"/>
  <c r="B612" s="1"/>
  <c r="B613" s="1"/>
  <c r="B614" s="1"/>
  <c r="B615" s="1"/>
  <c r="B616" s="1"/>
  <c r="E608"/>
  <c r="F608" s="1"/>
  <c r="D595"/>
  <c r="C594"/>
  <c r="D592"/>
  <c r="C591"/>
  <c r="D586"/>
  <c r="C585"/>
  <c r="D583"/>
  <c r="C582"/>
  <c r="D580"/>
  <c r="D576"/>
  <c r="C574"/>
  <c r="D566"/>
  <c r="E566" s="1"/>
  <c r="F566" s="1"/>
  <c r="F565"/>
  <c r="E565"/>
  <c r="F564"/>
  <c r="D565" s="1"/>
  <c r="E564"/>
  <c r="F563"/>
  <c r="B555"/>
  <c r="B566"/>
  <c r="B567" s="1"/>
  <c r="B568" s="1"/>
  <c r="B569" s="1"/>
  <c r="B570" s="1"/>
  <c r="B571" s="1"/>
  <c r="B572" s="1"/>
  <c r="B565"/>
  <c r="E549"/>
  <c r="D545"/>
  <c r="C510"/>
  <c r="C540" s="1"/>
  <c r="D542" s="1"/>
  <c r="F548" s="1"/>
  <c r="F549" s="1"/>
  <c r="D550" s="1"/>
  <c r="C552" s="1"/>
  <c r="D553" s="1"/>
  <c r="C533"/>
  <c r="D682" l="1"/>
  <c r="E682" s="1"/>
  <c r="F682" s="1"/>
  <c r="E609"/>
  <c r="F609" s="1"/>
  <c r="D610" s="1"/>
  <c r="D567"/>
  <c r="E567" s="1"/>
  <c r="F567" s="1"/>
  <c r="E550"/>
  <c r="F550"/>
  <c r="D524"/>
  <c r="E610" l="1"/>
  <c r="F610" s="1"/>
  <c r="D611" s="1"/>
  <c r="D568"/>
  <c r="E568" s="1"/>
  <c r="F568"/>
  <c r="C152" i="6"/>
  <c r="C151"/>
  <c r="C140"/>
  <c r="C134"/>
  <c r="C129"/>
  <c r="C131" s="1"/>
  <c r="C144" s="1"/>
  <c r="D145" s="1"/>
  <c r="C124"/>
  <c r="E123"/>
  <c r="E122"/>
  <c r="E120"/>
  <c r="D121"/>
  <c r="D124" s="1"/>
  <c r="C115"/>
  <c r="C104"/>
  <c r="C98"/>
  <c r="C97"/>
  <c r="C105" s="1"/>
  <c r="C42"/>
  <c r="D43" s="1"/>
  <c r="C64"/>
  <c r="C72" s="1"/>
  <c r="D100" i="7"/>
  <c r="E101" s="1"/>
  <c r="D97"/>
  <c r="E98" s="1"/>
  <c r="D92"/>
  <c r="D93"/>
  <c r="E94"/>
  <c r="E95" s="1"/>
  <c r="D89"/>
  <c r="E90" s="1"/>
  <c r="D86"/>
  <c r="E87" s="1"/>
  <c r="E84"/>
  <c r="E83"/>
  <c r="D82"/>
  <c r="D79"/>
  <c r="E80" s="1"/>
  <c r="D76"/>
  <c r="E77" s="1"/>
  <c r="D73"/>
  <c r="E74" s="1"/>
  <c r="D70"/>
  <c r="E71"/>
  <c r="E68"/>
  <c r="D67"/>
  <c r="E62"/>
  <c r="D61"/>
  <c r="D58"/>
  <c r="E59" s="1"/>
  <c r="E56"/>
  <c r="D55"/>
  <c r="D53"/>
  <c r="D52"/>
  <c r="E50"/>
  <c r="E49"/>
  <c r="D47"/>
  <c r="D48"/>
  <c r="E45"/>
  <c r="D44"/>
  <c r="E42"/>
  <c r="D41"/>
  <c r="D38"/>
  <c r="E36"/>
  <c r="D35"/>
  <c r="E39"/>
  <c r="D32"/>
  <c r="E33" s="1"/>
  <c r="E30"/>
  <c r="D29"/>
  <c r="D15"/>
  <c r="E18" s="1"/>
  <c r="E17"/>
  <c r="D12"/>
  <c r="E13" s="1"/>
  <c r="D26"/>
  <c r="E27" s="1"/>
  <c r="D23"/>
  <c r="E24" s="1"/>
  <c r="D9"/>
  <c r="E10" s="1"/>
  <c r="C90" i="6"/>
  <c r="C71"/>
  <c r="C63"/>
  <c r="C82"/>
  <c r="C65"/>
  <c r="C45"/>
  <c r="D46" s="1"/>
  <c r="D49" s="1"/>
  <c r="D37"/>
  <c r="D34"/>
  <c r="C29"/>
  <c r="C31" s="1"/>
  <c r="E611" i="5" l="1"/>
  <c r="F611" s="1"/>
  <c r="D612" s="1"/>
  <c r="D569"/>
  <c r="E569" s="1"/>
  <c r="F569" s="1"/>
  <c r="C135" i="6"/>
  <c r="C136" s="1"/>
  <c r="C142" s="1"/>
  <c r="E121"/>
  <c r="E124" s="1"/>
  <c r="C76"/>
  <c r="C84" s="1"/>
  <c r="D87" s="1"/>
  <c r="D92" s="1"/>
  <c r="C100"/>
  <c r="C68"/>
  <c r="C86" s="1"/>
  <c r="C108"/>
  <c r="C117" s="1"/>
  <c r="C48"/>
  <c r="C89" s="1"/>
  <c r="C22"/>
  <c r="C11"/>
  <c r="D15" s="1"/>
  <c r="C9"/>
  <c r="C1"/>
  <c r="D2" s="1"/>
  <c r="C504" i="5"/>
  <c r="D520" s="1"/>
  <c r="C478"/>
  <c r="B493"/>
  <c r="B494" s="1"/>
  <c r="B495" s="1"/>
  <c r="E491"/>
  <c r="D487"/>
  <c r="C483"/>
  <c r="D484" s="1"/>
  <c r="F490" s="1"/>
  <c r="C472"/>
  <c r="C469"/>
  <c r="E468"/>
  <c r="D464"/>
  <c r="C463"/>
  <c r="D461"/>
  <c r="C436"/>
  <c r="E435"/>
  <c r="C429"/>
  <c r="F434" s="1"/>
  <c r="F435" s="1"/>
  <c r="D436" s="1"/>
  <c r="C450" s="1"/>
  <c r="D451" s="1"/>
  <c r="C408"/>
  <c r="C409" s="1"/>
  <c r="E407"/>
  <c r="C395"/>
  <c r="C399" s="1"/>
  <c r="D400" s="1"/>
  <c r="F406" s="1"/>
  <c r="C379"/>
  <c r="C380" s="1"/>
  <c r="B379"/>
  <c r="B380" s="1"/>
  <c r="B381" s="1"/>
  <c r="E378"/>
  <c r="C365"/>
  <c r="C370" s="1"/>
  <c r="B350"/>
  <c r="B351" s="1"/>
  <c r="B352" s="1"/>
  <c r="E349"/>
  <c r="C335"/>
  <c r="C340" s="1"/>
  <c r="D341" s="1"/>
  <c r="D333"/>
  <c r="E612" l="1"/>
  <c r="F612" s="1"/>
  <c r="D613" s="1"/>
  <c r="D570"/>
  <c r="E570" s="1"/>
  <c r="F570" s="1"/>
  <c r="F527"/>
  <c r="E528" s="1"/>
  <c r="F528" s="1"/>
  <c r="D529" s="1"/>
  <c r="C519"/>
  <c r="E533" s="1"/>
  <c r="D537" s="1"/>
  <c r="C501"/>
  <c r="D502" s="1"/>
  <c r="C415"/>
  <c r="D416" s="1"/>
  <c r="C92" i="6"/>
  <c r="C93" s="1"/>
  <c r="C426" i="5"/>
  <c r="D427" s="1"/>
  <c r="D439"/>
  <c r="D444" s="1"/>
  <c r="D460" s="1"/>
  <c r="F467" s="1"/>
  <c r="F468" s="1"/>
  <c r="D469" s="1"/>
  <c r="F491"/>
  <c r="D492" s="1"/>
  <c r="C498" s="1"/>
  <c r="D499" s="1"/>
  <c r="E436"/>
  <c r="F436" s="1"/>
  <c r="D437" s="1"/>
  <c r="C437"/>
  <c r="F348"/>
  <c r="F349" s="1"/>
  <c r="D350" s="1"/>
  <c r="C358"/>
  <c r="D359" s="1"/>
  <c r="C388"/>
  <c r="D389" s="1"/>
  <c r="D371"/>
  <c r="F377" s="1"/>
  <c r="F378" s="1"/>
  <c r="F407"/>
  <c r="D408" s="1"/>
  <c r="C381"/>
  <c r="C350"/>
  <c r="E613" l="1"/>
  <c r="F613" s="1"/>
  <c r="D614" s="1"/>
  <c r="D571"/>
  <c r="E571" s="1"/>
  <c r="F571" s="1"/>
  <c r="D533"/>
  <c r="E529"/>
  <c r="F529" s="1"/>
  <c r="D441"/>
  <c r="C453" s="1"/>
  <c r="D454" s="1"/>
  <c r="E492"/>
  <c r="F492" s="1"/>
  <c r="D493" s="1"/>
  <c r="E493" s="1"/>
  <c r="F493" s="1"/>
  <c r="D494" s="1"/>
  <c r="E494" s="1"/>
  <c r="F494" s="1"/>
  <c r="D495" s="1"/>
  <c r="E495" s="1"/>
  <c r="F495" s="1"/>
  <c r="E469"/>
  <c r="F469" s="1"/>
  <c r="D472"/>
  <c r="E408"/>
  <c r="C412"/>
  <c r="E437"/>
  <c r="F437" s="1"/>
  <c r="D379"/>
  <c r="C355"/>
  <c r="C362" s="1"/>
  <c r="D356"/>
  <c r="C382"/>
  <c r="C383" s="1"/>
  <c r="C351"/>
  <c r="E350"/>
  <c r="C315"/>
  <c r="D317" s="1"/>
  <c r="B293"/>
  <c r="B294" s="1"/>
  <c r="B295" s="1"/>
  <c r="D282"/>
  <c r="E281" s="1"/>
  <c r="F281" s="1"/>
  <c r="C303" s="1"/>
  <c r="C259"/>
  <c r="C264" s="1"/>
  <c r="D265" s="1"/>
  <c r="D236"/>
  <c r="C222"/>
  <c r="E222" s="1"/>
  <c r="D211"/>
  <c r="C212"/>
  <c r="D212" s="1"/>
  <c r="C162"/>
  <c r="C166" s="1"/>
  <c r="D181" s="1"/>
  <c r="E171"/>
  <c r="C160"/>
  <c r="C145"/>
  <c r="F152" s="1"/>
  <c r="E153"/>
  <c r="C154"/>
  <c r="C155" s="1"/>
  <c r="C156" s="1"/>
  <c r="C157" s="1"/>
  <c r="E614" l="1"/>
  <c r="F614" s="1"/>
  <c r="D615" s="1"/>
  <c r="D572"/>
  <c r="E572" s="1"/>
  <c r="F572" s="1"/>
  <c r="C443"/>
  <c r="C459" s="1"/>
  <c r="E472" s="1"/>
  <c r="D475" s="1"/>
  <c r="D536"/>
  <c r="C535"/>
  <c r="C474"/>
  <c r="D476"/>
  <c r="D496"/>
  <c r="E496" s="1"/>
  <c r="F496" s="1"/>
  <c r="D413"/>
  <c r="C418"/>
  <c r="F408"/>
  <c r="D409" s="1"/>
  <c r="C420"/>
  <c r="E280"/>
  <c r="F280" s="1"/>
  <c r="C284" s="1"/>
  <c r="C297" s="1"/>
  <c r="C270"/>
  <c r="D271" s="1"/>
  <c r="D304"/>
  <c r="C312"/>
  <c r="D313" s="1"/>
  <c r="F153"/>
  <c r="D154" s="1"/>
  <c r="E154" s="1"/>
  <c r="C273"/>
  <c r="D274" s="1"/>
  <c r="D332"/>
  <c r="C331"/>
  <c r="D320"/>
  <c r="C385"/>
  <c r="D386" s="1"/>
  <c r="C392"/>
  <c r="F350"/>
  <c r="D351" s="1"/>
  <c r="E351" s="1"/>
  <c r="F351" s="1"/>
  <c r="D352" s="1"/>
  <c r="C361"/>
  <c r="D363" s="1"/>
  <c r="E379"/>
  <c r="C352"/>
  <c r="C353" s="1"/>
  <c r="C213"/>
  <c r="C224" s="1"/>
  <c r="C229" s="1"/>
  <c r="C223"/>
  <c r="C228" s="1"/>
  <c r="C227"/>
  <c r="C167"/>
  <c r="F170"/>
  <c r="F171" s="1"/>
  <c r="D172" s="1"/>
  <c r="D176" s="1"/>
  <c r="C187" s="1"/>
  <c r="D189" s="1"/>
  <c r="C192" s="1"/>
  <c r="C193" s="1"/>
  <c r="D139"/>
  <c r="C128"/>
  <c r="C133" s="1"/>
  <c r="D136" s="1"/>
  <c r="D101"/>
  <c r="C90"/>
  <c r="E90" s="1"/>
  <c r="C74"/>
  <c r="F89" s="1"/>
  <c r="D71"/>
  <c r="D65"/>
  <c r="B61"/>
  <c r="C57"/>
  <c r="D58" s="1"/>
  <c r="D50"/>
  <c r="B46"/>
  <c r="D26"/>
  <c r="E615" l="1"/>
  <c r="F615" s="1"/>
  <c r="D616" s="1"/>
  <c r="F291"/>
  <c r="C292"/>
  <c r="C300" s="1"/>
  <c r="D301" s="1"/>
  <c r="E409"/>
  <c r="F409" s="1"/>
  <c r="C423"/>
  <c r="D424" s="1"/>
  <c r="C419"/>
  <c r="D421"/>
  <c r="C230"/>
  <c r="C277"/>
  <c r="C276" s="1"/>
  <c r="F154"/>
  <c r="D155" s="1"/>
  <c r="E155" s="1"/>
  <c r="F155" s="1"/>
  <c r="D156" s="1"/>
  <c r="D298"/>
  <c r="C309"/>
  <c r="D310" s="1"/>
  <c r="C141"/>
  <c r="D142" s="1"/>
  <c r="D213"/>
  <c r="D214" s="1"/>
  <c r="F221" s="1"/>
  <c r="F222" s="1"/>
  <c r="D223" s="1"/>
  <c r="C391"/>
  <c r="D393" s="1"/>
  <c r="F379"/>
  <c r="D380" s="1"/>
  <c r="E380" s="1"/>
  <c r="F380" s="1"/>
  <c r="D381" s="1"/>
  <c r="E381" s="1"/>
  <c r="F381" s="1"/>
  <c r="D382" s="1"/>
  <c r="E382" s="1"/>
  <c r="F382" s="1"/>
  <c r="D383" s="1"/>
  <c r="E383" s="1"/>
  <c r="F383" s="1"/>
  <c r="C293"/>
  <c r="E292"/>
  <c r="F292" s="1"/>
  <c r="E352"/>
  <c r="F352" s="1"/>
  <c r="C180"/>
  <c r="E176"/>
  <c r="E172"/>
  <c r="F172" s="1"/>
  <c r="D173" s="1"/>
  <c r="D177" s="1"/>
  <c r="C196" s="1"/>
  <c r="D198" s="1"/>
  <c r="C201" s="1"/>
  <c r="C202" s="1"/>
  <c r="C91"/>
  <c r="F90"/>
  <c r="D91" s="1"/>
  <c r="C81"/>
  <c r="C28"/>
  <c r="E616" l="1"/>
  <c r="F616" s="1"/>
  <c r="C218"/>
  <c r="C232" s="1"/>
  <c r="D233" s="1"/>
  <c r="E227"/>
  <c r="E228" s="1"/>
  <c r="D293"/>
  <c r="C306" s="1"/>
  <c r="D307" s="1"/>
  <c r="C294"/>
  <c r="C295" s="1"/>
  <c r="D353"/>
  <c r="E353" s="1"/>
  <c r="F353" s="1"/>
  <c r="C188"/>
  <c r="E177"/>
  <c r="E178" s="1"/>
  <c r="E223"/>
  <c r="C238"/>
  <c r="D227"/>
  <c r="E173"/>
  <c r="F173" s="1"/>
  <c r="D178" s="1"/>
  <c r="C205" s="1"/>
  <c r="D207" s="1"/>
  <c r="E156"/>
  <c r="F156" s="1"/>
  <c r="D157" s="1"/>
  <c r="D110"/>
  <c r="C92"/>
  <c r="C93" s="1"/>
  <c r="C94" s="1"/>
  <c r="C97" s="1"/>
  <c r="C98" s="1"/>
  <c r="C99" s="1"/>
  <c r="C100" s="1"/>
  <c r="E91"/>
  <c r="C109"/>
  <c r="D97"/>
  <c r="C103"/>
  <c r="D105" s="1"/>
  <c r="D82"/>
  <c r="E97"/>
  <c r="D5"/>
  <c r="E3" s="1"/>
  <c r="C239" l="1"/>
  <c r="D241" s="1"/>
  <c r="E293"/>
  <c r="F293" s="1"/>
  <c r="D294" s="1"/>
  <c r="E294" s="1"/>
  <c r="F294" s="1"/>
  <c r="D295" s="1"/>
  <c r="E295" s="1"/>
  <c r="F295" s="1"/>
  <c r="D240"/>
  <c r="C244"/>
  <c r="C243"/>
  <c r="F223"/>
  <c r="D224" s="1"/>
  <c r="E229"/>
  <c r="E230" s="1"/>
  <c r="C248"/>
  <c r="D250" s="1"/>
  <c r="C256" s="1"/>
  <c r="D257" s="1"/>
  <c r="D190"/>
  <c r="C197"/>
  <c r="E157"/>
  <c r="F157" s="1"/>
  <c r="D119"/>
  <c r="C101"/>
  <c r="C104"/>
  <c r="D106" s="1"/>
  <c r="E98"/>
  <c r="F91"/>
  <c r="D92" s="1"/>
  <c r="C108"/>
  <c r="E4"/>
  <c r="F3"/>
  <c r="F4"/>
  <c r="C34" s="1"/>
  <c r="C100" i="4"/>
  <c r="D101" s="1"/>
  <c r="C84"/>
  <c r="D85" s="1"/>
  <c r="C77"/>
  <c r="D79" s="1"/>
  <c r="C70"/>
  <c r="D71" s="1"/>
  <c r="D65"/>
  <c r="C57"/>
  <c r="D58" s="1"/>
  <c r="D52"/>
  <c r="D49"/>
  <c r="C30"/>
  <c r="C32" s="1"/>
  <c r="C22"/>
  <c r="C24" s="1"/>
  <c r="D144" i="3"/>
  <c r="C144"/>
  <c r="C146" s="1"/>
  <c r="D135"/>
  <c r="C134"/>
  <c r="D132"/>
  <c r="C131"/>
  <c r="D129"/>
  <c r="C128"/>
  <c r="D138"/>
  <c r="C137"/>
  <c r="C125"/>
  <c r="C121"/>
  <c r="C100"/>
  <c r="C96"/>
  <c r="C98" s="1"/>
  <c r="C101" s="1"/>
  <c r="D110"/>
  <c r="E110" s="1"/>
  <c r="D109"/>
  <c r="E109" s="1"/>
  <c r="D108"/>
  <c r="E108" s="1"/>
  <c r="D107"/>
  <c r="E107" s="1"/>
  <c r="D106"/>
  <c r="E106" s="1"/>
  <c r="C111"/>
  <c r="C82"/>
  <c r="C86" s="1"/>
  <c r="D87" s="1"/>
  <c r="C76"/>
  <c r="C72"/>
  <c r="C74" s="1"/>
  <c r="D43"/>
  <c r="E43"/>
  <c r="C43"/>
  <c r="F52"/>
  <c r="I52" s="1"/>
  <c r="F51"/>
  <c r="H51" s="1"/>
  <c r="F50"/>
  <c r="G50" s="1"/>
  <c r="F49"/>
  <c r="G49" s="1"/>
  <c r="F48"/>
  <c r="H48" s="1"/>
  <c r="E53"/>
  <c r="C53"/>
  <c r="D29"/>
  <c r="D26"/>
  <c r="C17"/>
  <c r="D14"/>
  <c r="D15"/>
  <c r="D9"/>
  <c r="C13" s="1"/>
  <c r="D43" i="2"/>
  <c r="C42"/>
  <c r="C40"/>
  <c r="C38"/>
  <c r="C33"/>
  <c r="C29"/>
  <c r="D24"/>
  <c r="C23"/>
  <c r="C19"/>
  <c r="C8"/>
  <c r="C6"/>
  <c r="D257" i="1"/>
  <c r="C254"/>
  <c r="F262"/>
  <c r="E262"/>
  <c r="D262"/>
  <c r="D261"/>
  <c r="B261"/>
  <c r="B260"/>
  <c r="B262" s="1"/>
  <c r="C255"/>
  <c r="C249"/>
  <c r="D251"/>
  <c r="D250"/>
  <c r="C248"/>
  <c r="C244"/>
  <c r="F239"/>
  <c r="C238"/>
  <c r="C236"/>
  <c r="C223"/>
  <c r="C224"/>
  <c r="D218"/>
  <c r="C218"/>
  <c r="C207"/>
  <c r="D208" s="1"/>
  <c r="C210"/>
  <c r="C212" s="1"/>
  <c r="C204"/>
  <c r="D205" s="1"/>
  <c r="D196"/>
  <c r="C195"/>
  <c r="C194"/>
  <c r="C201"/>
  <c r="D202" s="1"/>
  <c r="C191"/>
  <c r="D192" s="1"/>
  <c r="D186"/>
  <c r="C185"/>
  <c r="C182"/>
  <c r="C183" s="1"/>
  <c r="C179"/>
  <c r="C178"/>
  <c r="D175"/>
  <c r="D170"/>
  <c r="C174" s="1"/>
  <c r="C171"/>
  <c r="D169" s="1"/>
  <c r="C173" s="1"/>
  <c r="C165"/>
  <c r="C109"/>
  <c r="E109" s="1"/>
  <c r="C141"/>
  <c r="E141" s="1"/>
  <c r="C151"/>
  <c r="C152"/>
  <c r="C153" s="1"/>
  <c r="C154" s="1"/>
  <c r="C155" s="1"/>
  <c r="C156" s="1"/>
  <c r="C157" s="1"/>
  <c r="C158" s="1"/>
  <c r="C159" s="1"/>
  <c r="C160" s="1"/>
  <c r="C161" s="1"/>
  <c r="D152"/>
  <c r="D153" s="1"/>
  <c r="B152"/>
  <c r="B153" s="1"/>
  <c r="B154" s="1"/>
  <c r="B155" s="1"/>
  <c r="B156" s="1"/>
  <c r="B157" s="1"/>
  <c r="B158" s="1"/>
  <c r="B159" s="1"/>
  <c r="B160" s="1"/>
  <c r="B161" s="1"/>
  <c r="C142"/>
  <c r="C143" s="1"/>
  <c r="C144" s="1"/>
  <c r="C145" s="1"/>
  <c r="C146" s="1"/>
  <c r="C147" s="1"/>
  <c r="D142"/>
  <c r="B142"/>
  <c r="B143" s="1"/>
  <c r="B144" s="1"/>
  <c r="B145" s="1"/>
  <c r="B146" s="1"/>
  <c r="B147" s="1"/>
  <c r="B129"/>
  <c r="B130" s="1"/>
  <c r="B131" s="1"/>
  <c r="B132" s="1"/>
  <c r="B133" s="1"/>
  <c r="D128"/>
  <c r="D129" s="1"/>
  <c r="D130" s="1"/>
  <c r="D131" s="1"/>
  <c r="D132" s="1"/>
  <c r="D133" s="1"/>
  <c r="D134" s="1"/>
  <c r="B120"/>
  <c r="B121" s="1"/>
  <c r="B122" s="1"/>
  <c r="B123" s="1"/>
  <c r="B124" s="1"/>
  <c r="C110"/>
  <c r="D110"/>
  <c r="D111" s="1"/>
  <c r="B110"/>
  <c r="B111" s="1"/>
  <c r="B112" s="1"/>
  <c r="B113" s="1"/>
  <c r="B114" s="1"/>
  <c r="B115" s="1"/>
  <c r="C94"/>
  <c r="E94" s="1"/>
  <c r="D95"/>
  <c r="B95"/>
  <c r="B96" s="1"/>
  <c r="B97" s="1"/>
  <c r="B98" s="1"/>
  <c r="B99" s="1"/>
  <c r="B100" s="1"/>
  <c r="B101" s="1"/>
  <c r="B102" s="1"/>
  <c r="B103" s="1"/>
  <c r="C85"/>
  <c r="E85" s="1"/>
  <c r="D86"/>
  <c r="D87" s="1"/>
  <c r="D88" s="1"/>
  <c r="B86"/>
  <c r="B87" s="1"/>
  <c r="B88" s="1"/>
  <c r="B89" s="1"/>
  <c r="B90" s="1"/>
  <c r="D73"/>
  <c r="D74" s="1"/>
  <c r="D75" s="1"/>
  <c r="D76" s="1"/>
  <c r="D77" s="1"/>
  <c r="D78" s="1"/>
  <c r="B74"/>
  <c r="B75" s="1"/>
  <c r="B76" s="1"/>
  <c r="B77" s="1"/>
  <c r="B78" s="1"/>
  <c r="B66"/>
  <c r="B67" s="1"/>
  <c r="B68" s="1"/>
  <c r="B69" s="1"/>
  <c r="B70" s="1"/>
  <c r="B58"/>
  <c r="B59" s="1"/>
  <c r="B60" s="1"/>
  <c r="B61" s="1"/>
  <c r="B62" s="1"/>
  <c r="D58"/>
  <c r="C57"/>
  <c r="E57" s="1"/>
  <c r="C53"/>
  <c r="D54" s="1"/>
  <c r="C50"/>
  <c r="D51" s="1"/>
  <c r="D48"/>
  <c r="D38"/>
  <c r="C29"/>
  <c r="D30" s="1"/>
  <c r="D24"/>
  <c r="D15"/>
  <c r="C7"/>
  <c r="D6" s="1"/>
  <c r="C14" s="1"/>
  <c r="C54" i="4" l="1"/>
  <c r="D55" s="1"/>
  <c r="E224" i="5"/>
  <c r="C247"/>
  <c r="D228"/>
  <c r="D230" s="1"/>
  <c r="C206"/>
  <c r="D208" s="1"/>
  <c r="D199"/>
  <c r="D158"/>
  <c r="E158" s="1"/>
  <c r="F158" s="1"/>
  <c r="C113"/>
  <c r="E99"/>
  <c r="E100" s="1"/>
  <c r="E101" s="1"/>
  <c r="D98"/>
  <c r="C112" s="1"/>
  <c r="E92"/>
  <c r="C20"/>
  <c r="C26"/>
  <c r="C29" s="1"/>
  <c r="C7"/>
  <c r="F19" s="1"/>
  <c r="C42"/>
  <c r="D43" s="1"/>
  <c r="D35"/>
  <c r="I48" i="3"/>
  <c r="C103"/>
  <c r="C113" s="1"/>
  <c r="C97"/>
  <c r="G48"/>
  <c r="H52"/>
  <c r="G52"/>
  <c r="G51"/>
  <c r="H49"/>
  <c r="I49"/>
  <c r="I51"/>
  <c r="H50"/>
  <c r="I50"/>
  <c r="C162" i="1"/>
  <c r="D154"/>
  <c r="E151"/>
  <c r="E142"/>
  <c r="E143" s="1"/>
  <c r="E144" s="1"/>
  <c r="E145" s="1"/>
  <c r="E146" s="1"/>
  <c r="E147" s="1"/>
  <c r="C148"/>
  <c r="F141"/>
  <c r="D143"/>
  <c r="D2"/>
  <c r="C10" s="1"/>
  <c r="C17" s="1"/>
  <c r="D18" s="1"/>
  <c r="D3"/>
  <c r="C11" s="1"/>
  <c r="C58"/>
  <c r="C59" s="1"/>
  <c r="C60" s="1"/>
  <c r="C61" s="1"/>
  <c r="C62" s="1"/>
  <c r="F57"/>
  <c r="D4"/>
  <c r="C12" s="1"/>
  <c r="C20" s="1"/>
  <c r="D21" s="1"/>
  <c r="D59"/>
  <c r="D60" s="1"/>
  <c r="D61" s="1"/>
  <c r="D62" s="1"/>
  <c r="F65" s="1"/>
  <c r="D5"/>
  <c r="C13" s="1"/>
  <c r="C26" s="1"/>
  <c r="D27" s="1"/>
  <c r="F109"/>
  <c r="D112"/>
  <c r="C111"/>
  <c r="C112" s="1"/>
  <c r="C113" s="1"/>
  <c r="C114" s="1"/>
  <c r="C115" s="1"/>
  <c r="F94"/>
  <c r="D96"/>
  <c r="C95"/>
  <c r="F85"/>
  <c r="D89"/>
  <c r="C86"/>
  <c r="C87" s="1"/>
  <c r="C88" s="1"/>
  <c r="C89" s="1"/>
  <c r="C90" s="1"/>
  <c r="C253" i="5" l="1"/>
  <c r="D249"/>
  <c r="F224"/>
  <c r="C252"/>
  <c r="D115"/>
  <c r="C122"/>
  <c r="D124" s="1"/>
  <c r="F92"/>
  <c r="D93" s="1"/>
  <c r="C117"/>
  <c r="D114"/>
  <c r="C118"/>
  <c r="D14"/>
  <c r="C13"/>
  <c r="E26" s="1"/>
  <c r="C31"/>
  <c r="D32" s="1"/>
  <c r="C21"/>
  <c r="E20"/>
  <c r="F20" s="1"/>
  <c r="D21" s="1"/>
  <c r="C37" s="1"/>
  <c r="D39" s="1"/>
  <c r="G53" i="3"/>
  <c r="C44" s="1"/>
  <c r="C45" s="1"/>
  <c r="C55" s="1"/>
  <c r="D56" s="1"/>
  <c r="H53"/>
  <c r="D44" s="1"/>
  <c r="C67" s="1"/>
  <c r="D68" s="1"/>
  <c r="I53"/>
  <c r="E44" s="1"/>
  <c r="E45" s="1"/>
  <c r="C61" s="1"/>
  <c r="D62" s="1"/>
  <c r="D45"/>
  <c r="E58" i="1"/>
  <c r="E59" s="1"/>
  <c r="E60" s="1"/>
  <c r="E61" s="1"/>
  <c r="F142"/>
  <c r="D155"/>
  <c r="F151"/>
  <c r="E152"/>
  <c r="F143"/>
  <c r="D144"/>
  <c r="F60"/>
  <c r="F58"/>
  <c r="F59"/>
  <c r="C82" s="1"/>
  <c r="C63"/>
  <c r="C96"/>
  <c r="C97" s="1"/>
  <c r="C98" s="1"/>
  <c r="C99" s="1"/>
  <c r="C100" s="1"/>
  <c r="C101" s="1"/>
  <c r="C102" s="1"/>
  <c r="C103" s="1"/>
  <c r="D65"/>
  <c r="F66"/>
  <c r="C116"/>
  <c r="C91"/>
  <c r="E110"/>
  <c r="E111" s="1"/>
  <c r="D113"/>
  <c r="E95"/>
  <c r="D97"/>
  <c r="E86"/>
  <c r="D90"/>
  <c r="E62"/>
  <c r="F62" s="1"/>
  <c r="F61"/>
  <c r="D254" i="5" l="1"/>
  <c r="E93"/>
  <c r="F93" s="1"/>
  <c r="D94" s="1"/>
  <c r="D99"/>
  <c r="C121" s="1"/>
  <c r="D123" s="1"/>
  <c r="C38"/>
  <c r="D40" s="1"/>
  <c r="C53" s="1"/>
  <c r="D55" s="1"/>
  <c r="C67" s="1"/>
  <c r="D68" s="1"/>
  <c r="E27"/>
  <c r="E28" s="1"/>
  <c r="D47"/>
  <c r="C22"/>
  <c r="E21"/>
  <c r="D27"/>
  <c r="C46" s="1"/>
  <c r="C64" i="3"/>
  <c r="D65" s="1"/>
  <c r="D59"/>
  <c r="C58"/>
  <c r="C104" i="1"/>
  <c r="E153"/>
  <c r="F152"/>
  <c r="D156"/>
  <c r="D145"/>
  <c r="F144"/>
  <c r="F110"/>
  <c r="E65"/>
  <c r="D66"/>
  <c r="F67"/>
  <c r="D114"/>
  <c r="E112"/>
  <c r="F111"/>
  <c r="C138" s="1"/>
  <c r="D98"/>
  <c r="E96"/>
  <c r="F95"/>
  <c r="E87"/>
  <c r="F86"/>
  <c r="D100" i="5" l="1"/>
  <c r="E94"/>
  <c r="F94" s="1"/>
  <c r="F21"/>
  <c r="D22" s="1"/>
  <c r="C45"/>
  <c r="E29"/>
  <c r="D157" i="1"/>
  <c r="D158" s="1"/>
  <c r="D159" s="1"/>
  <c r="D160" s="1"/>
  <c r="D161" s="1"/>
  <c r="E154"/>
  <c r="F153"/>
  <c r="F145"/>
  <c r="D146"/>
  <c r="F68"/>
  <c r="E66"/>
  <c r="D67"/>
  <c r="G65"/>
  <c r="E113"/>
  <c r="F112"/>
  <c r="D115"/>
  <c r="F119" s="1"/>
  <c r="E97"/>
  <c r="F96"/>
  <c r="D99"/>
  <c r="D100" s="1"/>
  <c r="E88"/>
  <c r="F87"/>
  <c r="D28" i="5" l="1"/>
  <c r="D29" s="1"/>
  <c r="C52"/>
  <c r="D54" s="1"/>
  <c r="C61"/>
  <c r="E22"/>
  <c r="E155" i="1"/>
  <c r="F154"/>
  <c r="F146"/>
  <c r="D147"/>
  <c r="F147" s="1"/>
  <c r="C106"/>
  <c r="F120"/>
  <c r="D119"/>
  <c r="C128"/>
  <c r="E67"/>
  <c r="D68"/>
  <c r="D101"/>
  <c r="G66"/>
  <c r="H65"/>
  <c r="F69"/>
  <c r="E114"/>
  <c r="F113"/>
  <c r="E98"/>
  <c r="F97"/>
  <c r="E89"/>
  <c r="F88"/>
  <c r="F22" i="5" l="1"/>
  <c r="C60"/>
  <c r="E156" i="1"/>
  <c r="F155"/>
  <c r="F70"/>
  <c r="E128"/>
  <c r="E68"/>
  <c r="D69"/>
  <c r="D120"/>
  <c r="E119"/>
  <c r="G67"/>
  <c r="H66"/>
  <c r="F121"/>
  <c r="D102"/>
  <c r="E115"/>
  <c r="F114"/>
  <c r="E99"/>
  <c r="F98"/>
  <c r="E90"/>
  <c r="F90" s="1"/>
  <c r="F89"/>
  <c r="F128" l="1"/>
  <c r="E157"/>
  <c r="F156"/>
  <c r="D70"/>
  <c r="E70" s="1"/>
  <c r="E69"/>
  <c r="D103"/>
  <c r="G68"/>
  <c r="H67"/>
  <c r="D82" s="1"/>
  <c r="C73"/>
  <c r="F122"/>
  <c r="D121"/>
  <c r="E120"/>
  <c r="F99"/>
  <c r="E100"/>
  <c r="G119"/>
  <c r="G128"/>
  <c r="C129" s="1"/>
  <c r="F115"/>
  <c r="F157" l="1"/>
  <c r="E158"/>
  <c r="G120"/>
  <c r="H119"/>
  <c r="D122"/>
  <c r="E121"/>
  <c r="E73"/>
  <c r="G73" s="1"/>
  <c r="C74" s="1"/>
  <c r="E101"/>
  <c r="F100"/>
  <c r="E129"/>
  <c r="F123"/>
  <c r="G69"/>
  <c r="H68"/>
  <c r="E71"/>
  <c r="F129" l="1"/>
  <c r="F158"/>
  <c r="E159"/>
  <c r="E74"/>
  <c r="G74" s="1"/>
  <c r="C75" s="1"/>
  <c r="F124"/>
  <c r="E122"/>
  <c r="D123"/>
  <c r="G129"/>
  <c r="C130" s="1"/>
  <c r="G121"/>
  <c r="H120"/>
  <c r="E102"/>
  <c r="F101"/>
  <c r="G70"/>
  <c r="H70" s="1"/>
  <c r="H69"/>
  <c r="F73"/>
  <c r="E160" l="1"/>
  <c r="F159"/>
  <c r="E130"/>
  <c r="G130"/>
  <c r="E103"/>
  <c r="F103" s="1"/>
  <c r="F102"/>
  <c r="D124"/>
  <c r="E124" s="1"/>
  <c r="E123"/>
  <c r="E125" s="1"/>
  <c r="E75"/>
  <c r="G75" s="1"/>
  <c r="G122"/>
  <c r="H121"/>
  <c r="D138" s="1"/>
  <c r="F74"/>
  <c r="C131" l="1"/>
  <c r="E138"/>
  <c r="F130"/>
  <c r="E161"/>
  <c r="F161" s="1"/>
  <c r="F160"/>
  <c r="C76"/>
  <c r="E82"/>
  <c r="E131"/>
  <c r="F75"/>
  <c r="G123"/>
  <c r="H122"/>
  <c r="F131" l="1"/>
  <c r="G131"/>
  <c r="C132" s="1"/>
  <c r="G124"/>
  <c r="H124" s="1"/>
  <c r="H123"/>
  <c r="E76"/>
  <c r="G76" s="1"/>
  <c r="C77" s="1"/>
  <c r="E132" l="1"/>
  <c r="E77"/>
  <c r="G77" s="1"/>
  <c r="C78" s="1"/>
  <c r="E78" s="1"/>
  <c r="E79" s="1"/>
  <c r="F76"/>
  <c r="F132" l="1"/>
  <c r="G132"/>
  <c r="C133" s="1"/>
  <c r="E133" s="1"/>
  <c r="E135" s="1"/>
  <c r="G133"/>
  <c r="C134" s="1"/>
  <c r="E134" s="1"/>
  <c r="F77"/>
  <c r="F78" s="1"/>
  <c r="F133" l="1"/>
  <c r="F134" s="1"/>
</calcChain>
</file>

<file path=xl/sharedStrings.xml><?xml version="1.0" encoding="utf-8"?>
<sst xmlns="http://schemas.openxmlformats.org/spreadsheetml/2006/main" count="1200" uniqueCount="443">
  <si>
    <t xml:space="preserve">Building </t>
  </si>
  <si>
    <t>Land</t>
  </si>
  <si>
    <t>Machine</t>
  </si>
  <si>
    <t>Inventory</t>
  </si>
  <si>
    <t>Man. Supplies</t>
  </si>
  <si>
    <t>Cash</t>
  </si>
  <si>
    <t>a</t>
  </si>
  <si>
    <t>b</t>
  </si>
  <si>
    <t>c</t>
  </si>
  <si>
    <t>Depreciation Expense-Machinery and Equipment</t>
  </si>
  <si>
    <t>Depreciation Expense- Building</t>
  </si>
  <si>
    <t>Accumulated Depreciation-Building</t>
  </si>
  <si>
    <t>Accumulated Depreciation-Machinery and Equipment</t>
  </si>
  <si>
    <t>Sales</t>
  </si>
  <si>
    <t>Cost og Good Sold</t>
  </si>
  <si>
    <t>Manufacturing Overhead Expense</t>
  </si>
  <si>
    <t>Manufacturing Supplies</t>
  </si>
  <si>
    <t>Maintenance Expense</t>
  </si>
  <si>
    <t xml:space="preserve">Equipment </t>
  </si>
  <si>
    <t>Building</t>
  </si>
  <si>
    <t>Airplanes - Engines</t>
  </si>
  <si>
    <t>Airplanes - Interiors</t>
  </si>
  <si>
    <t xml:space="preserve">Cash </t>
  </si>
  <si>
    <t>Depreciation</t>
  </si>
  <si>
    <t>Depreciation Expense—Airplanes-Engines</t>
  </si>
  <si>
    <t>Accumulated Depreciation—Airplanes-Engines</t>
  </si>
  <si>
    <t>Depreciation Expense—Airplanes-Interiors</t>
  </si>
  <si>
    <t>Accumulated Depreciation—Airplanes-Interiors</t>
  </si>
  <si>
    <t>Depreciation Expense</t>
  </si>
  <si>
    <t>Original Cost</t>
  </si>
  <si>
    <t>Accumulated Dep</t>
  </si>
  <si>
    <t>NBV</t>
  </si>
  <si>
    <t xml:space="preserve">Year </t>
  </si>
  <si>
    <t>Tons of Coal</t>
  </si>
  <si>
    <t>Rate per unit</t>
  </si>
  <si>
    <t>Accum Dep</t>
  </si>
  <si>
    <t>NBV Beg</t>
  </si>
  <si>
    <t>DDB rate</t>
  </si>
  <si>
    <t>Dep Expense</t>
  </si>
  <si>
    <t>Accum</t>
  </si>
  <si>
    <t>Gain or loss</t>
  </si>
  <si>
    <t>Straight line</t>
  </si>
  <si>
    <t>Units of output</t>
  </si>
  <si>
    <t>Double declining</t>
  </si>
  <si>
    <t>Total</t>
  </si>
  <si>
    <t>Loss on Abandonment of Trucks</t>
  </si>
  <si>
    <t>Accumulated Depreciation —Trucks</t>
  </si>
  <si>
    <t>Trucks</t>
  </si>
  <si>
    <t xml:space="preserve">Trade Mark </t>
  </si>
  <si>
    <t>Customer List</t>
  </si>
  <si>
    <t>Allocated</t>
  </si>
  <si>
    <t>Acquisition cost</t>
  </si>
  <si>
    <t>Fair value of identifiable net assets</t>
  </si>
  <si>
    <t>Goodwill</t>
  </si>
  <si>
    <t>Bargain purchase gain</t>
  </si>
  <si>
    <t>Researched and development expense</t>
  </si>
  <si>
    <t>Equipment</t>
  </si>
  <si>
    <t>Testing Equipment</t>
  </si>
  <si>
    <t>Accumulated Depreciation—Testing Equipment</t>
  </si>
  <si>
    <t>Development Asset</t>
  </si>
  <si>
    <t>Research and Development Expense</t>
  </si>
  <si>
    <t>Amortization Expense</t>
  </si>
  <si>
    <t>Leasehold Improvements</t>
  </si>
  <si>
    <t>Depreciation Expense—Plant Asset</t>
  </si>
  <si>
    <t>Accumulated Depreciation—Plant Asset</t>
  </si>
  <si>
    <t>Plant Asset</t>
  </si>
  <si>
    <t>Loss on Sale of Plant Assets</t>
  </si>
  <si>
    <t>Cost</t>
  </si>
  <si>
    <t>Machinery, at cost</t>
  </si>
  <si>
    <t>Cost, Straight line 6</t>
  </si>
  <si>
    <t>Accumulated Depreciation</t>
  </si>
  <si>
    <t>Machinery — net</t>
  </si>
  <si>
    <t>Year 2</t>
  </si>
  <si>
    <t>Year 1</t>
  </si>
  <si>
    <t>Acquisition Cost</t>
  </si>
  <si>
    <t xml:space="preserve">Fairmarket value </t>
  </si>
  <si>
    <t>Fairmarket value of assets acquired</t>
  </si>
  <si>
    <t>a tangible asset with an indefinite life</t>
  </si>
  <si>
    <t>Should not</t>
  </si>
  <si>
    <t>non-amortization</t>
  </si>
  <si>
    <t>is</t>
  </si>
  <si>
    <t>should not</t>
  </si>
  <si>
    <t>balance sheet</t>
  </si>
  <si>
    <t>Fair value of the identifiable net assets</t>
  </si>
  <si>
    <t>Patent</t>
  </si>
  <si>
    <t>Trademark</t>
  </si>
  <si>
    <t>Idefinite</t>
  </si>
  <si>
    <t>Finite</t>
  </si>
  <si>
    <t>Indefinite</t>
  </si>
  <si>
    <t>No</t>
  </si>
  <si>
    <t>Yes</t>
  </si>
  <si>
    <t>Accumulated Depreciation—Machinery (Old)</t>
  </si>
  <si>
    <t>Machinery (New)</t>
  </si>
  <si>
    <t>Loss on Exchange of Machinery</t>
  </si>
  <si>
    <t>Machinery (Old)</t>
  </si>
  <si>
    <t>%</t>
  </si>
  <si>
    <t>Gain on Exchange of Machinery</t>
  </si>
  <si>
    <t xml:space="preserve">should be </t>
  </si>
  <si>
    <t>Accumulated dep</t>
  </si>
  <si>
    <t>Carrying value</t>
  </si>
  <si>
    <t>Carrying Value</t>
  </si>
  <si>
    <t>Undiscounted future cash flows</t>
  </si>
  <si>
    <t xml:space="preserve">Carrying Value </t>
  </si>
  <si>
    <t>Undiscounted future cash flows (</t>
  </si>
  <si>
    <t>Step 2</t>
  </si>
  <si>
    <t>Impairment</t>
  </si>
  <si>
    <t>Impairment loss</t>
  </si>
  <si>
    <t>Plant and Equipment</t>
  </si>
  <si>
    <t xml:space="preserve">Fair value </t>
  </si>
  <si>
    <t>Imparment indicated</t>
  </si>
  <si>
    <t>Fair value of reporting unit</t>
  </si>
  <si>
    <t>Carrying (book) value of reporting unit</t>
  </si>
  <si>
    <t>NO</t>
  </si>
  <si>
    <t>Impairment indicated</t>
  </si>
  <si>
    <t>Fair value of the reporting unit</t>
  </si>
  <si>
    <t xml:space="preserve">Impairment loss </t>
  </si>
  <si>
    <t>Good will</t>
  </si>
  <si>
    <t>Factory</t>
  </si>
  <si>
    <t>Lens Manu</t>
  </si>
  <si>
    <t>Lens Poli</t>
  </si>
  <si>
    <t>General</t>
  </si>
  <si>
    <t>Delivery truck</t>
  </si>
  <si>
    <t>The cash flows for the asset are dependent on lens operations.</t>
  </si>
  <si>
    <t>The cash flows for the asset are independent of lens operations</t>
  </si>
  <si>
    <t>Accumulated Depreciation – Lens Manufacturing Equipment</t>
  </si>
  <si>
    <t>Accumulated Depreciation – Lens Polishing Equipmen</t>
  </si>
  <si>
    <t>Lens Manufacturing Equipment</t>
  </si>
  <si>
    <t>Lens Polishing Equipment</t>
  </si>
  <si>
    <t>Impairment Loss on Equipment</t>
  </si>
  <si>
    <t>No Entry Required</t>
  </si>
  <si>
    <t>Impairment loss indicated</t>
  </si>
  <si>
    <t>Accumulated Depreciation—Cutting Machine</t>
  </si>
  <si>
    <t>Impairment Loss on Cutting Machine</t>
  </si>
  <si>
    <t>Cutting Machine</t>
  </si>
  <si>
    <t>Depreciation Expense—Cutting Machine</t>
  </si>
  <si>
    <t>Step 1</t>
  </si>
  <si>
    <t>Required</t>
  </si>
  <si>
    <t>Franchise</t>
  </si>
  <si>
    <t>Trade Name</t>
  </si>
  <si>
    <t>Undiscounted</t>
  </si>
  <si>
    <t>no</t>
  </si>
  <si>
    <t>Impairment Indicated</t>
  </si>
  <si>
    <t xml:space="preserve">Step 2 </t>
  </si>
  <si>
    <t>Cash Flow</t>
  </si>
  <si>
    <t>Carrying value at year–en</t>
  </si>
  <si>
    <t>Fair value at year–en</t>
  </si>
  <si>
    <t>Factor</t>
  </si>
  <si>
    <t>Impairment loss - patent</t>
  </si>
  <si>
    <t>Impairment loss - Franchise</t>
  </si>
  <si>
    <t>Impairment loss - Tradename</t>
  </si>
  <si>
    <t>Tradename</t>
  </si>
  <si>
    <t>Amortization Expense-Patent</t>
  </si>
  <si>
    <t>Accumulated Amortization—Franchise</t>
  </si>
  <si>
    <t xml:space="preserve">Acquisition Cost </t>
  </si>
  <si>
    <t>Book value of net assets acquired</t>
  </si>
  <si>
    <t>Excess cost over book value</t>
  </si>
  <si>
    <t>Revaluation of plant assets</t>
  </si>
  <si>
    <t>Book value of the reporting unit</t>
  </si>
  <si>
    <t>Impairment Required</t>
  </si>
  <si>
    <t>Impairment Loss</t>
  </si>
  <si>
    <t>Good Will</t>
  </si>
  <si>
    <t xml:space="preserve">Cash flow </t>
  </si>
  <si>
    <t>Recoverable</t>
  </si>
  <si>
    <t>Value in use</t>
  </si>
  <si>
    <t>Fair value less costs to sell</t>
  </si>
  <si>
    <t>Impaiment</t>
  </si>
  <si>
    <t>Impairment Loss on Equipm</t>
  </si>
  <si>
    <t>Accumulated Depreciation – Lens Polishing Equipment</t>
  </si>
  <si>
    <t>Accumulated Depreciation — Machinery</t>
  </si>
  <si>
    <t>Machinery</t>
  </si>
  <si>
    <t>Loss on Machinery Held for Sale</t>
  </si>
  <si>
    <t>Machinery Held for Sal</t>
  </si>
  <si>
    <t>Accumulated Depreciation — Equipmen</t>
  </si>
  <si>
    <t>Equipment Held for Sa</t>
  </si>
  <si>
    <t>Loss on Equipment Held for S</t>
  </si>
  <si>
    <t>Equipment Held for Sal</t>
  </si>
  <si>
    <t>Gain on Machinery Held for Sale</t>
  </si>
  <si>
    <t>Gain on Equipment Held for Sale</t>
  </si>
  <si>
    <t>CV</t>
  </si>
  <si>
    <t>Fairvalue</t>
  </si>
  <si>
    <t>Maintenance</t>
  </si>
  <si>
    <t>Operating lease none</t>
  </si>
  <si>
    <t>PV</t>
  </si>
  <si>
    <t>Fair Value</t>
  </si>
  <si>
    <t xml:space="preserve">% to fair value </t>
  </si>
  <si>
    <t>The present value of the sum of the lease payments and any residual value the lessee guarantees</t>
  </si>
  <si>
    <t xml:space="preserve">Finance Lease , at least one </t>
  </si>
  <si>
    <t xml:space="preserve">Fair Value </t>
  </si>
  <si>
    <t>The lease does not meet any Group I lease criteria.</t>
  </si>
  <si>
    <t>Operating Lease, none</t>
  </si>
  <si>
    <t>Right-of-Use Asset</t>
  </si>
  <si>
    <t>Lease Liability</t>
  </si>
  <si>
    <t>The lease term is for a major part of the economic life of the asset.</t>
  </si>
  <si>
    <t>The present value of the sum of the lease payments and any residual value the lessee guarantees to pay</t>
  </si>
  <si>
    <t>Finance, at least 1</t>
  </si>
  <si>
    <t xml:space="preserve">Interest Expense </t>
  </si>
  <si>
    <t>Lease Receivable</t>
  </si>
  <si>
    <t>Equipment (or Inventory)</t>
  </si>
  <si>
    <t>Interest Revenue</t>
  </si>
  <si>
    <t>Sales Type , at least 1</t>
  </si>
  <si>
    <t xml:space="preserve">Lease Receivable </t>
  </si>
  <si>
    <t>Sales Revenue</t>
  </si>
  <si>
    <t>Cost of Goods Sold</t>
  </si>
  <si>
    <t xml:space="preserve">Interest Revenue </t>
  </si>
  <si>
    <t>Interest Receivable</t>
  </si>
  <si>
    <t>The lease term is for a major part of the economic life of the asset</t>
  </si>
  <si>
    <t>The present value of the sum of the lease payments and any residual value the lessee guarantees to pay (</t>
  </si>
  <si>
    <t>Financing, at least 1</t>
  </si>
  <si>
    <t>Contract Component</t>
  </si>
  <si>
    <t>Digital</t>
  </si>
  <si>
    <t xml:space="preserve">Consulting </t>
  </si>
  <si>
    <t xml:space="preserve">non-lease </t>
  </si>
  <si>
    <t>lease</t>
  </si>
  <si>
    <t>Stand Alone</t>
  </si>
  <si>
    <t>The lease does not meet any Group I lease criteria</t>
  </si>
  <si>
    <t>Operating , None</t>
  </si>
  <si>
    <t>Year 3</t>
  </si>
  <si>
    <t>Balance of Lease Liability</t>
  </si>
  <si>
    <t>Payment</t>
  </si>
  <si>
    <t>Interest Expense</t>
  </si>
  <si>
    <t>Reduction in lease liability</t>
  </si>
  <si>
    <t>Date</t>
  </si>
  <si>
    <t>Lease Expense</t>
  </si>
  <si>
    <t>Amortization of Right of Use</t>
  </si>
  <si>
    <t xml:space="preserve">Prepaid Consulting </t>
  </si>
  <si>
    <t>Accrued Lease Payable</t>
  </si>
  <si>
    <t>Accumulated Amortization</t>
  </si>
  <si>
    <t>Consulting Expense</t>
  </si>
  <si>
    <t xml:space="preserve">Finance, at least one </t>
  </si>
  <si>
    <t>Right of use Asset</t>
  </si>
  <si>
    <t>Lease liability</t>
  </si>
  <si>
    <t>Year 4</t>
  </si>
  <si>
    <t>Year 5</t>
  </si>
  <si>
    <t>Reduction</t>
  </si>
  <si>
    <t>Balance</t>
  </si>
  <si>
    <t>Dec Yr 1</t>
  </si>
  <si>
    <t>Dec Yr 2</t>
  </si>
  <si>
    <t>Dec Yr 3</t>
  </si>
  <si>
    <t>Implicit Rate</t>
  </si>
  <si>
    <t>It is probable that the lessor will collect the lease payments plus any amount necessary to satisfy a residual value gua</t>
  </si>
  <si>
    <t xml:space="preserve">Net invesment </t>
  </si>
  <si>
    <t>Sales type, none, at least one of the Group II criteria is(are) met.</t>
  </si>
  <si>
    <t>Cost of good sold</t>
  </si>
  <si>
    <t>The present value of the sum of the lease payments and any residual value the lessee or a third party guarantees to</t>
  </si>
  <si>
    <t>Sales-type, none, at least 1 of group 2</t>
  </si>
  <si>
    <t xml:space="preserve">Residual Value </t>
  </si>
  <si>
    <t>Lease Inception</t>
  </si>
  <si>
    <t xml:space="preserve">Payment </t>
  </si>
  <si>
    <t>Reduction in Lease Liability</t>
  </si>
  <si>
    <t>Balance of lease liability</t>
  </si>
  <si>
    <t>The lessee is given an option to purchase the asset that the lessee is reasonably certain</t>
  </si>
  <si>
    <t xml:space="preserve">Finance, At least one </t>
  </si>
  <si>
    <t xml:space="preserve">Right of use </t>
  </si>
  <si>
    <t xml:space="preserve">Jan </t>
  </si>
  <si>
    <t>Feb</t>
  </si>
  <si>
    <t xml:space="preserve">Mar </t>
  </si>
  <si>
    <t>Interest</t>
  </si>
  <si>
    <t>Lease inception</t>
  </si>
  <si>
    <t>Amortization</t>
  </si>
  <si>
    <t>Lease expense</t>
  </si>
  <si>
    <t>Accrued Lease payable</t>
  </si>
  <si>
    <t>Amortization of Expense</t>
  </si>
  <si>
    <t>Operating, none</t>
  </si>
  <si>
    <t>Reduction lease liab</t>
  </si>
  <si>
    <t>balance</t>
  </si>
  <si>
    <t>Year1</t>
  </si>
  <si>
    <t>Year2</t>
  </si>
  <si>
    <t>Year3</t>
  </si>
  <si>
    <t>The lease term is for a major part of the economic life of the asse</t>
  </si>
  <si>
    <t>Finance Lease, At least one</t>
  </si>
  <si>
    <t xml:space="preserve">Lease Liability </t>
  </si>
  <si>
    <t>The present value of the sum of the lease payments and any residual value the lessee guarantees to pay (that is not</t>
  </si>
  <si>
    <t>Interest expense</t>
  </si>
  <si>
    <t xml:space="preserve">Interest Payable </t>
  </si>
  <si>
    <t>Interest Payable</t>
  </si>
  <si>
    <t>Lease Component</t>
  </si>
  <si>
    <t>Non-lease component</t>
  </si>
  <si>
    <t xml:space="preserve">Interest </t>
  </si>
  <si>
    <t xml:space="preserve">Reduction </t>
  </si>
  <si>
    <t>Prepaid Maintenance Expense</t>
  </si>
  <si>
    <t>Initial measurement of the lease liabili</t>
  </si>
  <si>
    <t>Add Initial direct costs incurred by the lessee</t>
  </si>
  <si>
    <t>less Lease incentives received by the lessee</t>
  </si>
  <si>
    <t>ROU</t>
  </si>
  <si>
    <t>Prepaid Lease Payment</t>
  </si>
  <si>
    <t>Prepaid Initial Direct Cost</t>
  </si>
  <si>
    <t>Right of use asset</t>
  </si>
  <si>
    <t>Right of use</t>
  </si>
  <si>
    <t xml:space="preserve">Finance Lease, at least one </t>
  </si>
  <si>
    <t xml:space="preserve">Lease liability </t>
  </si>
  <si>
    <t xml:space="preserve">Finance, at lease one </t>
  </si>
  <si>
    <t xml:space="preserve">Finance , at least one </t>
  </si>
  <si>
    <t xml:space="preserve">Interest payable </t>
  </si>
  <si>
    <t>The present value of the sum of the lease payments and any residual value the lessee guarantees to pay (that is</t>
  </si>
  <si>
    <t>Initial measurement of the lease liability</t>
  </si>
  <si>
    <t>Add: Initial direct costs incurred by the lessee</t>
  </si>
  <si>
    <t>Initial measurement of the right-of-use asset</t>
  </si>
  <si>
    <t>d</t>
  </si>
  <si>
    <t xml:space="preserve">Date </t>
  </si>
  <si>
    <t>Dec 31 2018</t>
  </si>
  <si>
    <t>Interest Expnese</t>
  </si>
  <si>
    <t>Accrued lease Payable</t>
  </si>
  <si>
    <t>The lessee is given an option to purchase the asset that the lessee is reasonably certain to exercise.</t>
  </si>
  <si>
    <t xml:space="preserve">Finance Lease, At least one </t>
  </si>
  <si>
    <t>The present value of the sum of the lease payments and any residual value the lessee guarantees to pay (that is no</t>
  </si>
  <si>
    <t>Purchase option</t>
  </si>
  <si>
    <t>Finance lease, at leaset one</t>
  </si>
  <si>
    <t>The present value of the sum of the lease payments and any residual value the lessee guarantees to pay (that</t>
  </si>
  <si>
    <t>Pension Expense</t>
  </si>
  <si>
    <t>Service Cost</t>
  </si>
  <si>
    <t>Add Interest PBO</t>
  </si>
  <si>
    <t>Less Expected Return</t>
  </si>
  <si>
    <t>Add amortization or prior service cost</t>
  </si>
  <si>
    <t>Less amortization of cumulative unamortize gain/loss</t>
  </si>
  <si>
    <t>Pension</t>
  </si>
  <si>
    <t>Total Pension Cost</t>
  </si>
  <si>
    <t>OCI - Prior Service Costs</t>
  </si>
  <si>
    <t>OCI - Actuarial Gains/Losses</t>
  </si>
  <si>
    <t>Net Pension Liability</t>
  </si>
  <si>
    <t>Beginning PBO</t>
  </si>
  <si>
    <t xml:space="preserve">Add Service Cost </t>
  </si>
  <si>
    <t xml:space="preserve">Add Interest on PBO </t>
  </si>
  <si>
    <t xml:space="preserve">Less Change in Actuarial gain </t>
  </si>
  <si>
    <t>Less Benefits paid to retiress</t>
  </si>
  <si>
    <t>Ending Balance</t>
  </si>
  <si>
    <t>Beginning Balance</t>
  </si>
  <si>
    <t xml:space="preserve">Add Expected Return </t>
  </si>
  <si>
    <t xml:space="preserve">Less Unexpectec Return </t>
  </si>
  <si>
    <t xml:space="preserve">Add Contribution </t>
  </si>
  <si>
    <t xml:space="preserve">Less benefits paid to retirees </t>
  </si>
  <si>
    <t xml:space="preserve">Plan Assets Ending Balance </t>
  </si>
  <si>
    <t xml:space="preserve">Less ending amount as per above table </t>
  </si>
  <si>
    <t>Funded Status Liability</t>
  </si>
  <si>
    <t>Projected Benefit Obligation</t>
  </si>
  <si>
    <t xml:space="preserve">OCI - Prior Service Cost </t>
  </si>
  <si>
    <t>Pension Plan Assets</t>
  </si>
  <si>
    <t>OCI- Actuarial Gains/losses</t>
  </si>
  <si>
    <t>No entry required</t>
  </si>
  <si>
    <t>Beginning Balance of PBO</t>
  </si>
  <si>
    <t xml:space="preserve">Add Prior Service Cost </t>
  </si>
  <si>
    <t>Less Benefits Paid</t>
  </si>
  <si>
    <t xml:space="preserve"> </t>
  </si>
  <si>
    <t>Ending PBO</t>
  </si>
  <si>
    <t>Beginning Balance of Plan Assets</t>
  </si>
  <si>
    <t>plus Actual return on assets</t>
  </si>
  <si>
    <t>Plus Contribution</t>
  </si>
  <si>
    <t>Less Benefit Paid</t>
  </si>
  <si>
    <t>End</t>
  </si>
  <si>
    <t>Less change in actuarial assumption gain</t>
  </si>
  <si>
    <t>OCI Actuarial Gains/losses</t>
  </si>
  <si>
    <t xml:space="preserve">OCI - prior service cost </t>
  </si>
  <si>
    <t>Cash (contribition)</t>
  </si>
  <si>
    <t>Fund Status</t>
  </si>
  <si>
    <t>Liability</t>
  </si>
  <si>
    <t xml:space="preserve">Pension Plan-initial Rcognition </t>
  </si>
  <si>
    <t>Actuarial Gains</t>
  </si>
  <si>
    <t>Actuarial Gains and Unexpected Positive Returns</t>
  </si>
  <si>
    <t>Actuarial Gains and Unexpected Negative Returns</t>
  </si>
  <si>
    <t xml:space="preserve">Prior Service Cost </t>
  </si>
  <si>
    <t xml:space="preserve">Actuarial Losses </t>
  </si>
  <si>
    <t>e</t>
  </si>
  <si>
    <t>f</t>
  </si>
  <si>
    <t>Deferred Compensation</t>
  </si>
  <si>
    <t>Additional Paid-in Capital – Stock Options</t>
  </si>
  <si>
    <t xml:space="preserve">Compensation Expense </t>
  </si>
  <si>
    <t>Common Stock</t>
  </si>
  <si>
    <t>Additional Paid-in Capital in Excess of Par – Common</t>
  </si>
  <si>
    <t>Additional Paid-in Capital – Expired Stock Options</t>
  </si>
  <si>
    <t xml:space="preserve">Common Stock </t>
  </si>
  <si>
    <t>Compensation expense 2018</t>
  </si>
  <si>
    <t>Compensation expense 2019</t>
  </si>
  <si>
    <t>Obligation under SAR Plan</t>
  </si>
  <si>
    <t>Compensation Expense</t>
  </si>
  <si>
    <t>Missing information Price at December 31</t>
  </si>
  <si>
    <t>Deferred Compensation – Restricted Stock</t>
  </si>
  <si>
    <t>Additional Paid in Capital - common</t>
  </si>
  <si>
    <t xml:space="preserve">Additional Paid Inc </t>
  </si>
  <si>
    <t xml:space="preserve">Deferred Stock </t>
  </si>
  <si>
    <t>Net Benefit Asset</t>
  </si>
  <si>
    <t xml:space="preserve">Components in </t>
  </si>
  <si>
    <t>add change in actuarial assumption loss</t>
  </si>
  <si>
    <t>The ending funded status</t>
  </si>
  <si>
    <t>Beginning balances</t>
  </si>
  <si>
    <t xml:space="preserve">Unamortize Prior Service Cost </t>
  </si>
  <si>
    <t>Unamortize Net Actuarial Losses</t>
  </si>
  <si>
    <t>Total AOCI</t>
  </si>
  <si>
    <t>Prior service cost net of amortization</t>
  </si>
  <si>
    <t>net liability or underfunded</t>
  </si>
  <si>
    <t>Pension Cost</t>
  </si>
  <si>
    <t>AOCI</t>
  </si>
  <si>
    <t>Net Pension obligation</t>
  </si>
  <si>
    <t>No effect</t>
  </si>
  <si>
    <t>Credit</t>
  </si>
  <si>
    <t>Debit</t>
  </si>
  <si>
    <t>Unexpected Loss on Plan Assets</t>
  </si>
  <si>
    <t>Amortization of Actuarial Gains</t>
  </si>
  <si>
    <t>Beginnning Balance PBO</t>
  </si>
  <si>
    <t>Ending</t>
  </si>
  <si>
    <t>Beg Balance Plan Assets</t>
  </si>
  <si>
    <t>Contribution</t>
  </si>
  <si>
    <t xml:space="preserve">Ending Balance </t>
  </si>
  <si>
    <t>Ending Fund Status</t>
  </si>
  <si>
    <t>OCI - Prior Service Cost</t>
  </si>
  <si>
    <t>Accumulated OCI</t>
  </si>
  <si>
    <t>Ending balance</t>
  </si>
  <si>
    <t xml:space="preserve">Implicit </t>
  </si>
  <si>
    <t>The present value of the sum of the lease payments and any residual value the lessee or a third party guarant</t>
  </si>
  <si>
    <t>It is probable that the lessor will collect the lease payments plus any amount necessary to satisfy a residual value gu</t>
  </si>
  <si>
    <t xml:space="preserve">Operating lease, none, at least two </t>
  </si>
  <si>
    <t>Reduction in lease liab</t>
  </si>
  <si>
    <t>balance of lease liab</t>
  </si>
  <si>
    <t>Amortization of Right of Use Asset</t>
  </si>
  <si>
    <t>Right of Use</t>
  </si>
  <si>
    <t>Finance Lease  at least one</t>
  </si>
  <si>
    <t>The Group II lease criteria do not need to be assessed due to the lease meeting the Group I criteria</t>
  </si>
  <si>
    <t>Cost of Good Sold</t>
  </si>
  <si>
    <t>Inventory of Machinery</t>
  </si>
  <si>
    <t>Lease Payable</t>
  </si>
  <si>
    <t xml:space="preserve">Accumulated Amortization </t>
  </si>
  <si>
    <t>General and Administrative expense</t>
  </si>
  <si>
    <t>The Group II lease criteria do not need to be assessed due to the lease meeting the Group I criteria.</t>
  </si>
  <si>
    <t>Sales type  at least one</t>
  </si>
  <si>
    <t>Sales type, transfers the risks and rewards of ownership to Blue.</t>
  </si>
  <si>
    <t>Sale</t>
  </si>
  <si>
    <t xml:space="preserve">Inventory </t>
  </si>
  <si>
    <t>Finance Lease, at least one</t>
  </si>
  <si>
    <t>The present value of the sum of the lease payments and any residual value the lessee guarantees to pa</t>
  </si>
  <si>
    <t xml:space="preserve">Right of Use </t>
  </si>
  <si>
    <t>Interst Expense</t>
  </si>
  <si>
    <t xml:space="preserve">Sales type, at least one </t>
  </si>
  <si>
    <t>Residual</t>
  </si>
  <si>
    <t>Office space</t>
  </si>
  <si>
    <t>Use of office equipment</t>
  </si>
  <si>
    <t>Use of computer equipment</t>
  </si>
  <si>
    <t>3 - The lease term is for a major part of the economic life of the asset.</t>
  </si>
  <si>
    <t>In total there are FOUR components: THREE lease components and ONE non-lease component.</t>
  </si>
  <si>
    <t>LEASE COMPONENT</t>
  </si>
  <si>
    <t>NON-LEASE COMPONENT</t>
  </si>
  <si>
    <t>This is a FINANCE lease for the lessee (Mawn) because AT LEAST ONE of the Group I criteria is(are) met.</t>
  </si>
  <si>
    <t>6 - The lease does not meet any Group I lease criteria.</t>
  </si>
  <si>
    <t>This is an OPERATING lease for the lessee (Waseca) because NONE of the Group I criteria is(are) met.</t>
  </si>
  <si>
    <t>This is a FINANCE lease for the lessee (Chapins Manufacturing) because AT LEAST ONE of the Group I criteria is(are) met.</t>
  </si>
  <si>
    <t>This is an OPERATING lease for the lessee (Healthy Leasing) because NONE of the Group I criteria is(are) met.</t>
  </si>
</sst>
</file>

<file path=xl/styles.xml><?xml version="1.0" encoding="utf-8"?>
<styleSheet xmlns="http://schemas.openxmlformats.org/spreadsheetml/2006/main">
  <numFmts count="3">
    <numFmt numFmtId="164" formatCode="&quot;$&quot;#,##0.00_);[Red]\(&quot;$&quot;#,##0.00\)"/>
    <numFmt numFmtId="165" formatCode="_(* #,##0.00_);_(* \(#,##0.00\);_(* &quot;-&quot;??_);_(@_)"/>
    <numFmt numFmtId="166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165" fontId="0" fillId="0" borderId="0" xfId="1" applyFont="1"/>
    <xf numFmtId="165" fontId="0" fillId="0" borderId="0" xfId="0" applyNumberFormat="1"/>
    <xf numFmtId="0" fontId="0" fillId="2" borderId="0" xfId="0" applyFill="1"/>
    <xf numFmtId="164" fontId="0" fillId="0" borderId="0" xfId="0" applyNumberFormat="1"/>
    <xf numFmtId="9" fontId="0" fillId="0" borderId="0" xfId="2" applyFont="1"/>
    <xf numFmtId="166" fontId="0" fillId="0" borderId="0" xfId="2" applyNumberFormat="1" applyFont="1"/>
    <xf numFmtId="164" fontId="0" fillId="2" borderId="0" xfId="0" applyNumberFormat="1" applyFill="1"/>
    <xf numFmtId="16" fontId="0" fillId="0" borderId="0" xfId="0" applyNumberFormat="1"/>
    <xf numFmtId="9" fontId="0" fillId="0" borderId="0" xfId="0" applyNumberFormat="1"/>
    <xf numFmtId="0" fontId="0" fillId="0" borderId="0" xfId="0" applyFill="1"/>
    <xf numFmtId="0" fontId="0" fillId="0" borderId="0" xfId="0" applyAlignment="1"/>
    <xf numFmtId="0" fontId="0" fillId="3" borderId="0" xfId="0" applyFill="1" applyAlignment="1"/>
    <xf numFmtId="165" fontId="0" fillId="0" borderId="0" xfId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212058</xdr:colOff>
      <xdr:row>660</xdr:row>
      <xdr:rowOff>25400</xdr:rowOff>
    </xdr:from>
    <xdr:to>
      <xdr:col>7</xdr:col>
      <xdr:colOff>249345</xdr:colOff>
      <xdr:row>667</xdr:row>
      <xdr:rowOff>25400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1658" y="121564400"/>
          <a:ext cx="7593787" cy="1289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2"/>
  <sheetViews>
    <sheetView workbookViewId="0">
      <selection activeCell="H17" sqref="H17"/>
    </sheetView>
  </sheetViews>
  <sheetFormatPr defaultRowHeight="14.4"/>
  <cols>
    <col min="2" max="2" width="46.21875" bestFit="1" customWidth="1"/>
    <col min="3" max="3" width="19" bestFit="1" customWidth="1"/>
    <col min="4" max="4" width="12.5546875" bestFit="1" customWidth="1"/>
    <col min="5" max="5" width="15.5546875" bestFit="1" customWidth="1"/>
    <col min="6" max="7" width="12.5546875" bestFit="1" customWidth="1"/>
    <col min="8" max="8" width="11.109375" bestFit="1" customWidth="1"/>
  </cols>
  <sheetData>
    <row r="1" spans="1:4">
      <c r="A1">
        <v>1</v>
      </c>
    </row>
    <row r="2" spans="1:4">
      <c r="A2" t="s">
        <v>6</v>
      </c>
      <c r="B2" t="s">
        <v>0</v>
      </c>
      <c r="C2" s="2">
        <v>3538000</v>
      </c>
      <c r="D2" s="4">
        <f>C2/$C$7*$D$7</f>
        <v>3016000</v>
      </c>
    </row>
    <row r="3" spans="1:4">
      <c r="B3" t="s">
        <v>1</v>
      </c>
      <c r="C3" s="2">
        <v>1281000</v>
      </c>
      <c r="D3" s="4">
        <f t="shared" ref="D3:D6" si="0">C3/$C$7*$D$7</f>
        <v>1092000</v>
      </c>
    </row>
    <row r="4" spans="1:4">
      <c r="B4" t="s">
        <v>2</v>
      </c>
      <c r="C4" s="2">
        <v>732000</v>
      </c>
      <c r="D4" s="4">
        <f t="shared" si="0"/>
        <v>624000</v>
      </c>
    </row>
    <row r="5" spans="1:4">
      <c r="B5" t="s">
        <v>3</v>
      </c>
      <c r="C5" s="2">
        <v>488000</v>
      </c>
      <c r="D5" s="4">
        <f t="shared" si="0"/>
        <v>416000</v>
      </c>
    </row>
    <row r="6" spans="1:4">
      <c r="B6" t="s">
        <v>16</v>
      </c>
      <c r="C6" s="2">
        <v>61000</v>
      </c>
      <c r="D6" s="4">
        <f t="shared" si="0"/>
        <v>52000</v>
      </c>
    </row>
    <row r="7" spans="1:4">
      <c r="C7" s="3">
        <f>SUM(C2:C6)</f>
        <v>6100000</v>
      </c>
      <c r="D7" s="1">
        <v>5200000</v>
      </c>
    </row>
    <row r="10" spans="1:4">
      <c r="A10" t="s">
        <v>7</v>
      </c>
      <c r="B10" t="s">
        <v>0</v>
      </c>
      <c r="C10">
        <f>D2</f>
        <v>3016000</v>
      </c>
    </row>
    <row r="11" spans="1:4">
      <c r="B11" t="s">
        <v>1</v>
      </c>
      <c r="C11">
        <f t="shared" ref="C11:C14" si="1">D3</f>
        <v>1092000</v>
      </c>
    </row>
    <row r="12" spans="1:4">
      <c r="B12" t="s">
        <v>2</v>
      </c>
      <c r="C12">
        <f t="shared" si="1"/>
        <v>624000</v>
      </c>
    </row>
    <row r="13" spans="1:4">
      <c r="B13" t="s">
        <v>3</v>
      </c>
      <c r="C13">
        <f t="shared" si="1"/>
        <v>416000</v>
      </c>
    </row>
    <row r="14" spans="1:4">
      <c r="B14" t="s">
        <v>4</v>
      </c>
      <c r="C14">
        <f t="shared" si="1"/>
        <v>52000</v>
      </c>
    </row>
    <row r="15" spans="1:4">
      <c r="B15" t="s">
        <v>5</v>
      </c>
      <c r="D15" s="1">
        <f>D7</f>
        <v>5200000</v>
      </c>
    </row>
    <row r="17" spans="1:4">
      <c r="A17" t="s">
        <v>8</v>
      </c>
      <c r="B17" t="s">
        <v>10</v>
      </c>
      <c r="C17">
        <f>C10/20</f>
        <v>150800</v>
      </c>
    </row>
    <row r="18" spans="1:4">
      <c r="B18" t="s">
        <v>11</v>
      </c>
      <c r="D18">
        <f>C17</f>
        <v>150800</v>
      </c>
    </row>
    <row r="20" spans="1:4">
      <c r="B20" t="s">
        <v>9</v>
      </c>
      <c r="C20">
        <f>C12/5</f>
        <v>124800</v>
      </c>
    </row>
    <row r="21" spans="1:4">
      <c r="B21" t="s">
        <v>12</v>
      </c>
      <c r="D21">
        <f>C20</f>
        <v>124800</v>
      </c>
    </row>
    <row r="23" spans="1:4">
      <c r="B23" t="s">
        <v>5</v>
      </c>
      <c r="C23">
        <v>476000</v>
      </c>
    </row>
    <row r="24" spans="1:4">
      <c r="B24" t="s">
        <v>13</v>
      </c>
      <c r="D24">
        <f>C23</f>
        <v>476000</v>
      </c>
    </row>
    <row r="26" spans="1:4">
      <c r="B26" t="s">
        <v>14</v>
      </c>
      <c r="C26">
        <f>C13</f>
        <v>416000</v>
      </c>
    </row>
    <row r="27" spans="1:4">
      <c r="B27" t="s">
        <v>3</v>
      </c>
      <c r="D27">
        <f>C26</f>
        <v>416000</v>
      </c>
    </row>
    <row r="29" spans="1:4">
      <c r="B29" t="s">
        <v>15</v>
      </c>
      <c r="C29" s="3">
        <f>C6/2</f>
        <v>30500</v>
      </c>
    </row>
    <row r="30" spans="1:4">
      <c r="B30" t="s">
        <v>16</v>
      </c>
      <c r="D30" s="3">
        <f>C29</f>
        <v>30500</v>
      </c>
    </row>
    <row r="32" spans="1:4">
      <c r="A32">
        <v>2</v>
      </c>
      <c r="B32" t="s">
        <v>17</v>
      </c>
      <c r="C32">
        <v>341000</v>
      </c>
    </row>
    <row r="33" spans="1:4">
      <c r="B33" t="s">
        <v>5</v>
      </c>
      <c r="D33">
        <v>341000</v>
      </c>
    </row>
    <row r="35" spans="1:4">
      <c r="B35" t="s">
        <v>18</v>
      </c>
    </row>
    <row r="36" spans="1:4">
      <c r="B36" t="s">
        <v>0</v>
      </c>
      <c r="C36">
        <v>17000</v>
      </c>
    </row>
    <row r="37" spans="1:4">
      <c r="B37" t="s">
        <v>5</v>
      </c>
      <c r="C37">
        <v>57000</v>
      </c>
    </row>
    <row r="38" spans="1:4">
      <c r="D38">
        <f>C36+C37</f>
        <v>74000</v>
      </c>
    </row>
    <row r="40" spans="1:4">
      <c r="B40" t="s">
        <v>19</v>
      </c>
      <c r="C40">
        <v>186000</v>
      </c>
    </row>
    <row r="41" spans="1:4">
      <c r="B41" t="s">
        <v>5</v>
      </c>
      <c r="D41">
        <v>186000</v>
      </c>
    </row>
    <row r="43" spans="1:4">
      <c r="A43">
        <v>3</v>
      </c>
      <c r="B43" t="s">
        <v>20</v>
      </c>
      <c r="C43" s="1">
        <v>3800000</v>
      </c>
    </row>
    <row r="44" spans="1:4">
      <c r="B44" t="s">
        <v>21</v>
      </c>
      <c r="C44" s="1">
        <v>950000</v>
      </c>
    </row>
    <row r="45" spans="1:4">
      <c r="B45" t="s">
        <v>5</v>
      </c>
      <c r="D45" s="1">
        <v>4750000</v>
      </c>
    </row>
    <row r="47" spans="1:4">
      <c r="B47" t="s">
        <v>17</v>
      </c>
      <c r="C47">
        <v>1305000</v>
      </c>
    </row>
    <row r="48" spans="1:4">
      <c r="B48" t="s">
        <v>22</v>
      </c>
      <c r="D48">
        <f>C47</f>
        <v>1305000</v>
      </c>
    </row>
    <row r="50" spans="1:8">
      <c r="B50" t="s">
        <v>24</v>
      </c>
      <c r="C50">
        <f>C43/4</f>
        <v>950000</v>
      </c>
    </row>
    <row r="51" spans="1:8">
      <c r="B51" t="s">
        <v>25</v>
      </c>
      <c r="D51">
        <f>C50</f>
        <v>950000</v>
      </c>
    </row>
    <row r="53" spans="1:8">
      <c r="B53" t="s">
        <v>26</v>
      </c>
      <c r="C53">
        <f>C44/5</f>
        <v>190000</v>
      </c>
    </row>
    <row r="54" spans="1:8">
      <c r="B54" t="s">
        <v>27</v>
      </c>
      <c r="D54">
        <f>C53</f>
        <v>190000</v>
      </c>
    </row>
    <row r="56" spans="1:8">
      <c r="A56">
        <v>4</v>
      </c>
      <c r="B56" t="s">
        <v>32</v>
      </c>
      <c r="C56" t="s">
        <v>28</v>
      </c>
      <c r="D56" t="s">
        <v>29</v>
      </c>
      <c r="E56" t="s">
        <v>30</v>
      </c>
      <c r="F56" t="s">
        <v>31</v>
      </c>
    </row>
    <row r="57" spans="1:8">
      <c r="B57">
        <v>1</v>
      </c>
      <c r="C57" s="3">
        <f>(D57-60000)/6</f>
        <v>170000</v>
      </c>
      <c r="D57" s="2">
        <v>1080000</v>
      </c>
      <c r="E57" s="3">
        <f>C57</f>
        <v>170000</v>
      </c>
      <c r="F57" s="3">
        <f>D57-E57</f>
        <v>910000</v>
      </c>
    </row>
    <row r="58" spans="1:8">
      <c r="B58">
        <f>B57+1</f>
        <v>2</v>
      </c>
      <c r="C58" s="3">
        <f>C57</f>
        <v>170000</v>
      </c>
      <c r="D58" s="3">
        <f>D57</f>
        <v>1080000</v>
      </c>
      <c r="E58" s="3">
        <f>E57+C58</f>
        <v>340000</v>
      </c>
      <c r="F58" s="3">
        <f>D58-E58</f>
        <v>740000</v>
      </c>
    </row>
    <row r="59" spans="1:8">
      <c r="B59">
        <f t="shared" ref="B59:B62" si="2">B58+1</f>
        <v>3</v>
      </c>
      <c r="C59" s="3">
        <f t="shared" ref="C59:C62" si="3">C58</f>
        <v>170000</v>
      </c>
      <c r="D59" s="3">
        <f t="shared" ref="D59:D62" si="4">D58</f>
        <v>1080000</v>
      </c>
      <c r="E59" s="3">
        <f t="shared" ref="E59:E62" si="5">E58+C59</f>
        <v>510000</v>
      </c>
      <c r="F59" s="3">
        <f t="shared" ref="F59:F62" si="6">D59-E59</f>
        <v>570000</v>
      </c>
    </row>
    <row r="60" spans="1:8">
      <c r="B60">
        <f t="shared" si="2"/>
        <v>4</v>
      </c>
      <c r="C60" s="3">
        <f t="shared" si="3"/>
        <v>170000</v>
      </c>
      <c r="D60" s="3">
        <f t="shared" si="4"/>
        <v>1080000</v>
      </c>
      <c r="E60" s="3">
        <f t="shared" si="5"/>
        <v>680000</v>
      </c>
      <c r="F60" s="3">
        <f t="shared" si="6"/>
        <v>400000</v>
      </c>
    </row>
    <row r="61" spans="1:8">
      <c r="B61">
        <f t="shared" si="2"/>
        <v>5</v>
      </c>
      <c r="C61" s="3">
        <f t="shared" si="3"/>
        <v>170000</v>
      </c>
      <c r="D61" s="3">
        <f t="shared" si="4"/>
        <v>1080000</v>
      </c>
      <c r="E61" s="3">
        <f t="shared" si="5"/>
        <v>850000</v>
      </c>
      <c r="F61" s="3">
        <f t="shared" si="6"/>
        <v>230000</v>
      </c>
    </row>
    <row r="62" spans="1:8">
      <c r="B62">
        <f t="shared" si="2"/>
        <v>6</v>
      </c>
      <c r="C62" s="3">
        <f t="shared" si="3"/>
        <v>170000</v>
      </c>
      <c r="D62" s="3">
        <f t="shared" si="4"/>
        <v>1080000</v>
      </c>
      <c r="E62" s="3">
        <f t="shared" si="5"/>
        <v>1020000</v>
      </c>
      <c r="F62" s="3">
        <f t="shared" si="6"/>
        <v>60000</v>
      </c>
    </row>
    <row r="63" spans="1:8">
      <c r="C63" s="3">
        <f>SUM(C57:C62)</f>
        <v>1020000</v>
      </c>
    </row>
    <row r="64" spans="1:8">
      <c r="B64" t="s">
        <v>32</v>
      </c>
      <c r="C64" t="s">
        <v>33</v>
      </c>
      <c r="D64" t="s">
        <v>34</v>
      </c>
      <c r="E64" t="s">
        <v>28</v>
      </c>
      <c r="F64" t="s">
        <v>29</v>
      </c>
      <c r="G64" t="s">
        <v>35</v>
      </c>
      <c r="H64" t="s">
        <v>31</v>
      </c>
    </row>
    <row r="65" spans="2:8">
      <c r="B65">
        <v>1</v>
      </c>
      <c r="C65" s="2">
        <v>660000</v>
      </c>
      <c r="D65">
        <f>(F65-60000)/6800000</f>
        <v>0.15</v>
      </c>
      <c r="E65" s="3">
        <f>C65*D65</f>
        <v>99000</v>
      </c>
      <c r="F65" s="3">
        <f>D62</f>
        <v>1080000</v>
      </c>
      <c r="G65" s="3">
        <f>E65</f>
        <v>99000</v>
      </c>
      <c r="H65" s="3">
        <f>F65-G65</f>
        <v>981000</v>
      </c>
    </row>
    <row r="66" spans="2:8">
      <c r="B66">
        <f>B65+1</f>
        <v>2</v>
      </c>
      <c r="C66" s="2">
        <v>1450000</v>
      </c>
      <c r="D66">
        <f>D65</f>
        <v>0.15</v>
      </c>
      <c r="E66" s="3">
        <f>C66*D66</f>
        <v>217500</v>
      </c>
      <c r="F66" s="3">
        <f>F65</f>
        <v>1080000</v>
      </c>
      <c r="G66" s="3">
        <f>G65+E66</f>
        <v>316500</v>
      </c>
      <c r="H66" s="3">
        <f>F66-G66</f>
        <v>763500</v>
      </c>
    </row>
    <row r="67" spans="2:8">
      <c r="B67">
        <f t="shared" ref="B67:B70" si="7">B66+1</f>
        <v>3</v>
      </c>
      <c r="C67" s="2">
        <v>1650000</v>
      </c>
      <c r="D67">
        <f t="shared" ref="D67:D70" si="8">D66</f>
        <v>0.15</v>
      </c>
      <c r="E67" s="3">
        <f t="shared" ref="E67:E70" si="9">C67*D67</f>
        <v>247500</v>
      </c>
      <c r="F67" s="3">
        <f t="shared" ref="F67:F70" si="10">F66</f>
        <v>1080000</v>
      </c>
      <c r="G67" s="3">
        <f t="shared" ref="G67:G70" si="11">G66+E67</f>
        <v>564000</v>
      </c>
      <c r="H67" s="3">
        <f t="shared" ref="H67:H70" si="12">F67-G67</f>
        <v>516000</v>
      </c>
    </row>
    <row r="68" spans="2:8">
      <c r="B68">
        <f t="shared" si="7"/>
        <v>4</v>
      </c>
      <c r="C68" s="2">
        <v>1020000</v>
      </c>
      <c r="D68">
        <f t="shared" si="8"/>
        <v>0.15</v>
      </c>
      <c r="E68" s="3">
        <f t="shared" si="9"/>
        <v>153000</v>
      </c>
      <c r="F68" s="3">
        <f t="shared" si="10"/>
        <v>1080000</v>
      </c>
      <c r="G68" s="3">
        <f t="shared" si="11"/>
        <v>717000</v>
      </c>
      <c r="H68" s="3">
        <f t="shared" si="12"/>
        <v>363000</v>
      </c>
    </row>
    <row r="69" spans="2:8">
      <c r="B69">
        <f t="shared" si="7"/>
        <v>5</v>
      </c>
      <c r="C69" s="2">
        <v>810000</v>
      </c>
      <c r="D69">
        <f t="shared" si="8"/>
        <v>0.15</v>
      </c>
      <c r="E69" s="3">
        <f t="shared" si="9"/>
        <v>121500</v>
      </c>
      <c r="F69" s="3">
        <f t="shared" si="10"/>
        <v>1080000</v>
      </c>
      <c r="G69" s="3">
        <f t="shared" si="11"/>
        <v>838500</v>
      </c>
      <c r="H69" s="3">
        <f t="shared" si="12"/>
        <v>241500</v>
      </c>
    </row>
    <row r="70" spans="2:8">
      <c r="B70">
        <f t="shared" si="7"/>
        <v>6</v>
      </c>
      <c r="C70" s="2">
        <v>1210000</v>
      </c>
      <c r="D70">
        <f t="shared" si="8"/>
        <v>0.15</v>
      </c>
      <c r="E70" s="3">
        <f t="shared" si="9"/>
        <v>181500</v>
      </c>
      <c r="F70" s="3">
        <f t="shared" si="10"/>
        <v>1080000</v>
      </c>
      <c r="G70" s="3">
        <f t="shared" si="11"/>
        <v>1020000</v>
      </c>
      <c r="H70" s="3">
        <f t="shared" si="12"/>
        <v>60000</v>
      </c>
    </row>
    <row r="71" spans="2:8">
      <c r="E71" s="3">
        <f>SUM(E65:E70)</f>
        <v>1020000</v>
      </c>
    </row>
    <row r="72" spans="2:8">
      <c r="B72" t="s">
        <v>32</v>
      </c>
      <c r="C72" t="s">
        <v>36</v>
      </c>
      <c r="D72" t="s">
        <v>37</v>
      </c>
      <c r="E72" t="s">
        <v>38</v>
      </c>
      <c r="F72" t="s">
        <v>39</v>
      </c>
      <c r="G72" t="s">
        <v>31</v>
      </c>
    </row>
    <row r="73" spans="2:8">
      <c r="B73">
        <v>1</v>
      </c>
      <c r="C73" s="3">
        <f>F70</f>
        <v>1080000</v>
      </c>
      <c r="D73">
        <f>2/6</f>
        <v>0.33333333333333331</v>
      </c>
      <c r="E73" s="3">
        <f>ROUND(C73*D73,0)</f>
        <v>360000</v>
      </c>
      <c r="F73" s="3">
        <f>E73</f>
        <v>360000</v>
      </c>
      <c r="G73" s="3">
        <f>C73-E73</f>
        <v>720000</v>
      </c>
    </row>
    <row r="74" spans="2:8">
      <c r="B74">
        <f>B73+1</f>
        <v>2</v>
      </c>
      <c r="C74">
        <f>G73</f>
        <v>720000</v>
      </c>
      <c r="D74">
        <f>D73</f>
        <v>0.33333333333333331</v>
      </c>
      <c r="E74" s="3">
        <f t="shared" ref="E74:E77" si="13">ROUND(C74*D74,0)</f>
        <v>240000</v>
      </c>
      <c r="F74" s="3">
        <f>E74+F73</f>
        <v>600000</v>
      </c>
      <c r="G74" s="3">
        <f>C74-E74</f>
        <v>480000</v>
      </c>
    </row>
    <row r="75" spans="2:8">
      <c r="B75">
        <f t="shared" ref="B75:B78" si="14">B74+1</f>
        <v>3</v>
      </c>
      <c r="C75">
        <f t="shared" ref="C75:C78" si="15">G74</f>
        <v>480000</v>
      </c>
      <c r="D75">
        <f t="shared" ref="D75:D78" si="16">D74</f>
        <v>0.33333333333333331</v>
      </c>
      <c r="E75" s="3">
        <f t="shared" si="13"/>
        <v>160000</v>
      </c>
      <c r="F75" s="3">
        <f t="shared" ref="F75:F78" si="17">E75+F74</f>
        <v>760000</v>
      </c>
      <c r="G75" s="3">
        <f t="shared" ref="G75:G77" si="18">C75-E75</f>
        <v>320000</v>
      </c>
    </row>
    <row r="76" spans="2:8">
      <c r="B76">
        <f t="shared" si="14"/>
        <v>4</v>
      </c>
      <c r="C76">
        <f t="shared" si="15"/>
        <v>320000</v>
      </c>
      <c r="D76">
        <f t="shared" si="16"/>
        <v>0.33333333333333331</v>
      </c>
      <c r="E76" s="3">
        <f t="shared" si="13"/>
        <v>106667</v>
      </c>
      <c r="F76" s="3">
        <f t="shared" si="17"/>
        <v>866667</v>
      </c>
      <c r="G76" s="3">
        <f>C76-E76</f>
        <v>213333</v>
      </c>
    </row>
    <row r="77" spans="2:8">
      <c r="B77">
        <f t="shared" si="14"/>
        <v>5</v>
      </c>
      <c r="C77">
        <f t="shared" si="15"/>
        <v>213333</v>
      </c>
      <c r="D77">
        <f t="shared" si="16"/>
        <v>0.33333333333333331</v>
      </c>
      <c r="E77" s="3">
        <f t="shared" si="13"/>
        <v>71111</v>
      </c>
      <c r="F77" s="3">
        <f t="shared" si="17"/>
        <v>937778</v>
      </c>
      <c r="G77" s="3">
        <f t="shared" si="18"/>
        <v>142222</v>
      </c>
    </row>
    <row r="78" spans="2:8">
      <c r="B78">
        <f t="shared" si="14"/>
        <v>6</v>
      </c>
      <c r="C78">
        <f t="shared" si="15"/>
        <v>142222</v>
      </c>
      <c r="D78">
        <f t="shared" si="16"/>
        <v>0.33333333333333331</v>
      </c>
      <c r="E78" s="3">
        <f>C78-G78</f>
        <v>82222</v>
      </c>
      <c r="F78" s="3">
        <f t="shared" si="17"/>
        <v>1020000</v>
      </c>
      <c r="G78" s="3">
        <v>60000</v>
      </c>
    </row>
    <row r="79" spans="2:8">
      <c r="B79" t="s">
        <v>44</v>
      </c>
      <c r="E79" s="3">
        <f>SUM(E73:E78)</f>
        <v>1020000</v>
      </c>
      <c r="F79" s="3"/>
      <c r="G79" s="3"/>
    </row>
    <row r="81" spans="1:6">
      <c r="B81" s="1">
        <v>558000</v>
      </c>
      <c r="C81" t="s">
        <v>41</v>
      </c>
      <c r="D81" t="s">
        <v>42</v>
      </c>
      <c r="E81" t="s">
        <v>43</v>
      </c>
    </row>
    <row r="82" spans="1:6">
      <c r="B82" t="s">
        <v>40</v>
      </c>
      <c r="C82" s="3">
        <f>B81-F59</f>
        <v>-12000</v>
      </c>
      <c r="D82" s="3">
        <f>B81-H67</f>
        <v>42000</v>
      </c>
      <c r="E82" s="3">
        <f>B81-G75</f>
        <v>238000</v>
      </c>
    </row>
    <row r="84" spans="1:6">
      <c r="A84">
        <v>5</v>
      </c>
      <c r="B84" t="s">
        <v>32</v>
      </c>
      <c r="C84" t="s">
        <v>28</v>
      </c>
      <c r="D84" t="s">
        <v>29</v>
      </c>
      <c r="E84" t="s">
        <v>30</v>
      </c>
      <c r="F84" t="s">
        <v>31</v>
      </c>
    </row>
    <row r="85" spans="1:6">
      <c r="B85">
        <v>1</v>
      </c>
      <c r="C85" s="3">
        <f>(D85-90000)/6</f>
        <v>145000</v>
      </c>
      <c r="D85" s="2">
        <v>960000</v>
      </c>
      <c r="E85" s="3">
        <f>C85</f>
        <v>145000</v>
      </c>
      <c r="F85" s="3">
        <f>D85-E85</f>
        <v>815000</v>
      </c>
    </row>
    <row r="86" spans="1:6">
      <c r="B86">
        <f>B85+1</f>
        <v>2</v>
      </c>
      <c r="C86" s="3">
        <f>C85</f>
        <v>145000</v>
      </c>
      <c r="D86" s="3">
        <f>D85</f>
        <v>960000</v>
      </c>
      <c r="E86" s="3">
        <f>E85+C86</f>
        <v>290000</v>
      </c>
      <c r="F86" s="3">
        <f>D86-E86</f>
        <v>670000</v>
      </c>
    </row>
    <row r="87" spans="1:6">
      <c r="B87">
        <f t="shared" ref="B87:B90" si="19">B86+1</f>
        <v>3</v>
      </c>
      <c r="C87" s="3">
        <f t="shared" ref="C87:C90" si="20">C86</f>
        <v>145000</v>
      </c>
      <c r="D87" s="3">
        <f t="shared" ref="D87:D90" si="21">D86</f>
        <v>960000</v>
      </c>
      <c r="E87" s="3">
        <f t="shared" ref="E87:E90" si="22">E86+C87</f>
        <v>435000</v>
      </c>
      <c r="F87" s="3">
        <f t="shared" ref="F87:F90" si="23">D87-E87</f>
        <v>525000</v>
      </c>
    </row>
    <row r="88" spans="1:6">
      <c r="B88">
        <f t="shared" si="19"/>
        <v>4</v>
      </c>
      <c r="C88" s="3">
        <f t="shared" si="20"/>
        <v>145000</v>
      </c>
      <c r="D88" s="3">
        <f t="shared" si="21"/>
        <v>960000</v>
      </c>
      <c r="E88" s="3">
        <f t="shared" si="22"/>
        <v>580000</v>
      </c>
      <c r="F88" s="3">
        <f t="shared" si="23"/>
        <v>380000</v>
      </c>
    </row>
    <row r="89" spans="1:6">
      <c r="B89">
        <f t="shared" si="19"/>
        <v>5</v>
      </c>
      <c r="C89" s="3">
        <f t="shared" si="20"/>
        <v>145000</v>
      </c>
      <c r="D89" s="3">
        <f t="shared" si="21"/>
        <v>960000</v>
      </c>
      <c r="E89" s="3">
        <f t="shared" si="22"/>
        <v>725000</v>
      </c>
      <c r="F89" s="3">
        <f t="shared" si="23"/>
        <v>235000</v>
      </c>
    </row>
    <row r="90" spans="1:6">
      <c r="B90">
        <f t="shared" si="19"/>
        <v>6</v>
      </c>
      <c r="C90" s="3">
        <f t="shared" si="20"/>
        <v>145000</v>
      </c>
      <c r="D90" s="3">
        <f t="shared" si="21"/>
        <v>960000</v>
      </c>
      <c r="E90" s="3">
        <f t="shared" si="22"/>
        <v>870000</v>
      </c>
      <c r="F90" s="3">
        <f t="shared" si="23"/>
        <v>90000</v>
      </c>
    </row>
    <row r="91" spans="1:6">
      <c r="B91" t="s">
        <v>44</v>
      </c>
      <c r="C91" s="3">
        <f>SUM(C85:C90)</f>
        <v>870000</v>
      </c>
    </row>
    <row r="93" spans="1:6">
      <c r="B93" t="s">
        <v>32</v>
      </c>
      <c r="C93" t="s">
        <v>28</v>
      </c>
      <c r="D93" t="s">
        <v>29</v>
      </c>
      <c r="E93" t="s">
        <v>30</v>
      </c>
      <c r="F93" t="s">
        <v>31</v>
      </c>
    </row>
    <row r="94" spans="1:6">
      <c r="B94">
        <v>1</v>
      </c>
      <c r="C94" s="3">
        <f>(D94)/10</f>
        <v>12000</v>
      </c>
      <c r="D94" s="2">
        <v>120000</v>
      </c>
      <c r="E94" s="3">
        <f>C94</f>
        <v>12000</v>
      </c>
      <c r="F94" s="3">
        <f>D94-E94</f>
        <v>108000</v>
      </c>
    </row>
    <row r="95" spans="1:6">
      <c r="B95">
        <f>B94+1</f>
        <v>2</v>
      </c>
      <c r="C95" s="3">
        <f>C94</f>
        <v>12000</v>
      </c>
      <c r="D95" s="3">
        <f>D94</f>
        <v>120000</v>
      </c>
      <c r="E95" s="3">
        <f>E94+C95</f>
        <v>24000</v>
      </c>
      <c r="F95" s="3">
        <f>D95-E95</f>
        <v>96000</v>
      </c>
    </row>
    <row r="96" spans="1:6">
      <c r="B96">
        <f t="shared" ref="B96:B99" si="24">B95+1</f>
        <v>3</v>
      </c>
      <c r="C96" s="3">
        <f t="shared" ref="C96:C99" si="25">C95</f>
        <v>12000</v>
      </c>
      <c r="D96" s="3">
        <f t="shared" ref="D96:D99" si="26">D95</f>
        <v>120000</v>
      </c>
      <c r="E96" s="3">
        <f t="shared" ref="E96:E99" si="27">E95+C96</f>
        <v>36000</v>
      </c>
      <c r="F96" s="3">
        <f t="shared" ref="F96:F99" si="28">D96-E96</f>
        <v>84000</v>
      </c>
    </row>
    <row r="97" spans="1:6">
      <c r="B97">
        <f t="shared" si="24"/>
        <v>4</v>
      </c>
      <c r="C97" s="3">
        <f t="shared" si="25"/>
        <v>12000</v>
      </c>
      <c r="D97" s="3">
        <f t="shared" si="26"/>
        <v>120000</v>
      </c>
      <c r="E97" s="3">
        <f t="shared" si="27"/>
        <v>48000</v>
      </c>
      <c r="F97" s="3">
        <f t="shared" si="28"/>
        <v>72000</v>
      </c>
    </row>
    <row r="98" spans="1:6">
      <c r="B98">
        <f t="shared" si="24"/>
        <v>5</v>
      </c>
      <c r="C98" s="3">
        <f t="shared" si="25"/>
        <v>12000</v>
      </c>
      <c r="D98" s="3">
        <f t="shared" si="26"/>
        <v>120000</v>
      </c>
      <c r="E98" s="3">
        <f t="shared" si="27"/>
        <v>60000</v>
      </c>
      <c r="F98" s="3">
        <f t="shared" si="28"/>
        <v>60000</v>
      </c>
    </row>
    <row r="99" spans="1:6">
      <c r="B99">
        <f t="shared" si="24"/>
        <v>6</v>
      </c>
      <c r="C99" s="3">
        <f t="shared" si="25"/>
        <v>12000</v>
      </c>
      <c r="D99" s="3">
        <f t="shared" si="26"/>
        <v>120000</v>
      </c>
      <c r="E99" s="3">
        <f t="shared" si="27"/>
        <v>72000</v>
      </c>
      <c r="F99" s="3">
        <f t="shared" si="28"/>
        <v>48000</v>
      </c>
    </row>
    <row r="100" spans="1:6">
      <c r="B100">
        <f t="shared" ref="B100:B103" si="29">B99+1</f>
        <v>7</v>
      </c>
      <c r="C100" s="3">
        <f t="shared" ref="C100:C103" si="30">C99</f>
        <v>12000</v>
      </c>
      <c r="D100" s="3">
        <f t="shared" ref="D100:D103" si="31">D99</f>
        <v>120000</v>
      </c>
      <c r="E100" s="3">
        <f t="shared" ref="E100:E103" si="32">E99+C100</f>
        <v>84000</v>
      </c>
      <c r="F100" s="3">
        <f t="shared" ref="F100:F103" si="33">D100-E100</f>
        <v>36000</v>
      </c>
    </row>
    <row r="101" spans="1:6">
      <c r="B101">
        <f t="shared" si="29"/>
        <v>8</v>
      </c>
      <c r="C101" s="3">
        <f t="shared" si="30"/>
        <v>12000</v>
      </c>
      <c r="D101" s="3">
        <f t="shared" si="31"/>
        <v>120000</v>
      </c>
      <c r="E101" s="3">
        <f t="shared" si="32"/>
        <v>96000</v>
      </c>
      <c r="F101" s="3">
        <f t="shared" si="33"/>
        <v>24000</v>
      </c>
    </row>
    <row r="102" spans="1:6">
      <c r="B102">
        <f t="shared" si="29"/>
        <v>9</v>
      </c>
      <c r="C102" s="3">
        <f t="shared" si="30"/>
        <v>12000</v>
      </c>
      <c r="D102" s="3">
        <f t="shared" si="31"/>
        <v>120000</v>
      </c>
      <c r="E102" s="3">
        <f t="shared" si="32"/>
        <v>108000</v>
      </c>
      <c r="F102" s="3">
        <f t="shared" si="33"/>
        <v>12000</v>
      </c>
    </row>
    <row r="103" spans="1:6">
      <c r="B103">
        <f t="shared" si="29"/>
        <v>10</v>
      </c>
      <c r="C103" s="3">
        <f t="shared" si="30"/>
        <v>12000</v>
      </c>
      <c r="D103" s="3">
        <f t="shared" si="31"/>
        <v>120000</v>
      </c>
      <c r="E103" s="3">
        <f t="shared" si="32"/>
        <v>120000</v>
      </c>
      <c r="F103" s="3">
        <f t="shared" si="33"/>
        <v>0</v>
      </c>
    </row>
    <row r="104" spans="1:6">
      <c r="B104" t="s">
        <v>44</v>
      </c>
      <c r="C104" s="3">
        <f>SUM(C94:C103)</f>
        <v>120000</v>
      </c>
      <c r="D104" s="3"/>
      <c r="E104" s="3"/>
      <c r="F104" s="3"/>
    </row>
    <row r="105" spans="1:6">
      <c r="C105" s="3"/>
      <c r="D105" s="3"/>
      <c r="E105" s="3"/>
      <c r="F105" s="3"/>
    </row>
    <row r="106" spans="1:6">
      <c r="B106" t="s">
        <v>40</v>
      </c>
      <c r="C106" s="3">
        <f>569000-F96-F87</f>
        <v>-40000</v>
      </c>
    </row>
    <row r="108" spans="1:6">
      <c r="A108">
        <v>6</v>
      </c>
      <c r="B108" t="s">
        <v>32</v>
      </c>
      <c r="C108" t="s">
        <v>28</v>
      </c>
      <c r="D108" t="s">
        <v>29</v>
      </c>
      <c r="E108" t="s">
        <v>30</v>
      </c>
      <c r="F108" t="s">
        <v>31</v>
      </c>
    </row>
    <row r="109" spans="1:6">
      <c r="B109">
        <v>1</v>
      </c>
      <c r="C109" s="3">
        <f>ROUND((D109-60000)/6/12*5,0)</f>
        <v>70833</v>
      </c>
      <c r="D109" s="2">
        <v>1080000</v>
      </c>
      <c r="E109" s="3">
        <f>C109</f>
        <v>70833</v>
      </c>
      <c r="F109" s="3">
        <f>D109-E109</f>
        <v>1009167</v>
      </c>
    </row>
    <row r="110" spans="1:6">
      <c r="B110">
        <f>B109+1</f>
        <v>2</v>
      </c>
      <c r="C110" s="3">
        <f>(D109-60000)/6</f>
        <v>170000</v>
      </c>
      <c r="D110" s="3">
        <f>D109</f>
        <v>1080000</v>
      </c>
      <c r="E110" s="3">
        <f>E109+C110</f>
        <v>240833</v>
      </c>
      <c r="F110" s="3">
        <f>D110-E110</f>
        <v>839167</v>
      </c>
    </row>
    <row r="111" spans="1:6">
      <c r="B111">
        <f t="shared" ref="B111:B115" si="34">B110+1</f>
        <v>3</v>
      </c>
      <c r="C111" s="3">
        <f t="shared" ref="C111:C114" si="35">C110</f>
        <v>170000</v>
      </c>
      <c r="D111" s="3">
        <f t="shared" ref="D111:D115" si="36">D110</f>
        <v>1080000</v>
      </c>
      <c r="E111" s="3">
        <f t="shared" ref="E111:E115" si="37">E110+C111</f>
        <v>410833</v>
      </c>
      <c r="F111" s="3">
        <f t="shared" ref="F111:F115" si="38">D111-E111</f>
        <v>669167</v>
      </c>
    </row>
    <row r="112" spans="1:6">
      <c r="B112">
        <f t="shared" si="34"/>
        <v>4</v>
      </c>
      <c r="C112" s="3">
        <f t="shared" si="35"/>
        <v>170000</v>
      </c>
      <c r="D112" s="3">
        <f t="shared" si="36"/>
        <v>1080000</v>
      </c>
      <c r="E112" s="3">
        <f t="shared" si="37"/>
        <v>580833</v>
      </c>
      <c r="F112" s="3">
        <f t="shared" si="38"/>
        <v>499167</v>
      </c>
    </row>
    <row r="113" spans="2:8">
      <c r="B113">
        <f t="shared" si="34"/>
        <v>5</v>
      </c>
      <c r="C113" s="3">
        <f t="shared" si="35"/>
        <v>170000</v>
      </c>
      <c r="D113" s="3">
        <f t="shared" si="36"/>
        <v>1080000</v>
      </c>
      <c r="E113" s="3">
        <f t="shared" si="37"/>
        <v>750833</v>
      </c>
      <c r="F113" s="3">
        <f t="shared" si="38"/>
        <v>329167</v>
      </c>
    </row>
    <row r="114" spans="2:8">
      <c r="B114">
        <f t="shared" si="34"/>
        <v>6</v>
      </c>
      <c r="C114" s="3">
        <f t="shared" si="35"/>
        <v>170000</v>
      </c>
      <c r="D114" s="3">
        <f t="shared" si="36"/>
        <v>1080000</v>
      </c>
      <c r="E114" s="3">
        <f t="shared" si="37"/>
        <v>920833</v>
      </c>
      <c r="F114" s="3">
        <f t="shared" si="38"/>
        <v>159167</v>
      </c>
    </row>
    <row r="115" spans="2:8">
      <c r="B115">
        <f t="shared" si="34"/>
        <v>7</v>
      </c>
      <c r="C115" s="3">
        <f>ROUND(C114/12*7,0)</f>
        <v>99167</v>
      </c>
      <c r="D115" s="3">
        <f t="shared" si="36"/>
        <v>1080000</v>
      </c>
      <c r="E115" s="3">
        <f t="shared" si="37"/>
        <v>1020000</v>
      </c>
      <c r="F115" s="3">
        <f t="shared" si="38"/>
        <v>60000</v>
      </c>
    </row>
    <row r="116" spans="2:8">
      <c r="B116" t="s">
        <v>44</v>
      </c>
      <c r="C116" s="3">
        <f>SUM(C109:C115)</f>
        <v>1020000</v>
      </c>
      <c r="D116" s="3"/>
      <c r="E116" s="3"/>
      <c r="F116" s="3"/>
    </row>
    <row r="117" spans="2:8">
      <c r="C117" s="3"/>
      <c r="D117" s="3"/>
      <c r="E117" s="3"/>
      <c r="F117" s="3"/>
    </row>
    <row r="118" spans="2:8">
      <c r="B118" t="s">
        <v>32</v>
      </c>
      <c r="C118" t="s">
        <v>33</v>
      </c>
      <c r="D118" t="s">
        <v>34</v>
      </c>
      <c r="E118" t="s">
        <v>28</v>
      </c>
      <c r="F118" t="s">
        <v>29</v>
      </c>
      <c r="G118" t="s">
        <v>35</v>
      </c>
      <c r="H118" t="s">
        <v>31</v>
      </c>
    </row>
    <row r="119" spans="2:8">
      <c r="B119">
        <v>1</v>
      </c>
      <c r="C119" s="2">
        <v>670000</v>
      </c>
      <c r="D119">
        <f>(F119-60000)/6800000</f>
        <v>0.15</v>
      </c>
      <c r="E119" s="3">
        <f>C119*D119</f>
        <v>100500</v>
      </c>
      <c r="F119" s="3">
        <f>D115</f>
        <v>1080000</v>
      </c>
      <c r="G119" s="3">
        <f>E119</f>
        <v>100500</v>
      </c>
      <c r="H119" s="3">
        <f>F119-G119</f>
        <v>979500</v>
      </c>
    </row>
    <row r="120" spans="2:8">
      <c r="B120">
        <f>B119+1</f>
        <v>2</v>
      </c>
      <c r="C120" s="2">
        <v>1410000</v>
      </c>
      <c r="D120">
        <f>D119</f>
        <v>0.15</v>
      </c>
      <c r="E120" s="3">
        <f>C120*D120</f>
        <v>211500</v>
      </c>
      <c r="F120" s="3">
        <f>F119</f>
        <v>1080000</v>
      </c>
      <c r="G120" s="3">
        <f>G119+E120</f>
        <v>312000</v>
      </c>
      <c r="H120" s="3">
        <f>F120-G120</f>
        <v>768000</v>
      </c>
    </row>
    <row r="121" spans="2:8">
      <c r="B121">
        <f t="shared" ref="B121:B124" si="39">B120+1</f>
        <v>3</v>
      </c>
      <c r="C121" s="2">
        <v>1630000</v>
      </c>
      <c r="D121">
        <f t="shared" ref="D121:D124" si="40">D120</f>
        <v>0.15</v>
      </c>
      <c r="E121" s="3">
        <f t="shared" ref="E121:E124" si="41">C121*D121</f>
        <v>244500</v>
      </c>
      <c r="F121" s="3">
        <f t="shared" ref="F121:F124" si="42">F120</f>
        <v>1080000</v>
      </c>
      <c r="G121" s="3">
        <f t="shared" ref="G121:G124" si="43">G120+E121</f>
        <v>556500</v>
      </c>
      <c r="H121" s="3">
        <f t="shared" ref="H121:H124" si="44">F121-G121</f>
        <v>523500</v>
      </c>
    </row>
    <row r="122" spans="2:8">
      <c r="B122">
        <f t="shared" si="39"/>
        <v>4</v>
      </c>
      <c r="C122" s="2">
        <v>1040000</v>
      </c>
      <c r="D122">
        <f t="shared" si="40"/>
        <v>0.15</v>
      </c>
      <c r="E122" s="3">
        <f t="shared" si="41"/>
        <v>156000</v>
      </c>
      <c r="F122" s="3">
        <f t="shared" si="42"/>
        <v>1080000</v>
      </c>
      <c r="G122" s="3">
        <f t="shared" si="43"/>
        <v>712500</v>
      </c>
      <c r="H122" s="3">
        <f t="shared" si="44"/>
        <v>367500</v>
      </c>
    </row>
    <row r="123" spans="2:8">
      <c r="B123">
        <f t="shared" si="39"/>
        <v>5</v>
      </c>
      <c r="C123" s="2">
        <v>770000</v>
      </c>
      <c r="D123">
        <f t="shared" si="40"/>
        <v>0.15</v>
      </c>
      <c r="E123" s="3">
        <f t="shared" si="41"/>
        <v>115500</v>
      </c>
      <c r="F123" s="3">
        <f t="shared" si="42"/>
        <v>1080000</v>
      </c>
      <c r="G123" s="3">
        <f t="shared" si="43"/>
        <v>828000</v>
      </c>
      <c r="H123" s="3">
        <f t="shared" si="44"/>
        <v>252000</v>
      </c>
    </row>
    <row r="124" spans="2:8">
      <c r="B124">
        <f t="shared" si="39"/>
        <v>6</v>
      </c>
      <c r="C124" s="2">
        <v>1280000</v>
      </c>
      <c r="D124">
        <f t="shared" si="40"/>
        <v>0.15</v>
      </c>
      <c r="E124" s="3">
        <f t="shared" si="41"/>
        <v>192000</v>
      </c>
      <c r="F124" s="3">
        <f t="shared" si="42"/>
        <v>1080000</v>
      </c>
      <c r="G124" s="3">
        <f t="shared" si="43"/>
        <v>1020000</v>
      </c>
      <c r="H124" s="3">
        <f t="shared" si="44"/>
        <v>60000</v>
      </c>
    </row>
    <row r="125" spans="2:8">
      <c r="E125" s="3">
        <f>SUM(E119:E124)</f>
        <v>1020000</v>
      </c>
    </row>
    <row r="127" spans="2:8">
      <c r="B127" t="s">
        <v>32</v>
      </c>
      <c r="C127" t="s">
        <v>36</v>
      </c>
      <c r="D127" t="s">
        <v>37</v>
      </c>
      <c r="E127" t="s">
        <v>38</v>
      </c>
      <c r="F127" t="s">
        <v>39</v>
      </c>
      <c r="G127" t="s">
        <v>31</v>
      </c>
    </row>
    <row r="128" spans="2:8">
      <c r="B128">
        <v>1</v>
      </c>
      <c r="C128" s="3">
        <f>F119</f>
        <v>1080000</v>
      </c>
      <c r="D128">
        <f>2/6</f>
        <v>0.33333333333333331</v>
      </c>
      <c r="E128" s="3">
        <f>ROUND(C128*D128,0)/12*5</f>
        <v>150000</v>
      </c>
      <c r="F128" s="3">
        <f>E128</f>
        <v>150000</v>
      </c>
      <c r="G128" s="3">
        <f>C128-E128</f>
        <v>930000</v>
      </c>
    </row>
    <row r="129" spans="1:7">
      <c r="B129">
        <f>B128+1</f>
        <v>2</v>
      </c>
      <c r="C129">
        <f>G128</f>
        <v>930000</v>
      </c>
      <c r="D129">
        <f>D128</f>
        <v>0.33333333333333331</v>
      </c>
      <c r="E129" s="3">
        <f t="shared" ref="E129:E133" si="45">ROUND(C129*D129,0)</f>
        <v>310000</v>
      </c>
      <c r="F129" s="3">
        <f>E129+F128</f>
        <v>460000</v>
      </c>
      <c r="G129" s="3">
        <f>C129-E129</f>
        <v>620000</v>
      </c>
    </row>
    <row r="130" spans="1:7">
      <c r="B130">
        <f t="shared" ref="B130:B133" si="46">B129+1</f>
        <v>3</v>
      </c>
      <c r="C130">
        <f t="shared" ref="C130:C134" si="47">G129</f>
        <v>620000</v>
      </c>
      <c r="D130">
        <f t="shared" ref="D130:D134" si="48">D129</f>
        <v>0.33333333333333331</v>
      </c>
      <c r="E130" s="3">
        <f t="shared" si="45"/>
        <v>206667</v>
      </c>
      <c r="F130" s="3">
        <f t="shared" ref="F130:F134" si="49">E130+F129</f>
        <v>666667</v>
      </c>
      <c r="G130" s="3">
        <f t="shared" ref="G130" si="50">C130-E130</f>
        <v>413333</v>
      </c>
    </row>
    <row r="131" spans="1:7">
      <c r="B131">
        <f t="shared" si="46"/>
        <v>4</v>
      </c>
      <c r="C131">
        <f t="shared" si="47"/>
        <v>413333</v>
      </c>
      <c r="D131">
        <f t="shared" si="48"/>
        <v>0.33333333333333331</v>
      </c>
      <c r="E131" s="3">
        <f t="shared" si="45"/>
        <v>137778</v>
      </c>
      <c r="F131" s="3">
        <f t="shared" si="49"/>
        <v>804445</v>
      </c>
      <c r="G131" s="3">
        <f>C131-E131</f>
        <v>275555</v>
      </c>
    </row>
    <row r="132" spans="1:7">
      <c r="B132">
        <f t="shared" si="46"/>
        <v>5</v>
      </c>
      <c r="C132">
        <f t="shared" si="47"/>
        <v>275555</v>
      </c>
      <c r="D132">
        <f t="shared" si="48"/>
        <v>0.33333333333333331</v>
      </c>
      <c r="E132" s="3">
        <f t="shared" si="45"/>
        <v>91852</v>
      </c>
      <c r="F132" s="3">
        <f t="shared" si="49"/>
        <v>896297</v>
      </c>
      <c r="G132" s="3">
        <f t="shared" ref="G132:G133" si="51">C132-E132</f>
        <v>183703</v>
      </c>
    </row>
    <row r="133" spans="1:7">
      <c r="B133">
        <f t="shared" si="46"/>
        <v>6</v>
      </c>
      <c r="C133">
        <f t="shared" si="47"/>
        <v>183703</v>
      </c>
      <c r="D133">
        <f t="shared" si="48"/>
        <v>0.33333333333333331</v>
      </c>
      <c r="E133" s="3">
        <f t="shared" si="45"/>
        <v>61234</v>
      </c>
      <c r="F133" s="3">
        <f t="shared" si="49"/>
        <v>957531</v>
      </c>
      <c r="G133" s="3">
        <f t="shared" si="51"/>
        <v>122469</v>
      </c>
    </row>
    <row r="134" spans="1:7">
      <c r="B134">
        <v>7</v>
      </c>
      <c r="C134">
        <f t="shared" si="47"/>
        <v>122469</v>
      </c>
      <c r="D134">
        <f t="shared" si="48"/>
        <v>0.33333333333333331</v>
      </c>
      <c r="E134" s="3">
        <f>C134-G134</f>
        <v>62469</v>
      </c>
      <c r="F134" s="3">
        <f t="shared" si="49"/>
        <v>1020000</v>
      </c>
      <c r="G134" s="3">
        <v>60000</v>
      </c>
    </row>
    <row r="135" spans="1:7">
      <c r="B135" t="s">
        <v>44</v>
      </c>
      <c r="E135" s="3">
        <f>SUM(E128:E134)</f>
        <v>1020000</v>
      </c>
      <c r="F135" s="3"/>
      <c r="G135" s="3"/>
    </row>
    <row r="137" spans="1:7">
      <c r="B137" s="1">
        <v>649167</v>
      </c>
      <c r="C137" t="s">
        <v>41</v>
      </c>
      <c r="D137" t="s">
        <v>42</v>
      </c>
      <c r="E137" t="s">
        <v>43</v>
      </c>
    </row>
    <row r="138" spans="1:7">
      <c r="B138" t="s">
        <v>40</v>
      </c>
      <c r="C138" s="3">
        <f>B137-F111</f>
        <v>-20000</v>
      </c>
      <c r="D138" s="3">
        <f>B137-H121</f>
        <v>125667</v>
      </c>
      <c r="E138" s="3">
        <f>B137-G130</f>
        <v>235834</v>
      </c>
    </row>
    <row r="140" spans="1:7">
      <c r="A140">
        <v>7</v>
      </c>
      <c r="B140" t="s">
        <v>32</v>
      </c>
      <c r="C140" t="s">
        <v>28</v>
      </c>
      <c r="D140" t="s">
        <v>29</v>
      </c>
      <c r="E140" t="s">
        <v>30</v>
      </c>
      <c r="F140" t="s">
        <v>31</v>
      </c>
    </row>
    <row r="141" spans="1:7">
      <c r="B141">
        <v>1</v>
      </c>
      <c r="C141" s="3">
        <f>ROUND((D141-80000)/6/12*5,0)</f>
        <v>58333</v>
      </c>
      <c r="D141" s="2">
        <v>920000</v>
      </c>
      <c r="E141" s="3">
        <f>C141</f>
        <v>58333</v>
      </c>
      <c r="F141" s="3">
        <f>D141-E141</f>
        <v>861667</v>
      </c>
    </row>
    <row r="142" spans="1:7">
      <c r="B142">
        <f>B141+1</f>
        <v>2</v>
      </c>
      <c r="C142" s="3">
        <f>(D141-80000)/6</f>
        <v>140000</v>
      </c>
      <c r="D142" s="3">
        <f>D141</f>
        <v>920000</v>
      </c>
      <c r="E142" s="3">
        <f>E141+C142</f>
        <v>198333</v>
      </c>
      <c r="F142" s="3">
        <f>D142-E142</f>
        <v>721667</v>
      </c>
    </row>
    <row r="143" spans="1:7">
      <c r="B143">
        <f t="shared" ref="B143:B147" si="52">B142+1</f>
        <v>3</v>
      </c>
      <c r="C143" s="3">
        <f t="shared" ref="C143:C146" si="53">C142</f>
        <v>140000</v>
      </c>
      <c r="D143" s="3">
        <f t="shared" ref="D143:D147" si="54">D142</f>
        <v>920000</v>
      </c>
      <c r="E143" s="3">
        <f t="shared" ref="E143:E147" si="55">E142+C143</f>
        <v>338333</v>
      </c>
      <c r="F143" s="3">
        <f t="shared" ref="F143:F147" si="56">D143-E143</f>
        <v>581667</v>
      </c>
    </row>
    <row r="144" spans="1:7">
      <c r="B144">
        <f t="shared" si="52"/>
        <v>4</v>
      </c>
      <c r="C144" s="3">
        <f t="shared" si="53"/>
        <v>140000</v>
      </c>
      <c r="D144" s="3">
        <f t="shared" si="54"/>
        <v>920000</v>
      </c>
      <c r="E144" s="3">
        <f t="shared" si="55"/>
        <v>478333</v>
      </c>
      <c r="F144" s="3">
        <f t="shared" si="56"/>
        <v>441667</v>
      </c>
    </row>
    <row r="145" spans="2:6">
      <c r="B145">
        <f t="shared" si="52"/>
        <v>5</v>
      </c>
      <c r="C145" s="3">
        <f t="shared" si="53"/>
        <v>140000</v>
      </c>
      <c r="D145" s="3">
        <f t="shared" si="54"/>
        <v>920000</v>
      </c>
      <c r="E145" s="3">
        <f t="shared" si="55"/>
        <v>618333</v>
      </c>
      <c r="F145" s="3">
        <f t="shared" si="56"/>
        <v>301667</v>
      </c>
    </row>
    <row r="146" spans="2:6">
      <c r="B146">
        <f t="shared" si="52"/>
        <v>6</v>
      </c>
      <c r="C146" s="3">
        <f t="shared" si="53"/>
        <v>140000</v>
      </c>
      <c r="D146" s="3">
        <f t="shared" si="54"/>
        <v>920000</v>
      </c>
      <c r="E146" s="3">
        <f t="shared" si="55"/>
        <v>758333</v>
      </c>
      <c r="F146" s="3">
        <f t="shared" si="56"/>
        <v>161667</v>
      </c>
    </row>
    <row r="147" spans="2:6">
      <c r="B147">
        <f t="shared" si="52"/>
        <v>7</v>
      </c>
      <c r="C147" s="3">
        <f>ROUND(C146/12*7,0)</f>
        <v>81667</v>
      </c>
      <c r="D147" s="3">
        <f t="shared" si="54"/>
        <v>920000</v>
      </c>
      <c r="E147" s="3">
        <f t="shared" si="55"/>
        <v>840000</v>
      </c>
      <c r="F147" s="3">
        <f t="shared" si="56"/>
        <v>80000</v>
      </c>
    </row>
    <row r="148" spans="2:6">
      <c r="B148" t="s">
        <v>44</v>
      </c>
      <c r="C148" s="3">
        <f>SUM(C141:C147)</f>
        <v>840000</v>
      </c>
      <c r="D148" s="3"/>
      <c r="E148" s="3"/>
      <c r="F148" s="3"/>
    </row>
    <row r="150" spans="2:6">
      <c r="B150" t="s">
        <v>32</v>
      </c>
      <c r="C150" t="s">
        <v>28</v>
      </c>
      <c r="D150" t="s">
        <v>29</v>
      </c>
      <c r="E150" t="s">
        <v>30</v>
      </c>
      <c r="F150" t="s">
        <v>31</v>
      </c>
    </row>
    <row r="151" spans="2:6">
      <c r="B151">
        <v>1</v>
      </c>
      <c r="C151" s="3">
        <f>ROUND((D151)/10/12*5,0)</f>
        <v>14167</v>
      </c>
      <c r="D151" s="2">
        <v>340000</v>
      </c>
      <c r="E151" s="3">
        <f>C151</f>
        <v>14167</v>
      </c>
      <c r="F151" s="3">
        <f>D151-E151</f>
        <v>325833</v>
      </c>
    </row>
    <row r="152" spans="2:6">
      <c r="B152">
        <f>B151+1</f>
        <v>2</v>
      </c>
      <c r="C152" s="3">
        <f>(D151)/10</f>
        <v>34000</v>
      </c>
      <c r="D152" s="3">
        <f>D151</f>
        <v>340000</v>
      </c>
      <c r="E152" s="3">
        <f>E151+C152</f>
        <v>48167</v>
      </c>
      <c r="F152" s="3">
        <f>D152-E152</f>
        <v>291833</v>
      </c>
    </row>
    <row r="153" spans="2:6">
      <c r="B153">
        <f t="shared" ref="B153:B157" si="57">B152+1</f>
        <v>3</v>
      </c>
      <c r="C153" s="3">
        <f t="shared" ref="C153:C160" si="58">C152</f>
        <v>34000</v>
      </c>
      <c r="D153" s="3">
        <f t="shared" ref="D153:D157" si="59">D152</f>
        <v>340000</v>
      </c>
      <c r="E153" s="3">
        <f t="shared" ref="E153:E157" si="60">E152+C153</f>
        <v>82167</v>
      </c>
      <c r="F153" s="3">
        <f t="shared" ref="F153:F157" si="61">D153-E153</f>
        <v>257833</v>
      </c>
    </row>
    <row r="154" spans="2:6">
      <c r="B154">
        <f t="shared" si="57"/>
        <v>4</v>
      </c>
      <c r="C154" s="3">
        <f t="shared" si="58"/>
        <v>34000</v>
      </c>
      <c r="D154" s="3">
        <f t="shared" si="59"/>
        <v>340000</v>
      </c>
      <c r="E154" s="3">
        <f t="shared" si="60"/>
        <v>116167</v>
      </c>
      <c r="F154" s="3">
        <f t="shared" si="61"/>
        <v>223833</v>
      </c>
    </row>
    <row r="155" spans="2:6">
      <c r="B155">
        <f t="shared" si="57"/>
        <v>5</v>
      </c>
      <c r="C155" s="3">
        <f t="shared" si="58"/>
        <v>34000</v>
      </c>
      <c r="D155" s="3">
        <f t="shared" si="59"/>
        <v>340000</v>
      </c>
      <c r="E155" s="3">
        <f t="shared" si="60"/>
        <v>150167</v>
      </c>
      <c r="F155" s="3">
        <f t="shared" si="61"/>
        <v>189833</v>
      </c>
    </row>
    <row r="156" spans="2:6">
      <c r="B156">
        <f t="shared" si="57"/>
        <v>6</v>
      </c>
      <c r="C156" s="3">
        <f t="shared" si="58"/>
        <v>34000</v>
      </c>
      <c r="D156" s="3">
        <f t="shared" si="59"/>
        <v>340000</v>
      </c>
      <c r="E156" s="3">
        <f t="shared" si="60"/>
        <v>184167</v>
      </c>
      <c r="F156" s="3">
        <f t="shared" si="61"/>
        <v>155833</v>
      </c>
    </row>
    <row r="157" spans="2:6">
      <c r="B157">
        <f t="shared" si="57"/>
        <v>7</v>
      </c>
      <c r="C157" s="3">
        <f t="shared" si="58"/>
        <v>34000</v>
      </c>
      <c r="D157" s="3">
        <f t="shared" si="59"/>
        <v>340000</v>
      </c>
      <c r="E157" s="3">
        <f t="shared" si="60"/>
        <v>218167</v>
      </c>
      <c r="F157" s="3">
        <f t="shared" si="61"/>
        <v>121833</v>
      </c>
    </row>
    <row r="158" spans="2:6">
      <c r="B158">
        <f t="shared" ref="B158:B160" si="62">B157+1</f>
        <v>8</v>
      </c>
      <c r="C158" s="3">
        <f t="shared" si="58"/>
        <v>34000</v>
      </c>
      <c r="D158" s="3">
        <f t="shared" ref="D158:D160" si="63">D157</f>
        <v>340000</v>
      </c>
      <c r="E158" s="3">
        <f t="shared" ref="E158:E160" si="64">E157+C158</f>
        <v>252167</v>
      </c>
      <c r="F158" s="3">
        <f t="shared" ref="F158:F160" si="65">D158-E158</f>
        <v>87833</v>
      </c>
    </row>
    <row r="159" spans="2:6">
      <c r="B159">
        <f t="shared" si="62"/>
        <v>9</v>
      </c>
      <c r="C159" s="3">
        <f t="shared" si="58"/>
        <v>34000</v>
      </c>
      <c r="D159" s="3">
        <f t="shared" si="63"/>
        <v>340000</v>
      </c>
      <c r="E159" s="3">
        <f t="shared" si="64"/>
        <v>286167</v>
      </c>
      <c r="F159" s="3">
        <f t="shared" si="65"/>
        <v>53833</v>
      </c>
    </row>
    <row r="160" spans="2:6">
      <c r="B160">
        <f t="shared" si="62"/>
        <v>10</v>
      </c>
      <c r="C160" s="3">
        <f t="shared" si="58"/>
        <v>34000</v>
      </c>
      <c r="D160" s="3">
        <f t="shared" si="63"/>
        <v>340000</v>
      </c>
      <c r="E160" s="3">
        <f t="shared" si="64"/>
        <v>320167</v>
      </c>
      <c r="F160" s="3">
        <f t="shared" si="65"/>
        <v>19833</v>
      </c>
    </row>
    <row r="161" spans="1:6">
      <c r="B161">
        <f t="shared" ref="B161" si="66">B160+1</f>
        <v>11</v>
      </c>
      <c r="C161" s="3">
        <f>ROUND(C160/12*7,0)</f>
        <v>19833</v>
      </c>
      <c r="D161" s="3">
        <f t="shared" ref="D161" si="67">D160</f>
        <v>340000</v>
      </c>
      <c r="E161" s="3">
        <f t="shared" ref="E161" si="68">E160+C161</f>
        <v>340000</v>
      </c>
      <c r="F161" s="3">
        <f t="shared" ref="F161" si="69">D161-E161</f>
        <v>0</v>
      </c>
    </row>
    <row r="162" spans="1:6">
      <c r="B162" t="s">
        <v>44</v>
      </c>
      <c r="C162" s="3">
        <f>SUM(C151:C161)</f>
        <v>340000</v>
      </c>
      <c r="D162" s="3"/>
      <c r="E162" s="3"/>
      <c r="F162" s="3"/>
    </row>
    <row r="163" spans="1:6">
      <c r="C163" s="3"/>
      <c r="D163" s="3"/>
      <c r="E163" s="3"/>
      <c r="F163" s="3"/>
    </row>
    <row r="164" spans="1:6">
      <c r="A164">
        <v>8</v>
      </c>
      <c r="B164" t="s">
        <v>45</v>
      </c>
      <c r="C164" s="3">
        <v>24900</v>
      </c>
      <c r="D164" s="3"/>
      <c r="E164" s="3"/>
      <c r="F164" s="3"/>
    </row>
    <row r="165" spans="1:6">
      <c r="B165" t="s">
        <v>46</v>
      </c>
      <c r="C165" s="3">
        <f>D166-C164</f>
        <v>168100</v>
      </c>
    </row>
    <row r="166" spans="1:6">
      <c r="B166" t="s">
        <v>47</v>
      </c>
      <c r="D166" s="1">
        <v>193000</v>
      </c>
    </row>
    <row r="168" spans="1:6">
      <c r="A168">
        <v>9</v>
      </c>
      <c r="D168" t="s">
        <v>50</v>
      </c>
    </row>
    <row r="169" spans="1:6">
      <c r="B169" t="s">
        <v>48</v>
      </c>
      <c r="C169" s="1">
        <v>164000</v>
      </c>
      <c r="D169" s="4">
        <f>C169/$C$171*$D$171</f>
        <v>144000</v>
      </c>
    </row>
    <row r="170" spans="1:6">
      <c r="B170" t="s">
        <v>49</v>
      </c>
      <c r="C170">
        <v>656000</v>
      </c>
      <c r="D170" s="4">
        <f>C170/$C$171*$D$171</f>
        <v>576000</v>
      </c>
    </row>
    <row r="171" spans="1:6">
      <c r="C171" s="1">
        <f>SUM(C169:C170)</f>
        <v>820000</v>
      </c>
      <c r="D171" s="1">
        <v>720000</v>
      </c>
    </row>
    <row r="173" spans="1:6">
      <c r="B173" t="s">
        <v>48</v>
      </c>
      <c r="C173">
        <f>D169</f>
        <v>144000</v>
      </c>
    </row>
    <row r="174" spans="1:6">
      <c r="B174" t="s">
        <v>49</v>
      </c>
      <c r="C174">
        <f>D170</f>
        <v>576000</v>
      </c>
    </row>
    <row r="175" spans="1:6">
      <c r="B175" t="s">
        <v>5</v>
      </c>
      <c r="D175">
        <f>D171</f>
        <v>720000</v>
      </c>
    </row>
    <row r="177" spans="1:4">
      <c r="A177">
        <v>10</v>
      </c>
      <c r="B177" t="s">
        <v>51</v>
      </c>
      <c r="C177" s="1">
        <v>13200000</v>
      </c>
    </row>
    <row r="178" spans="1:4">
      <c r="B178" t="s">
        <v>52</v>
      </c>
      <c r="C178">
        <f>-(7350000+1110000)</f>
        <v>-8460000</v>
      </c>
    </row>
    <row r="179" spans="1:4">
      <c r="B179" t="s">
        <v>53</v>
      </c>
      <c r="C179" s="1">
        <f>SUM(C177:C178)</f>
        <v>4740000</v>
      </c>
    </row>
    <row r="181" spans="1:4">
      <c r="A181">
        <v>11</v>
      </c>
      <c r="B181" t="s">
        <v>51</v>
      </c>
      <c r="C181">
        <v>7040000</v>
      </c>
    </row>
    <row r="182" spans="1:4">
      <c r="B182" t="s">
        <v>52</v>
      </c>
      <c r="C182">
        <f>-(7040000+1110000)</f>
        <v>-8150000</v>
      </c>
    </row>
    <row r="183" spans="1:4">
      <c r="B183" t="s">
        <v>54</v>
      </c>
      <c r="C183">
        <f>SUM(C181:C182)</f>
        <v>-1110000</v>
      </c>
    </row>
    <row r="185" spans="1:4">
      <c r="A185">
        <v>12</v>
      </c>
      <c r="B185" t="s">
        <v>55</v>
      </c>
      <c r="C185">
        <f>611200+111500+135700</f>
        <v>858400</v>
      </c>
    </row>
    <row r="186" spans="1:4">
      <c r="B186" t="s">
        <v>5</v>
      </c>
      <c r="D186">
        <f>C185</f>
        <v>858400</v>
      </c>
    </row>
    <row r="188" spans="1:4">
      <c r="B188" t="s">
        <v>57</v>
      </c>
      <c r="C188">
        <v>956000</v>
      </c>
    </row>
    <row r="189" spans="1:4">
      <c r="B189" t="s">
        <v>5</v>
      </c>
      <c r="D189">
        <v>956000</v>
      </c>
    </row>
    <row r="191" spans="1:4">
      <c r="B191" t="s">
        <v>60</v>
      </c>
      <c r="C191">
        <f>C188/5</f>
        <v>191200</v>
      </c>
    </row>
    <row r="192" spans="1:4">
      <c r="B192" t="s">
        <v>58</v>
      </c>
      <c r="D192">
        <f>C191</f>
        <v>191200</v>
      </c>
    </row>
    <row r="194" spans="1:4">
      <c r="A194">
        <v>13</v>
      </c>
      <c r="B194" t="s">
        <v>55</v>
      </c>
      <c r="C194">
        <f>611200+111500</f>
        <v>722700</v>
      </c>
    </row>
    <row r="195" spans="1:4">
      <c r="B195" t="s">
        <v>59</v>
      </c>
      <c r="C195">
        <f>135700</f>
        <v>135700</v>
      </c>
    </row>
    <row r="196" spans="1:4">
      <c r="B196" t="s">
        <v>5</v>
      </c>
      <c r="D196">
        <f>C194+C195</f>
        <v>858400</v>
      </c>
    </row>
    <row r="198" spans="1:4">
      <c r="B198" t="s">
        <v>57</v>
      </c>
      <c r="C198">
        <v>956000</v>
      </c>
    </row>
    <row r="199" spans="1:4">
      <c r="B199" t="s">
        <v>5</v>
      </c>
      <c r="D199">
        <v>956000</v>
      </c>
    </row>
    <row r="201" spans="1:4">
      <c r="B201" t="s">
        <v>60</v>
      </c>
      <c r="C201">
        <f>C198/5</f>
        <v>191200</v>
      </c>
    </row>
    <row r="202" spans="1:4">
      <c r="B202" t="s">
        <v>58</v>
      </c>
      <c r="D202">
        <f>C201</f>
        <v>191200</v>
      </c>
    </row>
    <row r="204" spans="1:4">
      <c r="A204">
        <v>14</v>
      </c>
      <c r="B204" t="s">
        <v>61</v>
      </c>
      <c r="C204">
        <f>650000/20</f>
        <v>32500</v>
      </c>
    </row>
    <row r="205" spans="1:4">
      <c r="B205" t="s">
        <v>62</v>
      </c>
      <c r="D205">
        <f>C204</f>
        <v>32500</v>
      </c>
    </row>
    <row r="207" spans="1:4">
      <c r="A207">
        <v>15</v>
      </c>
      <c r="B207" t="s">
        <v>63</v>
      </c>
      <c r="C207" s="2">
        <f>ROUND((500500-49000)/7/12*5,0)</f>
        <v>26875</v>
      </c>
      <c r="D207" s="2"/>
    </row>
    <row r="208" spans="1:4">
      <c r="B208" t="s">
        <v>64</v>
      </c>
      <c r="C208" s="2"/>
      <c r="D208" s="2">
        <f>C207</f>
        <v>26875</v>
      </c>
    </row>
    <row r="210" spans="1:4">
      <c r="B210" t="s">
        <v>64</v>
      </c>
      <c r="C210" s="2">
        <f>ROUND((500500-49000)/7*5,0)+C207</f>
        <v>349375</v>
      </c>
    </row>
    <row r="211" spans="1:4">
      <c r="B211" t="s">
        <v>5</v>
      </c>
      <c r="C211" s="2">
        <v>150000</v>
      </c>
    </row>
    <row r="212" spans="1:4">
      <c r="B212" t="s">
        <v>66</v>
      </c>
      <c r="C212" s="3">
        <f>D213-SUM(C210:C211)</f>
        <v>1125</v>
      </c>
    </row>
    <row r="213" spans="1:4">
      <c r="B213" t="s">
        <v>65</v>
      </c>
      <c r="D213" s="2">
        <v>500500</v>
      </c>
    </row>
    <row r="215" spans="1:4">
      <c r="A215">
        <v>16</v>
      </c>
      <c r="B215" t="s">
        <v>69</v>
      </c>
      <c r="C215" t="s">
        <v>72</v>
      </c>
      <c r="D215" t="s">
        <v>73</v>
      </c>
    </row>
    <row r="216" spans="1:4">
      <c r="B216" t="s">
        <v>68</v>
      </c>
      <c r="C216" s="1">
        <v>1460000</v>
      </c>
      <c r="D216">
        <v>1460000</v>
      </c>
    </row>
    <row r="217" spans="1:4">
      <c r="B217" s="1" t="s">
        <v>70</v>
      </c>
      <c r="C217" s="1">
        <v>450000</v>
      </c>
      <c r="D217" s="1">
        <v>225000</v>
      </c>
    </row>
    <row r="218" spans="1:4">
      <c r="B218" t="s">
        <v>71</v>
      </c>
      <c r="C218" s="1">
        <f>C216-C217</f>
        <v>1010000</v>
      </c>
      <c r="D218" s="1">
        <f>D216-D217</f>
        <v>1235000</v>
      </c>
    </row>
    <row r="220" spans="1:4">
      <c r="B220" t="s">
        <v>23</v>
      </c>
      <c r="C220">
        <v>225000</v>
      </c>
    </row>
    <row r="222" spans="1:4">
      <c r="A222">
        <v>17</v>
      </c>
      <c r="B222" t="s">
        <v>74</v>
      </c>
      <c r="C222" s="1">
        <v>5200000</v>
      </c>
    </row>
    <row r="223" spans="1:4">
      <c r="B223" t="s">
        <v>76</v>
      </c>
      <c r="C223">
        <f>1459200+1600000</f>
        <v>3059200</v>
      </c>
    </row>
    <row r="224" spans="1:4">
      <c r="B224" t="s">
        <v>53</v>
      </c>
      <c r="C224" s="1">
        <f>C222-C223</f>
        <v>2140800</v>
      </c>
    </row>
    <row r="226" spans="1:6">
      <c r="B226">
        <v>4</v>
      </c>
      <c r="C226" t="s">
        <v>77</v>
      </c>
    </row>
    <row r="227" spans="1:6">
      <c r="B227">
        <v>5</v>
      </c>
      <c r="C227" t="s">
        <v>78</v>
      </c>
    </row>
    <row r="228" spans="1:6">
      <c r="B228">
        <v>6</v>
      </c>
      <c r="C228" t="s">
        <v>79</v>
      </c>
    </row>
    <row r="229" spans="1:6">
      <c r="B229">
        <v>7</v>
      </c>
      <c r="C229" t="s">
        <v>80</v>
      </c>
    </row>
    <row r="230" spans="1:6">
      <c r="B230">
        <v>8</v>
      </c>
      <c r="C230" t="s">
        <v>81</v>
      </c>
    </row>
    <row r="231" spans="1:6">
      <c r="B231">
        <v>9</v>
      </c>
      <c r="C231" t="s">
        <v>82</v>
      </c>
    </row>
    <row r="232" spans="1:6">
      <c r="B232">
        <v>10</v>
      </c>
      <c r="C232" t="s">
        <v>80</v>
      </c>
    </row>
    <row r="234" spans="1:6">
      <c r="A234">
        <v>18</v>
      </c>
      <c r="B234" t="s">
        <v>51</v>
      </c>
      <c r="C234">
        <v>2170000</v>
      </c>
    </row>
    <row r="235" spans="1:6">
      <c r="B235" t="s">
        <v>83</v>
      </c>
      <c r="C235">
        <v>1599892</v>
      </c>
    </row>
    <row r="236" spans="1:6">
      <c r="B236" t="s">
        <v>53</v>
      </c>
      <c r="C236">
        <f>C234-C235</f>
        <v>570108</v>
      </c>
    </row>
    <row r="238" spans="1:6">
      <c r="B238" t="s">
        <v>53</v>
      </c>
      <c r="C238">
        <f>C236</f>
        <v>570108</v>
      </c>
      <c r="D238" t="s">
        <v>86</v>
      </c>
      <c r="E238" t="s">
        <v>89</v>
      </c>
    </row>
    <row r="239" spans="1:6">
      <c r="B239" t="s">
        <v>84</v>
      </c>
      <c r="C239">
        <v>680800</v>
      </c>
      <c r="D239" t="s">
        <v>87</v>
      </c>
      <c r="E239" t="s">
        <v>90</v>
      </c>
      <c r="F239">
        <f>680800/8</f>
        <v>85100</v>
      </c>
    </row>
    <row r="240" spans="1:6">
      <c r="B240" t="s">
        <v>85</v>
      </c>
      <c r="C240">
        <v>187850</v>
      </c>
      <c r="D240" t="s">
        <v>88</v>
      </c>
      <c r="E240" t="s">
        <v>89</v>
      </c>
    </row>
    <row r="242" spans="1:7">
      <c r="A242">
        <v>19</v>
      </c>
      <c r="B242" t="s">
        <v>91</v>
      </c>
      <c r="C242" s="1">
        <v>700000</v>
      </c>
    </row>
    <row r="243" spans="1:7">
      <c r="B243" t="s">
        <v>92</v>
      </c>
      <c r="C243">
        <v>719000</v>
      </c>
    </row>
    <row r="244" spans="1:7">
      <c r="B244" t="s">
        <v>93</v>
      </c>
      <c r="C244" s="1">
        <f>SUM(D245:D246)-SUM(C242:C243)</f>
        <v>61000</v>
      </c>
    </row>
    <row r="245" spans="1:7">
      <c r="B245" t="s">
        <v>94</v>
      </c>
      <c r="D245" s="1">
        <v>1400000</v>
      </c>
    </row>
    <row r="246" spans="1:7">
      <c r="B246" t="s">
        <v>5</v>
      </c>
      <c r="D246" s="1">
        <v>80000</v>
      </c>
    </row>
    <row r="248" spans="1:7">
      <c r="B248" t="s">
        <v>91</v>
      </c>
      <c r="C248" s="1">
        <f>C242</f>
        <v>700000</v>
      </c>
    </row>
    <row r="249" spans="1:7">
      <c r="B249" t="s">
        <v>92</v>
      </c>
      <c r="C249" s="1">
        <f>SUM(D250:D251)-C248</f>
        <v>780000</v>
      </c>
      <c r="F249" s="1"/>
      <c r="G249" s="1"/>
    </row>
    <row r="250" spans="1:7">
      <c r="B250" t="s">
        <v>94</v>
      </c>
      <c r="D250" s="1">
        <f>D245</f>
        <v>1400000</v>
      </c>
    </row>
    <row r="251" spans="1:7">
      <c r="B251" t="s">
        <v>5</v>
      </c>
      <c r="D251" s="1">
        <f>D246</f>
        <v>80000</v>
      </c>
    </row>
    <row r="253" spans="1:7">
      <c r="B253" t="s">
        <v>91</v>
      </c>
      <c r="C253">
        <v>1085000</v>
      </c>
    </row>
    <row r="254" spans="1:7">
      <c r="B254" t="s">
        <v>92</v>
      </c>
      <c r="C254" s="1">
        <f>B261-F262</f>
        <v>420435</v>
      </c>
    </row>
    <row r="255" spans="1:7">
      <c r="B255" t="s">
        <v>5</v>
      </c>
      <c r="C255" s="1">
        <f>D251</f>
        <v>80000</v>
      </c>
    </row>
    <row r="256" spans="1:7">
      <c r="B256" t="s">
        <v>94</v>
      </c>
      <c r="D256" s="1">
        <v>1550000</v>
      </c>
    </row>
    <row r="257" spans="2:6">
      <c r="B257" t="s">
        <v>96</v>
      </c>
      <c r="D257">
        <f>E262</f>
        <v>35435</v>
      </c>
    </row>
    <row r="259" spans="2:6">
      <c r="B259" t="s">
        <v>95</v>
      </c>
    </row>
    <row r="260" spans="2:6">
      <c r="B260" s="1">
        <f>C255</f>
        <v>80000</v>
      </c>
      <c r="C260">
        <v>9.5000000000000001E-2</v>
      </c>
      <c r="D260">
        <v>838000</v>
      </c>
    </row>
    <row r="261" spans="2:6">
      <c r="B261">
        <f>758000</f>
        <v>758000</v>
      </c>
      <c r="D261" s="1">
        <f>D256-C253</f>
        <v>465000</v>
      </c>
    </row>
    <row r="262" spans="2:6">
      <c r="B262" s="1">
        <f>SUM(B260:B261)</f>
        <v>838000</v>
      </c>
      <c r="D262" s="1">
        <f>D260-D261</f>
        <v>373000</v>
      </c>
      <c r="E262">
        <f>D262*C260</f>
        <v>35435</v>
      </c>
      <c r="F262" s="1">
        <f>D262-E262</f>
        <v>337565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3"/>
  <sheetViews>
    <sheetView topLeftCell="A28" workbookViewId="0">
      <selection activeCell="B21" sqref="B21"/>
    </sheetView>
  </sheetViews>
  <sheetFormatPr defaultRowHeight="14.4"/>
  <cols>
    <col min="2" max="2" width="27.33203125" bestFit="1" customWidth="1"/>
  </cols>
  <sheetData>
    <row r="1" spans="1:3">
      <c r="A1">
        <v>1</v>
      </c>
      <c r="B1" t="s">
        <v>97</v>
      </c>
    </row>
    <row r="2" spans="1:3">
      <c r="B2" t="s">
        <v>96</v>
      </c>
    </row>
    <row r="4" spans="1:3">
      <c r="A4">
        <v>2</v>
      </c>
      <c r="B4" t="s">
        <v>67</v>
      </c>
      <c r="C4">
        <v>580000</v>
      </c>
    </row>
    <row r="5" spans="1:3">
      <c r="B5" t="s">
        <v>98</v>
      </c>
      <c r="C5">
        <v>21800</v>
      </c>
    </row>
    <row r="6" spans="1:3">
      <c r="B6" t="s">
        <v>99</v>
      </c>
      <c r="C6">
        <f>C4-C5</f>
        <v>558200</v>
      </c>
    </row>
    <row r="8" spans="1:3">
      <c r="B8" t="s">
        <v>100</v>
      </c>
      <c r="C8">
        <f>C6</f>
        <v>558200</v>
      </c>
    </row>
    <row r="9" spans="1:3">
      <c r="B9" t="s">
        <v>101</v>
      </c>
      <c r="C9">
        <v>132000</v>
      </c>
    </row>
    <row r="10" spans="1:3">
      <c r="C10" t="s">
        <v>90</v>
      </c>
    </row>
    <row r="12" spans="1:3">
      <c r="A12">
        <v>3</v>
      </c>
      <c r="B12" t="s">
        <v>102</v>
      </c>
      <c r="C12">
        <v>1608000</v>
      </c>
    </row>
    <row r="13" spans="1:3">
      <c r="B13" t="s">
        <v>103</v>
      </c>
      <c r="C13">
        <v>1315000</v>
      </c>
    </row>
    <row r="14" spans="1:3">
      <c r="C14" t="s">
        <v>90</v>
      </c>
    </row>
    <row r="16" spans="1:3">
      <c r="B16" t="s">
        <v>104</v>
      </c>
      <c r="C16" t="s">
        <v>90</v>
      </c>
    </row>
    <row r="17" spans="1:4">
      <c r="B17" t="s">
        <v>102</v>
      </c>
      <c r="C17">
        <v>1608000</v>
      </c>
    </row>
    <row r="18" spans="1:4">
      <c r="B18" t="s">
        <v>75</v>
      </c>
      <c r="C18">
        <v>1006000</v>
      </c>
    </row>
    <row r="19" spans="1:4">
      <c r="B19" t="s">
        <v>105</v>
      </c>
      <c r="C19">
        <f>C17-C18</f>
        <v>602000</v>
      </c>
    </row>
    <row r="22" spans="1:4">
      <c r="B22" t="s">
        <v>70</v>
      </c>
      <c r="C22">
        <v>912000</v>
      </c>
    </row>
    <row r="23" spans="1:4">
      <c r="B23" t="s">
        <v>106</v>
      </c>
      <c r="C23">
        <f>C19</f>
        <v>602000</v>
      </c>
    </row>
    <row r="24" spans="1:4">
      <c r="B24" t="s">
        <v>107</v>
      </c>
      <c r="D24">
        <f>SUM(C22:C23)</f>
        <v>1514000</v>
      </c>
    </row>
    <row r="26" spans="1:4">
      <c r="A26">
        <v>4</v>
      </c>
      <c r="B26" t="s">
        <v>99</v>
      </c>
      <c r="C26">
        <v>2504000</v>
      </c>
    </row>
    <row r="27" spans="1:4">
      <c r="B27" t="s">
        <v>108</v>
      </c>
      <c r="C27">
        <v>1704000</v>
      </c>
    </row>
    <row r="28" spans="1:4">
      <c r="B28" t="s">
        <v>109</v>
      </c>
      <c r="C28" t="s">
        <v>90</v>
      </c>
    </row>
    <row r="29" spans="1:4">
      <c r="B29" t="s">
        <v>106</v>
      </c>
      <c r="C29">
        <f>C26-C27</f>
        <v>800000</v>
      </c>
    </row>
    <row r="32" spans="1:4">
      <c r="A32">
        <v>5</v>
      </c>
      <c r="B32" t="s">
        <v>110</v>
      </c>
      <c r="C32">
        <v>2206000</v>
      </c>
    </row>
    <row r="33" spans="1:4">
      <c r="B33" t="s">
        <v>111</v>
      </c>
      <c r="C33">
        <f>1201000+800500</f>
        <v>2001500</v>
      </c>
    </row>
    <row r="34" spans="1:4">
      <c r="B34" t="s">
        <v>113</v>
      </c>
      <c r="C34" t="s">
        <v>112</v>
      </c>
    </row>
    <row r="35" spans="1:4">
      <c r="B35" t="s">
        <v>106</v>
      </c>
    </row>
    <row r="37" spans="1:4">
      <c r="A37">
        <v>6</v>
      </c>
      <c r="B37" t="s">
        <v>114</v>
      </c>
      <c r="C37">
        <v>2503000</v>
      </c>
    </row>
    <row r="38" spans="1:4">
      <c r="B38" t="s">
        <v>111</v>
      </c>
      <c r="C38">
        <f>2105000+605000</f>
        <v>2710000</v>
      </c>
    </row>
    <row r="39" spans="1:4">
      <c r="B39" t="s">
        <v>113</v>
      </c>
      <c r="C39" t="s">
        <v>90</v>
      </c>
    </row>
    <row r="40" spans="1:4">
      <c r="B40" t="s">
        <v>106</v>
      </c>
      <c r="C40">
        <f>C38-C37</f>
        <v>207000</v>
      </c>
    </row>
    <row r="42" spans="1:4">
      <c r="B42" t="s">
        <v>115</v>
      </c>
      <c r="C42">
        <f>C40</f>
        <v>207000</v>
      </c>
    </row>
    <row r="43" spans="1:4">
      <c r="B43" t="s">
        <v>116</v>
      </c>
      <c r="D43">
        <f>C42</f>
        <v>207000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49"/>
  <sheetViews>
    <sheetView topLeftCell="A130" workbookViewId="0">
      <selection activeCell="B150" sqref="B150"/>
    </sheetView>
  </sheetViews>
  <sheetFormatPr defaultRowHeight="14.4"/>
  <cols>
    <col min="2" max="2" width="51.5546875" bestFit="1" customWidth="1"/>
    <col min="3" max="3" width="12.5546875" bestFit="1" customWidth="1"/>
  </cols>
  <sheetData>
    <row r="1" spans="1:4">
      <c r="A1">
        <v>1</v>
      </c>
    </row>
    <row r="2" spans="1:4">
      <c r="B2" t="s">
        <v>117</v>
      </c>
      <c r="C2" t="s">
        <v>89</v>
      </c>
      <c r="D2" t="s">
        <v>123</v>
      </c>
    </row>
    <row r="3" spans="1:4">
      <c r="B3" t="s">
        <v>1</v>
      </c>
      <c r="C3" t="s">
        <v>89</v>
      </c>
      <c r="D3" t="s">
        <v>123</v>
      </c>
    </row>
    <row r="4" spans="1:4">
      <c r="B4" t="s">
        <v>118</v>
      </c>
      <c r="C4" t="s">
        <v>90</v>
      </c>
      <c r="D4" t="s">
        <v>122</v>
      </c>
    </row>
    <row r="5" spans="1:4">
      <c r="B5" t="s">
        <v>119</v>
      </c>
      <c r="C5" t="s">
        <v>90</v>
      </c>
      <c r="D5" t="s">
        <v>122</v>
      </c>
    </row>
    <row r="6" spans="1:4">
      <c r="B6" t="s">
        <v>120</v>
      </c>
      <c r="C6" t="s">
        <v>112</v>
      </c>
      <c r="D6" t="s">
        <v>123</v>
      </c>
    </row>
    <row r="7" spans="1:4">
      <c r="B7" t="s">
        <v>121</v>
      </c>
      <c r="C7" t="s">
        <v>89</v>
      </c>
      <c r="D7" t="s">
        <v>123</v>
      </c>
    </row>
    <row r="9" spans="1:4">
      <c r="B9" t="s">
        <v>105</v>
      </c>
      <c r="D9">
        <f>(1800-1625+1500-1100)*1000</f>
        <v>575000</v>
      </c>
    </row>
    <row r="11" spans="1:4">
      <c r="B11" t="s">
        <v>124</v>
      </c>
      <c r="C11" s="1">
        <v>600000</v>
      </c>
    </row>
    <row r="12" spans="1:4">
      <c r="B12" t="s">
        <v>125</v>
      </c>
      <c r="C12" s="1">
        <v>1200000</v>
      </c>
    </row>
    <row r="13" spans="1:4">
      <c r="B13" t="s">
        <v>128</v>
      </c>
      <c r="C13">
        <f>D9</f>
        <v>575000</v>
      </c>
    </row>
    <row r="14" spans="1:4">
      <c r="B14" t="s">
        <v>126</v>
      </c>
      <c r="D14">
        <f>2100000-1100000</f>
        <v>1000000</v>
      </c>
    </row>
    <row r="15" spans="1:4">
      <c r="B15" t="s">
        <v>127</v>
      </c>
      <c r="D15">
        <f>3000000-1625000</f>
        <v>1375000</v>
      </c>
    </row>
    <row r="17" spans="1:4">
      <c r="A17">
        <v>2</v>
      </c>
      <c r="B17" t="s">
        <v>99</v>
      </c>
      <c r="C17" s="2">
        <f>1508500+1797000</f>
        <v>3305500</v>
      </c>
    </row>
    <row r="18" spans="1:4">
      <c r="B18" t="s">
        <v>101</v>
      </c>
      <c r="C18" s="2">
        <v>3436000</v>
      </c>
    </row>
    <row r="19" spans="1:4">
      <c r="B19" t="s">
        <v>130</v>
      </c>
      <c r="C19" t="s">
        <v>89</v>
      </c>
    </row>
    <row r="20" spans="1:4">
      <c r="B20" t="s">
        <v>106</v>
      </c>
    </row>
    <row r="22" spans="1:4">
      <c r="B22" t="s">
        <v>129</v>
      </c>
    </row>
    <row r="24" spans="1:4">
      <c r="A24">
        <v>3</v>
      </c>
      <c r="B24" t="s">
        <v>131</v>
      </c>
      <c r="C24" s="1">
        <v>1287000</v>
      </c>
    </row>
    <row r="25" spans="1:4">
      <c r="B25" t="s">
        <v>132</v>
      </c>
      <c r="C25">
        <v>870000</v>
      </c>
    </row>
    <row r="26" spans="1:4">
      <c r="B26" t="s">
        <v>133</v>
      </c>
      <c r="D26" s="1">
        <f>SUM(C24:C25)</f>
        <v>2157000</v>
      </c>
    </row>
    <row r="28" spans="1:4">
      <c r="B28" t="s">
        <v>134</v>
      </c>
      <c r="C28">
        <v>210600</v>
      </c>
    </row>
    <row r="29" spans="1:4">
      <c r="B29" t="s">
        <v>131</v>
      </c>
      <c r="D29">
        <f>C28</f>
        <v>210600</v>
      </c>
    </row>
    <row r="31" spans="1:4">
      <c r="B31" t="s">
        <v>102</v>
      </c>
      <c r="C31">
        <v>631800</v>
      </c>
    </row>
    <row r="33" spans="1:9">
      <c r="B33" t="s">
        <v>129</v>
      </c>
    </row>
    <row r="35" spans="1:9">
      <c r="A35">
        <v>4</v>
      </c>
      <c r="B35" t="s">
        <v>135</v>
      </c>
      <c r="C35" t="s">
        <v>137</v>
      </c>
      <c r="D35" t="s">
        <v>84</v>
      </c>
      <c r="E35" t="s">
        <v>138</v>
      </c>
    </row>
    <row r="36" spans="1:9">
      <c r="B36" t="s">
        <v>136</v>
      </c>
      <c r="C36" t="s">
        <v>90</v>
      </c>
      <c r="D36" t="s">
        <v>90</v>
      </c>
      <c r="E36" t="s">
        <v>90</v>
      </c>
    </row>
    <row r="37" spans="1:9">
      <c r="B37" t="s">
        <v>102</v>
      </c>
      <c r="C37">
        <v>860000</v>
      </c>
      <c r="D37">
        <v>450000</v>
      </c>
      <c r="E37">
        <v>3959000</v>
      </c>
    </row>
    <row r="38" spans="1:9">
      <c r="B38" t="s">
        <v>139</v>
      </c>
      <c r="C38">
        <v>746000</v>
      </c>
      <c r="D38">
        <v>399000</v>
      </c>
      <c r="E38">
        <v>2946000</v>
      </c>
    </row>
    <row r="39" spans="1:9">
      <c r="B39" t="s">
        <v>141</v>
      </c>
      <c r="C39" t="s">
        <v>90</v>
      </c>
      <c r="D39" t="s">
        <v>90</v>
      </c>
      <c r="E39" t="s">
        <v>140</v>
      </c>
    </row>
    <row r="41" spans="1:9">
      <c r="B41" t="s">
        <v>142</v>
      </c>
      <c r="C41" t="s">
        <v>137</v>
      </c>
      <c r="D41" t="s">
        <v>84</v>
      </c>
      <c r="E41" t="s">
        <v>138</v>
      </c>
    </row>
    <row r="42" spans="1:9">
      <c r="C42" t="s">
        <v>90</v>
      </c>
      <c r="D42" t="s">
        <v>90</v>
      </c>
      <c r="E42" t="s">
        <v>90</v>
      </c>
    </row>
    <row r="43" spans="1:9">
      <c r="B43" t="s">
        <v>144</v>
      </c>
      <c r="C43">
        <f>C37</f>
        <v>860000</v>
      </c>
      <c r="D43">
        <f t="shared" ref="D43:E43" si="0">D37</f>
        <v>450000</v>
      </c>
      <c r="E43">
        <f t="shared" si="0"/>
        <v>3959000</v>
      </c>
    </row>
    <row r="44" spans="1:9">
      <c r="B44" t="s">
        <v>145</v>
      </c>
      <c r="C44">
        <f>ROUND(G53,0)</f>
        <v>690999</v>
      </c>
      <c r="D44">
        <f t="shared" ref="D44:E44" si="1">ROUND(H53,0)</f>
        <v>379089</v>
      </c>
      <c r="E44">
        <f t="shared" si="1"/>
        <v>2658176</v>
      </c>
    </row>
    <row r="45" spans="1:9">
      <c r="B45" t="s">
        <v>106</v>
      </c>
      <c r="C45">
        <f>C43-C44</f>
        <v>169001</v>
      </c>
      <c r="D45">
        <f>D43-D44</f>
        <v>70911</v>
      </c>
      <c r="E45">
        <f>E43-E44</f>
        <v>1300824</v>
      </c>
    </row>
    <row r="47" spans="1:9">
      <c r="B47" t="s">
        <v>143</v>
      </c>
      <c r="C47" t="s">
        <v>137</v>
      </c>
      <c r="D47" t="s">
        <v>84</v>
      </c>
      <c r="E47" t="s">
        <v>138</v>
      </c>
      <c r="F47" t="s">
        <v>146</v>
      </c>
      <c r="G47" t="s">
        <v>137</v>
      </c>
      <c r="H47" t="s">
        <v>84</v>
      </c>
      <c r="I47" t="s">
        <v>138</v>
      </c>
    </row>
    <row r="48" spans="1:9">
      <c r="B48">
        <v>1</v>
      </c>
      <c r="C48" s="1">
        <v>320000</v>
      </c>
      <c r="D48">
        <v>290000</v>
      </c>
      <c r="E48">
        <v>810000</v>
      </c>
      <c r="F48">
        <f>ROUND((1+0.04)^B48,5)</f>
        <v>1.04</v>
      </c>
      <c r="G48">
        <f>C48/$F48</f>
        <v>307692.30769230769</v>
      </c>
      <c r="H48">
        <f>D48/$F48</f>
        <v>278846.15384615381</v>
      </c>
      <c r="I48">
        <f>E48/$F48</f>
        <v>778846.15384615387</v>
      </c>
    </row>
    <row r="49" spans="2:9">
      <c r="B49">
        <v>2</v>
      </c>
      <c r="C49">
        <v>230000</v>
      </c>
      <c r="D49" s="1">
        <v>94000</v>
      </c>
      <c r="E49">
        <v>640000</v>
      </c>
      <c r="F49">
        <f t="shared" ref="F49:F52" si="2">ROUND((1+0.04)^B49,5)</f>
        <v>1.0815999999999999</v>
      </c>
      <c r="G49">
        <f t="shared" ref="G49:G52" si="3">C49/$F49</f>
        <v>212647.92899408287</v>
      </c>
      <c r="H49">
        <f t="shared" ref="H49:H52" si="4">D49/$F49</f>
        <v>86908.284023668646</v>
      </c>
      <c r="I49">
        <f t="shared" ref="I49:I52" si="5">E49/$F49</f>
        <v>591715.97633136099</v>
      </c>
    </row>
    <row r="50" spans="2:9">
      <c r="B50">
        <v>3</v>
      </c>
      <c r="C50">
        <v>120000</v>
      </c>
      <c r="D50">
        <v>15000</v>
      </c>
      <c r="E50">
        <v>610000</v>
      </c>
      <c r="F50">
        <f t="shared" si="2"/>
        <v>1.12486</v>
      </c>
      <c r="G50">
        <f t="shared" si="3"/>
        <v>106679.94239283112</v>
      </c>
      <c r="H50">
        <f t="shared" si="4"/>
        <v>13334.992799103889</v>
      </c>
      <c r="I50">
        <f t="shared" si="5"/>
        <v>542289.70716355811</v>
      </c>
    </row>
    <row r="51" spans="2:9">
      <c r="B51">
        <v>4</v>
      </c>
      <c r="C51">
        <v>46000</v>
      </c>
      <c r="E51">
        <v>520000</v>
      </c>
      <c r="F51">
        <f t="shared" si="2"/>
        <v>1.1698599999999999</v>
      </c>
      <c r="G51">
        <f t="shared" si="3"/>
        <v>39320.944386507792</v>
      </c>
      <c r="H51">
        <f t="shared" si="4"/>
        <v>0</v>
      </c>
      <c r="I51">
        <f t="shared" si="5"/>
        <v>444497.63219530549</v>
      </c>
    </row>
    <row r="52" spans="2:9">
      <c r="B52">
        <v>5</v>
      </c>
      <c r="C52">
        <v>30000</v>
      </c>
      <c r="E52">
        <v>366000</v>
      </c>
      <c r="F52">
        <f t="shared" si="2"/>
        <v>1.21665</v>
      </c>
      <c r="G52">
        <f t="shared" si="3"/>
        <v>24657.872025644188</v>
      </c>
      <c r="H52">
        <f t="shared" si="4"/>
        <v>0</v>
      </c>
      <c r="I52">
        <f t="shared" si="5"/>
        <v>300826.0387128591</v>
      </c>
    </row>
    <row r="53" spans="2:9">
      <c r="C53" s="1">
        <f>SUM(C48:C52)</f>
        <v>746000</v>
      </c>
      <c r="E53">
        <f>SUM(E48:E52)</f>
        <v>2946000</v>
      </c>
      <c r="G53">
        <f>SUM(G48:G52)</f>
        <v>690998.99549137359</v>
      </c>
      <c r="H53">
        <f>SUM(H48:H52)</f>
        <v>379089.43066892639</v>
      </c>
      <c r="I53">
        <f>SUM(I48:I52)</f>
        <v>2658175.5082492377</v>
      </c>
    </row>
    <row r="55" spans="2:9">
      <c r="B55" t="s">
        <v>148</v>
      </c>
      <c r="C55">
        <f>C45</f>
        <v>169001</v>
      </c>
    </row>
    <row r="56" spans="2:9">
      <c r="B56" t="s">
        <v>137</v>
      </c>
      <c r="D56">
        <f>C55</f>
        <v>169001</v>
      </c>
    </row>
    <row r="58" spans="2:9">
      <c r="B58" t="s">
        <v>147</v>
      </c>
      <c r="C58">
        <f>D45</f>
        <v>70911</v>
      </c>
    </row>
    <row r="59" spans="2:9">
      <c r="B59" t="s">
        <v>84</v>
      </c>
      <c r="D59">
        <f>D45</f>
        <v>70911</v>
      </c>
    </row>
    <row r="61" spans="2:9">
      <c r="B61" t="s">
        <v>149</v>
      </c>
      <c r="C61">
        <f>E45</f>
        <v>1300824</v>
      </c>
    </row>
    <row r="62" spans="2:9">
      <c r="B62" t="s">
        <v>150</v>
      </c>
      <c r="D62">
        <f>C61</f>
        <v>1300824</v>
      </c>
    </row>
    <row r="64" spans="2:9">
      <c r="B64" t="s">
        <v>152</v>
      </c>
      <c r="C64">
        <f>ROUND(C44/5,0)</f>
        <v>138200</v>
      </c>
    </row>
    <row r="65" spans="1:4">
      <c r="B65" t="s">
        <v>137</v>
      </c>
      <c r="D65">
        <f>C64</f>
        <v>138200</v>
      </c>
    </row>
    <row r="67" spans="1:4">
      <c r="B67" t="s">
        <v>151</v>
      </c>
      <c r="C67">
        <f>D44/3</f>
        <v>126363</v>
      </c>
    </row>
    <row r="68" spans="1:4">
      <c r="B68" t="s">
        <v>84</v>
      </c>
      <c r="D68">
        <f>C67</f>
        <v>126363</v>
      </c>
    </row>
    <row r="70" spans="1:4">
      <c r="A70">
        <v>5</v>
      </c>
      <c r="B70" t="s">
        <v>153</v>
      </c>
      <c r="C70">
        <v>1585000</v>
      </c>
    </row>
    <row r="71" spans="1:4">
      <c r="B71" t="s">
        <v>154</v>
      </c>
      <c r="C71">
        <v>1501500</v>
      </c>
    </row>
    <row r="72" spans="1:4">
      <c r="B72" t="s">
        <v>155</v>
      </c>
      <c r="C72">
        <f>C70-C71</f>
        <v>83500</v>
      </c>
    </row>
    <row r="73" spans="1:4">
      <c r="B73" t="s">
        <v>156</v>
      </c>
      <c r="C73">
        <v>42000</v>
      </c>
    </row>
    <row r="74" spans="1:4">
      <c r="B74" t="s">
        <v>53</v>
      </c>
      <c r="C74">
        <f>C72-C73</f>
        <v>41500</v>
      </c>
    </row>
    <row r="76" spans="1:4">
      <c r="B76" t="s">
        <v>157</v>
      </c>
      <c r="C76">
        <f>340900+1289000</f>
        <v>1629900</v>
      </c>
    </row>
    <row r="77" spans="1:4">
      <c r="B77" t="s">
        <v>114</v>
      </c>
      <c r="C77">
        <v>2009000</v>
      </c>
    </row>
    <row r="78" spans="1:4">
      <c r="B78" t="s">
        <v>158</v>
      </c>
      <c r="C78" t="s">
        <v>89</v>
      </c>
    </row>
    <row r="80" spans="1:4">
      <c r="B80" t="s">
        <v>129</v>
      </c>
    </row>
    <row r="82" spans="1:4">
      <c r="B82" t="s">
        <v>157</v>
      </c>
      <c r="C82">
        <f>340900+1289000</f>
        <v>1629900</v>
      </c>
    </row>
    <row r="83" spans="1:4">
      <c r="B83" t="s">
        <v>114</v>
      </c>
      <c r="C83">
        <v>1617000</v>
      </c>
    </row>
    <row r="84" spans="1:4">
      <c r="B84" t="s">
        <v>158</v>
      </c>
      <c r="C84" t="s">
        <v>90</v>
      </c>
    </row>
    <row r="86" spans="1:4">
      <c r="B86" t="s">
        <v>159</v>
      </c>
      <c r="C86">
        <f>C82-C83</f>
        <v>12900</v>
      </c>
    </row>
    <row r="87" spans="1:4">
      <c r="B87" t="s">
        <v>160</v>
      </c>
      <c r="D87">
        <f>C86</f>
        <v>12900</v>
      </c>
    </row>
    <row r="89" spans="1:4">
      <c r="A89">
        <v>6</v>
      </c>
      <c r="B89" t="s">
        <v>117</v>
      </c>
      <c r="C89" t="s">
        <v>89</v>
      </c>
      <c r="D89" t="s">
        <v>123</v>
      </c>
    </row>
    <row r="90" spans="1:4">
      <c r="B90" t="s">
        <v>1</v>
      </c>
      <c r="C90" t="s">
        <v>89</v>
      </c>
      <c r="D90" t="s">
        <v>123</v>
      </c>
    </row>
    <row r="91" spans="1:4">
      <c r="B91" t="s">
        <v>118</v>
      </c>
      <c r="C91" t="s">
        <v>90</v>
      </c>
      <c r="D91" t="s">
        <v>122</v>
      </c>
    </row>
    <row r="92" spans="1:4">
      <c r="B92" t="s">
        <v>119</v>
      </c>
      <c r="C92" t="s">
        <v>90</v>
      </c>
      <c r="D92" t="s">
        <v>122</v>
      </c>
    </row>
    <row r="93" spans="1:4">
      <c r="B93" t="s">
        <v>120</v>
      </c>
      <c r="C93" t="s">
        <v>112</v>
      </c>
      <c r="D93" t="s">
        <v>123</v>
      </c>
    </row>
    <row r="94" spans="1:4">
      <c r="B94" t="s">
        <v>121</v>
      </c>
      <c r="C94" t="s">
        <v>89</v>
      </c>
      <c r="D94" t="s">
        <v>123</v>
      </c>
    </row>
    <row r="96" spans="1:4">
      <c r="B96" t="s">
        <v>164</v>
      </c>
      <c r="C96">
        <f>1640000+1132000</f>
        <v>2772000</v>
      </c>
    </row>
    <row r="97" spans="2:5">
      <c r="B97" t="s">
        <v>163</v>
      </c>
      <c r="C97">
        <f>ROUND(SUM(E106:E110),0)</f>
        <v>2728194</v>
      </c>
    </row>
    <row r="98" spans="2:5">
      <c r="B98" t="s">
        <v>162</v>
      </c>
      <c r="C98">
        <f>C96</f>
        <v>2772000</v>
      </c>
    </row>
    <row r="100" spans="2:5">
      <c r="B100" t="s">
        <v>100</v>
      </c>
      <c r="C100">
        <f>1499000+1791000</f>
        <v>3290000</v>
      </c>
    </row>
    <row r="101" spans="2:5">
      <c r="B101" t="s">
        <v>162</v>
      </c>
      <c r="C101">
        <f>C98</f>
        <v>2772000</v>
      </c>
    </row>
    <row r="102" spans="2:5">
      <c r="B102" t="s">
        <v>141</v>
      </c>
      <c r="C102" t="s">
        <v>90</v>
      </c>
    </row>
    <row r="103" spans="2:5">
      <c r="B103" t="s">
        <v>165</v>
      </c>
      <c r="C103">
        <f>C100-C101</f>
        <v>518000</v>
      </c>
    </row>
    <row r="105" spans="2:5">
      <c r="B105" t="s">
        <v>161</v>
      </c>
    </row>
    <row r="106" spans="2:5">
      <c r="B106">
        <v>1</v>
      </c>
      <c r="C106">
        <v>1230000</v>
      </c>
      <c r="D106">
        <f>ROUND((1.06)^B106,5)</f>
        <v>1.06</v>
      </c>
      <c r="E106">
        <f>C106/D106</f>
        <v>1160377.358490566</v>
      </c>
    </row>
    <row r="107" spans="2:5">
      <c r="B107">
        <v>2</v>
      </c>
      <c r="C107">
        <v>759000</v>
      </c>
      <c r="D107">
        <f t="shared" ref="D107:D110" si="6">ROUND((1.06)^B107,5)</f>
        <v>1.1235999999999999</v>
      </c>
      <c r="E107">
        <f t="shared" ref="E107:E110" si="7">C107/D107</f>
        <v>675507.29797080811</v>
      </c>
    </row>
    <row r="108" spans="2:5">
      <c r="B108">
        <v>3</v>
      </c>
      <c r="C108">
        <v>432000</v>
      </c>
      <c r="D108">
        <f t="shared" si="6"/>
        <v>1.19102</v>
      </c>
      <c r="E108">
        <f t="shared" si="7"/>
        <v>362714.31210223172</v>
      </c>
    </row>
    <row r="109" spans="2:5">
      <c r="B109">
        <v>4</v>
      </c>
      <c r="C109">
        <v>362000</v>
      </c>
      <c r="D109">
        <f t="shared" si="6"/>
        <v>1.26248</v>
      </c>
      <c r="E109">
        <f t="shared" si="7"/>
        <v>286737.21563905961</v>
      </c>
    </row>
    <row r="110" spans="2:5">
      <c r="B110">
        <v>5</v>
      </c>
      <c r="C110">
        <v>325000</v>
      </c>
      <c r="D110">
        <f t="shared" si="6"/>
        <v>1.33823</v>
      </c>
      <c r="E110">
        <f t="shared" si="7"/>
        <v>242858.10361447584</v>
      </c>
    </row>
    <row r="111" spans="2:5">
      <c r="C111">
        <f>SUM(C106:C110)</f>
        <v>3108000</v>
      </c>
    </row>
    <row r="113" spans="1:4">
      <c r="B113" t="s">
        <v>166</v>
      </c>
      <c r="C113">
        <f>C103</f>
        <v>518000</v>
      </c>
    </row>
    <row r="114" spans="1:4">
      <c r="B114" t="s">
        <v>124</v>
      </c>
      <c r="C114">
        <v>622000</v>
      </c>
    </row>
    <row r="115" spans="1:4">
      <c r="B115" t="s">
        <v>167</v>
      </c>
      <c r="C115">
        <v>1219000</v>
      </c>
    </row>
    <row r="116" spans="1:4">
      <c r="B116" t="s">
        <v>126</v>
      </c>
      <c r="D116">
        <v>989000</v>
      </c>
    </row>
    <row r="117" spans="1:4">
      <c r="B117" t="s">
        <v>127</v>
      </c>
      <c r="D117">
        <v>1370000</v>
      </c>
    </row>
    <row r="120" spans="1:4">
      <c r="A120">
        <v>7</v>
      </c>
      <c r="B120" t="s">
        <v>168</v>
      </c>
      <c r="C120">
        <v>348100</v>
      </c>
    </row>
    <row r="121" spans="1:4">
      <c r="B121" t="s">
        <v>171</v>
      </c>
      <c r="C121" s="1">
        <f>D122-C120</f>
        <v>348100</v>
      </c>
    </row>
    <row r="122" spans="1:4">
      <c r="B122" t="s">
        <v>169</v>
      </c>
      <c r="D122">
        <v>696200</v>
      </c>
    </row>
    <row r="124" spans="1:4">
      <c r="B124" t="s">
        <v>172</v>
      </c>
      <c r="C124">
        <v>620440</v>
      </c>
    </row>
    <row r="125" spans="1:4">
      <c r="B125" t="s">
        <v>173</v>
      </c>
      <c r="C125">
        <f>D126-C124</f>
        <v>930660</v>
      </c>
    </row>
    <row r="126" spans="1:4">
      <c r="B126" t="s">
        <v>56</v>
      </c>
      <c r="D126">
        <v>1551100</v>
      </c>
    </row>
    <row r="128" spans="1:4">
      <c r="B128" t="s">
        <v>170</v>
      </c>
      <c r="C128">
        <f>348100-200400</f>
        <v>147700</v>
      </c>
    </row>
    <row r="129" spans="1:4">
      <c r="B129" t="s">
        <v>171</v>
      </c>
      <c r="D129">
        <f>C128</f>
        <v>147700</v>
      </c>
    </row>
    <row r="131" spans="1:4">
      <c r="B131" t="s">
        <v>174</v>
      </c>
      <c r="C131">
        <f>930600-900400</f>
        <v>30200</v>
      </c>
    </row>
    <row r="132" spans="1:4">
      <c r="B132" t="s">
        <v>175</v>
      </c>
      <c r="D132">
        <f>C131</f>
        <v>30200</v>
      </c>
    </row>
    <row r="134" spans="1:4">
      <c r="B134" t="s">
        <v>171</v>
      </c>
      <c r="C134">
        <f>216000-200400</f>
        <v>15600</v>
      </c>
    </row>
    <row r="135" spans="1:4">
      <c r="B135" t="s">
        <v>176</v>
      </c>
      <c r="D135">
        <f>C134</f>
        <v>15600</v>
      </c>
    </row>
    <row r="137" spans="1:4">
      <c r="B137" t="s">
        <v>175</v>
      </c>
      <c r="C137">
        <f>C131</f>
        <v>30200</v>
      </c>
    </row>
    <row r="138" spans="1:4">
      <c r="B138" t="s">
        <v>177</v>
      </c>
      <c r="D138">
        <f>C137</f>
        <v>30200</v>
      </c>
    </row>
    <row r="140" spans="1:4">
      <c r="A140">
        <v>8</v>
      </c>
      <c r="B140" s="1">
        <v>200000</v>
      </c>
    </row>
    <row r="141" spans="1:4">
      <c r="A141">
        <v>9</v>
      </c>
      <c r="B141">
        <v>85000</v>
      </c>
    </row>
    <row r="143" spans="1:4">
      <c r="B143" t="s">
        <v>178</v>
      </c>
    </row>
    <row r="144" spans="1:4">
      <c r="B144" t="s">
        <v>67</v>
      </c>
      <c r="C144">
        <f>770/10*5</f>
        <v>385</v>
      </c>
      <c r="D144">
        <f>300/10*5</f>
        <v>150</v>
      </c>
    </row>
    <row r="145" spans="1:4">
      <c r="B145" t="s">
        <v>179</v>
      </c>
      <c r="C145">
        <v>300</v>
      </c>
      <c r="D145">
        <v>180</v>
      </c>
    </row>
    <row r="146" spans="1:4">
      <c r="B146" t="s">
        <v>105</v>
      </c>
      <c r="C146">
        <f>C144-C145</f>
        <v>85</v>
      </c>
      <c r="D146">
        <v>0</v>
      </c>
    </row>
    <row r="148" spans="1:4">
      <c r="A148">
        <v>10</v>
      </c>
      <c r="B148">
        <v>50000</v>
      </c>
    </row>
    <row r="149" spans="1:4">
      <c r="A149">
        <v>11</v>
      </c>
      <c r="B149" s="1">
        <v>60000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1"/>
  <sheetViews>
    <sheetView tabSelected="1" topLeftCell="A53" workbookViewId="0">
      <selection activeCell="G68" sqref="G68"/>
    </sheetView>
  </sheetViews>
  <sheetFormatPr defaultRowHeight="14.4"/>
  <cols>
    <col min="1" max="1" width="10.6640625" bestFit="1" customWidth="1"/>
    <col min="2" max="2" width="20.77734375" bestFit="1" customWidth="1"/>
    <col min="3" max="4" width="11.109375" bestFit="1" customWidth="1"/>
  </cols>
  <sheetData>
    <row r="1" spans="1:6">
      <c r="A1">
        <v>1</v>
      </c>
      <c r="B1" t="s">
        <v>431</v>
      </c>
      <c r="C1" t="s">
        <v>436</v>
      </c>
    </row>
    <row r="2" spans="1:6">
      <c r="B2" t="s">
        <v>432</v>
      </c>
      <c r="C2" t="s">
        <v>436</v>
      </c>
    </row>
    <row r="3" spans="1:6">
      <c r="B3" t="s">
        <v>433</v>
      </c>
      <c r="C3" t="s">
        <v>436</v>
      </c>
    </row>
    <row r="4" spans="1:6">
      <c r="B4" t="s">
        <v>180</v>
      </c>
      <c r="C4" t="s">
        <v>437</v>
      </c>
    </row>
    <row r="6" spans="1:6">
      <c r="B6" t="s">
        <v>435</v>
      </c>
    </row>
    <row r="9" spans="1:6">
      <c r="A9">
        <v>2</v>
      </c>
      <c r="B9" t="s">
        <v>434</v>
      </c>
      <c r="F9" t="s">
        <v>181</v>
      </c>
    </row>
    <row r="11" spans="1:6">
      <c r="B11" t="s">
        <v>438</v>
      </c>
    </row>
    <row r="14" spans="1:6">
      <c r="A14">
        <v>3</v>
      </c>
      <c r="B14" t="s">
        <v>182</v>
      </c>
      <c r="C14" s="5">
        <f>-PV(0.09,3,490,0,1)</f>
        <v>1351.9644811042849</v>
      </c>
    </row>
    <row r="15" spans="1:6">
      <c r="B15" t="s">
        <v>183</v>
      </c>
      <c r="C15">
        <v>1360</v>
      </c>
    </row>
    <row r="16" spans="1:6">
      <c r="B16" t="s">
        <v>184</v>
      </c>
      <c r="C16" s="6">
        <f>C14/C15</f>
        <v>0.99409153022373886</v>
      </c>
    </row>
    <row r="18" spans="1:3">
      <c r="B18" t="s">
        <v>439</v>
      </c>
    </row>
    <row r="20" spans="1:3">
      <c r="B20" t="s">
        <v>440</v>
      </c>
    </row>
    <row r="22" spans="1:3">
      <c r="A22">
        <v>4</v>
      </c>
      <c r="B22" t="s">
        <v>182</v>
      </c>
      <c r="C22" s="5">
        <f>-PV(0.07,4,450,0,1)</f>
        <v>1630.9422199873802</v>
      </c>
    </row>
    <row r="23" spans="1:3">
      <c r="B23" t="s">
        <v>183</v>
      </c>
      <c r="C23">
        <v>1650</v>
      </c>
    </row>
    <row r="24" spans="1:3">
      <c r="B24" t="s">
        <v>184</v>
      </c>
      <c r="C24" s="6">
        <f>C22/C23</f>
        <v>0.98844983029538191</v>
      </c>
    </row>
    <row r="26" spans="1:3">
      <c r="B26" t="s">
        <v>185</v>
      </c>
    </row>
    <row r="28" spans="1:3">
      <c r="B28" t="s">
        <v>186</v>
      </c>
    </row>
    <row r="30" spans="1:3">
      <c r="A30">
        <v>5</v>
      </c>
      <c r="B30" t="s">
        <v>182</v>
      </c>
      <c r="C30" s="5">
        <f>-PV(0.13,8,4100,0,1)</f>
        <v>22232.702774160131</v>
      </c>
    </row>
    <row r="31" spans="1:3">
      <c r="B31" t="s">
        <v>187</v>
      </c>
      <c r="C31">
        <v>49000</v>
      </c>
    </row>
    <row r="32" spans="1:3">
      <c r="C32" s="6">
        <f>C30/C31</f>
        <v>0.45372862804408431</v>
      </c>
    </row>
    <row r="34" spans="1:4">
      <c r="B34" t="s">
        <v>188</v>
      </c>
    </row>
    <row r="36" spans="1:4">
      <c r="B36" t="s">
        <v>189</v>
      </c>
      <c r="D36" s="5"/>
    </row>
    <row r="38" spans="1:4">
      <c r="A38">
        <v>6</v>
      </c>
      <c r="B38" t="s">
        <v>190</v>
      </c>
      <c r="C38">
        <v>28304</v>
      </c>
    </row>
    <row r="39" spans="1:4">
      <c r="B39" t="s">
        <v>191</v>
      </c>
      <c r="D39">
        <v>28304</v>
      </c>
    </row>
    <row r="41" spans="1:4">
      <c r="B41" t="s">
        <v>191</v>
      </c>
      <c r="C41">
        <v>4300</v>
      </c>
    </row>
    <row r="42" spans="1:4">
      <c r="B42" t="s">
        <v>5</v>
      </c>
      <c r="D42">
        <v>4300</v>
      </c>
    </row>
    <row r="44" spans="1:4">
      <c r="A44">
        <v>7</v>
      </c>
      <c r="B44" t="s">
        <v>434</v>
      </c>
    </row>
    <row r="46" spans="1:4">
      <c r="B46" t="s">
        <v>441</v>
      </c>
    </row>
    <row r="48" spans="1:4">
      <c r="B48" t="s">
        <v>190</v>
      </c>
      <c r="C48">
        <v>35756</v>
      </c>
    </row>
    <row r="49" spans="1:4">
      <c r="B49" t="s">
        <v>191</v>
      </c>
      <c r="D49">
        <f>C48</f>
        <v>35756</v>
      </c>
    </row>
    <row r="51" spans="1:4">
      <c r="B51" t="s">
        <v>191</v>
      </c>
      <c r="C51">
        <v>5000</v>
      </c>
    </row>
    <row r="52" spans="1:4">
      <c r="B52" t="s">
        <v>5</v>
      </c>
      <c r="D52">
        <f>C51</f>
        <v>5000</v>
      </c>
    </row>
    <row r="54" spans="1:4">
      <c r="B54" t="s">
        <v>195</v>
      </c>
      <c r="C54">
        <f>ROUND((D49-D52)*0.112,0)</f>
        <v>3445</v>
      </c>
    </row>
    <row r="55" spans="1:4">
      <c r="B55" t="s">
        <v>191</v>
      </c>
      <c r="D55">
        <f>C54</f>
        <v>3445</v>
      </c>
    </row>
    <row r="57" spans="1:4">
      <c r="B57" t="s">
        <v>61</v>
      </c>
      <c r="C57">
        <f>ROUND(C48/12,0)</f>
        <v>2980</v>
      </c>
    </row>
    <row r="58" spans="1:4">
      <c r="B58" t="s">
        <v>190</v>
      </c>
      <c r="D58">
        <f>C57</f>
        <v>2980</v>
      </c>
    </row>
    <row r="60" spans="1:4">
      <c r="A60">
        <v>8</v>
      </c>
      <c r="B60" t="s">
        <v>439</v>
      </c>
    </row>
    <row r="62" spans="1:4">
      <c r="B62" t="s">
        <v>442</v>
      </c>
    </row>
    <row r="64" spans="1:4">
      <c r="B64" s="5" t="s">
        <v>196</v>
      </c>
      <c r="C64">
        <v>39544</v>
      </c>
    </row>
    <row r="65" spans="1:4">
      <c r="B65" t="s">
        <v>197</v>
      </c>
      <c r="D65">
        <f>C64</f>
        <v>39544</v>
      </c>
    </row>
    <row r="67" spans="1:4">
      <c r="B67" t="s">
        <v>5</v>
      </c>
      <c r="C67">
        <v>5000</v>
      </c>
    </row>
    <row r="68" spans="1:4">
      <c r="B68" s="5" t="s">
        <v>196</v>
      </c>
      <c r="D68">
        <v>5000</v>
      </c>
    </row>
    <row r="70" spans="1:4">
      <c r="B70" t="s">
        <v>204</v>
      </c>
      <c r="C70">
        <f>ROUND((C64-C67)*0.112,0)</f>
        <v>3869</v>
      </c>
    </row>
    <row r="71" spans="1:4">
      <c r="B71" t="s">
        <v>198</v>
      </c>
      <c r="D71">
        <f>C70</f>
        <v>3869</v>
      </c>
    </row>
    <row r="73" spans="1:4">
      <c r="A73">
        <v>9</v>
      </c>
      <c r="B73" t="s">
        <v>192</v>
      </c>
    </row>
    <row r="74" spans="1:4">
      <c r="B74" t="s">
        <v>199</v>
      </c>
    </row>
    <row r="76" spans="1:4">
      <c r="B76" t="s">
        <v>200</v>
      </c>
      <c r="C76">
        <v>33959</v>
      </c>
    </row>
    <row r="77" spans="1:4">
      <c r="B77" t="s">
        <v>202</v>
      </c>
      <c r="C77">
        <f>19800</f>
        <v>19800</v>
      </c>
    </row>
    <row r="78" spans="1:4">
      <c r="B78" t="s">
        <v>201</v>
      </c>
      <c r="D78">
        <v>33959</v>
      </c>
    </row>
    <row r="79" spans="1:4">
      <c r="B79" t="s">
        <v>197</v>
      </c>
      <c r="D79">
        <f>C77</f>
        <v>19800</v>
      </c>
    </row>
    <row r="81" spans="1:4">
      <c r="B81" t="s">
        <v>5</v>
      </c>
      <c r="C81">
        <v>5000</v>
      </c>
    </row>
    <row r="82" spans="1:4">
      <c r="B82" t="s">
        <v>196</v>
      </c>
      <c r="D82">
        <v>5000</v>
      </c>
    </row>
    <row r="84" spans="1:4">
      <c r="B84" t="s">
        <v>204</v>
      </c>
      <c r="C84">
        <f>ROUND((C76-C81)*0.114,0)</f>
        <v>3301</v>
      </c>
    </row>
    <row r="85" spans="1:4">
      <c r="B85" t="s">
        <v>203</v>
      </c>
      <c r="D85">
        <f>C84</f>
        <v>3301</v>
      </c>
    </row>
    <row r="87" spans="1:4">
      <c r="A87">
        <v>10</v>
      </c>
      <c r="B87" t="s">
        <v>205</v>
      </c>
    </row>
    <row r="88" spans="1:4">
      <c r="B88" t="s">
        <v>206</v>
      </c>
    </row>
    <row r="90" spans="1:4">
      <c r="B90" t="s">
        <v>207</v>
      </c>
    </row>
    <row r="92" spans="1:4">
      <c r="B92" t="s">
        <v>200</v>
      </c>
      <c r="C92">
        <v>32057</v>
      </c>
    </row>
    <row r="93" spans="1:4">
      <c r="B93" t="s">
        <v>202</v>
      </c>
      <c r="C93">
        <v>22500</v>
      </c>
    </row>
    <row r="94" spans="1:4">
      <c r="B94" t="s">
        <v>201</v>
      </c>
      <c r="D94">
        <v>32057</v>
      </c>
    </row>
    <row r="95" spans="1:4">
      <c r="B95" t="s">
        <v>197</v>
      </c>
      <c r="D95">
        <v>22500</v>
      </c>
    </row>
    <row r="97" spans="2:4">
      <c r="B97" t="s">
        <v>5</v>
      </c>
      <c r="C97">
        <v>4500</v>
      </c>
    </row>
    <row r="98" spans="2:4">
      <c r="B98" t="s">
        <v>196</v>
      </c>
      <c r="D98">
        <v>4500</v>
      </c>
    </row>
    <row r="100" spans="2:4">
      <c r="B100" t="s">
        <v>204</v>
      </c>
      <c r="C100">
        <f>ROUND((C92-C97)*0.113,0)</f>
        <v>3114</v>
      </c>
    </row>
    <row r="101" spans="2:4">
      <c r="B101" t="s">
        <v>203</v>
      </c>
      <c r="D101">
        <f>C100</f>
        <v>3114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09"/>
  <sheetViews>
    <sheetView workbookViewId="0">
      <selection activeCell="C7" sqref="C7"/>
    </sheetView>
  </sheetViews>
  <sheetFormatPr defaultRowHeight="14.4"/>
  <cols>
    <col min="2" max="2" width="22.21875" customWidth="1"/>
    <col min="3" max="3" width="18.33203125" bestFit="1" customWidth="1"/>
    <col min="4" max="4" width="14.77734375" bestFit="1" customWidth="1"/>
    <col min="5" max="5" width="22.5546875" bestFit="1" customWidth="1"/>
    <col min="6" max="6" width="21.5546875" bestFit="1" customWidth="1"/>
  </cols>
  <sheetData>
    <row r="1" spans="1:6">
      <c r="A1">
        <v>1</v>
      </c>
    </row>
    <row r="2" spans="1:6">
      <c r="C2" t="s">
        <v>208</v>
      </c>
      <c r="D2" t="s">
        <v>213</v>
      </c>
    </row>
    <row r="3" spans="1:6">
      <c r="B3" t="s">
        <v>209</v>
      </c>
      <c r="C3" t="s">
        <v>212</v>
      </c>
      <c r="D3">
        <v>1102</v>
      </c>
      <c r="E3" s="7">
        <f>D3/D5</f>
        <v>0.57999999999999996</v>
      </c>
      <c r="F3">
        <f>D3/D5*$F$5</f>
        <v>985.99999999999989</v>
      </c>
    </row>
    <row r="4" spans="1:6">
      <c r="B4" t="s">
        <v>210</v>
      </c>
      <c r="C4" t="s">
        <v>211</v>
      </c>
      <c r="D4">
        <v>798</v>
      </c>
      <c r="E4" s="7">
        <f>D4/D5</f>
        <v>0.42</v>
      </c>
      <c r="F4">
        <f>D4/D5*$F$5</f>
        <v>714</v>
      </c>
    </row>
    <row r="5" spans="1:6">
      <c r="D5">
        <f>SUM(D3:D4)</f>
        <v>1900</v>
      </c>
      <c r="F5">
        <v>1700</v>
      </c>
    </row>
    <row r="7" spans="1:6">
      <c r="B7" s="4" t="s">
        <v>182</v>
      </c>
      <c r="C7" s="8">
        <f>ROUND(-PV(0.06,3,F3,0,1),0)</f>
        <v>2794</v>
      </c>
      <c r="E7" s="5"/>
    </row>
    <row r="8" spans="1:6">
      <c r="E8" s="5"/>
    </row>
    <row r="9" spans="1:6">
      <c r="B9" t="s">
        <v>214</v>
      </c>
      <c r="E9" s="5"/>
    </row>
    <row r="11" spans="1:6">
      <c r="B11" t="s">
        <v>215</v>
      </c>
    </row>
    <row r="13" spans="1:6">
      <c r="B13" t="s">
        <v>190</v>
      </c>
      <c r="C13" s="5">
        <f>C7+540</f>
        <v>3334</v>
      </c>
    </row>
    <row r="14" spans="1:6">
      <c r="B14" t="s">
        <v>191</v>
      </c>
      <c r="D14" s="5">
        <f>C7</f>
        <v>2794</v>
      </c>
      <c r="E14" s="5"/>
    </row>
    <row r="15" spans="1:6">
      <c r="B15" t="s">
        <v>5</v>
      </c>
      <c r="D15">
        <v>540</v>
      </c>
    </row>
    <row r="18" spans="2:6">
      <c r="C18" t="s">
        <v>218</v>
      </c>
      <c r="D18" t="s">
        <v>219</v>
      </c>
      <c r="E18" t="s">
        <v>220</v>
      </c>
      <c r="F18" t="s">
        <v>217</v>
      </c>
    </row>
    <row r="19" spans="2:6">
      <c r="B19" t="s">
        <v>191</v>
      </c>
      <c r="F19" s="5">
        <f>C7</f>
        <v>2794</v>
      </c>
    </row>
    <row r="20" spans="2:6">
      <c r="B20" t="s">
        <v>73</v>
      </c>
      <c r="C20" s="5">
        <f>F3</f>
        <v>985.99999999999989</v>
      </c>
      <c r="D20">
        <v>0</v>
      </c>
      <c r="E20" s="5">
        <f>C20-D20</f>
        <v>985.99999999999989</v>
      </c>
      <c r="F20" s="5">
        <f>F19-E20</f>
        <v>1808</v>
      </c>
    </row>
    <row r="21" spans="2:6">
      <c r="B21" t="s">
        <v>72</v>
      </c>
      <c r="C21" s="5">
        <f>C20</f>
        <v>985.99999999999989</v>
      </c>
      <c r="D21" s="5">
        <f>ROUND(F20*0.06,0)</f>
        <v>108</v>
      </c>
      <c r="E21" s="5">
        <f>C21-D21</f>
        <v>877.99999999999989</v>
      </c>
      <c r="F21" s="5">
        <f>F20-E21</f>
        <v>930.00000000000011</v>
      </c>
    </row>
    <row r="22" spans="2:6">
      <c r="B22" t="s">
        <v>216</v>
      </c>
      <c r="C22" s="5">
        <f>C21</f>
        <v>985.99999999999989</v>
      </c>
      <c r="D22" s="5">
        <f>ROUND(F21*0.06,0)</f>
        <v>56</v>
      </c>
      <c r="E22" s="5">
        <f>C22-D22</f>
        <v>929.99999999999989</v>
      </c>
      <c r="F22" s="5">
        <f>F21-E22</f>
        <v>0</v>
      </c>
    </row>
    <row r="24" spans="2:6">
      <c r="C24" t="s">
        <v>222</v>
      </c>
      <c r="D24" t="s">
        <v>219</v>
      </c>
      <c r="E24" t="s">
        <v>223</v>
      </c>
    </row>
    <row r="25" spans="2:6">
      <c r="B25" t="s">
        <v>221</v>
      </c>
    </row>
    <row r="26" spans="2:6">
      <c r="B26" t="s">
        <v>73</v>
      </c>
      <c r="C26">
        <f>F3+D15</f>
        <v>1526</v>
      </c>
      <c r="D26">
        <f>D20</f>
        <v>0</v>
      </c>
      <c r="E26" s="5">
        <f>C13/3</f>
        <v>1111.3333333333333</v>
      </c>
    </row>
    <row r="27" spans="2:6">
      <c r="B27" t="s">
        <v>72</v>
      </c>
      <c r="C27">
        <v>986</v>
      </c>
      <c r="D27" s="5">
        <f>D21</f>
        <v>108</v>
      </c>
      <c r="E27" s="5">
        <f>E26</f>
        <v>1111.3333333333333</v>
      </c>
      <c r="F27" s="5"/>
    </row>
    <row r="28" spans="2:6">
      <c r="B28" t="s">
        <v>216</v>
      </c>
      <c r="C28">
        <f>C27</f>
        <v>986</v>
      </c>
      <c r="D28" s="5">
        <f>D22</f>
        <v>56</v>
      </c>
      <c r="E28" s="5">
        <f>E27</f>
        <v>1111.3333333333333</v>
      </c>
    </row>
    <row r="29" spans="2:6">
      <c r="B29" t="s">
        <v>44</v>
      </c>
      <c r="C29">
        <f>SUM(C26:C28)</f>
        <v>3498</v>
      </c>
      <c r="D29">
        <f>SUM(D26:D28)</f>
        <v>164</v>
      </c>
      <c r="E29" s="5">
        <f>SUM(E26:E28)</f>
        <v>3334</v>
      </c>
      <c r="F29" s="5"/>
    </row>
    <row r="30" spans="2:6">
      <c r="F30" s="5"/>
    </row>
    <row r="31" spans="2:6">
      <c r="B31" t="s">
        <v>191</v>
      </c>
      <c r="C31" s="5">
        <f>C20</f>
        <v>985.99999999999989</v>
      </c>
    </row>
    <row r="32" spans="2:6">
      <c r="B32" t="s">
        <v>5</v>
      </c>
      <c r="D32" s="5">
        <f>C31</f>
        <v>985.99999999999989</v>
      </c>
    </row>
    <row r="34" spans="2:4">
      <c r="B34" t="s">
        <v>224</v>
      </c>
      <c r="C34">
        <f>F4</f>
        <v>714</v>
      </c>
    </row>
    <row r="35" spans="2:4">
      <c r="B35" t="s">
        <v>22</v>
      </c>
      <c r="D35">
        <f>C34</f>
        <v>714</v>
      </c>
    </row>
    <row r="37" spans="2:4">
      <c r="B37" t="s">
        <v>219</v>
      </c>
      <c r="C37" s="5">
        <f>D21</f>
        <v>108</v>
      </c>
    </row>
    <row r="38" spans="2:4">
      <c r="B38" t="s">
        <v>61</v>
      </c>
      <c r="C38" s="5">
        <f>E26</f>
        <v>1111.3333333333333</v>
      </c>
    </row>
    <row r="39" spans="2:4">
      <c r="B39" t="s">
        <v>225</v>
      </c>
      <c r="D39" s="5">
        <f>C37</f>
        <v>108</v>
      </c>
    </row>
    <row r="40" spans="2:4">
      <c r="B40" t="s">
        <v>226</v>
      </c>
      <c r="D40" s="5">
        <f>C38</f>
        <v>1111.3333333333333</v>
      </c>
    </row>
    <row r="42" spans="2:4">
      <c r="B42" t="s">
        <v>227</v>
      </c>
      <c r="C42">
        <f>C34</f>
        <v>714</v>
      </c>
    </row>
    <row r="43" spans="2:4">
      <c r="B43" t="s">
        <v>224</v>
      </c>
      <c r="D43">
        <f>C42</f>
        <v>714</v>
      </c>
    </row>
    <row r="45" spans="2:4">
      <c r="B45" t="s">
        <v>191</v>
      </c>
      <c r="C45" s="5">
        <f>E21</f>
        <v>877.99999999999989</v>
      </c>
    </row>
    <row r="46" spans="2:4">
      <c r="B46" t="str">
        <f>B39</f>
        <v>Accrued Lease Payable</v>
      </c>
      <c r="C46" s="5">
        <f>D27</f>
        <v>108</v>
      </c>
    </row>
    <row r="47" spans="2:4">
      <c r="B47" t="s">
        <v>22</v>
      </c>
      <c r="D47" s="5">
        <f>C21</f>
        <v>985.99999999999989</v>
      </c>
    </row>
    <row r="49" spans="1:4">
      <c r="A49" t="s">
        <v>72</v>
      </c>
      <c r="B49" t="s">
        <v>224</v>
      </c>
      <c r="C49">
        <v>714</v>
      </c>
    </row>
    <row r="50" spans="1:4">
      <c r="B50" t="s">
        <v>22</v>
      </c>
      <c r="D50">
        <f>C49</f>
        <v>714</v>
      </c>
    </row>
    <row r="52" spans="1:4">
      <c r="B52" t="s">
        <v>219</v>
      </c>
      <c r="C52" s="5">
        <f>D22</f>
        <v>56</v>
      </c>
    </row>
    <row r="53" spans="1:4">
      <c r="B53" t="s">
        <v>61</v>
      </c>
      <c r="C53" s="5">
        <f>D40</f>
        <v>1111.3333333333333</v>
      </c>
    </row>
    <row r="54" spans="1:4">
      <c r="B54" t="s">
        <v>225</v>
      </c>
      <c r="D54" s="5">
        <f>C52</f>
        <v>56</v>
      </c>
    </row>
    <row r="55" spans="1:4">
      <c r="B55" t="s">
        <v>226</v>
      </c>
      <c r="D55" s="5">
        <f>C53</f>
        <v>1111.3333333333333</v>
      </c>
    </row>
    <row r="57" spans="1:4">
      <c r="B57" t="s">
        <v>227</v>
      </c>
      <c r="C57">
        <f>C49</f>
        <v>714</v>
      </c>
    </row>
    <row r="58" spans="1:4">
      <c r="B58" t="s">
        <v>224</v>
      </c>
      <c r="D58">
        <f>C57</f>
        <v>714</v>
      </c>
    </row>
    <row r="60" spans="1:4">
      <c r="A60" t="s">
        <v>216</v>
      </c>
      <c r="B60" t="s">
        <v>191</v>
      </c>
      <c r="C60" s="5">
        <f>E22</f>
        <v>929.99999999999989</v>
      </c>
    </row>
    <row r="61" spans="1:4">
      <c r="B61" t="str">
        <f>B54</f>
        <v>Accrued Lease Payable</v>
      </c>
      <c r="C61" s="5">
        <f>D22</f>
        <v>56</v>
      </c>
    </row>
    <row r="62" spans="1:4">
      <c r="B62" t="s">
        <v>22</v>
      </c>
      <c r="D62" s="5">
        <v>986</v>
      </c>
    </row>
    <row r="64" spans="1:4">
      <c r="B64" t="s">
        <v>224</v>
      </c>
      <c r="C64">
        <v>714</v>
      </c>
    </row>
    <row r="65" spans="1:4">
      <c r="B65" t="s">
        <v>22</v>
      </c>
      <c r="D65">
        <f>C64</f>
        <v>714</v>
      </c>
    </row>
    <row r="67" spans="1:4">
      <c r="B67" t="s">
        <v>61</v>
      </c>
      <c r="C67" s="5">
        <f>D55</f>
        <v>1111.3333333333333</v>
      </c>
    </row>
    <row r="68" spans="1:4">
      <c r="B68" t="s">
        <v>226</v>
      </c>
      <c r="D68" s="5">
        <f>C67</f>
        <v>1111.3333333333333</v>
      </c>
    </row>
    <row r="70" spans="1:4">
      <c r="B70" t="s">
        <v>227</v>
      </c>
      <c r="C70">
        <v>714</v>
      </c>
    </row>
    <row r="71" spans="1:4">
      <c r="B71" t="s">
        <v>224</v>
      </c>
      <c r="D71">
        <f>C70</f>
        <v>714</v>
      </c>
    </row>
    <row r="73" spans="1:4">
      <c r="A73">
        <v>2</v>
      </c>
    </row>
    <row r="74" spans="1:4">
      <c r="B74" t="s">
        <v>182</v>
      </c>
      <c r="C74" s="5">
        <f>-ROUND(PV(0.12,5,20000,0,1),0)</f>
        <v>80747</v>
      </c>
    </row>
    <row r="75" spans="1:4">
      <c r="C75" s="1"/>
    </row>
    <row r="76" spans="1:4">
      <c r="B76" t="s">
        <v>192</v>
      </c>
      <c r="C76" s="5"/>
    </row>
    <row r="77" spans="1:4">
      <c r="B77" t="s">
        <v>193</v>
      </c>
    </row>
    <row r="79" spans="1:4">
      <c r="B79" t="s">
        <v>228</v>
      </c>
    </row>
    <row r="81" spans="2:6">
      <c r="B81" t="s">
        <v>229</v>
      </c>
      <c r="C81" s="5">
        <f>C74</f>
        <v>80747</v>
      </c>
    </row>
    <row r="82" spans="2:6">
      <c r="B82" t="s">
        <v>191</v>
      </c>
      <c r="D82" s="5">
        <f>C81</f>
        <v>80747</v>
      </c>
    </row>
    <row r="84" spans="2:6">
      <c r="B84" t="s">
        <v>230</v>
      </c>
      <c r="C84">
        <v>20000</v>
      </c>
    </row>
    <row r="85" spans="2:6">
      <c r="B85" t="s">
        <v>5</v>
      </c>
      <c r="D85">
        <v>20000</v>
      </c>
    </row>
    <row r="88" spans="2:6">
      <c r="B88" t="s">
        <v>221</v>
      </c>
      <c r="C88" t="s">
        <v>218</v>
      </c>
      <c r="D88" t="s">
        <v>219</v>
      </c>
      <c r="E88" t="s">
        <v>233</v>
      </c>
      <c r="F88" t="s">
        <v>234</v>
      </c>
    </row>
    <row r="89" spans="2:6">
      <c r="B89" t="s">
        <v>73</v>
      </c>
      <c r="F89" s="5">
        <f>C74</f>
        <v>80747</v>
      </c>
    </row>
    <row r="90" spans="2:6">
      <c r="B90" t="s">
        <v>73</v>
      </c>
      <c r="C90">
        <f>C84</f>
        <v>20000</v>
      </c>
      <c r="D90">
        <v>0</v>
      </c>
      <c r="E90">
        <f>C90-D90</f>
        <v>20000</v>
      </c>
      <c r="F90" s="5">
        <f>F89-E90</f>
        <v>60747</v>
      </c>
    </row>
    <row r="91" spans="2:6">
      <c r="B91" t="s">
        <v>72</v>
      </c>
      <c r="C91">
        <f>C90</f>
        <v>20000</v>
      </c>
      <c r="D91" s="5">
        <f>ROUND(F90*0.12,0)</f>
        <v>7290</v>
      </c>
      <c r="E91" s="5">
        <f>C91-D91</f>
        <v>12710</v>
      </c>
      <c r="F91" s="5">
        <f>F90-E91</f>
        <v>48037</v>
      </c>
    </row>
    <row r="92" spans="2:6">
      <c r="B92" t="s">
        <v>216</v>
      </c>
      <c r="C92">
        <f t="shared" ref="C92:C94" si="0">C91</f>
        <v>20000</v>
      </c>
      <c r="D92" s="5">
        <f t="shared" ref="D92:D94" si="1">ROUND(F91*0.12,0)</f>
        <v>5764</v>
      </c>
      <c r="E92" s="5">
        <f t="shared" ref="E92:E94" si="2">C92-D92</f>
        <v>14236</v>
      </c>
      <c r="F92" s="5">
        <f t="shared" ref="F92:F94" si="3">F91-E92</f>
        <v>33801</v>
      </c>
    </row>
    <row r="93" spans="2:6">
      <c r="B93" t="s">
        <v>231</v>
      </c>
      <c r="C93">
        <f t="shared" si="0"/>
        <v>20000</v>
      </c>
      <c r="D93" s="5">
        <f t="shared" si="1"/>
        <v>4056</v>
      </c>
      <c r="E93" s="5">
        <f t="shared" si="2"/>
        <v>15944</v>
      </c>
      <c r="F93" s="5">
        <f t="shared" si="3"/>
        <v>17857</v>
      </c>
    </row>
    <row r="94" spans="2:6">
      <c r="B94" t="s">
        <v>232</v>
      </c>
      <c r="C94">
        <f t="shared" si="0"/>
        <v>20000</v>
      </c>
      <c r="D94" s="5">
        <f t="shared" si="1"/>
        <v>2143</v>
      </c>
      <c r="E94" s="5">
        <f t="shared" si="2"/>
        <v>17857</v>
      </c>
      <c r="F94" s="5">
        <f t="shared" si="3"/>
        <v>0</v>
      </c>
    </row>
    <row r="96" spans="2:6">
      <c r="C96" t="s">
        <v>222</v>
      </c>
      <c r="D96" t="s">
        <v>219</v>
      </c>
      <c r="E96" t="s">
        <v>229</v>
      </c>
    </row>
    <row r="97" spans="1:5">
      <c r="B97" t="s">
        <v>73</v>
      </c>
      <c r="C97">
        <f>C94</f>
        <v>20000</v>
      </c>
      <c r="D97" s="5">
        <f>D91</f>
        <v>7290</v>
      </c>
      <c r="E97" s="5">
        <f>C81/5</f>
        <v>16149.4</v>
      </c>
    </row>
    <row r="98" spans="1:5">
      <c r="B98" t="s">
        <v>72</v>
      </c>
      <c r="C98">
        <f>C97</f>
        <v>20000</v>
      </c>
      <c r="D98" s="5">
        <f>D92</f>
        <v>5764</v>
      </c>
      <c r="E98" s="5">
        <f>E97</f>
        <v>16149.4</v>
      </c>
    </row>
    <row r="99" spans="1:5">
      <c r="B99" t="s">
        <v>216</v>
      </c>
      <c r="C99">
        <f t="shared" ref="C99:C101" si="4">C98</f>
        <v>20000</v>
      </c>
      <c r="D99" s="5">
        <f t="shared" ref="D99:D101" si="5">D93</f>
        <v>4056</v>
      </c>
      <c r="E99" s="5">
        <f t="shared" ref="E99:E101" si="6">E98</f>
        <v>16149.4</v>
      </c>
    </row>
    <row r="100" spans="1:5">
      <c r="B100" t="s">
        <v>231</v>
      </c>
      <c r="C100">
        <f t="shared" si="4"/>
        <v>20000</v>
      </c>
      <c r="D100" s="5">
        <f t="shared" si="5"/>
        <v>2143</v>
      </c>
      <c r="E100" s="5">
        <f t="shared" si="6"/>
        <v>16149.4</v>
      </c>
    </row>
    <row r="101" spans="1:5">
      <c r="B101" t="s">
        <v>232</v>
      </c>
      <c r="C101">
        <f t="shared" si="4"/>
        <v>20000</v>
      </c>
      <c r="D101" s="5">
        <f t="shared" si="5"/>
        <v>0</v>
      </c>
      <c r="E101" s="5">
        <f t="shared" si="6"/>
        <v>16149.4</v>
      </c>
    </row>
    <row r="103" spans="1:5">
      <c r="A103" s="9" t="s">
        <v>235</v>
      </c>
      <c r="B103" t="s">
        <v>219</v>
      </c>
      <c r="C103" s="5">
        <f>D91</f>
        <v>7290</v>
      </c>
    </row>
    <row r="104" spans="1:5">
      <c r="A104" s="9"/>
      <c r="B104" t="s">
        <v>61</v>
      </c>
      <c r="C104" s="5">
        <f>E97</f>
        <v>16149.4</v>
      </c>
    </row>
    <row r="105" spans="1:5">
      <c r="B105" t="s">
        <v>225</v>
      </c>
      <c r="D105" s="5">
        <f>C103</f>
        <v>7290</v>
      </c>
    </row>
    <row r="106" spans="1:5">
      <c r="B106" t="s">
        <v>226</v>
      </c>
      <c r="D106" s="5">
        <f>C104</f>
        <v>16149.4</v>
      </c>
    </row>
    <row r="108" spans="1:5">
      <c r="B108" t="s">
        <v>191</v>
      </c>
      <c r="C108" s="5">
        <f>E91</f>
        <v>12710</v>
      </c>
    </row>
    <row r="109" spans="1:5">
      <c r="B109" t="s">
        <v>225</v>
      </c>
      <c r="C109" s="5">
        <f>D91</f>
        <v>7290</v>
      </c>
    </row>
    <row r="110" spans="1:5">
      <c r="B110" t="s">
        <v>5</v>
      </c>
      <c r="D110">
        <f>C91</f>
        <v>20000</v>
      </c>
    </row>
    <row r="112" spans="1:5">
      <c r="A112" t="s">
        <v>236</v>
      </c>
      <c r="B112" t="s">
        <v>219</v>
      </c>
      <c r="C112" s="5">
        <f>D98</f>
        <v>5764</v>
      </c>
    </row>
    <row r="113" spans="1:4">
      <c r="B113" t="s">
        <v>61</v>
      </c>
      <c r="C113" s="5">
        <f>E98</f>
        <v>16149.4</v>
      </c>
    </row>
    <row r="114" spans="1:4">
      <c r="B114" t="s">
        <v>225</v>
      </c>
      <c r="D114" s="5">
        <f>C112</f>
        <v>5764</v>
      </c>
    </row>
    <row r="115" spans="1:4">
      <c r="B115" t="s">
        <v>226</v>
      </c>
      <c r="D115" s="5">
        <f>C113</f>
        <v>16149.4</v>
      </c>
    </row>
    <row r="117" spans="1:4">
      <c r="B117" t="s">
        <v>191</v>
      </c>
      <c r="C117" s="5">
        <f>$E$92</f>
        <v>14236</v>
      </c>
    </row>
    <row r="118" spans="1:4">
      <c r="B118" t="s">
        <v>225</v>
      </c>
      <c r="C118" s="5">
        <f>C112</f>
        <v>5764</v>
      </c>
    </row>
    <row r="119" spans="1:4">
      <c r="B119" t="s">
        <v>5</v>
      </c>
      <c r="D119">
        <f>C100</f>
        <v>20000</v>
      </c>
    </row>
    <row r="121" spans="1:4">
      <c r="A121" t="s">
        <v>237</v>
      </c>
      <c r="B121" t="s">
        <v>219</v>
      </c>
      <c r="C121" s="5">
        <f>D99</f>
        <v>4056</v>
      </c>
    </row>
    <row r="122" spans="1:4">
      <c r="B122" t="s">
        <v>61</v>
      </c>
      <c r="C122" s="5">
        <f>C113</f>
        <v>16149.4</v>
      </c>
    </row>
    <row r="123" spans="1:4">
      <c r="B123" t="s">
        <v>225</v>
      </c>
      <c r="D123" s="5">
        <f>C121</f>
        <v>4056</v>
      </c>
    </row>
    <row r="124" spans="1:4">
      <c r="B124" t="s">
        <v>226</v>
      </c>
      <c r="D124" s="5">
        <f>C122</f>
        <v>16149.4</v>
      </c>
    </row>
    <row r="126" spans="1:4">
      <c r="C126" s="5"/>
    </row>
    <row r="127" spans="1:4">
      <c r="A127">
        <v>3</v>
      </c>
      <c r="B127" t="s">
        <v>238</v>
      </c>
      <c r="C127" s="10">
        <v>0.14000000000000001</v>
      </c>
    </row>
    <row r="128" spans="1:4">
      <c r="B128" t="s">
        <v>182</v>
      </c>
      <c r="C128" s="5">
        <f>-ROUND(PV(0.14,5,14000,0,1),0)</f>
        <v>54792</v>
      </c>
      <c r="D128" s="5"/>
    </row>
    <row r="129" spans="2:4">
      <c r="B129" t="s">
        <v>188</v>
      </c>
    </row>
    <row r="130" spans="2:4">
      <c r="B130" t="s">
        <v>239</v>
      </c>
      <c r="C130" s="5"/>
    </row>
    <row r="131" spans="2:4">
      <c r="B131" t="s">
        <v>241</v>
      </c>
    </row>
    <row r="133" spans="2:4">
      <c r="B133" s="11" t="s">
        <v>240</v>
      </c>
      <c r="C133" s="5">
        <f>C128</f>
        <v>54792</v>
      </c>
    </row>
    <row r="134" spans="2:4">
      <c r="B134" s="11" t="s">
        <v>242</v>
      </c>
      <c r="C134" s="5">
        <v>62000</v>
      </c>
    </row>
    <row r="135" spans="2:4">
      <c r="B135" s="11" t="s">
        <v>18</v>
      </c>
      <c r="D135" s="1">
        <v>62000</v>
      </c>
    </row>
    <row r="136" spans="2:4">
      <c r="B136" t="s">
        <v>201</v>
      </c>
      <c r="D136" s="1">
        <f>C133</f>
        <v>54792</v>
      </c>
    </row>
    <row r="138" spans="2:4">
      <c r="B138" t="s">
        <v>22</v>
      </c>
      <c r="C138">
        <v>14000</v>
      </c>
    </row>
    <row r="139" spans="2:4">
      <c r="B139" s="11" t="s">
        <v>240</v>
      </c>
      <c r="D139">
        <f>C138</f>
        <v>14000</v>
      </c>
    </row>
    <row r="141" spans="2:4">
      <c r="B141" t="s">
        <v>196</v>
      </c>
      <c r="C141">
        <f>(C133-C138)*C127</f>
        <v>5710.88</v>
      </c>
    </row>
    <row r="142" spans="2:4">
      <c r="B142" t="s">
        <v>198</v>
      </c>
      <c r="D142">
        <f>C141</f>
        <v>5710.88</v>
      </c>
    </row>
    <row r="144" spans="2:4">
      <c r="B144" t="s">
        <v>238</v>
      </c>
      <c r="C144" s="10">
        <v>0.14000000000000001</v>
      </c>
    </row>
    <row r="145" spans="1:6">
      <c r="B145" t="s">
        <v>182</v>
      </c>
      <c r="C145" s="5">
        <f>ROUND(PV(0.14,5,-14000,0,1)+PV(0.14,5,0,-18000,0),0)</f>
        <v>64141</v>
      </c>
    </row>
    <row r="147" spans="1:6">
      <c r="B147" t="s">
        <v>188</v>
      </c>
    </row>
    <row r="148" spans="1:6">
      <c r="B148" t="s">
        <v>243</v>
      </c>
    </row>
    <row r="149" spans="1:6">
      <c r="B149" t="s">
        <v>244</v>
      </c>
    </row>
    <row r="151" spans="1:6">
      <c r="B151" t="s">
        <v>221</v>
      </c>
      <c r="C151" t="s">
        <v>247</v>
      </c>
      <c r="D151" t="s">
        <v>219</v>
      </c>
      <c r="E151" t="s">
        <v>248</v>
      </c>
      <c r="F151" t="s">
        <v>249</v>
      </c>
    </row>
    <row r="152" spans="1:6">
      <c r="B152" t="s">
        <v>246</v>
      </c>
      <c r="F152" s="5">
        <f>C145</f>
        <v>64141</v>
      </c>
    </row>
    <row r="153" spans="1:6">
      <c r="B153">
        <v>1</v>
      </c>
      <c r="C153">
        <v>14000</v>
      </c>
      <c r="D153">
        <v>0</v>
      </c>
      <c r="E153" s="2">
        <f>C153-D153</f>
        <v>14000</v>
      </c>
      <c r="F153" s="5">
        <f>F152-E153</f>
        <v>50141</v>
      </c>
    </row>
    <row r="154" spans="1:6">
      <c r="B154">
        <v>2</v>
      </c>
      <c r="C154">
        <f>C153</f>
        <v>14000</v>
      </c>
      <c r="D154" s="5">
        <f>ROUND(F153*0.14,0)</f>
        <v>7020</v>
      </c>
      <c r="E154" s="2">
        <f t="shared" ref="E154:E158" si="7">C154-D154</f>
        <v>6980</v>
      </c>
      <c r="F154" s="5">
        <f>F153-E154</f>
        <v>43161</v>
      </c>
    </row>
    <row r="155" spans="1:6">
      <c r="B155">
        <v>3</v>
      </c>
      <c r="C155">
        <f t="shared" ref="C155:C157" si="8">C154</f>
        <v>14000</v>
      </c>
      <c r="D155" s="5">
        <f t="shared" ref="D155:D158" si="9">ROUND(F154*0.14,0)</f>
        <v>6043</v>
      </c>
      <c r="E155" s="2">
        <f t="shared" si="7"/>
        <v>7957</v>
      </c>
      <c r="F155" s="5">
        <f t="shared" ref="F155:F157" si="10">F154-E155</f>
        <v>35204</v>
      </c>
    </row>
    <row r="156" spans="1:6">
      <c r="B156">
        <v>4</v>
      </c>
      <c r="C156">
        <f t="shared" si="8"/>
        <v>14000</v>
      </c>
      <c r="D156" s="5">
        <f t="shared" si="9"/>
        <v>4929</v>
      </c>
      <c r="E156" s="2">
        <f t="shared" si="7"/>
        <v>9071</v>
      </c>
      <c r="F156" s="5">
        <f t="shared" si="10"/>
        <v>26133</v>
      </c>
    </row>
    <row r="157" spans="1:6">
      <c r="B157">
        <v>5</v>
      </c>
      <c r="C157">
        <f t="shared" si="8"/>
        <v>14000</v>
      </c>
      <c r="D157" s="5">
        <f t="shared" si="9"/>
        <v>3659</v>
      </c>
      <c r="E157" s="2">
        <f t="shared" si="7"/>
        <v>10341</v>
      </c>
      <c r="F157" s="5">
        <f t="shared" si="10"/>
        <v>15792</v>
      </c>
    </row>
    <row r="158" spans="1:6">
      <c r="B158" t="s">
        <v>245</v>
      </c>
      <c r="C158">
        <v>18000</v>
      </c>
      <c r="D158" s="5">
        <f t="shared" si="9"/>
        <v>2211</v>
      </c>
      <c r="E158" s="2">
        <f t="shared" si="7"/>
        <v>15789</v>
      </c>
      <c r="F158" s="5">
        <f>F157-E158</f>
        <v>3</v>
      </c>
    </row>
    <row r="160" spans="1:6">
      <c r="A160">
        <v>4</v>
      </c>
      <c r="B160" t="s">
        <v>182</v>
      </c>
      <c r="C160" s="5">
        <f>PV(0.04/12,36,250,0,1)</f>
        <v>-8495.9172440710881</v>
      </c>
    </row>
    <row r="162" spans="1:6">
      <c r="A162">
        <v>5</v>
      </c>
      <c r="B162" t="s">
        <v>182</v>
      </c>
      <c r="C162" s="5">
        <f>ROUND(-PV(0.06/12,36,715,1),0)</f>
        <v>23504</v>
      </c>
    </row>
    <row r="163" spans="1:6">
      <c r="B163" t="s">
        <v>250</v>
      </c>
    </row>
    <row r="164" spans="1:6">
      <c r="B164" t="s">
        <v>251</v>
      </c>
    </row>
    <row r="166" spans="1:6">
      <c r="B166" t="s">
        <v>230</v>
      </c>
      <c r="C166" s="5">
        <f>C162</f>
        <v>23504</v>
      </c>
    </row>
    <row r="167" spans="1:6">
      <c r="B167" t="s">
        <v>252</v>
      </c>
      <c r="C167" s="5">
        <f>C166+720</f>
        <v>24224</v>
      </c>
    </row>
    <row r="169" spans="1:6">
      <c r="B169" t="s">
        <v>221</v>
      </c>
      <c r="C169" t="s">
        <v>218</v>
      </c>
      <c r="D169" t="s">
        <v>256</v>
      </c>
      <c r="E169" t="s">
        <v>220</v>
      </c>
      <c r="F169" t="s">
        <v>234</v>
      </c>
    </row>
    <row r="170" spans="1:6">
      <c r="B170" t="s">
        <v>257</v>
      </c>
      <c r="F170" s="5">
        <f>C166</f>
        <v>23504</v>
      </c>
    </row>
    <row r="171" spans="1:6">
      <c r="B171" t="s">
        <v>253</v>
      </c>
      <c r="C171">
        <v>715</v>
      </c>
      <c r="D171">
        <v>0</v>
      </c>
      <c r="E171">
        <f>C171-D171</f>
        <v>715</v>
      </c>
      <c r="F171" s="5">
        <f>F170-E171</f>
        <v>22789</v>
      </c>
    </row>
    <row r="172" spans="1:6">
      <c r="B172" t="s">
        <v>254</v>
      </c>
      <c r="C172">
        <v>715</v>
      </c>
      <c r="D172" s="5">
        <f>ROUND(F171*0.06/12,0)</f>
        <v>114</v>
      </c>
      <c r="E172">
        <f t="shared" ref="E172:E173" si="11">C172-D172</f>
        <v>601</v>
      </c>
      <c r="F172" s="5">
        <f t="shared" ref="F172:F173" si="12">F171-E172</f>
        <v>22188</v>
      </c>
    </row>
    <row r="173" spans="1:6">
      <c r="B173" t="s">
        <v>255</v>
      </c>
      <c r="C173">
        <v>715</v>
      </c>
      <c r="D173" s="5">
        <f>ROUND(F172*0.06/12,0)</f>
        <v>111</v>
      </c>
      <c r="E173">
        <f t="shared" si="11"/>
        <v>604</v>
      </c>
      <c r="F173" s="5">
        <f t="shared" si="12"/>
        <v>21584</v>
      </c>
    </row>
    <row r="175" spans="1:6">
      <c r="B175" t="s">
        <v>221</v>
      </c>
      <c r="C175" t="s">
        <v>259</v>
      </c>
      <c r="D175" t="s">
        <v>256</v>
      </c>
      <c r="E175" t="s">
        <v>258</v>
      </c>
    </row>
    <row r="176" spans="1:6">
      <c r="B176" s="9">
        <v>43861</v>
      </c>
      <c r="C176">
        <v>715</v>
      </c>
      <c r="D176" s="5">
        <f>D172</f>
        <v>114</v>
      </c>
      <c r="E176" s="5">
        <f>C167/36</f>
        <v>672.88888888888891</v>
      </c>
    </row>
    <row r="177" spans="2:5">
      <c r="B177" s="9">
        <v>43889</v>
      </c>
      <c r="C177">
        <v>715</v>
      </c>
      <c r="D177" s="5">
        <f>D173</f>
        <v>111</v>
      </c>
      <c r="E177" s="5">
        <f>E176</f>
        <v>672.88888888888891</v>
      </c>
    </row>
    <row r="178" spans="2:5">
      <c r="B178" s="9">
        <v>43921</v>
      </c>
      <c r="C178">
        <v>715</v>
      </c>
      <c r="D178" s="5">
        <f>F173*0.06/12</f>
        <v>107.92</v>
      </c>
      <c r="E178" s="5">
        <f>E177</f>
        <v>672.88888888888891</v>
      </c>
    </row>
    <row r="180" spans="2:5">
      <c r="B180" t="s">
        <v>252</v>
      </c>
      <c r="C180" s="5">
        <f>C167</f>
        <v>24224</v>
      </c>
    </row>
    <row r="181" spans="2:5">
      <c r="B181" t="s">
        <v>230</v>
      </c>
      <c r="D181" s="5">
        <f>C166</f>
        <v>23504</v>
      </c>
    </row>
    <row r="182" spans="2:5">
      <c r="B182" t="s">
        <v>5</v>
      </c>
      <c r="D182">
        <v>720</v>
      </c>
    </row>
    <row r="184" spans="2:5">
      <c r="B184" t="s">
        <v>230</v>
      </c>
      <c r="C184">
        <v>715</v>
      </c>
    </row>
    <row r="185" spans="2:5">
      <c r="B185" t="s">
        <v>5</v>
      </c>
      <c r="D185">
        <v>715</v>
      </c>
    </row>
    <row r="187" spans="2:5">
      <c r="B187" t="s">
        <v>219</v>
      </c>
      <c r="C187" s="5">
        <f>D176</f>
        <v>114</v>
      </c>
    </row>
    <row r="188" spans="2:5">
      <c r="B188" t="s">
        <v>261</v>
      </c>
      <c r="C188" s="5">
        <f>E176</f>
        <v>672.88888888888891</v>
      </c>
    </row>
    <row r="189" spans="2:5">
      <c r="B189" t="s">
        <v>260</v>
      </c>
      <c r="D189" s="5">
        <f>C187</f>
        <v>114</v>
      </c>
    </row>
    <row r="190" spans="2:5">
      <c r="B190" t="s">
        <v>226</v>
      </c>
      <c r="D190" s="5">
        <f>C188</f>
        <v>672.88888888888891</v>
      </c>
    </row>
    <row r="192" spans="2:5">
      <c r="B192" t="s">
        <v>260</v>
      </c>
      <c r="C192" s="5">
        <f>D189</f>
        <v>114</v>
      </c>
    </row>
    <row r="193" spans="2:4">
      <c r="B193" t="s">
        <v>191</v>
      </c>
      <c r="C193" s="5">
        <f>D194-C192</f>
        <v>601</v>
      </c>
    </row>
    <row r="194" spans="2:4">
      <c r="B194" t="s">
        <v>5</v>
      </c>
      <c r="D194">
        <v>715</v>
      </c>
    </row>
    <row r="196" spans="2:4">
      <c r="B196" t="s">
        <v>219</v>
      </c>
      <c r="C196" s="5">
        <f>D177</f>
        <v>111</v>
      </c>
    </row>
    <row r="197" spans="2:4">
      <c r="B197" t="s">
        <v>261</v>
      </c>
      <c r="C197" s="5">
        <f>C188</f>
        <v>672.88888888888891</v>
      </c>
    </row>
    <row r="198" spans="2:4">
      <c r="B198" t="s">
        <v>260</v>
      </c>
      <c r="D198" s="5">
        <f>C196</f>
        <v>111</v>
      </c>
    </row>
    <row r="199" spans="2:4">
      <c r="B199" t="s">
        <v>226</v>
      </c>
      <c r="D199" s="5">
        <f>C197</f>
        <v>672.88888888888891</v>
      </c>
    </row>
    <row r="201" spans="2:4">
      <c r="B201" t="s">
        <v>260</v>
      </c>
      <c r="C201" s="5">
        <f>D198</f>
        <v>111</v>
      </c>
    </row>
    <row r="202" spans="2:4">
      <c r="B202" t="s">
        <v>191</v>
      </c>
      <c r="C202" s="5">
        <f>D203-C201</f>
        <v>604</v>
      </c>
    </row>
    <row r="203" spans="2:4">
      <c r="B203" t="s">
        <v>5</v>
      </c>
      <c r="D203">
        <v>715</v>
      </c>
    </row>
    <row r="205" spans="2:4">
      <c r="B205" t="s">
        <v>219</v>
      </c>
      <c r="C205" s="5">
        <f>D178</f>
        <v>107.92</v>
      </c>
    </row>
    <row r="206" spans="2:4">
      <c r="B206" t="s">
        <v>261</v>
      </c>
      <c r="C206" s="5">
        <f>C197</f>
        <v>672.88888888888891</v>
      </c>
    </row>
    <row r="207" spans="2:4">
      <c r="B207" t="s">
        <v>260</v>
      </c>
      <c r="D207" s="5">
        <f>C205</f>
        <v>107.92</v>
      </c>
    </row>
    <row r="208" spans="2:4">
      <c r="B208" t="s">
        <v>226</v>
      </c>
      <c r="D208" s="5">
        <f>C206</f>
        <v>672.88888888888891</v>
      </c>
    </row>
    <row r="210" spans="1:6">
      <c r="A210">
        <v>6</v>
      </c>
      <c r="B210" t="s">
        <v>247</v>
      </c>
    </row>
    <row r="211" spans="1:6">
      <c r="B211">
        <v>0</v>
      </c>
      <c r="C211">
        <v>500</v>
      </c>
      <c r="D211" s="5">
        <f>-PV(0.07,B211,0,C211,1)</f>
        <v>500</v>
      </c>
    </row>
    <row r="212" spans="1:6">
      <c r="B212">
        <v>1</v>
      </c>
      <c r="C212">
        <f>C211*1.2</f>
        <v>600</v>
      </c>
      <c r="D212" s="5">
        <f>-PV(0.07,B212,0,C212,1)</f>
        <v>560.74766355140184</v>
      </c>
    </row>
    <row r="213" spans="1:6">
      <c r="B213">
        <v>2</v>
      </c>
      <c r="C213">
        <f>C212*1.2</f>
        <v>720</v>
      </c>
      <c r="D213" s="5">
        <f>-PV(0.07,B213,0,C213,1)</f>
        <v>628.87588435671239</v>
      </c>
    </row>
    <row r="214" spans="1:6">
      <c r="C214" t="s">
        <v>182</v>
      </c>
      <c r="D214" s="5">
        <f>ROUND(SUM(D211:D213),0)</f>
        <v>1690</v>
      </c>
    </row>
    <row r="216" spans="1:6">
      <c r="B216" t="s">
        <v>214</v>
      </c>
    </row>
    <row r="217" spans="1:6">
      <c r="B217" t="s">
        <v>262</v>
      </c>
    </row>
    <row r="218" spans="1:6">
      <c r="B218" t="s">
        <v>252</v>
      </c>
      <c r="C218" s="5">
        <f>D214</f>
        <v>1690</v>
      </c>
    </row>
    <row r="220" spans="1:6">
      <c r="B220" t="s">
        <v>221</v>
      </c>
      <c r="C220" t="s">
        <v>218</v>
      </c>
      <c r="D220" t="s">
        <v>219</v>
      </c>
      <c r="E220" t="s">
        <v>263</v>
      </c>
      <c r="F220" t="s">
        <v>264</v>
      </c>
    </row>
    <row r="221" spans="1:6">
      <c r="B221" t="s">
        <v>246</v>
      </c>
      <c r="F221" s="5">
        <f>D214</f>
        <v>1690</v>
      </c>
    </row>
    <row r="222" spans="1:6">
      <c r="B222" t="s">
        <v>73</v>
      </c>
      <c r="C222">
        <f>C211</f>
        <v>500</v>
      </c>
      <c r="D222">
        <v>0</v>
      </c>
      <c r="E222">
        <f>C222-D222</f>
        <v>500</v>
      </c>
      <c r="F222" s="5">
        <f>F221-E222</f>
        <v>1190</v>
      </c>
    </row>
    <row r="223" spans="1:6">
      <c r="B223" t="s">
        <v>72</v>
      </c>
      <c r="C223">
        <f t="shared" ref="C223:C224" si="13">C212</f>
        <v>600</v>
      </c>
      <c r="D223" s="5">
        <f>ROUND(F222*0.07,0)</f>
        <v>83</v>
      </c>
      <c r="E223">
        <f>C223-D223</f>
        <v>517</v>
      </c>
      <c r="F223" s="5">
        <f>F222-E223</f>
        <v>673</v>
      </c>
    </row>
    <row r="224" spans="1:6">
      <c r="B224" t="s">
        <v>216</v>
      </c>
      <c r="C224">
        <f t="shared" si="13"/>
        <v>720</v>
      </c>
      <c r="D224" s="5">
        <f>ROUND(F223*0.07,0)</f>
        <v>47</v>
      </c>
      <c r="E224">
        <f>C224-D224</f>
        <v>673</v>
      </c>
      <c r="F224" s="5">
        <f>F223-E224</f>
        <v>0</v>
      </c>
    </row>
    <row r="226" spans="2:5">
      <c r="B226" t="s">
        <v>221</v>
      </c>
      <c r="C226" t="s">
        <v>222</v>
      </c>
      <c r="D226" t="s">
        <v>219</v>
      </c>
      <c r="E226" t="s">
        <v>258</v>
      </c>
    </row>
    <row r="227" spans="2:5">
      <c r="B227" t="s">
        <v>265</v>
      </c>
      <c r="C227">
        <f>C222</f>
        <v>500</v>
      </c>
      <c r="D227" s="5">
        <f>D223</f>
        <v>83</v>
      </c>
      <c r="E227" s="5">
        <f>D214/3</f>
        <v>563.33333333333337</v>
      </c>
    </row>
    <row r="228" spans="2:5">
      <c r="B228" t="s">
        <v>266</v>
      </c>
      <c r="C228">
        <f>C223</f>
        <v>600</v>
      </c>
      <c r="D228" s="5">
        <f>D224</f>
        <v>47</v>
      </c>
      <c r="E228" s="5">
        <f>E227</f>
        <v>563.33333333333337</v>
      </c>
    </row>
    <row r="229" spans="2:5">
      <c r="B229" t="s">
        <v>267</v>
      </c>
      <c r="C229">
        <f>C224</f>
        <v>720</v>
      </c>
      <c r="D229">
        <v>0</v>
      </c>
      <c r="E229" s="5">
        <f>E228</f>
        <v>563.33333333333337</v>
      </c>
    </row>
    <row r="230" spans="2:5">
      <c r="C230">
        <f>SUM(C227:C229)</f>
        <v>1820</v>
      </c>
      <c r="D230" s="5">
        <f>SUM(D227:D229)</f>
        <v>130</v>
      </c>
      <c r="E230" s="5">
        <f>SUM(E227:E229)</f>
        <v>1690</v>
      </c>
    </row>
    <row r="232" spans="2:5">
      <c r="B232" t="s">
        <v>252</v>
      </c>
      <c r="C232" s="5">
        <f>C218</f>
        <v>1690</v>
      </c>
    </row>
    <row r="233" spans="2:5">
      <c r="B233" t="s">
        <v>230</v>
      </c>
      <c r="D233" s="5">
        <f>C232</f>
        <v>1690</v>
      </c>
    </row>
    <row r="235" spans="2:5">
      <c r="B235" t="s">
        <v>191</v>
      </c>
      <c r="C235">
        <v>500</v>
      </c>
    </row>
    <row r="236" spans="2:5">
      <c r="B236" t="s">
        <v>5</v>
      </c>
      <c r="D236">
        <f>C235</f>
        <v>500</v>
      </c>
    </row>
    <row r="238" spans="2:5">
      <c r="B238" t="s">
        <v>219</v>
      </c>
      <c r="C238" s="5">
        <f>D223</f>
        <v>83</v>
      </c>
    </row>
    <row r="239" spans="2:5">
      <c r="B239" t="s">
        <v>61</v>
      </c>
      <c r="C239" s="5">
        <f>E227</f>
        <v>563.33333333333337</v>
      </c>
    </row>
    <row r="240" spans="2:5">
      <c r="B240" t="s">
        <v>225</v>
      </c>
      <c r="D240" s="5">
        <f>C238</f>
        <v>83</v>
      </c>
    </row>
    <row r="241" spans="2:4">
      <c r="B241" t="s">
        <v>226</v>
      </c>
      <c r="D241" s="5">
        <f>C239</f>
        <v>563.33333333333337</v>
      </c>
    </row>
    <row r="243" spans="2:4">
      <c r="B243" t="s">
        <v>191</v>
      </c>
      <c r="C243">
        <f>E223</f>
        <v>517</v>
      </c>
    </row>
    <row r="244" spans="2:4">
      <c r="B244" t="s">
        <v>225</v>
      </c>
      <c r="C244" s="5">
        <f>C238</f>
        <v>83</v>
      </c>
      <c r="D244" s="5"/>
    </row>
    <row r="245" spans="2:4">
      <c r="B245" t="s">
        <v>5</v>
      </c>
      <c r="D245">
        <v>600</v>
      </c>
    </row>
    <row r="247" spans="2:4">
      <c r="B247" t="s">
        <v>219</v>
      </c>
      <c r="C247" s="5">
        <f>D224</f>
        <v>47</v>
      </c>
    </row>
    <row r="248" spans="2:4">
      <c r="B248" t="s">
        <v>61</v>
      </c>
      <c r="C248" s="5">
        <f>E228</f>
        <v>563.33333333333337</v>
      </c>
    </row>
    <row r="249" spans="2:4">
      <c r="B249" t="s">
        <v>225</v>
      </c>
      <c r="D249" s="5">
        <f>C247</f>
        <v>47</v>
      </c>
    </row>
    <row r="250" spans="2:4">
      <c r="B250" t="s">
        <v>226</v>
      </c>
      <c r="D250" s="5">
        <f>C248</f>
        <v>563.33333333333337</v>
      </c>
    </row>
    <row r="252" spans="2:4">
      <c r="B252" t="s">
        <v>191</v>
      </c>
      <c r="C252">
        <f>E224</f>
        <v>673</v>
      </c>
    </row>
    <row r="253" spans="2:4">
      <c r="B253" t="s">
        <v>225</v>
      </c>
      <c r="C253" s="5">
        <f>C247</f>
        <v>47</v>
      </c>
      <c r="D253" s="5"/>
    </row>
    <row r="254" spans="2:4">
      <c r="B254" t="s">
        <v>5</v>
      </c>
      <c r="D254">
        <f>SUM(C252:C253)</f>
        <v>720</v>
      </c>
    </row>
    <row r="256" spans="2:4">
      <c r="B256" t="s">
        <v>61</v>
      </c>
      <c r="C256" s="5">
        <f>D250</f>
        <v>563.33333333333337</v>
      </c>
    </row>
    <row r="257" spans="1:4">
      <c r="B257" t="s">
        <v>226</v>
      </c>
      <c r="D257" s="5">
        <f>C256</f>
        <v>563.33333333333337</v>
      </c>
    </row>
    <row r="259" spans="1:4">
      <c r="A259">
        <v>7</v>
      </c>
      <c r="B259" t="s">
        <v>182</v>
      </c>
      <c r="C259" s="5">
        <f>ROUND(-PV(0.07,4,(45000),0,1),0)</f>
        <v>163094</v>
      </c>
    </row>
    <row r="260" spans="1:4">
      <c r="B260" t="s">
        <v>268</v>
      </c>
    </row>
    <row r="261" spans="1:4">
      <c r="B261" t="s">
        <v>271</v>
      </c>
    </row>
    <row r="262" spans="1:4">
      <c r="B262" t="s">
        <v>269</v>
      </c>
    </row>
    <row r="264" spans="1:4">
      <c r="B264" t="s">
        <v>252</v>
      </c>
      <c r="C264" s="5">
        <f>C259</f>
        <v>163094</v>
      </c>
    </row>
    <row r="265" spans="1:4">
      <c r="B265" t="s">
        <v>230</v>
      </c>
      <c r="D265" s="5">
        <f>C264</f>
        <v>163094</v>
      </c>
    </row>
    <row r="267" spans="1:4">
      <c r="B267" t="s">
        <v>270</v>
      </c>
      <c r="C267">
        <v>45000</v>
      </c>
    </row>
    <row r="268" spans="1:4">
      <c r="B268" t="s">
        <v>5</v>
      </c>
      <c r="D268">
        <v>45000</v>
      </c>
    </row>
    <row r="270" spans="1:4">
      <c r="B270" t="s">
        <v>272</v>
      </c>
      <c r="C270" s="5">
        <f>ROUND((C264-C267)*0.07,0)</f>
        <v>8267</v>
      </c>
    </row>
    <row r="271" spans="1:4">
      <c r="B271" t="s">
        <v>273</v>
      </c>
      <c r="D271" s="5">
        <f>C270</f>
        <v>8267</v>
      </c>
    </row>
    <row r="273" spans="1:6">
      <c r="B273" t="s">
        <v>61</v>
      </c>
      <c r="C273" s="5">
        <f>ROUND(C264/4,0)</f>
        <v>40774</v>
      </c>
    </row>
    <row r="274" spans="1:6">
      <c r="B274" t="s">
        <v>226</v>
      </c>
      <c r="D274" s="5">
        <f>C273</f>
        <v>40774</v>
      </c>
    </row>
    <row r="276" spans="1:6">
      <c r="B276" t="s">
        <v>191</v>
      </c>
      <c r="C276" s="5">
        <f>D278-C277</f>
        <v>36733</v>
      </c>
    </row>
    <row r="277" spans="1:6">
      <c r="B277" t="s">
        <v>274</v>
      </c>
      <c r="C277" s="5">
        <f>C270</f>
        <v>8267</v>
      </c>
    </row>
    <row r="278" spans="1:6">
      <c r="B278" t="s">
        <v>5</v>
      </c>
      <c r="D278">
        <v>45000</v>
      </c>
    </row>
    <row r="280" spans="1:6">
      <c r="A280">
        <v>8</v>
      </c>
      <c r="B280" t="s">
        <v>56</v>
      </c>
      <c r="C280" t="s">
        <v>275</v>
      </c>
      <c r="D280" s="1">
        <v>170000</v>
      </c>
      <c r="E280" s="7">
        <f>D280/D282</f>
        <v>0.85</v>
      </c>
      <c r="F280">
        <f>E280*$F$282</f>
        <v>128350</v>
      </c>
    </row>
    <row r="281" spans="1:6">
      <c r="B281" t="s">
        <v>180</v>
      </c>
      <c r="C281" t="s">
        <v>276</v>
      </c>
      <c r="D281" s="1">
        <v>30000</v>
      </c>
      <c r="E281" s="7">
        <f>D281/D282</f>
        <v>0.15</v>
      </c>
      <c r="F281">
        <f>E281*$F$282</f>
        <v>22650</v>
      </c>
    </row>
    <row r="282" spans="1:6">
      <c r="D282" s="1">
        <f>SUM(D280:D281)</f>
        <v>200000</v>
      </c>
      <c r="F282">
        <v>151000</v>
      </c>
    </row>
    <row r="284" spans="1:6">
      <c r="B284" t="s">
        <v>182</v>
      </c>
      <c r="C284" s="5">
        <f>ROUND(-PV(0.05,4,F280,0,1),0)</f>
        <v>477879</v>
      </c>
    </row>
    <row r="285" spans="1:6">
      <c r="B285" t="s">
        <v>192</v>
      </c>
      <c r="C285" s="1"/>
    </row>
    <row r="286" spans="1:6">
      <c r="B286" t="s">
        <v>193</v>
      </c>
      <c r="C286" s="5"/>
    </row>
    <row r="288" spans="1:6">
      <c r="B288" t="s">
        <v>194</v>
      </c>
    </row>
    <row r="290" spans="2:6">
      <c r="B290" t="s">
        <v>221</v>
      </c>
      <c r="C290" t="s">
        <v>218</v>
      </c>
      <c r="D290" t="s">
        <v>277</v>
      </c>
      <c r="E290" t="s">
        <v>278</v>
      </c>
      <c r="F290" t="s">
        <v>234</v>
      </c>
    </row>
    <row r="291" spans="2:6">
      <c r="B291">
        <v>2017</v>
      </c>
      <c r="F291" s="5">
        <f>C284</f>
        <v>477879</v>
      </c>
    </row>
    <row r="292" spans="2:6">
      <c r="B292">
        <v>2017</v>
      </c>
      <c r="C292">
        <f>F280</f>
        <v>128350</v>
      </c>
      <c r="D292">
        <v>0</v>
      </c>
      <c r="E292">
        <f>C292-D292</f>
        <v>128350</v>
      </c>
      <c r="F292" s="5">
        <f>F291-E292</f>
        <v>349529</v>
      </c>
    </row>
    <row r="293" spans="2:6">
      <c r="B293">
        <f>B292+1</f>
        <v>2018</v>
      </c>
      <c r="C293">
        <f>C292</f>
        <v>128350</v>
      </c>
      <c r="D293" s="5">
        <f>ROUND(F292*0.05,0)</f>
        <v>17476</v>
      </c>
      <c r="E293">
        <f>C293-D293</f>
        <v>110874</v>
      </c>
      <c r="F293" s="5">
        <f>F292-E293</f>
        <v>238655</v>
      </c>
    </row>
    <row r="294" spans="2:6">
      <c r="B294">
        <f t="shared" ref="B294:B295" si="14">B293+1</f>
        <v>2019</v>
      </c>
      <c r="C294">
        <f>C293</f>
        <v>128350</v>
      </c>
      <c r="D294" s="5">
        <f t="shared" ref="D294:D295" si="15">ROUND(F293*0.05,0)</f>
        <v>11933</v>
      </c>
      <c r="E294">
        <f t="shared" ref="E294:E295" si="16">C294-D294</f>
        <v>116417</v>
      </c>
      <c r="F294" s="5">
        <f t="shared" ref="F294:F295" si="17">F293-E294</f>
        <v>122238</v>
      </c>
    </row>
    <row r="295" spans="2:6">
      <c r="B295">
        <f t="shared" si="14"/>
        <v>2020</v>
      </c>
      <c r="C295">
        <f>C294</f>
        <v>128350</v>
      </c>
      <c r="D295" s="5">
        <f t="shared" si="15"/>
        <v>6112</v>
      </c>
      <c r="E295">
        <f t="shared" si="16"/>
        <v>122238</v>
      </c>
      <c r="F295" s="5">
        <f t="shared" si="17"/>
        <v>0</v>
      </c>
    </row>
    <row r="297" spans="2:6">
      <c r="B297" t="s">
        <v>252</v>
      </c>
      <c r="C297" s="5">
        <f>C284</f>
        <v>477879</v>
      </c>
    </row>
    <row r="298" spans="2:6">
      <c r="B298" t="s">
        <v>191</v>
      </c>
      <c r="D298" s="5">
        <f>C297</f>
        <v>477879</v>
      </c>
    </row>
    <row r="300" spans="2:6">
      <c r="B300" t="s">
        <v>230</v>
      </c>
      <c r="C300">
        <f>C292</f>
        <v>128350</v>
      </c>
    </row>
    <row r="301" spans="2:6">
      <c r="B301" t="s">
        <v>5</v>
      </c>
      <c r="D301">
        <f>C300</f>
        <v>128350</v>
      </c>
    </row>
    <row r="303" spans="2:6">
      <c r="B303" t="s">
        <v>279</v>
      </c>
      <c r="C303">
        <f>F281</f>
        <v>22650</v>
      </c>
    </row>
    <row r="304" spans="2:6">
      <c r="B304" t="s">
        <v>5</v>
      </c>
      <c r="D304">
        <f>C303</f>
        <v>22650</v>
      </c>
    </row>
    <row r="306" spans="1:4">
      <c r="B306" t="s">
        <v>219</v>
      </c>
      <c r="C306" s="5">
        <f>D293</f>
        <v>17476</v>
      </c>
    </row>
    <row r="307" spans="1:4">
      <c r="B307" t="s">
        <v>273</v>
      </c>
      <c r="D307" s="5">
        <f>C306</f>
        <v>17476</v>
      </c>
    </row>
    <row r="309" spans="1:4">
      <c r="B309" t="s">
        <v>61</v>
      </c>
      <c r="C309" s="5">
        <f>ROUND(C297/4,0)</f>
        <v>119470</v>
      </c>
    </row>
    <row r="310" spans="1:4">
      <c r="B310" t="s">
        <v>226</v>
      </c>
      <c r="D310" s="5">
        <f>C309</f>
        <v>119470</v>
      </c>
    </row>
    <row r="312" spans="1:4">
      <c r="B312" t="s">
        <v>17</v>
      </c>
      <c r="C312" s="5">
        <f>C303</f>
        <v>22650</v>
      </c>
    </row>
    <row r="313" spans="1:4">
      <c r="B313" t="s">
        <v>279</v>
      </c>
      <c r="D313" s="5">
        <f>C312</f>
        <v>22650</v>
      </c>
    </row>
    <row r="315" spans="1:4">
      <c r="A315">
        <v>9</v>
      </c>
      <c r="B315" t="s">
        <v>182</v>
      </c>
      <c r="C315" s="5">
        <f>ROUND(-PV(0.04,5,39000,0,1),0)</f>
        <v>180566</v>
      </c>
    </row>
    <row r="317" spans="1:4">
      <c r="B317" t="s">
        <v>280</v>
      </c>
      <c r="D317" s="5">
        <f>C315</f>
        <v>180566</v>
      </c>
    </row>
    <row r="318" spans="1:4">
      <c r="B318" t="s">
        <v>281</v>
      </c>
      <c r="D318" s="5">
        <v>6000</v>
      </c>
    </row>
    <row r="319" spans="1:4">
      <c r="B319" t="s">
        <v>282</v>
      </c>
      <c r="D319" s="1">
        <v>-19000</v>
      </c>
    </row>
    <row r="320" spans="1:4">
      <c r="B320" t="s">
        <v>283</v>
      </c>
      <c r="D320" s="5">
        <f>SUM(D317:D319)</f>
        <v>167566</v>
      </c>
    </row>
    <row r="321" spans="1:4">
      <c r="C321" s="5"/>
    </row>
    <row r="322" spans="1:4">
      <c r="B322" t="s">
        <v>284</v>
      </c>
      <c r="C322">
        <v>39000</v>
      </c>
    </row>
    <row r="323" spans="1:4">
      <c r="B323" t="s">
        <v>5</v>
      </c>
      <c r="D323">
        <v>39000</v>
      </c>
    </row>
    <row r="325" spans="1:4">
      <c r="B325" t="s">
        <v>285</v>
      </c>
      <c r="C325">
        <v>6000</v>
      </c>
    </row>
    <row r="326" spans="1:4">
      <c r="B326" t="s">
        <v>5</v>
      </c>
      <c r="D326">
        <v>6000</v>
      </c>
    </row>
    <row r="328" spans="1:4">
      <c r="B328" t="s">
        <v>22</v>
      </c>
      <c r="C328">
        <v>19000</v>
      </c>
    </row>
    <row r="329" spans="1:4">
      <c r="B329" t="s">
        <v>287</v>
      </c>
      <c r="D329">
        <v>19000</v>
      </c>
    </row>
    <row r="331" spans="1:4">
      <c r="B331" t="s">
        <v>252</v>
      </c>
      <c r="C331" s="5">
        <f>SUM(D317:D318)</f>
        <v>186566</v>
      </c>
    </row>
    <row r="332" spans="1:4">
      <c r="B332" t="s">
        <v>270</v>
      </c>
      <c r="D332" s="5">
        <f>D317</f>
        <v>180566</v>
      </c>
    </row>
    <row r="333" spans="1:4">
      <c r="B333" t="s">
        <v>285</v>
      </c>
      <c r="D333">
        <f>C325</f>
        <v>6000</v>
      </c>
    </row>
    <row r="335" spans="1:4">
      <c r="A335">
        <v>10</v>
      </c>
      <c r="B335" t="s">
        <v>182</v>
      </c>
      <c r="C335" s="5">
        <f>-ROUND(PV(0.08,5,54000,0,1),0)</f>
        <v>232855</v>
      </c>
    </row>
    <row r="336" spans="1:4">
      <c r="B336" t="s">
        <v>192</v>
      </c>
    </row>
    <row r="337" spans="2:6">
      <c r="B337" t="s">
        <v>206</v>
      </c>
      <c r="C337" s="5"/>
    </row>
    <row r="338" spans="2:6">
      <c r="B338" t="s">
        <v>288</v>
      </c>
    </row>
    <row r="340" spans="2:6">
      <c r="B340" t="s">
        <v>252</v>
      </c>
      <c r="C340" s="5">
        <f>C335</f>
        <v>232855</v>
      </c>
    </row>
    <row r="341" spans="2:6">
      <c r="B341" t="s">
        <v>230</v>
      </c>
      <c r="D341" s="5">
        <f>C340</f>
        <v>232855</v>
      </c>
    </row>
    <row r="343" spans="2:6">
      <c r="B343" t="s">
        <v>289</v>
      </c>
      <c r="C343">
        <v>54000</v>
      </c>
    </row>
    <row r="344" spans="2:6">
      <c r="B344" t="s">
        <v>22</v>
      </c>
      <c r="D344">
        <v>54000</v>
      </c>
    </row>
    <row r="347" spans="2:6">
      <c r="B347" t="s">
        <v>221</v>
      </c>
      <c r="C347" t="s">
        <v>218</v>
      </c>
      <c r="D347" t="s">
        <v>277</v>
      </c>
      <c r="E347" t="s">
        <v>278</v>
      </c>
      <c r="F347" t="s">
        <v>234</v>
      </c>
    </row>
    <row r="348" spans="2:6">
      <c r="B348">
        <v>2018</v>
      </c>
      <c r="F348" s="5">
        <f>D341</f>
        <v>232855</v>
      </c>
    </row>
    <row r="349" spans="2:6">
      <c r="B349">
        <v>2018</v>
      </c>
      <c r="C349">
        <v>54000</v>
      </c>
      <c r="D349">
        <v>0</v>
      </c>
      <c r="E349">
        <f>C349-D349</f>
        <v>54000</v>
      </c>
      <c r="F349" s="5">
        <f>F348-E349</f>
        <v>178855</v>
      </c>
    </row>
    <row r="350" spans="2:6">
      <c r="B350">
        <f>B349+1</f>
        <v>2019</v>
      </c>
      <c r="C350">
        <f>C349</f>
        <v>54000</v>
      </c>
      <c r="D350" s="5">
        <f>ROUND(F349*0.08,0)</f>
        <v>14308</v>
      </c>
      <c r="E350">
        <f>C350-D350</f>
        <v>39692</v>
      </c>
      <c r="F350" s="5">
        <f>F349-E350</f>
        <v>139163</v>
      </c>
    </row>
    <row r="351" spans="2:6">
      <c r="B351">
        <f t="shared" ref="B351:B352" si="18">B350+1</f>
        <v>2020</v>
      </c>
      <c r="C351">
        <f>C350</f>
        <v>54000</v>
      </c>
      <c r="D351" s="5">
        <f t="shared" ref="D351:D353" si="19">ROUND(F350*0.08,0)</f>
        <v>11133</v>
      </c>
      <c r="E351">
        <f t="shared" ref="E351:E352" si="20">C351-D351</f>
        <v>42867</v>
      </c>
      <c r="F351" s="5">
        <f t="shared" ref="F351:F352" si="21">F350-E351</f>
        <v>96296</v>
      </c>
    </row>
    <row r="352" spans="2:6">
      <c r="B352">
        <f t="shared" si="18"/>
        <v>2021</v>
      </c>
      <c r="C352">
        <f>C351</f>
        <v>54000</v>
      </c>
      <c r="D352" s="5">
        <f t="shared" si="19"/>
        <v>7704</v>
      </c>
      <c r="E352">
        <f t="shared" si="20"/>
        <v>46296</v>
      </c>
      <c r="F352" s="5">
        <f t="shared" si="21"/>
        <v>50000</v>
      </c>
    </row>
    <row r="353" spans="1:6">
      <c r="B353">
        <v>2022</v>
      </c>
      <c r="C353">
        <f>C352</f>
        <v>54000</v>
      </c>
      <c r="D353" s="5">
        <f t="shared" si="19"/>
        <v>4000</v>
      </c>
      <c r="E353">
        <f t="shared" ref="E353" si="22">C353-D353</f>
        <v>50000</v>
      </c>
      <c r="F353" s="5">
        <f t="shared" ref="F353" si="23">F352-E353</f>
        <v>0</v>
      </c>
    </row>
    <row r="355" spans="1:6">
      <c r="B355" t="s">
        <v>219</v>
      </c>
      <c r="C355" s="5">
        <f>D350</f>
        <v>14308</v>
      </c>
    </row>
    <row r="356" spans="1:6">
      <c r="B356" t="s">
        <v>274</v>
      </c>
      <c r="D356" s="5">
        <f>D350</f>
        <v>14308</v>
      </c>
    </row>
    <row r="358" spans="1:6">
      <c r="B358" t="s">
        <v>61</v>
      </c>
      <c r="C358" s="5">
        <f>D341/5</f>
        <v>46571</v>
      </c>
    </row>
    <row r="359" spans="1:6">
      <c r="B359" t="s">
        <v>226</v>
      </c>
      <c r="D359" s="5">
        <f>C358</f>
        <v>46571</v>
      </c>
    </row>
    <row r="361" spans="1:6">
      <c r="B361" t="s">
        <v>191</v>
      </c>
      <c r="C361" s="5">
        <f>E350</f>
        <v>39692</v>
      </c>
    </row>
    <row r="362" spans="1:6">
      <c r="B362" t="s">
        <v>273</v>
      </c>
      <c r="C362" s="5">
        <f>C355</f>
        <v>14308</v>
      </c>
    </row>
    <row r="363" spans="1:6">
      <c r="B363" t="s">
        <v>5</v>
      </c>
      <c r="D363" s="5">
        <f>SUM(C361:C362)</f>
        <v>54000</v>
      </c>
    </row>
    <row r="365" spans="1:6">
      <c r="A365">
        <v>11</v>
      </c>
      <c r="B365" t="s">
        <v>182</v>
      </c>
      <c r="C365" s="5">
        <f>-ROUND(PV(0.05,6,180000,0,1),0)</f>
        <v>959306</v>
      </c>
    </row>
    <row r="366" spans="1:6">
      <c r="B366" t="s">
        <v>192</v>
      </c>
    </row>
    <row r="367" spans="1:6">
      <c r="B367" t="s">
        <v>193</v>
      </c>
    </row>
    <row r="368" spans="1:6">
      <c r="B368" t="s">
        <v>290</v>
      </c>
    </row>
    <row r="370" spans="2:6">
      <c r="B370" t="s">
        <v>252</v>
      </c>
      <c r="C370" s="5">
        <f>C365</f>
        <v>959306</v>
      </c>
    </row>
    <row r="371" spans="2:6">
      <c r="B371" t="s">
        <v>230</v>
      </c>
      <c r="D371" s="5">
        <f>C370</f>
        <v>959306</v>
      </c>
    </row>
    <row r="373" spans="2:6">
      <c r="B373" t="s">
        <v>191</v>
      </c>
      <c r="C373" s="1">
        <v>180000</v>
      </c>
    </row>
    <row r="374" spans="2:6">
      <c r="B374" t="s">
        <v>5</v>
      </c>
      <c r="D374" s="1">
        <v>180000</v>
      </c>
    </row>
    <row r="376" spans="2:6">
      <c r="B376" t="s">
        <v>221</v>
      </c>
      <c r="C376" t="s">
        <v>218</v>
      </c>
      <c r="D376" t="s">
        <v>277</v>
      </c>
      <c r="E376" t="s">
        <v>278</v>
      </c>
      <c r="F376" t="s">
        <v>234</v>
      </c>
    </row>
    <row r="377" spans="2:6">
      <c r="B377">
        <v>2018</v>
      </c>
      <c r="F377" s="5">
        <f>D371</f>
        <v>959306</v>
      </c>
    </row>
    <row r="378" spans="2:6">
      <c r="B378">
        <v>2018</v>
      </c>
      <c r="C378" s="1">
        <v>180000</v>
      </c>
      <c r="D378">
        <v>0</v>
      </c>
      <c r="E378">
        <f>C378-D378</f>
        <v>180000</v>
      </c>
      <c r="F378" s="5">
        <f>F377-E378</f>
        <v>779306</v>
      </c>
    </row>
    <row r="379" spans="2:6">
      <c r="B379">
        <f>B378+1</f>
        <v>2019</v>
      </c>
      <c r="C379">
        <f>C378</f>
        <v>180000</v>
      </c>
      <c r="D379" s="5">
        <f>ROUND(F378*0.05,0)</f>
        <v>38965</v>
      </c>
      <c r="E379">
        <f>C379-D379</f>
        <v>141035</v>
      </c>
      <c r="F379" s="5">
        <f>F378-E379</f>
        <v>638271</v>
      </c>
    </row>
    <row r="380" spans="2:6">
      <c r="B380">
        <f t="shared" ref="B380:B381" si="24">B379+1</f>
        <v>2020</v>
      </c>
      <c r="C380">
        <f>C379</f>
        <v>180000</v>
      </c>
      <c r="D380" s="5">
        <f t="shared" ref="D380:D382" si="25">ROUND(F379*0.05,0)</f>
        <v>31914</v>
      </c>
      <c r="E380">
        <f t="shared" ref="E380:E382" si="26">C380-D380</f>
        <v>148086</v>
      </c>
      <c r="F380" s="5">
        <f t="shared" ref="F380:F382" si="27">F379-E380</f>
        <v>490185</v>
      </c>
    </row>
    <row r="381" spans="2:6">
      <c r="B381">
        <f t="shared" si="24"/>
        <v>2021</v>
      </c>
      <c r="C381">
        <f>C380</f>
        <v>180000</v>
      </c>
      <c r="D381" s="5">
        <f t="shared" si="25"/>
        <v>24509</v>
      </c>
      <c r="E381">
        <f t="shared" si="26"/>
        <v>155491</v>
      </c>
      <c r="F381" s="5">
        <f t="shared" si="27"/>
        <v>334694</v>
      </c>
    </row>
    <row r="382" spans="2:6">
      <c r="B382">
        <v>2022</v>
      </c>
      <c r="C382">
        <f>C381</f>
        <v>180000</v>
      </c>
      <c r="D382" s="5">
        <f t="shared" si="25"/>
        <v>16735</v>
      </c>
      <c r="E382">
        <f t="shared" si="26"/>
        <v>163265</v>
      </c>
      <c r="F382" s="5">
        <f t="shared" si="27"/>
        <v>171429</v>
      </c>
    </row>
    <row r="383" spans="2:6">
      <c r="B383">
        <v>2022</v>
      </c>
      <c r="C383">
        <f>C382</f>
        <v>180000</v>
      </c>
      <c r="D383" s="5">
        <f t="shared" ref="D383" si="28">ROUND(F382*0.05,0)</f>
        <v>8571</v>
      </c>
      <c r="E383">
        <f t="shared" ref="E383" si="29">C383-D383</f>
        <v>171429</v>
      </c>
      <c r="F383" s="5">
        <f t="shared" ref="F383" si="30">F382-E383</f>
        <v>0</v>
      </c>
    </row>
    <row r="385" spans="1:4">
      <c r="B385" t="s">
        <v>195</v>
      </c>
      <c r="C385" s="5">
        <f>D379</f>
        <v>38965</v>
      </c>
    </row>
    <row r="386" spans="1:4">
      <c r="B386" t="s">
        <v>273</v>
      </c>
      <c r="D386" s="5">
        <f>C385</f>
        <v>38965</v>
      </c>
    </row>
    <row r="388" spans="1:4">
      <c r="B388" t="s">
        <v>61</v>
      </c>
      <c r="C388" s="5">
        <f>ROUND(C370/6,0)</f>
        <v>159884</v>
      </c>
    </row>
    <row r="389" spans="1:4">
      <c r="B389" t="s">
        <v>226</v>
      </c>
      <c r="D389" s="5">
        <f>C388</f>
        <v>159884</v>
      </c>
    </row>
    <row r="391" spans="1:4">
      <c r="B391" t="s">
        <v>191</v>
      </c>
      <c r="C391" s="5">
        <f>E379</f>
        <v>141035</v>
      </c>
    </row>
    <row r="392" spans="1:4">
      <c r="B392" t="s">
        <v>273</v>
      </c>
      <c r="C392" s="5">
        <f>D379</f>
        <v>38965</v>
      </c>
    </row>
    <row r="393" spans="1:4">
      <c r="B393" t="s">
        <v>5</v>
      </c>
      <c r="D393" s="5">
        <f>SUM(C391:C392)</f>
        <v>180000</v>
      </c>
    </row>
    <row r="395" spans="1:4">
      <c r="A395">
        <v>12</v>
      </c>
      <c r="B395" t="s">
        <v>182</v>
      </c>
      <c r="C395" s="2">
        <f>-ROUND(PV(0.05,5,48000,0,1),0)</f>
        <v>218206</v>
      </c>
    </row>
    <row r="396" spans="1:4">
      <c r="B396" t="s">
        <v>206</v>
      </c>
    </row>
    <row r="397" spans="1:4">
      <c r="B397" t="s">
        <v>291</v>
      </c>
      <c r="C397" s="5"/>
    </row>
    <row r="399" spans="1:4">
      <c r="B399" t="s">
        <v>287</v>
      </c>
      <c r="C399" s="3">
        <f>C395</f>
        <v>218206</v>
      </c>
    </row>
    <row r="400" spans="1:4">
      <c r="B400" t="s">
        <v>230</v>
      </c>
      <c r="D400" s="3">
        <f>C399</f>
        <v>218206</v>
      </c>
    </row>
    <row r="402" spans="2:6">
      <c r="B402" t="s">
        <v>289</v>
      </c>
      <c r="C402">
        <v>48000</v>
      </c>
    </row>
    <row r="403" spans="2:6">
      <c r="B403" t="s">
        <v>5</v>
      </c>
      <c r="D403">
        <v>48000</v>
      </c>
    </row>
    <row r="405" spans="2:6">
      <c r="B405" t="s">
        <v>221</v>
      </c>
      <c r="C405" t="s">
        <v>218</v>
      </c>
      <c r="D405" t="s">
        <v>277</v>
      </c>
      <c r="E405" t="s">
        <v>278</v>
      </c>
      <c r="F405" t="s">
        <v>234</v>
      </c>
    </row>
    <row r="406" spans="2:6">
      <c r="B406">
        <v>2020</v>
      </c>
      <c r="F406" s="5">
        <f>D400</f>
        <v>218206</v>
      </c>
    </row>
    <row r="407" spans="2:6">
      <c r="B407">
        <v>2020</v>
      </c>
      <c r="C407" s="1">
        <v>48000</v>
      </c>
      <c r="D407">
        <v>0</v>
      </c>
      <c r="E407">
        <f>C407-D407</f>
        <v>48000</v>
      </c>
      <c r="F407" s="5">
        <f>F406-E407</f>
        <v>170206</v>
      </c>
    </row>
    <row r="408" spans="2:6">
      <c r="B408">
        <v>2021</v>
      </c>
      <c r="C408">
        <f>C407</f>
        <v>48000</v>
      </c>
      <c r="D408" s="5">
        <f>ROUND(F407*0.05,0)</f>
        <v>8510</v>
      </c>
      <c r="E408">
        <f>C408-D408</f>
        <v>39490</v>
      </c>
      <c r="F408" s="5">
        <f>F407-E408</f>
        <v>130716</v>
      </c>
    </row>
    <row r="409" spans="2:6">
      <c r="B409">
        <v>2022</v>
      </c>
      <c r="C409">
        <f>C408</f>
        <v>48000</v>
      </c>
      <c r="D409" s="5">
        <f t="shared" ref="D409" si="31">ROUND(F408*0.05,0)</f>
        <v>6536</v>
      </c>
      <c r="E409">
        <f t="shared" ref="E409" si="32">C409-D409</f>
        <v>41464</v>
      </c>
      <c r="F409" s="5">
        <f t="shared" ref="F409" si="33">F408-E409</f>
        <v>89252</v>
      </c>
    </row>
    <row r="412" spans="2:6">
      <c r="B412" t="s">
        <v>219</v>
      </c>
      <c r="C412" s="5">
        <f>D408/2</f>
        <v>4255</v>
      </c>
    </row>
    <row r="413" spans="2:6">
      <c r="B413" t="s">
        <v>274</v>
      </c>
      <c r="D413" s="5">
        <f>C412</f>
        <v>4255</v>
      </c>
    </row>
    <row r="415" spans="2:6">
      <c r="B415" t="s">
        <v>61</v>
      </c>
      <c r="C415" s="3">
        <f>C399/5/2</f>
        <v>21820.6</v>
      </c>
    </row>
    <row r="416" spans="2:6">
      <c r="B416" t="s">
        <v>226</v>
      </c>
      <c r="D416" s="3">
        <f>C415</f>
        <v>21820.6</v>
      </c>
    </row>
    <row r="418" spans="1:4">
      <c r="B418" t="s">
        <v>219</v>
      </c>
      <c r="C418" s="5">
        <f>C412</f>
        <v>4255</v>
      </c>
    </row>
    <row r="419" spans="1:4">
      <c r="B419" t="s">
        <v>292</v>
      </c>
      <c r="C419" s="5">
        <f>C418</f>
        <v>4255</v>
      </c>
    </row>
    <row r="420" spans="1:4">
      <c r="B420" t="s">
        <v>289</v>
      </c>
      <c r="C420">
        <f>E408</f>
        <v>39490</v>
      </c>
    </row>
    <row r="421" spans="1:4">
      <c r="B421" t="s">
        <v>5</v>
      </c>
      <c r="D421" s="5">
        <f>SUM(C418:C420)</f>
        <v>48000</v>
      </c>
    </row>
    <row r="423" spans="1:4">
      <c r="B423" t="s">
        <v>219</v>
      </c>
      <c r="C423" s="5">
        <f>D409/2</f>
        <v>3268</v>
      </c>
    </row>
    <row r="424" spans="1:4">
      <c r="B424" t="s">
        <v>274</v>
      </c>
      <c r="D424" s="5">
        <f>C423</f>
        <v>3268</v>
      </c>
    </row>
    <row r="426" spans="1:4">
      <c r="B426" t="s">
        <v>61</v>
      </c>
      <c r="C426" s="3">
        <f>C399/5</f>
        <v>43641.2</v>
      </c>
    </row>
    <row r="427" spans="1:4">
      <c r="B427" t="s">
        <v>226</v>
      </c>
      <c r="D427" s="3">
        <f>C426</f>
        <v>43641.2</v>
      </c>
    </row>
    <row r="429" spans="1:4">
      <c r="A429">
        <v>13</v>
      </c>
      <c r="B429" t="s">
        <v>182</v>
      </c>
      <c r="C429" s="5">
        <f>-ROUND(PV(0.09, 10,95000,0,1),0)</f>
        <v>664548</v>
      </c>
    </row>
    <row r="430" spans="1:4">
      <c r="B430" t="s">
        <v>293</v>
      </c>
    </row>
    <row r="431" spans="1:4">
      <c r="B431" t="s">
        <v>228</v>
      </c>
    </row>
    <row r="433" spans="2:6">
      <c r="B433" t="s">
        <v>221</v>
      </c>
      <c r="C433" t="s">
        <v>218</v>
      </c>
      <c r="D433" t="s">
        <v>277</v>
      </c>
      <c r="E433" t="s">
        <v>278</v>
      </c>
      <c r="F433" t="s">
        <v>234</v>
      </c>
    </row>
    <row r="434" spans="2:6">
      <c r="B434">
        <v>2018</v>
      </c>
      <c r="F434" s="5">
        <f>C429</f>
        <v>664548</v>
      </c>
    </row>
    <row r="435" spans="2:6">
      <c r="B435">
        <v>2018</v>
      </c>
      <c r="C435" s="1">
        <v>95000</v>
      </c>
      <c r="D435">
        <v>0</v>
      </c>
      <c r="E435">
        <f>C435-D435</f>
        <v>95000</v>
      </c>
      <c r="F435" s="5">
        <f>F434-E435</f>
        <v>569548</v>
      </c>
    </row>
    <row r="436" spans="2:6">
      <c r="B436">
        <v>2019</v>
      </c>
      <c r="C436">
        <f>C435</f>
        <v>95000</v>
      </c>
      <c r="D436" s="5">
        <f>ROUND(F435*0.09,0)</f>
        <v>51259</v>
      </c>
      <c r="E436">
        <f>C436-D436</f>
        <v>43741</v>
      </c>
      <c r="F436" s="5">
        <f>F435-E436</f>
        <v>525807</v>
      </c>
    </row>
    <row r="437" spans="2:6">
      <c r="B437">
        <v>2020</v>
      </c>
      <c r="C437">
        <f>C436</f>
        <v>95000</v>
      </c>
      <c r="D437" s="5">
        <f>ROUND(F436*0.09,0)</f>
        <v>47323</v>
      </c>
      <c r="E437">
        <f t="shared" ref="E437" si="34">C437-D437</f>
        <v>47677</v>
      </c>
      <c r="F437" s="5">
        <f t="shared" ref="F437" si="35">F436-E437</f>
        <v>478130</v>
      </c>
    </row>
    <row r="439" spans="2:6">
      <c r="B439" t="s">
        <v>294</v>
      </c>
      <c r="D439" s="5">
        <f>C429</f>
        <v>664548</v>
      </c>
    </row>
    <row r="440" spans="2:6">
      <c r="B440" t="s">
        <v>295</v>
      </c>
      <c r="D440">
        <v>8500</v>
      </c>
    </row>
    <row r="441" spans="2:6">
      <c r="B441" t="s">
        <v>296</v>
      </c>
      <c r="D441" s="5">
        <f>SUM(D439:D440)</f>
        <v>673048</v>
      </c>
    </row>
    <row r="443" spans="2:6">
      <c r="B443" t="s">
        <v>286</v>
      </c>
      <c r="C443" s="5">
        <f>D441</f>
        <v>673048</v>
      </c>
    </row>
    <row r="444" spans="2:6">
      <c r="B444" t="s">
        <v>230</v>
      </c>
      <c r="D444" s="5">
        <f>D439</f>
        <v>664548</v>
      </c>
    </row>
    <row r="445" spans="2:6">
      <c r="B445" t="s">
        <v>5</v>
      </c>
      <c r="D445">
        <v>8500</v>
      </c>
    </row>
    <row r="447" spans="2:6">
      <c r="B447" t="s">
        <v>230</v>
      </c>
      <c r="C447">
        <v>95000</v>
      </c>
    </row>
    <row r="448" spans="2:6">
      <c r="B448" t="s">
        <v>5</v>
      </c>
      <c r="D448">
        <v>95000</v>
      </c>
    </row>
    <row r="450" spans="1:4">
      <c r="B450" t="s">
        <v>219</v>
      </c>
      <c r="C450" s="5">
        <f>D436</f>
        <v>51259</v>
      </c>
    </row>
    <row r="451" spans="1:4">
      <c r="B451" t="s">
        <v>230</v>
      </c>
      <c r="D451">
        <f>C450</f>
        <v>51259</v>
      </c>
    </row>
    <row r="453" spans="1:4">
      <c r="B453" t="s">
        <v>61</v>
      </c>
      <c r="C453" s="5">
        <f>ROUND(D441/10,0)</f>
        <v>67305</v>
      </c>
    </row>
    <row r="454" spans="1:4">
      <c r="B454" t="s">
        <v>286</v>
      </c>
      <c r="D454" s="5">
        <f>C453</f>
        <v>67305</v>
      </c>
    </row>
    <row r="456" spans="1:4">
      <c r="B456" t="s">
        <v>230</v>
      </c>
      <c r="C456">
        <v>95000</v>
      </c>
    </row>
    <row r="457" spans="1:4">
      <c r="B457" t="s">
        <v>5</v>
      </c>
      <c r="D457">
        <v>95000</v>
      </c>
    </row>
    <row r="459" spans="1:4">
      <c r="A459" t="s">
        <v>297</v>
      </c>
      <c r="B459" t="s">
        <v>286</v>
      </c>
      <c r="C459" s="5">
        <f>C443</f>
        <v>673048</v>
      </c>
    </row>
    <row r="460" spans="1:4">
      <c r="B460" t="s">
        <v>230</v>
      </c>
      <c r="D460" s="5">
        <f>D444</f>
        <v>664548</v>
      </c>
    </row>
    <row r="461" spans="1:4">
      <c r="B461" t="s">
        <v>5</v>
      </c>
      <c r="D461" s="5">
        <f>D445</f>
        <v>8500</v>
      </c>
    </row>
    <row r="463" spans="1:4">
      <c r="B463" t="s">
        <v>230</v>
      </c>
      <c r="C463" s="5">
        <f>C447</f>
        <v>95000</v>
      </c>
    </row>
    <row r="464" spans="1:4">
      <c r="B464" t="s">
        <v>5</v>
      </c>
      <c r="D464" s="5">
        <f>D448</f>
        <v>95000</v>
      </c>
    </row>
    <row r="466" spans="1:6">
      <c r="B466" t="s">
        <v>221</v>
      </c>
      <c r="C466" t="s">
        <v>218</v>
      </c>
      <c r="D466" t="s">
        <v>277</v>
      </c>
      <c r="E466" t="s">
        <v>278</v>
      </c>
      <c r="F466" t="s">
        <v>234</v>
      </c>
    </row>
    <row r="467" spans="1:6">
      <c r="B467">
        <v>2018</v>
      </c>
      <c r="F467" s="5">
        <f>D460</f>
        <v>664548</v>
      </c>
    </row>
    <row r="468" spans="1:6">
      <c r="B468">
        <v>2018</v>
      </c>
      <c r="C468" s="1">
        <v>95000</v>
      </c>
      <c r="D468">
        <v>0</v>
      </c>
      <c r="E468">
        <f>C468-D468</f>
        <v>95000</v>
      </c>
      <c r="F468" s="5">
        <f>F467-E468</f>
        <v>569548</v>
      </c>
    </row>
    <row r="469" spans="1:6">
      <c r="B469">
        <v>2019</v>
      </c>
      <c r="C469">
        <f>C468</f>
        <v>95000</v>
      </c>
      <c r="D469" s="5">
        <f>ROUND(F468*0.09,0)</f>
        <v>51259</v>
      </c>
      <c r="E469">
        <f>C469-D469</f>
        <v>43741</v>
      </c>
      <c r="F469" s="5">
        <f>F468-E469</f>
        <v>525807</v>
      </c>
    </row>
    <row r="471" spans="1:6">
      <c r="B471" t="s">
        <v>298</v>
      </c>
      <c r="C471" t="s">
        <v>222</v>
      </c>
      <c r="D471" t="s">
        <v>300</v>
      </c>
      <c r="E471" t="s">
        <v>258</v>
      </c>
    </row>
    <row r="472" spans="1:6">
      <c r="B472" t="s">
        <v>299</v>
      </c>
      <c r="C472" s="1">
        <f>C468</f>
        <v>95000</v>
      </c>
      <c r="D472" s="5">
        <f>D469</f>
        <v>51259</v>
      </c>
      <c r="E472" s="5">
        <f>C459/10</f>
        <v>67304.800000000003</v>
      </c>
    </row>
    <row r="474" spans="1:6">
      <c r="B474" t="s">
        <v>222</v>
      </c>
      <c r="C474" s="5">
        <f>D472+E472</f>
        <v>118563.8</v>
      </c>
    </row>
    <row r="475" spans="1:6">
      <c r="B475" t="s">
        <v>287</v>
      </c>
      <c r="D475" s="5">
        <f>E472</f>
        <v>67304.800000000003</v>
      </c>
    </row>
    <row r="476" spans="1:6">
      <c r="B476" t="s">
        <v>301</v>
      </c>
      <c r="D476" s="5">
        <f>D472</f>
        <v>51259</v>
      </c>
    </row>
    <row r="478" spans="1:6">
      <c r="A478">
        <v>14</v>
      </c>
      <c r="B478" t="s">
        <v>182</v>
      </c>
      <c r="C478" s="5">
        <f>ROUND(-PV(0.07,5,800000,0,1)+-PV(0.07,5,0,5400000,0),0)</f>
        <v>7359894</v>
      </c>
    </row>
    <row r="479" spans="1:6">
      <c r="B479" t="s">
        <v>302</v>
      </c>
    </row>
    <row r="480" spans="1:6">
      <c r="B480" t="s">
        <v>304</v>
      </c>
    </row>
    <row r="481" spans="2:6">
      <c r="B481" t="s">
        <v>303</v>
      </c>
    </row>
    <row r="483" spans="2:6">
      <c r="B483" t="s">
        <v>252</v>
      </c>
      <c r="C483" s="5">
        <f>C478</f>
        <v>7359894</v>
      </c>
    </row>
    <row r="484" spans="2:6">
      <c r="B484" t="s">
        <v>230</v>
      </c>
      <c r="D484" s="5">
        <f>C483</f>
        <v>7359894</v>
      </c>
      <c r="E484" s="1"/>
      <c r="F484" s="5"/>
    </row>
    <row r="486" spans="2:6">
      <c r="B486" t="s">
        <v>191</v>
      </c>
      <c r="C486" s="1">
        <v>800000</v>
      </c>
    </row>
    <row r="487" spans="2:6">
      <c r="B487" t="s">
        <v>5</v>
      </c>
      <c r="D487" s="1">
        <f>C486</f>
        <v>800000</v>
      </c>
    </row>
    <row r="489" spans="2:6">
      <c r="B489" t="s">
        <v>221</v>
      </c>
      <c r="C489" t="s">
        <v>218</v>
      </c>
      <c r="D489" t="s">
        <v>277</v>
      </c>
      <c r="E489" t="s">
        <v>278</v>
      </c>
      <c r="F489" t="s">
        <v>234</v>
      </c>
    </row>
    <row r="490" spans="2:6">
      <c r="B490">
        <v>2019</v>
      </c>
      <c r="F490" s="5">
        <f>D484</f>
        <v>7359894</v>
      </c>
    </row>
    <row r="491" spans="2:6">
      <c r="B491">
        <v>2019</v>
      </c>
      <c r="C491" s="1">
        <v>800000</v>
      </c>
      <c r="D491">
        <v>0</v>
      </c>
      <c r="E491">
        <f>C491-D491</f>
        <v>800000</v>
      </c>
      <c r="F491" s="5">
        <f>F490-E491</f>
        <v>6559894</v>
      </c>
    </row>
    <row r="492" spans="2:6">
      <c r="B492">
        <v>2020</v>
      </c>
      <c r="C492" s="1">
        <v>800000</v>
      </c>
      <c r="D492" s="5">
        <f>ROUND(F491*0.07,0)</f>
        <v>459193</v>
      </c>
      <c r="E492">
        <f>C492-D492</f>
        <v>340807</v>
      </c>
      <c r="F492" s="5">
        <f>F491-E492</f>
        <v>6219087</v>
      </c>
    </row>
    <row r="493" spans="2:6">
      <c r="B493">
        <f>B492+1</f>
        <v>2021</v>
      </c>
      <c r="C493" s="1">
        <v>800000</v>
      </c>
      <c r="D493" s="5">
        <f t="shared" ref="D493:D496" si="36">ROUND(F492*0.07,0)</f>
        <v>435336</v>
      </c>
      <c r="E493">
        <f t="shared" ref="E493:E496" si="37">C493-D493</f>
        <v>364664</v>
      </c>
      <c r="F493" s="5">
        <f t="shared" ref="F493:F496" si="38">F492-E493</f>
        <v>5854423</v>
      </c>
    </row>
    <row r="494" spans="2:6">
      <c r="B494">
        <f t="shared" ref="B494:B495" si="39">B493+1</f>
        <v>2022</v>
      </c>
      <c r="C494" s="1">
        <v>800000</v>
      </c>
      <c r="D494" s="5">
        <f t="shared" si="36"/>
        <v>409810</v>
      </c>
      <c r="E494">
        <f t="shared" si="37"/>
        <v>390190</v>
      </c>
      <c r="F494" s="5">
        <f t="shared" si="38"/>
        <v>5464233</v>
      </c>
    </row>
    <row r="495" spans="2:6">
      <c r="B495">
        <f t="shared" si="39"/>
        <v>2023</v>
      </c>
      <c r="C495" s="1">
        <v>800000</v>
      </c>
      <c r="D495" s="5">
        <f t="shared" si="36"/>
        <v>382496</v>
      </c>
      <c r="E495">
        <f t="shared" si="37"/>
        <v>417504</v>
      </c>
      <c r="F495" s="5">
        <f t="shared" si="38"/>
        <v>5046729</v>
      </c>
    </row>
    <row r="496" spans="2:6">
      <c r="B496" t="s">
        <v>305</v>
      </c>
      <c r="C496" s="1">
        <v>5400000</v>
      </c>
      <c r="D496" s="5">
        <f t="shared" si="36"/>
        <v>353271</v>
      </c>
      <c r="E496">
        <f t="shared" si="37"/>
        <v>5046729</v>
      </c>
      <c r="F496" s="5">
        <f t="shared" si="38"/>
        <v>0</v>
      </c>
    </row>
    <row r="498" spans="1:4">
      <c r="B498" t="s">
        <v>219</v>
      </c>
      <c r="C498" s="5">
        <f>D492</f>
        <v>459193</v>
      </c>
    </row>
    <row r="499" spans="1:4">
      <c r="B499" t="s">
        <v>230</v>
      </c>
      <c r="D499" s="5">
        <f>C498</f>
        <v>459193</v>
      </c>
    </row>
    <row r="501" spans="1:4">
      <c r="B501" t="s">
        <v>61</v>
      </c>
      <c r="C501" s="5">
        <f>C483/10</f>
        <v>735989.4</v>
      </c>
    </row>
    <row r="502" spans="1:4">
      <c r="B502" t="s">
        <v>286</v>
      </c>
      <c r="D502" s="5">
        <f>C501</f>
        <v>735989.4</v>
      </c>
    </row>
    <row r="504" spans="1:4">
      <c r="A504">
        <v>15</v>
      </c>
      <c r="B504" t="s">
        <v>182</v>
      </c>
      <c r="C504" s="5">
        <f>ROUND(-PV(0.12,5,100000,0,1)+-PV(0.12,5,0,170000,0),0)</f>
        <v>500198</v>
      </c>
    </row>
    <row r="505" spans="1:4">
      <c r="B505" t="s">
        <v>307</v>
      </c>
    </row>
    <row r="506" spans="1:4">
      <c r="B506" t="s">
        <v>306</v>
      </c>
    </row>
    <row r="508" spans="1:4">
      <c r="B508" t="s">
        <v>405</v>
      </c>
      <c r="C508" s="10">
        <v>0.05</v>
      </c>
    </row>
    <row r="510" spans="1:4">
      <c r="B510" t="s">
        <v>182</v>
      </c>
      <c r="C510" s="5">
        <f>ROUND(-PV(0.05,5,100000,0,1)+-PV(0.05,5,0,170000,0),0)+1</f>
        <v>587795</v>
      </c>
    </row>
    <row r="511" spans="1:4">
      <c r="B511" t="s">
        <v>214</v>
      </c>
    </row>
    <row r="513" spans="2:6">
      <c r="B513" t="s">
        <v>182</v>
      </c>
    </row>
    <row r="514" spans="2:6">
      <c r="B514" t="s">
        <v>406</v>
      </c>
    </row>
    <row r="515" spans="2:6">
      <c r="B515" t="s">
        <v>407</v>
      </c>
    </row>
    <row r="517" spans="2:6">
      <c r="B517" t="s">
        <v>408</v>
      </c>
    </row>
    <row r="519" spans="2:6">
      <c r="B519" t="s">
        <v>286</v>
      </c>
      <c r="C519" s="5">
        <f>SUM(D520:D521)</f>
        <v>515198</v>
      </c>
    </row>
    <row r="520" spans="2:6">
      <c r="B520" t="s">
        <v>270</v>
      </c>
      <c r="C520" t="s">
        <v>341</v>
      </c>
      <c r="D520" s="5">
        <f>C504</f>
        <v>500198</v>
      </c>
    </row>
    <row r="521" spans="2:6">
      <c r="B521" t="s">
        <v>5</v>
      </c>
      <c r="D521">
        <v>15000</v>
      </c>
    </row>
    <row r="523" spans="2:6">
      <c r="B523" t="s">
        <v>270</v>
      </c>
      <c r="C523" s="1">
        <v>100000</v>
      </c>
    </row>
    <row r="524" spans="2:6">
      <c r="B524" t="s">
        <v>5</v>
      </c>
      <c r="D524" s="1">
        <f>C523</f>
        <v>100000</v>
      </c>
    </row>
    <row r="526" spans="2:6">
      <c r="C526" t="s">
        <v>218</v>
      </c>
      <c r="D526" t="s">
        <v>219</v>
      </c>
      <c r="E526" t="s">
        <v>409</v>
      </c>
      <c r="F526" t="s">
        <v>410</v>
      </c>
    </row>
    <row r="527" spans="2:6">
      <c r="B527" t="s">
        <v>246</v>
      </c>
      <c r="F527" s="5">
        <f>D520</f>
        <v>500198</v>
      </c>
    </row>
    <row r="528" spans="2:6">
      <c r="B528">
        <v>2019</v>
      </c>
      <c r="C528" s="1">
        <v>100000</v>
      </c>
      <c r="D528" s="5">
        <v>0</v>
      </c>
      <c r="E528" s="5">
        <f>C528-D528</f>
        <v>100000</v>
      </c>
      <c r="F528" s="5">
        <f>F527-E528</f>
        <v>400198</v>
      </c>
    </row>
    <row r="529" spans="2:6">
      <c r="B529">
        <v>2020</v>
      </c>
      <c r="C529" s="1">
        <v>100000</v>
      </c>
      <c r="D529" s="5">
        <f>F528*0.12</f>
        <v>48023.759999999995</v>
      </c>
      <c r="E529" s="5">
        <f>C529-D529</f>
        <v>51976.240000000005</v>
      </c>
      <c r="F529" s="5">
        <f>F528-E529</f>
        <v>348221.76</v>
      </c>
    </row>
    <row r="532" spans="2:6">
      <c r="B532" t="s">
        <v>221</v>
      </c>
      <c r="C532" t="s">
        <v>222</v>
      </c>
      <c r="D532" t="s">
        <v>219</v>
      </c>
      <c r="E532" t="s">
        <v>411</v>
      </c>
    </row>
    <row r="533" spans="2:6">
      <c r="B533">
        <v>2019</v>
      </c>
      <c r="C533" s="1">
        <f>C529+D521</f>
        <v>115000</v>
      </c>
      <c r="D533" s="5">
        <f>D529</f>
        <v>48023.759999999995</v>
      </c>
      <c r="E533" s="5">
        <f>C519/5</f>
        <v>103039.6</v>
      </c>
    </row>
    <row r="535" spans="2:6">
      <c r="B535" t="s">
        <v>222</v>
      </c>
      <c r="C535" s="5">
        <f>D533+E533</f>
        <v>151063.35999999999</v>
      </c>
    </row>
    <row r="536" spans="2:6">
      <c r="B536" t="s">
        <v>225</v>
      </c>
      <c r="D536" s="5">
        <f>D533</f>
        <v>48023.759999999995</v>
      </c>
    </row>
    <row r="537" spans="2:6">
      <c r="B537" t="s">
        <v>412</v>
      </c>
      <c r="D537" s="5">
        <f>E533</f>
        <v>103039.6</v>
      </c>
    </row>
    <row r="540" spans="2:6">
      <c r="B540" t="s">
        <v>200</v>
      </c>
      <c r="C540" s="5">
        <f>C510</f>
        <v>587795</v>
      </c>
    </row>
    <row r="541" spans="2:6">
      <c r="B541" t="s">
        <v>5</v>
      </c>
      <c r="C541" s="5"/>
    </row>
    <row r="542" spans="2:6">
      <c r="B542" t="s">
        <v>18</v>
      </c>
      <c r="D542" s="5">
        <f>C540</f>
        <v>587795</v>
      </c>
    </row>
    <row r="544" spans="2:6">
      <c r="B544" t="s">
        <v>22</v>
      </c>
      <c r="C544" s="1">
        <v>100000</v>
      </c>
    </row>
    <row r="545" spans="1:6">
      <c r="B545" t="s">
        <v>200</v>
      </c>
      <c r="D545" s="1">
        <f>C544</f>
        <v>100000</v>
      </c>
    </row>
    <row r="547" spans="1:6">
      <c r="C547" t="s">
        <v>218</v>
      </c>
      <c r="D547" t="s">
        <v>219</v>
      </c>
      <c r="E547" t="s">
        <v>409</v>
      </c>
      <c r="F547" t="s">
        <v>410</v>
      </c>
    </row>
    <row r="548" spans="1:6">
      <c r="B548" t="s">
        <v>246</v>
      </c>
      <c r="F548" s="5">
        <f>D542</f>
        <v>587795</v>
      </c>
    </row>
    <row r="549" spans="1:6">
      <c r="B549">
        <v>2019</v>
      </c>
      <c r="C549" s="1">
        <v>100000</v>
      </c>
      <c r="D549" s="5">
        <v>0</v>
      </c>
      <c r="E549" s="5">
        <f>C549-D549</f>
        <v>100000</v>
      </c>
      <c r="F549" s="5">
        <f>F548-E549</f>
        <v>487795</v>
      </c>
    </row>
    <row r="550" spans="1:6">
      <c r="B550">
        <v>2020</v>
      </c>
      <c r="C550" s="1">
        <v>100000</v>
      </c>
      <c r="D550" s="5">
        <f>F549*0.05</f>
        <v>24389.75</v>
      </c>
      <c r="E550" s="5">
        <f>C550-D550</f>
        <v>75610.25</v>
      </c>
      <c r="F550" s="5">
        <f>F549-E550</f>
        <v>412184.75</v>
      </c>
    </row>
    <row r="552" spans="1:6">
      <c r="B552" t="s">
        <v>203</v>
      </c>
      <c r="C552" s="5">
        <f>D550</f>
        <v>24389.75</v>
      </c>
    </row>
    <row r="553" spans="1:6">
      <c r="B553" t="s">
        <v>196</v>
      </c>
      <c r="D553" s="5">
        <f>C552</f>
        <v>24389.75</v>
      </c>
    </row>
    <row r="555" spans="1:6">
      <c r="A555">
        <v>16</v>
      </c>
      <c r="B555" s="5">
        <f>ROUND(-PV(0.05,9,170000,0,1),0)</f>
        <v>1268746</v>
      </c>
    </row>
    <row r="556" spans="1:6">
      <c r="B556" t="s">
        <v>192</v>
      </c>
    </row>
    <row r="557" spans="1:6">
      <c r="B557" t="s">
        <v>293</v>
      </c>
    </row>
    <row r="558" spans="1:6">
      <c r="B558" t="s">
        <v>414</v>
      </c>
    </row>
    <row r="559" spans="1:6">
      <c r="B559" t="s">
        <v>413</v>
      </c>
    </row>
    <row r="560" spans="1:6">
      <c r="B560" t="s">
        <v>421</v>
      </c>
    </row>
    <row r="562" spans="2:6">
      <c r="B562" t="s">
        <v>221</v>
      </c>
      <c r="C562" t="s">
        <v>218</v>
      </c>
      <c r="D562" t="s">
        <v>219</v>
      </c>
      <c r="E562" t="s">
        <v>248</v>
      </c>
      <c r="F562" t="s">
        <v>234</v>
      </c>
    </row>
    <row r="563" spans="2:6">
      <c r="B563">
        <v>2019</v>
      </c>
      <c r="F563" s="5">
        <f>B555</f>
        <v>1268746</v>
      </c>
    </row>
    <row r="564" spans="2:6">
      <c r="B564">
        <v>2019</v>
      </c>
      <c r="C564" s="1">
        <v>170000</v>
      </c>
      <c r="D564" s="5"/>
      <c r="E564" s="5">
        <f>C564-D564</f>
        <v>170000</v>
      </c>
      <c r="F564" s="5">
        <f>F563-E564</f>
        <v>1098746</v>
      </c>
    </row>
    <row r="565" spans="2:6">
      <c r="B565">
        <f>B564+1</f>
        <v>2020</v>
      </c>
      <c r="C565" s="1">
        <v>170000</v>
      </c>
      <c r="D565" s="5">
        <f>ROUND(F564*0.05,0)</f>
        <v>54937</v>
      </c>
      <c r="E565" s="5">
        <f>C565-D565</f>
        <v>115063</v>
      </c>
      <c r="F565" s="5">
        <f>F564-E565</f>
        <v>983683</v>
      </c>
    </row>
    <row r="566" spans="2:6">
      <c r="B566">
        <f t="shared" ref="B566:B572" si="40">B565+1</f>
        <v>2021</v>
      </c>
      <c r="C566" s="1">
        <v>170000</v>
      </c>
      <c r="D566" s="5">
        <f t="shared" ref="D566:D572" si="41">ROUND(F565*0.05,0)</f>
        <v>49184</v>
      </c>
      <c r="E566" s="5">
        <f t="shared" ref="E566:E572" si="42">C566-D566</f>
        <v>120816</v>
      </c>
      <c r="F566" s="5">
        <f t="shared" ref="F566:F572" si="43">F565-E566</f>
        <v>862867</v>
      </c>
    </row>
    <row r="567" spans="2:6">
      <c r="B567">
        <f t="shared" si="40"/>
        <v>2022</v>
      </c>
      <c r="C567" s="1">
        <v>170000</v>
      </c>
      <c r="D567" s="5">
        <f t="shared" si="41"/>
        <v>43143</v>
      </c>
      <c r="E567" s="5">
        <f t="shared" si="42"/>
        <v>126857</v>
      </c>
      <c r="F567" s="5">
        <f t="shared" si="43"/>
        <v>736010</v>
      </c>
    </row>
    <row r="568" spans="2:6">
      <c r="B568">
        <f t="shared" si="40"/>
        <v>2023</v>
      </c>
      <c r="C568" s="1">
        <v>170000</v>
      </c>
      <c r="D568" s="5">
        <f t="shared" si="41"/>
        <v>36801</v>
      </c>
      <c r="E568" s="5">
        <f t="shared" si="42"/>
        <v>133199</v>
      </c>
      <c r="F568" s="5">
        <f t="shared" si="43"/>
        <v>602811</v>
      </c>
    </row>
    <row r="569" spans="2:6">
      <c r="B569">
        <f t="shared" si="40"/>
        <v>2024</v>
      </c>
      <c r="C569" s="1">
        <v>170000</v>
      </c>
      <c r="D569" s="5">
        <f t="shared" si="41"/>
        <v>30141</v>
      </c>
      <c r="E569" s="5">
        <f t="shared" si="42"/>
        <v>139859</v>
      </c>
      <c r="F569" s="5">
        <f t="shared" si="43"/>
        <v>462952</v>
      </c>
    </row>
    <row r="570" spans="2:6">
      <c r="B570">
        <f t="shared" si="40"/>
        <v>2025</v>
      </c>
      <c r="C570" s="1">
        <v>170000</v>
      </c>
      <c r="D570" s="5">
        <f t="shared" si="41"/>
        <v>23148</v>
      </c>
      <c r="E570" s="5">
        <f t="shared" si="42"/>
        <v>146852</v>
      </c>
      <c r="F570" s="5">
        <f t="shared" si="43"/>
        <v>316100</v>
      </c>
    </row>
    <row r="571" spans="2:6">
      <c r="B571">
        <f t="shared" si="40"/>
        <v>2026</v>
      </c>
      <c r="C571" s="1">
        <v>170000</v>
      </c>
      <c r="D571" s="5">
        <f t="shared" si="41"/>
        <v>15805</v>
      </c>
      <c r="E571" s="5">
        <f t="shared" si="42"/>
        <v>154195</v>
      </c>
      <c r="F571" s="5">
        <f t="shared" si="43"/>
        <v>161905</v>
      </c>
    </row>
    <row r="572" spans="2:6">
      <c r="B572">
        <f t="shared" si="40"/>
        <v>2027</v>
      </c>
      <c r="C572" s="1">
        <v>170000</v>
      </c>
      <c r="D572" s="5">
        <f t="shared" si="41"/>
        <v>8095</v>
      </c>
      <c r="E572" s="5">
        <f t="shared" si="42"/>
        <v>161905</v>
      </c>
      <c r="F572" s="5">
        <f t="shared" si="43"/>
        <v>0</v>
      </c>
    </row>
    <row r="574" spans="2:6">
      <c r="B574" t="s">
        <v>200</v>
      </c>
      <c r="C574" s="2">
        <f>F563</f>
        <v>1268746</v>
      </c>
      <c r="D574" s="2"/>
    </row>
    <row r="575" spans="2:6">
      <c r="B575" t="s">
        <v>415</v>
      </c>
      <c r="C575" s="2">
        <v>965000</v>
      </c>
      <c r="D575" s="2"/>
    </row>
    <row r="576" spans="2:6">
      <c r="B576" t="s">
        <v>13</v>
      </c>
      <c r="C576" s="2"/>
      <c r="D576" s="2">
        <f>C574</f>
        <v>1268746</v>
      </c>
    </row>
    <row r="577" spans="2:4">
      <c r="B577" t="s">
        <v>416</v>
      </c>
      <c r="C577" s="2"/>
      <c r="D577" s="2">
        <v>965000</v>
      </c>
    </row>
    <row r="579" spans="2:4">
      <c r="B579" t="s">
        <v>22</v>
      </c>
      <c r="C579" s="1">
        <v>170000</v>
      </c>
    </row>
    <row r="580" spans="2:4">
      <c r="B580" t="s">
        <v>200</v>
      </c>
      <c r="D580" s="1">
        <f>C579</f>
        <v>170000</v>
      </c>
    </row>
    <row r="582" spans="2:4">
      <c r="B582" t="s">
        <v>200</v>
      </c>
      <c r="C582" s="5">
        <f>D565</f>
        <v>54937</v>
      </c>
    </row>
    <row r="583" spans="2:4">
      <c r="B583" t="s">
        <v>198</v>
      </c>
      <c r="D583" s="5">
        <f>C582</f>
        <v>54937</v>
      </c>
    </row>
    <row r="585" spans="2:4">
      <c r="B585" t="s">
        <v>412</v>
      </c>
      <c r="C585" s="3">
        <f>C574</f>
        <v>1268746</v>
      </c>
    </row>
    <row r="586" spans="2:4">
      <c r="B586" t="s">
        <v>191</v>
      </c>
      <c r="D586" s="3">
        <f>C585</f>
        <v>1268746</v>
      </c>
    </row>
    <row r="588" spans="2:4">
      <c r="B588" t="s">
        <v>270</v>
      </c>
      <c r="C588" s="1">
        <v>170000</v>
      </c>
    </row>
    <row r="589" spans="2:4">
      <c r="B589" t="s">
        <v>5</v>
      </c>
      <c r="D589" s="1">
        <v>170000</v>
      </c>
    </row>
    <row r="591" spans="2:4">
      <c r="B591" t="s">
        <v>219</v>
      </c>
      <c r="C591" s="5">
        <f>C582</f>
        <v>54937</v>
      </c>
    </row>
    <row r="592" spans="2:4">
      <c r="B592" t="s">
        <v>417</v>
      </c>
      <c r="D592" s="5">
        <f>C591</f>
        <v>54937</v>
      </c>
    </row>
    <row r="594" spans="1:6">
      <c r="B594" t="s">
        <v>61</v>
      </c>
      <c r="C594" s="3">
        <f>C585/9</f>
        <v>140971.77777777778</v>
      </c>
    </row>
    <row r="595" spans="1:6">
      <c r="B595" t="s">
        <v>418</v>
      </c>
      <c r="D595" s="3">
        <f>C594</f>
        <v>140971.77777777778</v>
      </c>
    </row>
    <row r="597" spans="1:6">
      <c r="B597" t="s">
        <v>419</v>
      </c>
      <c r="C597" s="1">
        <v>5800</v>
      </c>
    </row>
    <row r="598" spans="1:6">
      <c r="B598" t="s">
        <v>5</v>
      </c>
      <c r="D598" s="1">
        <v>5800</v>
      </c>
    </row>
    <row r="600" spans="1:6">
      <c r="A600">
        <v>17</v>
      </c>
      <c r="B600" s="5">
        <f>ROUND(-PV(0.09,9,230000,0,1),0)</f>
        <v>1503008</v>
      </c>
    </row>
    <row r="601" spans="1:6">
      <c r="B601" t="s">
        <v>192</v>
      </c>
    </row>
    <row r="602" spans="1:6">
      <c r="B602" t="s">
        <v>307</v>
      </c>
    </row>
    <row r="603" spans="1:6">
      <c r="B603" t="s">
        <v>420</v>
      </c>
    </row>
    <row r="604" spans="1:6">
      <c r="B604" t="s">
        <v>422</v>
      </c>
    </row>
    <row r="606" spans="1:6">
      <c r="B606" t="s">
        <v>221</v>
      </c>
      <c r="C606" t="s">
        <v>218</v>
      </c>
      <c r="D606" t="s">
        <v>219</v>
      </c>
      <c r="E606" t="s">
        <v>248</v>
      </c>
      <c r="F606" t="s">
        <v>234</v>
      </c>
    </row>
    <row r="607" spans="1:6">
      <c r="B607">
        <v>2019</v>
      </c>
      <c r="F607" s="5">
        <f>B600</f>
        <v>1503008</v>
      </c>
    </row>
    <row r="608" spans="1:6">
      <c r="B608">
        <v>2019</v>
      </c>
      <c r="C608" s="1">
        <v>230000</v>
      </c>
      <c r="D608" s="5"/>
      <c r="E608" s="5">
        <f>C608-D608</f>
        <v>230000</v>
      </c>
      <c r="F608" s="5">
        <f>F607-E608</f>
        <v>1273008</v>
      </c>
    </row>
    <row r="609" spans="2:6">
      <c r="B609">
        <f>B608+1</f>
        <v>2020</v>
      </c>
      <c r="C609" s="1">
        <v>230000</v>
      </c>
      <c r="D609" s="5">
        <f>ROUND(F608*0.09,0)</f>
        <v>114571</v>
      </c>
      <c r="E609" s="5">
        <f>C609-D609</f>
        <v>115429</v>
      </c>
      <c r="F609" s="5">
        <f>F608-E609</f>
        <v>1157579</v>
      </c>
    </row>
    <row r="610" spans="2:6">
      <c r="B610">
        <f t="shared" ref="B610:B616" si="44">B609+1</f>
        <v>2021</v>
      </c>
      <c r="C610" s="1">
        <v>230000</v>
      </c>
      <c r="D610" s="5">
        <f t="shared" ref="D610:D616" si="45">ROUND(F609*0.09,0)</f>
        <v>104182</v>
      </c>
      <c r="E610" s="5">
        <f t="shared" ref="E610:E616" si="46">C610-D610</f>
        <v>125818</v>
      </c>
      <c r="F610" s="5">
        <f t="shared" ref="F610:F616" si="47">F609-E610</f>
        <v>1031761</v>
      </c>
    </row>
    <row r="611" spans="2:6">
      <c r="B611">
        <f t="shared" si="44"/>
        <v>2022</v>
      </c>
      <c r="C611" s="1">
        <v>230000</v>
      </c>
      <c r="D611" s="5">
        <f t="shared" si="45"/>
        <v>92858</v>
      </c>
      <c r="E611" s="5">
        <f t="shared" si="46"/>
        <v>137142</v>
      </c>
      <c r="F611" s="5">
        <f t="shared" si="47"/>
        <v>894619</v>
      </c>
    </row>
    <row r="612" spans="2:6">
      <c r="B612">
        <f t="shared" si="44"/>
        <v>2023</v>
      </c>
      <c r="C612" s="1">
        <v>230000</v>
      </c>
      <c r="D612" s="5">
        <f t="shared" si="45"/>
        <v>80516</v>
      </c>
      <c r="E612" s="5">
        <f t="shared" si="46"/>
        <v>149484</v>
      </c>
      <c r="F612" s="5">
        <f t="shared" si="47"/>
        <v>745135</v>
      </c>
    </row>
    <row r="613" spans="2:6">
      <c r="B613">
        <f t="shared" si="44"/>
        <v>2024</v>
      </c>
      <c r="C613" s="1">
        <v>230000</v>
      </c>
      <c r="D613" s="5">
        <f t="shared" si="45"/>
        <v>67062</v>
      </c>
      <c r="E613" s="5">
        <f t="shared" si="46"/>
        <v>162938</v>
      </c>
      <c r="F613" s="5">
        <f t="shared" si="47"/>
        <v>582197</v>
      </c>
    </row>
    <row r="614" spans="2:6">
      <c r="B614">
        <f t="shared" si="44"/>
        <v>2025</v>
      </c>
      <c r="C614" s="1">
        <v>230000</v>
      </c>
      <c r="D614" s="5">
        <f t="shared" si="45"/>
        <v>52398</v>
      </c>
      <c r="E614" s="5">
        <f t="shared" si="46"/>
        <v>177602</v>
      </c>
      <c r="F614" s="5">
        <f t="shared" si="47"/>
        <v>404595</v>
      </c>
    </row>
    <row r="615" spans="2:6">
      <c r="B615">
        <f t="shared" si="44"/>
        <v>2026</v>
      </c>
      <c r="C615" s="1">
        <v>230000</v>
      </c>
      <c r="D615" s="5">
        <f t="shared" si="45"/>
        <v>36414</v>
      </c>
      <c r="E615" s="5">
        <f t="shared" si="46"/>
        <v>193586</v>
      </c>
      <c r="F615" s="5">
        <f t="shared" si="47"/>
        <v>211009</v>
      </c>
    </row>
    <row r="616" spans="2:6">
      <c r="B616">
        <f t="shared" si="44"/>
        <v>2027</v>
      </c>
      <c r="C616" s="1">
        <v>230000</v>
      </c>
      <c r="D616" s="5">
        <f t="shared" si="45"/>
        <v>18991</v>
      </c>
      <c r="E616" s="5">
        <f t="shared" si="46"/>
        <v>211009</v>
      </c>
      <c r="F616" s="5">
        <f t="shared" si="47"/>
        <v>0</v>
      </c>
    </row>
    <row r="618" spans="2:6">
      <c r="B618" t="s">
        <v>200</v>
      </c>
      <c r="C618" s="1">
        <v>1503008</v>
      </c>
    </row>
    <row r="619" spans="2:6">
      <c r="B619" t="s">
        <v>415</v>
      </c>
      <c r="C619">
        <v>955000</v>
      </c>
    </row>
    <row r="620" spans="2:6">
      <c r="B620" t="s">
        <v>423</v>
      </c>
      <c r="D620" s="1">
        <v>1503008</v>
      </c>
    </row>
    <row r="621" spans="2:6">
      <c r="B621" t="s">
        <v>424</v>
      </c>
      <c r="D621">
        <v>955000</v>
      </c>
    </row>
    <row r="623" spans="2:6">
      <c r="B623" t="s">
        <v>22</v>
      </c>
      <c r="C623" s="1">
        <v>230000</v>
      </c>
    </row>
    <row r="624" spans="2:6">
      <c r="B624" t="s">
        <v>200</v>
      </c>
      <c r="D624" s="1">
        <v>230000</v>
      </c>
    </row>
    <row r="626" spans="1:6">
      <c r="B626" t="s">
        <v>200</v>
      </c>
      <c r="C626" s="5">
        <f>D609</f>
        <v>114571</v>
      </c>
    </row>
    <row r="627" spans="1:6">
      <c r="B627" t="s">
        <v>203</v>
      </c>
      <c r="D627" s="5">
        <f>C626</f>
        <v>114571</v>
      </c>
    </row>
    <row r="629" spans="1:6">
      <c r="A629">
        <v>18</v>
      </c>
      <c r="B629" t="s">
        <v>182</v>
      </c>
      <c r="C629" s="5">
        <f>ROUND(-PV(0.07,4,32000,0,1),0)</f>
        <v>115978</v>
      </c>
    </row>
    <row r="630" spans="1:6">
      <c r="B630" t="s">
        <v>192</v>
      </c>
    </row>
    <row r="631" spans="1:6">
      <c r="B631" t="s">
        <v>426</v>
      </c>
    </row>
    <row r="632" spans="1:6">
      <c r="B632" t="s">
        <v>425</v>
      </c>
    </row>
    <row r="634" spans="1:6">
      <c r="B634" t="s">
        <v>427</v>
      </c>
      <c r="C634" s="5">
        <f>C629</f>
        <v>115978</v>
      </c>
    </row>
    <row r="635" spans="1:6">
      <c r="B635" t="s">
        <v>230</v>
      </c>
      <c r="D635" s="5">
        <f>C634</f>
        <v>115978</v>
      </c>
    </row>
    <row r="637" spans="1:6">
      <c r="B637" t="s">
        <v>289</v>
      </c>
      <c r="C637">
        <v>32000</v>
      </c>
    </row>
    <row r="638" spans="1:6">
      <c r="B638" t="s">
        <v>5</v>
      </c>
      <c r="D638">
        <f>C637</f>
        <v>32000</v>
      </c>
    </row>
    <row r="640" spans="1:6">
      <c r="B640" t="s">
        <v>221</v>
      </c>
      <c r="C640" t="s">
        <v>218</v>
      </c>
      <c r="D640" t="s">
        <v>428</v>
      </c>
      <c r="E640" t="s">
        <v>220</v>
      </c>
      <c r="F640" t="s">
        <v>191</v>
      </c>
    </row>
    <row r="641" spans="2:6">
      <c r="B641">
        <v>2018</v>
      </c>
      <c r="F641" s="5">
        <f>C629</f>
        <v>115978</v>
      </c>
    </row>
    <row r="642" spans="2:6">
      <c r="B642">
        <v>2018</v>
      </c>
      <c r="C642">
        <v>32000</v>
      </c>
      <c r="D642">
        <v>0</v>
      </c>
      <c r="E642">
        <f>C642-D642</f>
        <v>32000</v>
      </c>
      <c r="F642" s="5">
        <f>F641-E642</f>
        <v>83978</v>
      </c>
    </row>
    <row r="643" spans="2:6">
      <c r="B643">
        <v>2019</v>
      </c>
      <c r="C643">
        <v>32000</v>
      </c>
      <c r="D643" s="5">
        <f>ROUND(F642*0.07,0)</f>
        <v>5878</v>
      </c>
      <c r="E643">
        <f>C643-D643</f>
        <v>26122</v>
      </c>
      <c r="F643" s="5">
        <f>F642-E643</f>
        <v>57856</v>
      </c>
    </row>
    <row r="644" spans="2:6">
      <c r="B644">
        <v>2020</v>
      </c>
      <c r="C644">
        <v>32000</v>
      </c>
      <c r="D644" s="5">
        <f>ROUND(F643*0.07,0)</f>
        <v>4050</v>
      </c>
      <c r="E644">
        <f>C644-D644</f>
        <v>27950</v>
      </c>
      <c r="F644" s="5">
        <f>F643-E644</f>
        <v>29906</v>
      </c>
    </row>
    <row r="646" spans="2:6">
      <c r="B646" t="s">
        <v>219</v>
      </c>
      <c r="C646" s="5">
        <f>D643/2</f>
        <v>2939</v>
      </c>
    </row>
    <row r="647" spans="2:6">
      <c r="B647" t="s">
        <v>230</v>
      </c>
      <c r="D647" s="5">
        <f>C646</f>
        <v>2939</v>
      </c>
    </row>
    <row r="649" spans="2:6">
      <c r="B649" t="s">
        <v>61</v>
      </c>
      <c r="C649" s="5">
        <f>C634/4/2</f>
        <v>14497.25</v>
      </c>
    </row>
    <row r="650" spans="2:6">
      <c r="B650" t="s">
        <v>412</v>
      </c>
      <c r="D650" s="5">
        <f>C649</f>
        <v>14497.25</v>
      </c>
    </row>
    <row r="652" spans="2:6">
      <c r="B652" t="s">
        <v>219</v>
      </c>
      <c r="C652" s="5">
        <f>C646</f>
        <v>2939</v>
      </c>
    </row>
    <row r="653" spans="2:6">
      <c r="B653" t="s">
        <v>191</v>
      </c>
      <c r="C653" s="5">
        <f>E643+C652</f>
        <v>29061</v>
      </c>
    </row>
    <row r="654" spans="2:6">
      <c r="B654" t="s">
        <v>5</v>
      </c>
      <c r="D654" s="5">
        <f>SUM(C652:C653)</f>
        <v>32000</v>
      </c>
    </row>
    <row r="656" spans="2:6">
      <c r="B656" t="s">
        <v>219</v>
      </c>
      <c r="C656" s="5">
        <f>D644/2</f>
        <v>2025</v>
      </c>
    </row>
    <row r="657" spans="1:5">
      <c r="B657" t="s">
        <v>230</v>
      </c>
      <c r="D657" s="5">
        <f>C656</f>
        <v>2025</v>
      </c>
    </row>
    <row r="659" spans="1:5">
      <c r="B659" t="s">
        <v>61</v>
      </c>
      <c r="C659" s="5">
        <f>C634/4</f>
        <v>28994.5</v>
      </c>
    </row>
    <row r="660" spans="1:5">
      <c r="B660" t="s">
        <v>412</v>
      </c>
      <c r="D660" s="5">
        <f>C659</f>
        <v>28994.5</v>
      </c>
    </row>
    <row r="661" spans="1:5">
      <c r="D661" s="5"/>
    </row>
    <row r="662" spans="1:5">
      <c r="B662" t="s">
        <v>238</v>
      </c>
      <c r="C662" s="10">
        <v>0.06</v>
      </c>
    </row>
    <row r="663" spans="1:5">
      <c r="B663" t="s">
        <v>182</v>
      </c>
      <c r="C663" s="5">
        <f>PV(0.06,4,32000,0,1)</f>
        <v>-117536.38238277248</v>
      </c>
    </row>
    <row r="665" spans="1:5">
      <c r="B665" t="s">
        <v>192</v>
      </c>
    </row>
    <row r="666" spans="1:5">
      <c r="B666" t="s">
        <v>206</v>
      </c>
    </row>
    <row r="667" spans="1:5">
      <c r="B667" t="s">
        <v>414</v>
      </c>
    </row>
    <row r="668" spans="1:5">
      <c r="B668" t="s">
        <v>429</v>
      </c>
    </row>
    <row r="669" spans="1:5">
      <c r="B669" s="10"/>
    </row>
    <row r="671" spans="1:5">
      <c r="A671">
        <v>19</v>
      </c>
      <c r="B671" t="s">
        <v>182</v>
      </c>
      <c r="C671" s="5">
        <f>ROUND(6947.92298087533,0)</f>
        <v>6948</v>
      </c>
      <c r="E671" s="5"/>
    </row>
    <row r="672" spans="1:5">
      <c r="B672" t="s">
        <v>304</v>
      </c>
      <c r="D672" s="5"/>
    </row>
    <row r="673" spans="2:6">
      <c r="B673" t="s">
        <v>269</v>
      </c>
      <c r="D673" s="5"/>
    </row>
    <row r="674" spans="2:6">
      <c r="D674" s="5"/>
    </row>
    <row r="675" spans="2:6">
      <c r="B675" t="s">
        <v>283</v>
      </c>
      <c r="C675" s="5">
        <f>C671</f>
        <v>6948</v>
      </c>
      <c r="D675" s="5"/>
      <c r="E675" s="5"/>
    </row>
    <row r="676" spans="2:6">
      <c r="C676" s="5"/>
      <c r="D676" s="5"/>
      <c r="E676" s="5"/>
    </row>
    <row r="677" spans="2:6">
      <c r="B677" t="s">
        <v>221</v>
      </c>
      <c r="C677" t="s">
        <v>218</v>
      </c>
      <c r="D677" t="s">
        <v>219</v>
      </c>
      <c r="E677" t="s">
        <v>409</v>
      </c>
      <c r="F677" t="s">
        <v>234</v>
      </c>
    </row>
    <row r="678" spans="2:6">
      <c r="B678" t="s">
        <v>246</v>
      </c>
      <c r="F678" s="5">
        <f>C675</f>
        <v>6948</v>
      </c>
    </row>
    <row r="679" spans="2:6">
      <c r="B679">
        <v>1</v>
      </c>
      <c r="C679">
        <v>750</v>
      </c>
      <c r="D679" s="5"/>
      <c r="E679" s="5">
        <f>C679-D679</f>
        <v>750</v>
      </c>
      <c r="F679" s="5">
        <f>F678-E679</f>
        <v>6198</v>
      </c>
    </row>
    <row r="680" spans="2:6">
      <c r="B680">
        <v>2</v>
      </c>
      <c r="C680">
        <f>C679*1.2</f>
        <v>900</v>
      </c>
      <c r="D680" s="5">
        <f>ROUND(F679*0.09,0)</f>
        <v>558</v>
      </c>
      <c r="E680" s="5">
        <f t="shared" ref="E680:E682" si="48">C680-D680</f>
        <v>342</v>
      </c>
      <c r="F680" s="5">
        <f t="shared" ref="F680:F682" si="49">F679-E680</f>
        <v>5856</v>
      </c>
    </row>
    <row r="681" spans="2:6">
      <c r="B681">
        <v>3</v>
      </c>
      <c r="C681">
        <f>C680*1.2</f>
        <v>1080</v>
      </c>
      <c r="D681" s="5">
        <f t="shared" ref="D681:D682" si="50">ROUND(F680*0.09,0)</f>
        <v>527</v>
      </c>
      <c r="E681" s="5">
        <f t="shared" si="48"/>
        <v>553</v>
      </c>
      <c r="F681" s="5">
        <f t="shared" si="49"/>
        <v>5303</v>
      </c>
    </row>
    <row r="682" spans="2:6">
      <c r="B682" t="s">
        <v>430</v>
      </c>
      <c r="C682">
        <v>5780</v>
      </c>
      <c r="D682" s="5">
        <f t="shared" si="50"/>
        <v>477</v>
      </c>
      <c r="E682" s="5">
        <f t="shared" si="48"/>
        <v>5303</v>
      </c>
      <c r="F682" s="5">
        <f t="shared" si="49"/>
        <v>0</v>
      </c>
    </row>
    <row r="684" spans="2:6">
      <c r="B684" t="s">
        <v>287</v>
      </c>
      <c r="C684" s="5">
        <f>C675</f>
        <v>6948</v>
      </c>
    </row>
    <row r="685" spans="2:6">
      <c r="B685" t="s">
        <v>230</v>
      </c>
      <c r="D685" s="5">
        <f>C684</f>
        <v>6948</v>
      </c>
    </row>
    <row r="687" spans="2:6">
      <c r="B687" t="s">
        <v>191</v>
      </c>
      <c r="C687">
        <v>750</v>
      </c>
    </row>
    <row r="688" spans="2:6">
      <c r="B688" t="s">
        <v>5</v>
      </c>
      <c r="D688">
        <v>750</v>
      </c>
    </row>
    <row r="690" spans="2:4">
      <c r="B690" t="s">
        <v>61</v>
      </c>
      <c r="C690" s="5">
        <f>C675/3</f>
        <v>2316</v>
      </c>
    </row>
    <row r="691" spans="2:4">
      <c r="B691" t="s">
        <v>283</v>
      </c>
      <c r="D691" s="5">
        <f>C690</f>
        <v>2316</v>
      </c>
    </row>
    <row r="693" spans="2:4">
      <c r="B693" t="s">
        <v>272</v>
      </c>
      <c r="C693" s="5">
        <f>D680</f>
        <v>558</v>
      </c>
    </row>
    <row r="694" spans="2:4">
      <c r="B694" t="s">
        <v>230</v>
      </c>
      <c r="D694" s="5">
        <f>C693</f>
        <v>558</v>
      </c>
    </row>
    <row r="696" spans="2:4">
      <c r="B696" t="s">
        <v>191</v>
      </c>
      <c r="C696">
        <v>900</v>
      </c>
    </row>
    <row r="697" spans="2:4">
      <c r="B697" t="s">
        <v>5</v>
      </c>
      <c r="D697">
        <v>900</v>
      </c>
    </row>
    <row r="699" spans="2:4">
      <c r="B699" t="s">
        <v>61</v>
      </c>
      <c r="C699" s="5">
        <f>C690</f>
        <v>2316</v>
      </c>
    </row>
    <row r="700" spans="2:4">
      <c r="B700" t="s">
        <v>283</v>
      </c>
      <c r="D700" s="5">
        <f>C699</f>
        <v>2316</v>
      </c>
    </row>
    <row r="702" spans="2:4">
      <c r="B702" t="s">
        <v>272</v>
      </c>
      <c r="C702" s="5">
        <f>D681</f>
        <v>527</v>
      </c>
    </row>
    <row r="703" spans="2:4">
      <c r="B703" t="s">
        <v>230</v>
      </c>
      <c r="D703" s="5">
        <f>C702</f>
        <v>527</v>
      </c>
    </row>
    <row r="705" spans="2:4">
      <c r="B705" t="s">
        <v>191</v>
      </c>
      <c r="C705">
        <v>1080</v>
      </c>
    </row>
    <row r="706" spans="2:4">
      <c r="B706" t="s">
        <v>5</v>
      </c>
      <c r="D706">
        <f>C705</f>
        <v>1080</v>
      </c>
    </row>
    <row r="708" spans="2:4">
      <c r="B708" t="s">
        <v>61</v>
      </c>
      <c r="C708" s="5">
        <f>C699</f>
        <v>2316</v>
      </c>
    </row>
    <row r="709" spans="2:4">
      <c r="B709" t="s">
        <v>283</v>
      </c>
      <c r="D709" s="5">
        <f>C708</f>
        <v>2316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1"/>
  <sheetViews>
    <sheetView topLeftCell="A22" workbookViewId="0">
      <selection activeCell="C101" sqref="C101"/>
    </sheetView>
  </sheetViews>
  <sheetFormatPr defaultRowHeight="14.4"/>
  <cols>
    <col min="2" max="2" width="35.5546875" bestFit="1" customWidth="1"/>
    <col min="3" max="3" width="1.88671875" bestFit="1" customWidth="1"/>
    <col min="4" max="5" width="12.5546875" bestFit="1" customWidth="1"/>
  </cols>
  <sheetData>
    <row r="1" spans="1:5">
      <c r="A1">
        <v>1</v>
      </c>
      <c r="B1">
        <v>1</v>
      </c>
      <c r="C1" t="s">
        <v>8</v>
      </c>
    </row>
    <row r="2" spans="1:5">
      <c r="B2">
        <v>2</v>
      </c>
      <c r="C2" t="s">
        <v>297</v>
      </c>
    </row>
    <row r="3" spans="1:5">
      <c r="B3">
        <v>3</v>
      </c>
      <c r="C3" t="s">
        <v>6</v>
      </c>
    </row>
    <row r="4" spans="1:5">
      <c r="B4">
        <v>4</v>
      </c>
      <c r="C4" t="s">
        <v>361</v>
      </c>
    </row>
    <row r="5" spans="1:5">
      <c r="B5">
        <v>5</v>
      </c>
      <c r="C5" t="s">
        <v>7</v>
      </c>
    </row>
    <row r="6" spans="1:5">
      <c r="B6">
        <v>6</v>
      </c>
      <c r="C6" t="s">
        <v>360</v>
      </c>
    </row>
    <row r="9" spans="1:5">
      <c r="A9">
        <v>2</v>
      </c>
      <c r="B9" t="s">
        <v>362</v>
      </c>
      <c r="D9">
        <f>12*1200</f>
        <v>14400</v>
      </c>
    </row>
    <row r="10" spans="1:5">
      <c r="B10" t="s">
        <v>363</v>
      </c>
      <c r="E10">
        <f>D9</f>
        <v>14400</v>
      </c>
    </row>
    <row r="12" spans="1:5">
      <c r="A12">
        <v>3</v>
      </c>
      <c r="B12" t="s">
        <v>364</v>
      </c>
      <c r="D12">
        <f>39*2100/2</f>
        <v>40950</v>
      </c>
    </row>
    <row r="13" spans="1:5">
      <c r="B13" t="s">
        <v>362</v>
      </c>
      <c r="E13">
        <f>D12</f>
        <v>40950</v>
      </c>
    </row>
    <row r="15" spans="1:5">
      <c r="A15">
        <v>4</v>
      </c>
      <c r="B15" t="s">
        <v>5</v>
      </c>
      <c r="D15">
        <f>9*6000</f>
        <v>54000</v>
      </c>
    </row>
    <row r="16" spans="1:5">
      <c r="B16" t="s">
        <v>363</v>
      </c>
      <c r="D16" s="1">
        <v>120000</v>
      </c>
    </row>
    <row r="17" spans="1:5">
      <c r="B17" t="s">
        <v>365</v>
      </c>
      <c r="E17" s="2">
        <f>2*6000</f>
        <v>12000</v>
      </c>
    </row>
    <row r="18" spans="1:5">
      <c r="B18" t="s">
        <v>366</v>
      </c>
      <c r="E18" s="2">
        <f>D15+D16-E17</f>
        <v>162000</v>
      </c>
    </row>
    <row r="20" spans="1:5">
      <c r="A20">
        <v>5</v>
      </c>
      <c r="B20" t="s">
        <v>363</v>
      </c>
      <c r="D20" s="1">
        <v>100000</v>
      </c>
    </row>
    <row r="21" spans="1:5">
      <c r="B21" t="s">
        <v>367</v>
      </c>
      <c r="E21" s="1">
        <v>100000</v>
      </c>
    </row>
    <row r="23" spans="1:5">
      <c r="A23">
        <v>6</v>
      </c>
      <c r="B23" t="s">
        <v>364</v>
      </c>
      <c r="D23">
        <f>1672000/2</f>
        <v>836000</v>
      </c>
    </row>
    <row r="24" spans="1:5">
      <c r="B24" t="s">
        <v>362</v>
      </c>
      <c r="E24">
        <f>D23</f>
        <v>836000</v>
      </c>
    </row>
    <row r="26" spans="1:5">
      <c r="B26" t="s">
        <v>364</v>
      </c>
      <c r="D26">
        <f>1672000/2</f>
        <v>836000</v>
      </c>
    </row>
    <row r="27" spans="1:5">
      <c r="B27" t="s">
        <v>362</v>
      </c>
      <c r="E27">
        <f>D26</f>
        <v>836000</v>
      </c>
    </row>
    <row r="29" spans="1:5">
      <c r="A29">
        <v>7</v>
      </c>
      <c r="B29" t="s">
        <v>364</v>
      </c>
      <c r="D29">
        <f>288000/2</f>
        <v>144000</v>
      </c>
    </row>
    <row r="30" spans="1:5">
      <c r="B30" t="s">
        <v>362</v>
      </c>
      <c r="E30">
        <f>D29</f>
        <v>144000</v>
      </c>
    </row>
    <row r="32" spans="1:5">
      <c r="B32" t="s">
        <v>364</v>
      </c>
      <c r="D32">
        <f>288000/2</f>
        <v>144000</v>
      </c>
    </row>
    <row r="33" spans="1:5">
      <c r="B33" t="s">
        <v>362</v>
      </c>
      <c r="E33">
        <f>D32</f>
        <v>144000</v>
      </c>
    </row>
    <row r="35" spans="1:5">
      <c r="B35" t="s">
        <v>364</v>
      </c>
      <c r="D35" s="2">
        <f>(D29*2*0.6)-D29</f>
        <v>28800</v>
      </c>
    </row>
    <row r="36" spans="1:5">
      <c r="B36" t="s">
        <v>362</v>
      </c>
      <c r="E36" s="3">
        <f>D35</f>
        <v>28800</v>
      </c>
    </row>
    <row r="38" spans="1:5">
      <c r="A38" t="s">
        <v>8</v>
      </c>
      <c r="B38" t="s">
        <v>363</v>
      </c>
      <c r="D38">
        <f>D32*0.6*2</f>
        <v>172800</v>
      </c>
    </row>
    <row r="39" spans="1:5">
      <c r="B39" t="s">
        <v>367</v>
      </c>
      <c r="E39">
        <f>D38</f>
        <v>172800</v>
      </c>
    </row>
    <row r="41" spans="1:5">
      <c r="A41" t="s">
        <v>297</v>
      </c>
      <c r="B41" t="s">
        <v>364</v>
      </c>
      <c r="D41">
        <f>D29*2*0.8/2</f>
        <v>115200</v>
      </c>
    </row>
    <row r="42" spans="1:5">
      <c r="B42" t="s">
        <v>362</v>
      </c>
      <c r="E42">
        <f>D41</f>
        <v>115200</v>
      </c>
    </row>
    <row r="44" spans="1:5">
      <c r="B44" t="s">
        <v>364</v>
      </c>
      <c r="D44">
        <f>(D32*2*0.6)-D41</f>
        <v>57600</v>
      </c>
    </row>
    <row r="45" spans="1:5">
      <c r="B45" t="s">
        <v>362</v>
      </c>
      <c r="E45">
        <f>D44</f>
        <v>57600</v>
      </c>
    </row>
    <row r="47" spans="1:5">
      <c r="B47" t="s">
        <v>5</v>
      </c>
      <c r="D47">
        <f>21*12000*0.6</f>
        <v>151200</v>
      </c>
    </row>
    <row r="48" spans="1:5">
      <c r="B48" t="s">
        <v>363</v>
      </c>
      <c r="D48">
        <f>D44+D41</f>
        <v>172800</v>
      </c>
    </row>
    <row r="49" spans="1:5">
      <c r="B49" t="s">
        <v>368</v>
      </c>
      <c r="E49">
        <f>12000*0.6*4</f>
        <v>28800</v>
      </c>
    </row>
    <row r="50" spans="1:5">
      <c r="B50" t="s">
        <v>366</v>
      </c>
      <c r="E50">
        <f>D47+D48-E49</f>
        <v>295200</v>
      </c>
    </row>
    <row r="52" spans="1:5">
      <c r="A52">
        <v>8</v>
      </c>
      <c r="B52" t="s">
        <v>369</v>
      </c>
      <c r="D52">
        <f>55000*8/2</f>
        <v>220000</v>
      </c>
    </row>
    <row r="53" spans="1:5">
      <c r="B53" t="s">
        <v>370</v>
      </c>
      <c r="D53">
        <f>(55000*12)-D52</f>
        <v>440000</v>
      </c>
    </row>
    <row r="55" spans="1:5">
      <c r="B55" t="s">
        <v>372</v>
      </c>
      <c r="D55">
        <f>D52</f>
        <v>220000</v>
      </c>
    </row>
    <row r="56" spans="1:5">
      <c r="B56" t="s">
        <v>371</v>
      </c>
      <c r="E56">
        <f>D55</f>
        <v>220000</v>
      </c>
    </row>
    <row r="58" spans="1:5">
      <c r="B58" t="s">
        <v>372</v>
      </c>
      <c r="D58">
        <f>D53</f>
        <v>440000</v>
      </c>
    </row>
    <row r="59" spans="1:5">
      <c r="B59" t="s">
        <v>371</v>
      </c>
      <c r="E59">
        <f>D58</f>
        <v>440000</v>
      </c>
    </row>
    <row r="61" spans="1:5">
      <c r="B61" t="s">
        <v>371</v>
      </c>
      <c r="D61">
        <f>12*55000</f>
        <v>660000</v>
      </c>
    </row>
    <row r="62" spans="1:5">
      <c r="B62" t="s">
        <v>5</v>
      </c>
      <c r="E62">
        <f>D61</f>
        <v>660000</v>
      </c>
    </row>
    <row r="64" spans="1:5">
      <c r="A64">
        <v>9</v>
      </c>
      <c r="B64" t="s">
        <v>372</v>
      </c>
      <c r="D64" s="13" t="s">
        <v>373</v>
      </c>
      <c r="E64" s="12"/>
    </row>
    <row r="65" spans="1:5">
      <c r="B65" t="s">
        <v>371</v>
      </c>
    </row>
    <row r="67" spans="1:5">
      <c r="A67">
        <v>10</v>
      </c>
      <c r="B67" t="s">
        <v>374</v>
      </c>
      <c r="D67" s="2">
        <f>50500*29</f>
        <v>1464500</v>
      </c>
    </row>
    <row r="68" spans="1:5">
      <c r="B68" t="s">
        <v>365</v>
      </c>
      <c r="E68">
        <f>D67</f>
        <v>1464500</v>
      </c>
    </row>
    <row r="70" spans="1:5">
      <c r="B70" t="s">
        <v>372</v>
      </c>
      <c r="D70" s="3">
        <f>$D$67/4</f>
        <v>366125</v>
      </c>
    </row>
    <row r="71" spans="1:5">
      <c r="B71" t="s">
        <v>374</v>
      </c>
      <c r="E71" s="3">
        <f>D70</f>
        <v>366125</v>
      </c>
    </row>
    <row r="73" spans="1:5">
      <c r="B73" t="s">
        <v>372</v>
      </c>
      <c r="D73" s="3">
        <f>$D$67/4</f>
        <v>366125</v>
      </c>
    </row>
    <row r="74" spans="1:5">
      <c r="B74" t="s">
        <v>374</v>
      </c>
      <c r="E74" s="3">
        <f>D73</f>
        <v>366125</v>
      </c>
    </row>
    <row r="76" spans="1:5">
      <c r="B76" t="s">
        <v>372</v>
      </c>
      <c r="D76" s="3">
        <f>$D$67/4</f>
        <v>366125</v>
      </c>
    </row>
    <row r="77" spans="1:5">
      <c r="B77" t="s">
        <v>374</v>
      </c>
      <c r="E77" s="3">
        <f>D76</f>
        <v>366125</v>
      </c>
    </row>
    <row r="79" spans="1:5">
      <c r="B79" t="s">
        <v>372</v>
      </c>
      <c r="D79" s="3">
        <f>$D$67/4</f>
        <v>366125</v>
      </c>
    </row>
    <row r="80" spans="1:5">
      <c r="B80" t="s">
        <v>374</v>
      </c>
      <c r="E80" s="3">
        <f>D79</f>
        <v>366125</v>
      </c>
    </row>
    <row r="82" spans="2:5">
      <c r="B82" t="s">
        <v>374</v>
      </c>
      <c r="D82" s="2">
        <f>50500*29</f>
        <v>1464500</v>
      </c>
    </row>
    <row r="83" spans="2:5">
      <c r="B83" t="s">
        <v>365</v>
      </c>
      <c r="E83">
        <f>50500*2</f>
        <v>101000</v>
      </c>
    </row>
    <row r="84" spans="2:5">
      <c r="B84" t="s">
        <v>375</v>
      </c>
      <c r="E84" s="3">
        <f>D82-E83</f>
        <v>1363500</v>
      </c>
    </row>
    <row r="86" spans="2:5">
      <c r="B86" t="s">
        <v>372</v>
      </c>
      <c r="D86" s="3">
        <f>$D$67/4</f>
        <v>366125</v>
      </c>
    </row>
    <row r="87" spans="2:5">
      <c r="B87" t="s">
        <v>374</v>
      </c>
      <c r="E87" s="3">
        <f>D86</f>
        <v>366125</v>
      </c>
    </row>
    <row r="89" spans="2:5">
      <c r="B89" t="s">
        <v>372</v>
      </c>
      <c r="D89" s="3">
        <f>$D$67/4</f>
        <v>366125</v>
      </c>
    </row>
    <row r="90" spans="2:5">
      <c r="B90" t="s">
        <v>374</v>
      </c>
      <c r="E90" s="3">
        <f>D89</f>
        <v>366125</v>
      </c>
    </row>
    <row r="92" spans="2:5">
      <c r="B92" t="s">
        <v>365</v>
      </c>
      <c r="D92" s="2">
        <f>10100*3*2</f>
        <v>60600</v>
      </c>
    </row>
    <row r="93" spans="2:5">
      <c r="B93" t="s">
        <v>376</v>
      </c>
      <c r="D93" s="2">
        <f>10100*3*27</f>
        <v>818100</v>
      </c>
    </row>
    <row r="94" spans="2:5">
      <c r="B94" t="s">
        <v>377</v>
      </c>
      <c r="E94" s="2">
        <f>SUM(D92:D93)/2</f>
        <v>439350</v>
      </c>
    </row>
    <row r="95" spans="2:5">
      <c r="B95" t="s">
        <v>372</v>
      </c>
      <c r="E95" s="2">
        <f>E94</f>
        <v>439350</v>
      </c>
    </row>
    <row r="97" spans="2:5">
      <c r="B97" t="s">
        <v>372</v>
      </c>
      <c r="D97" s="3">
        <f>$D$89*2/5</f>
        <v>146450</v>
      </c>
    </row>
    <row r="98" spans="2:5">
      <c r="B98" t="s">
        <v>374</v>
      </c>
      <c r="E98" s="3">
        <f>D97</f>
        <v>146450</v>
      </c>
    </row>
    <row r="100" spans="2:5">
      <c r="B100" t="s">
        <v>372</v>
      </c>
      <c r="D100" s="3">
        <f>$D$89*2/5</f>
        <v>146450</v>
      </c>
    </row>
    <row r="101" spans="2:5">
      <c r="B101" t="s">
        <v>374</v>
      </c>
      <c r="E101" s="3">
        <f>D100</f>
        <v>146450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60"/>
  <sheetViews>
    <sheetView topLeftCell="A92" zoomScale="85" zoomScaleNormal="85" workbookViewId="0">
      <selection activeCell="C49" sqref="C49"/>
    </sheetView>
  </sheetViews>
  <sheetFormatPr defaultRowHeight="14.4"/>
  <cols>
    <col min="2" max="2" width="45.77734375" bestFit="1" customWidth="1"/>
    <col min="3" max="3" width="13.6640625" bestFit="1" customWidth="1"/>
    <col min="4" max="4" width="11.77734375" bestFit="1" customWidth="1"/>
    <col min="5" max="5" width="12.5546875" bestFit="1" customWidth="1"/>
  </cols>
  <sheetData>
    <row r="1" spans="1:4">
      <c r="A1">
        <v>1</v>
      </c>
      <c r="B1" t="s">
        <v>308</v>
      </c>
      <c r="C1">
        <f>876000*0.02</f>
        <v>17520</v>
      </c>
    </row>
    <row r="2" spans="1:4">
      <c r="B2" t="s">
        <v>5</v>
      </c>
      <c r="D2">
        <f>C1</f>
        <v>17520</v>
      </c>
    </row>
    <row r="4" spans="1:4">
      <c r="A4">
        <v>2</v>
      </c>
      <c r="B4" t="s">
        <v>309</v>
      </c>
      <c r="C4">
        <v>253000</v>
      </c>
    </row>
    <row r="5" spans="1:4">
      <c r="B5" t="s">
        <v>310</v>
      </c>
      <c r="C5" s="1">
        <v>125000</v>
      </c>
    </row>
    <row r="6" spans="1:4">
      <c r="B6" t="s">
        <v>311</v>
      </c>
      <c r="C6">
        <v>-53000</v>
      </c>
    </row>
    <row r="7" spans="1:4">
      <c r="B7" t="s">
        <v>312</v>
      </c>
      <c r="C7">
        <v>31000</v>
      </c>
    </row>
    <row r="8" spans="1:4">
      <c r="B8" t="s">
        <v>313</v>
      </c>
      <c r="C8">
        <v>-80000</v>
      </c>
    </row>
    <row r="9" spans="1:4">
      <c r="B9" t="s">
        <v>315</v>
      </c>
      <c r="C9">
        <f>SUM(C4:C8)</f>
        <v>276000</v>
      </c>
    </row>
    <row r="11" spans="1:4">
      <c r="A11">
        <v>3</v>
      </c>
      <c r="B11" t="s">
        <v>314</v>
      </c>
      <c r="C11" s="1">
        <f>560000+99000</f>
        <v>659000</v>
      </c>
    </row>
    <row r="12" spans="1:4">
      <c r="B12" t="s">
        <v>316</v>
      </c>
      <c r="D12" t="s">
        <v>341</v>
      </c>
    </row>
    <row r="13" spans="1:4">
      <c r="B13" t="s">
        <v>5</v>
      </c>
      <c r="D13" s="1">
        <v>110000</v>
      </c>
    </row>
    <row r="14" spans="1:4">
      <c r="B14" t="s">
        <v>317</v>
      </c>
      <c r="D14">
        <v>235000</v>
      </c>
    </row>
    <row r="15" spans="1:4">
      <c r="B15" t="s">
        <v>318</v>
      </c>
      <c r="D15" s="1">
        <f>C11-SUM(D12:D14)</f>
        <v>314000</v>
      </c>
    </row>
    <row r="17" spans="1:3">
      <c r="A17">
        <v>4</v>
      </c>
      <c r="B17" t="s">
        <v>319</v>
      </c>
      <c r="C17">
        <v>677000</v>
      </c>
    </row>
    <row r="18" spans="1:3">
      <c r="B18" t="s">
        <v>320</v>
      </c>
      <c r="C18">
        <v>52000</v>
      </c>
    </row>
    <row r="19" spans="1:3">
      <c r="B19" t="s">
        <v>321</v>
      </c>
      <c r="C19">
        <v>56700</v>
      </c>
    </row>
    <row r="20" spans="1:3">
      <c r="B20" t="s">
        <v>322</v>
      </c>
      <c r="C20">
        <v>-98541</v>
      </c>
    </row>
    <row r="21" spans="1:3">
      <c r="B21" t="s">
        <v>323</v>
      </c>
      <c r="C21">
        <v>-29786</v>
      </c>
    </row>
    <row r="22" spans="1:3">
      <c r="B22" t="s">
        <v>324</v>
      </c>
      <c r="C22">
        <f>SUM(C17:C21)</f>
        <v>657373</v>
      </c>
    </row>
    <row r="24" spans="1:3">
      <c r="A24">
        <v>5</v>
      </c>
      <c r="B24" t="s">
        <v>325</v>
      </c>
      <c r="C24">
        <v>578000</v>
      </c>
    </row>
    <row r="25" spans="1:3">
      <c r="B25" t="s">
        <v>326</v>
      </c>
      <c r="C25">
        <v>56000</v>
      </c>
    </row>
    <row r="26" spans="1:3">
      <c r="B26" t="s">
        <v>327</v>
      </c>
      <c r="C26">
        <v>-86100</v>
      </c>
    </row>
    <row r="27" spans="1:3">
      <c r="B27" t="s">
        <v>328</v>
      </c>
      <c r="C27">
        <v>86000</v>
      </c>
    </row>
    <row r="28" spans="1:3">
      <c r="B28" t="s">
        <v>329</v>
      </c>
      <c r="C28">
        <v>-29779</v>
      </c>
    </row>
    <row r="29" spans="1:3">
      <c r="B29" t="s">
        <v>330</v>
      </c>
      <c r="C29">
        <f>SUM(C24:C28)</f>
        <v>604121</v>
      </c>
    </row>
    <row r="30" spans="1:3">
      <c r="B30" t="s">
        <v>331</v>
      </c>
      <c r="C30">
        <v>-661773</v>
      </c>
    </row>
    <row r="31" spans="1:3">
      <c r="B31" t="s">
        <v>332</v>
      </c>
      <c r="C31" s="2">
        <f>SUM(C29:C30)</f>
        <v>-57652</v>
      </c>
    </row>
    <row r="33" spans="1:6">
      <c r="A33">
        <v>6</v>
      </c>
      <c r="B33" t="s">
        <v>309</v>
      </c>
      <c r="C33" s="2">
        <v>121000</v>
      </c>
      <c r="D33" s="2"/>
    </row>
    <row r="34" spans="1:6">
      <c r="B34" t="s">
        <v>333</v>
      </c>
      <c r="C34" s="2"/>
      <c r="D34" s="2">
        <f>C33</f>
        <v>121000</v>
      </c>
    </row>
    <row r="35" spans="1:6">
      <c r="C35" s="2"/>
      <c r="D35" s="2"/>
    </row>
    <row r="36" spans="1:6">
      <c r="B36" t="s">
        <v>334</v>
      </c>
      <c r="C36" s="2">
        <v>20000</v>
      </c>
      <c r="D36" s="2"/>
    </row>
    <row r="37" spans="1:6">
      <c r="B37" t="s">
        <v>333</v>
      </c>
      <c r="C37" s="2"/>
      <c r="D37" s="2">
        <f>C36</f>
        <v>20000</v>
      </c>
    </row>
    <row r="38" spans="1:6">
      <c r="C38" s="2"/>
      <c r="D38" s="2"/>
      <c r="E38" s="1"/>
      <c r="F38" s="1"/>
    </row>
    <row r="39" spans="1:6">
      <c r="B39" t="s">
        <v>308</v>
      </c>
      <c r="C39" s="2">
        <v>8500</v>
      </c>
      <c r="D39" s="2"/>
    </row>
    <row r="40" spans="1:6">
      <c r="B40" t="s">
        <v>334</v>
      </c>
      <c r="C40" s="2"/>
      <c r="D40" s="2">
        <v>8500</v>
      </c>
    </row>
    <row r="41" spans="1:6">
      <c r="C41" s="2"/>
      <c r="D41" s="2"/>
    </row>
    <row r="42" spans="1:6">
      <c r="B42" t="s">
        <v>308</v>
      </c>
      <c r="C42" s="2">
        <f>(510000)*0.08</f>
        <v>40800</v>
      </c>
      <c r="D42" s="2"/>
    </row>
    <row r="43" spans="1:6">
      <c r="B43" t="s">
        <v>333</v>
      </c>
      <c r="C43" s="2"/>
      <c r="D43" s="2">
        <f>C42</f>
        <v>40800</v>
      </c>
    </row>
    <row r="44" spans="1:6">
      <c r="C44" s="2"/>
      <c r="D44" s="2"/>
    </row>
    <row r="45" spans="1:6">
      <c r="B45" t="s">
        <v>335</v>
      </c>
      <c r="C45" s="2">
        <f>660000*0.06</f>
        <v>39600</v>
      </c>
      <c r="D45" s="2"/>
    </row>
    <row r="46" spans="1:6">
      <c r="B46" t="s">
        <v>308</v>
      </c>
      <c r="C46" s="2"/>
      <c r="D46" s="2">
        <f>C45</f>
        <v>39600</v>
      </c>
    </row>
    <row r="47" spans="1:6">
      <c r="C47" s="2"/>
      <c r="D47" s="2"/>
    </row>
    <row r="48" spans="1:6">
      <c r="B48" t="s">
        <v>336</v>
      </c>
      <c r="C48" s="2">
        <f>22300+C45</f>
        <v>61900</v>
      </c>
      <c r="D48" s="2"/>
    </row>
    <row r="49" spans="2:4">
      <c r="B49" t="s">
        <v>335</v>
      </c>
      <c r="C49" s="2"/>
      <c r="D49" s="2">
        <f>22300+D46</f>
        <v>61900</v>
      </c>
    </row>
    <row r="50" spans="2:4">
      <c r="C50" s="2"/>
      <c r="D50" s="2"/>
    </row>
    <row r="51" spans="2:4">
      <c r="B51" t="s">
        <v>333</v>
      </c>
      <c r="C51" s="2">
        <v>4000</v>
      </c>
      <c r="D51" s="2"/>
    </row>
    <row r="52" spans="2:4">
      <c r="B52" t="s">
        <v>336</v>
      </c>
      <c r="C52" s="2"/>
      <c r="D52" s="2">
        <v>4000</v>
      </c>
    </row>
    <row r="53" spans="2:4">
      <c r="C53" s="2"/>
      <c r="D53" s="2"/>
    </row>
    <row r="54" spans="2:4">
      <c r="B54" t="s">
        <v>337</v>
      </c>
      <c r="C54" s="2">
        <v>0</v>
      </c>
      <c r="D54" s="2"/>
    </row>
    <row r="55" spans="2:4">
      <c r="C55" s="2"/>
      <c r="D55" s="2"/>
    </row>
    <row r="56" spans="2:4">
      <c r="B56" t="s">
        <v>335</v>
      </c>
      <c r="C56" s="2">
        <v>40900</v>
      </c>
      <c r="D56" s="2"/>
    </row>
    <row r="57" spans="2:4">
      <c r="B57" t="s">
        <v>5</v>
      </c>
      <c r="C57" s="2"/>
      <c r="D57" s="2">
        <v>40900</v>
      </c>
    </row>
    <row r="58" spans="2:4">
      <c r="C58" s="2"/>
      <c r="D58" s="2"/>
    </row>
    <row r="59" spans="2:4">
      <c r="B59" t="s">
        <v>333</v>
      </c>
      <c r="C59" s="2">
        <v>94100</v>
      </c>
      <c r="D59" s="2"/>
    </row>
    <row r="60" spans="2:4">
      <c r="B60" t="s">
        <v>5</v>
      </c>
      <c r="C60" s="2"/>
      <c r="D60" s="2">
        <v>94100</v>
      </c>
    </row>
    <row r="61" spans="2:4">
      <c r="C61" s="2"/>
      <c r="D61" s="2"/>
    </row>
    <row r="62" spans="2:4">
      <c r="C62" s="2"/>
      <c r="D62" s="2"/>
    </row>
    <row r="63" spans="2:4">
      <c r="B63" t="s">
        <v>309</v>
      </c>
      <c r="C63" s="2">
        <f>121000</f>
        <v>121000</v>
      </c>
      <c r="D63" s="2"/>
    </row>
    <row r="64" spans="2:4">
      <c r="B64" t="s">
        <v>310</v>
      </c>
      <c r="C64" s="2">
        <f>(C70)*0.08</f>
        <v>40800</v>
      </c>
      <c r="D64" s="2"/>
    </row>
    <row r="65" spans="2:4">
      <c r="B65" t="s">
        <v>311</v>
      </c>
      <c r="C65" s="2">
        <f>-660000*0.06</f>
        <v>-39600</v>
      </c>
      <c r="D65" s="2"/>
    </row>
    <row r="66" spans="2:4">
      <c r="B66" t="s">
        <v>312</v>
      </c>
      <c r="C66" s="2">
        <v>8500</v>
      </c>
      <c r="D66" s="2"/>
    </row>
    <row r="67" spans="2:4">
      <c r="B67" t="s">
        <v>313</v>
      </c>
      <c r="C67" s="2">
        <v>0</v>
      </c>
      <c r="D67" s="2"/>
    </row>
    <row r="68" spans="2:4">
      <c r="B68" t="s">
        <v>315</v>
      </c>
      <c r="C68" s="2">
        <f>SUM(C63:C67)</f>
        <v>130700</v>
      </c>
      <c r="D68" s="2"/>
    </row>
    <row r="69" spans="2:4">
      <c r="C69" s="2"/>
      <c r="D69" s="2"/>
    </row>
    <row r="70" spans="2:4">
      <c r="B70" t="s">
        <v>338</v>
      </c>
      <c r="C70" s="2">
        <v>510000</v>
      </c>
      <c r="D70" s="2"/>
    </row>
    <row r="71" spans="2:4">
      <c r="B71" t="s">
        <v>309</v>
      </c>
      <c r="C71" s="2">
        <f>121000</f>
        <v>121000</v>
      </c>
      <c r="D71" s="2"/>
    </row>
    <row r="72" spans="2:4">
      <c r="B72" t="s">
        <v>310</v>
      </c>
      <c r="C72" s="2">
        <f>C64</f>
        <v>40800</v>
      </c>
      <c r="D72" s="2"/>
    </row>
    <row r="73" spans="2:4">
      <c r="B73" t="s">
        <v>339</v>
      </c>
      <c r="C73" s="2">
        <v>20000</v>
      </c>
      <c r="D73" s="2"/>
    </row>
    <row r="74" spans="2:4">
      <c r="B74" t="s">
        <v>348</v>
      </c>
      <c r="C74" s="2">
        <v>-4000</v>
      </c>
      <c r="D74" s="2"/>
    </row>
    <row r="75" spans="2:4">
      <c r="B75" t="s">
        <v>340</v>
      </c>
      <c r="C75" s="2">
        <v>-94100</v>
      </c>
      <c r="D75" s="2"/>
    </row>
    <row r="76" spans="2:4">
      <c r="B76" t="s">
        <v>342</v>
      </c>
      <c r="C76" s="2">
        <f>SUM(C70:C75)</f>
        <v>593700</v>
      </c>
      <c r="D76" s="2"/>
    </row>
    <row r="77" spans="2:4">
      <c r="C77" s="2"/>
      <c r="D77" s="2"/>
    </row>
    <row r="78" spans="2:4">
      <c r="B78" t="s">
        <v>343</v>
      </c>
      <c r="C78" s="2">
        <v>660000</v>
      </c>
      <c r="D78" s="2"/>
    </row>
    <row r="79" spans="2:4">
      <c r="B79" t="s">
        <v>344</v>
      </c>
      <c r="C79" s="2">
        <v>-22300</v>
      </c>
      <c r="D79" s="2"/>
    </row>
    <row r="80" spans="2:4">
      <c r="B80" t="s">
        <v>345</v>
      </c>
      <c r="C80" s="2">
        <v>40900</v>
      </c>
      <c r="D80" s="2"/>
    </row>
    <row r="81" spans="1:6">
      <c r="B81" t="s">
        <v>346</v>
      </c>
      <c r="C81" s="2">
        <v>-94100</v>
      </c>
      <c r="D81" s="2"/>
    </row>
    <row r="82" spans="1:6">
      <c r="B82" t="s">
        <v>347</v>
      </c>
      <c r="C82" s="2">
        <f>SUM(C78:C81)</f>
        <v>584500</v>
      </c>
      <c r="D82" s="2"/>
    </row>
    <row r="83" spans="1:6">
      <c r="C83" s="2"/>
      <c r="D83" s="2"/>
    </row>
    <row r="84" spans="1:6">
      <c r="B84" t="s">
        <v>352</v>
      </c>
      <c r="C84" s="2">
        <f>C82-C76</f>
        <v>-9200</v>
      </c>
      <c r="D84" s="2" t="s">
        <v>353</v>
      </c>
    </row>
    <row r="85" spans="1:6">
      <c r="C85" s="2"/>
      <c r="D85" s="2"/>
      <c r="E85" s="2"/>
      <c r="F85" s="2"/>
    </row>
    <row r="86" spans="1:6">
      <c r="B86" t="s">
        <v>308</v>
      </c>
      <c r="C86" s="2">
        <f>C68</f>
        <v>130700</v>
      </c>
      <c r="D86" s="2"/>
      <c r="E86" s="2"/>
      <c r="F86" s="2"/>
    </row>
    <row r="87" spans="1:6">
      <c r="B87" t="s">
        <v>318</v>
      </c>
      <c r="C87" s="2"/>
      <c r="D87" s="2">
        <f>-C84</f>
        <v>9200</v>
      </c>
      <c r="E87" s="2"/>
      <c r="F87" s="2"/>
    </row>
    <row r="88" spans="1:6">
      <c r="B88" t="s">
        <v>378</v>
      </c>
      <c r="C88" s="2"/>
      <c r="D88" s="2">
        <v>150000</v>
      </c>
      <c r="E88" s="2"/>
      <c r="F88" s="2"/>
    </row>
    <row r="89" spans="1:6">
      <c r="B89" t="s">
        <v>349</v>
      </c>
      <c r="C89" s="2">
        <f>C48-C51</f>
        <v>57900</v>
      </c>
      <c r="D89" s="2"/>
      <c r="E89" s="2"/>
      <c r="F89" s="2"/>
    </row>
    <row r="90" spans="1:6">
      <c r="B90" t="s">
        <v>350</v>
      </c>
      <c r="C90" s="2">
        <f>C36-D40</f>
        <v>11500</v>
      </c>
      <c r="D90" s="2"/>
      <c r="E90" s="2"/>
      <c r="F90" s="2"/>
    </row>
    <row r="91" spans="1:6">
      <c r="B91" t="s">
        <v>351</v>
      </c>
      <c r="C91" s="2"/>
      <c r="D91" s="2">
        <v>40900</v>
      </c>
      <c r="E91" s="2"/>
      <c r="F91" s="2"/>
    </row>
    <row r="92" spans="1:6">
      <c r="C92" s="2">
        <f>SUM(C86:C91)</f>
        <v>200100</v>
      </c>
      <c r="D92" s="2">
        <f>SUM(D87:D91)</f>
        <v>200100</v>
      </c>
      <c r="E92" s="2"/>
      <c r="F92" s="2"/>
    </row>
    <row r="93" spans="1:6" s="11" customFormat="1">
      <c r="C93" s="14">
        <f>C92-D92</f>
        <v>0</v>
      </c>
      <c r="D93" s="14"/>
      <c r="E93" s="14"/>
      <c r="F93" s="14"/>
    </row>
    <row r="94" spans="1:6">
      <c r="C94" s="2"/>
      <c r="D94" s="2"/>
      <c r="E94" s="2"/>
      <c r="F94" s="2"/>
    </row>
    <row r="95" spans="1:6">
      <c r="A95">
        <v>7</v>
      </c>
      <c r="B95" t="s">
        <v>379</v>
      </c>
      <c r="C95" s="2"/>
      <c r="D95" s="2"/>
      <c r="E95" s="2"/>
      <c r="F95" s="2"/>
    </row>
    <row r="96" spans="1:6">
      <c r="B96" t="s">
        <v>309</v>
      </c>
      <c r="C96" s="2">
        <v>80500</v>
      </c>
      <c r="D96" s="2"/>
      <c r="E96" s="2"/>
      <c r="F96" s="2"/>
    </row>
    <row r="97" spans="2:6">
      <c r="B97" t="s">
        <v>310</v>
      </c>
      <c r="C97" s="2">
        <f>ROUND(1009340*0.09,0)</f>
        <v>90841</v>
      </c>
      <c r="D97" s="2"/>
      <c r="E97" s="2"/>
      <c r="F97" s="2"/>
    </row>
    <row r="98" spans="2:6">
      <c r="B98" t="s">
        <v>311</v>
      </c>
      <c r="C98" s="2">
        <f>-948500*0.15</f>
        <v>-142275</v>
      </c>
      <c r="D98" s="2"/>
      <c r="E98" s="2"/>
      <c r="F98" s="2"/>
    </row>
    <row r="99" spans="2:6">
      <c r="B99" t="s">
        <v>312</v>
      </c>
      <c r="C99" s="2">
        <v>15100</v>
      </c>
      <c r="D99" s="2"/>
      <c r="E99" s="2"/>
      <c r="F99" s="2"/>
    </row>
    <row r="100" spans="2:6">
      <c r="B100" t="s">
        <v>315</v>
      </c>
      <c r="C100" s="2">
        <f>SUM(C96:C99)</f>
        <v>44166</v>
      </c>
      <c r="D100" s="2"/>
      <c r="E100" s="2"/>
      <c r="F100" s="2"/>
    </row>
    <row r="101" spans="2:6">
      <c r="C101" s="2"/>
      <c r="D101" s="2"/>
      <c r="E101" s="2"/>
      <c r="F101" s="2"/>
    </row>
    <row r="102" spans="2:6">
      <c r="C102" s="2"/>
      <c r="D102" s="2"/>
      <c r="E102" s="2"/>
      <c r="F102" s="2"/>
    </row>
    <row r="103" spans="2:6">
      <c r="B103" t="s">
        <v>338</v>
      </c>
      <c r="C103" s="2">
        <v>1009340</v>
      </c>
      <c r="D103" s="2"/>
      <c r="E103" s="2"/>
      <c r="F103" s="2"/>
    </row>
    <row r="104" spans="2:6">
      <c r="B104" t="s">
        <v>309</v>
      </c>
      <c r="C104" s="2">
        <f>C96</f>
        <v>80500</v>
      </c>
    </row>
    <row r="105" spans="2:6">
      <c r="B105" t="s">
        <v>310</v>
      </c>
      <c r="C105" s="2">
        <f>C97</f>
        <v>90841</v>
      </c>
    </row>
    <row r="106" spans="2:6">
      <c r="B106" t="s">
        <v>380</v>
      </c>
      <c r="C106" s="2">
        <v>72625</v>
      </c>
    </row>
    <row r="107" spans="2:6">
      <c r="B107" t="s">
        <v>340</v>
      </c>
      <c r="C107" s="2">
        <v>-44070</v>
      </c>
    </row>
    <row r="108" spans="2:6">
      <c r="B108" t="s">
        <v>342</v>
      </c>
      <c r="C108" s="2">
        <f>SUM(C103:C107)</f>
        <v>1209236</v>
      </c>
    </row>
    <row r="109" spans="2:6">
      <c r="C109" s="2"/>
    </row>
    <row r="110" spans="2:6">
      <c r="C110" s="2"/>
    </row>
    <row r="111" spans="2:6">
      <c r="B111" t="s">
        <v>343</v>
      </c>
      <c r="C111" s="2">
        <v>948500</v>
      </c>
    </row>
    <row r="112" spans="2:6">
      <c r="B112" t="s">
        <v>344</v>
      </c>
      <c r="C112" s="2">
        <v>112855</v>
      </c>
    </row>
    <row r="113" spans="1:5">
      <c r="B113" t="s">
        <v>345</v>
      </c>
      <c r="C113" s="2">
        <v>68270</v>
      </c>
    </row>
    <row r="114" spans="1:5">
      <c r="B114" t="s">
        <v>346</v>
      </c>
      <c r="C114" s="2">
        <v>-44070</v>
      </c>
    </row>
    <row r="115" spans="1:5">
      <c r="B115" t="s">
        <v>347</v>
      </c>
      <c r="C115" s="2">
        <f>SUM(C111:C114)</f>
        <v>1085555</v>
      </c>
    </row>
    <row r="117" spans="1:5">
      <c r="B117" t="s">
        <v>381</v>
      </c>
      <c r="C117" s="3">
        <f>C108-C115</f>
        <v>123681</v>
      </c>
      <c r="D117" t="s">
        <v>387</v>
      </c>
    </row>
    <row r="118" spans="1:5">
      <c r="D118" s="3"/>
    </row>
    <row r="119" spans="1:5">
      <c r="C119" t="s">
        <v>383</v>
      </c>
      <c r="D119" t="s">
        <v>384</v>
      </c>
      <c r="E119" t="s">
        <v>385</v>
      </c>
    </row>
    <row r="120" spans="1:5">
      <c r="B120" t="s">
        <v>382</v>
      </c>
      <c r="C120">
        <v>60840</v>
      </c>
      <c r="E120">
        <f>SUM(C120:D120)</f>
        <v>60840</v>
      </c>
    </row>
    <row r="121" spans="1:5">
      <c r="B121" t="s">
        <v>394</v>
      </c>
      <c r="D121" s="3">
        <f>((948500*0.15)-112855)</f>
        <v>29420</v>
      </c>
      <c r="E121">
        <f t="shared" ref="E121:E123" si="0">SUM(C121:D121)</f>
        <v>29420</v>
      </c>
    </row>
    <row r="122" spans="1:5">
      <c r="B122" t="s">
        <v>386</v>
      </c>
      <c r="C122">
        <v>-15100</v>
      </c>
      <c r="E122">
        <f t="shared" si="0"/>
        <v>-15100</v>
      </c>
    </row>
    <row r="123" spans="1:5">
      <c r="B123" t="s">
        <v>395</v>
      </c>
      <c r="D123">
        <v>72625</v>
      </c>
      <c r="E123">
        <f t="shared" si="0"/>
        <v>72625</v>
      </c>
    </row>
    <row r="124" spans="1:5">
      <c r="C124">
        <f>SUM(C120:C123)</f>
        <v>45740</v>
      </c>
      <c r="D124">
        <f>SUM(D120:D123)</f>
        <v>102045</v>
      </c>
      <c r="E124">
        <f>SUM(E120:E123)</f>
        <v>147785</v>
      </c>
    </row>
    <row r="127" spans="1:5">
      <c r="A127">
        <v>8</v>
      </c>
      <c r="B127" t="s">
        <v>379</v>
      </c>
    </row>
    <row r="128" spans="1:5">
      <c r="B128" t="s">
        <v>309</v>
      </c>
      <c r="C128">
        <v>915140</v>
      </c>
    </row>
    <row r="129" spans="2:4">
      <c r="B129" t="s">
        <v>310</v>
      </c>
      <c r="C129">
        <f>62000*0.08</f>
        <v>4960</v>
      </c>
    </row>
    <row r="130" spans="2:4">
      <c r="B130" t="s">
        <v>312</v>
      </c>
      <c r="C130">
        <v>17900</v>
      </c>
    </row>
    <row r="131" spans="2:4">
      <c r="B131" t="s">
        <v>315</v>
      </c>
      <c r="C131">
        <f>SUM(C128:C130)</f>
        <v>938000</v>
      </c>
    </row>
    <row r="133" spans="2:4">
      <c r="B133" t="s">
        <v>396</v>
      </c>
      <c r="C133" s="1">
        <v>600000</v>
      </c>
    </row>
    <row r="134" spans="2:4">
      <c r="B134" t="s">
        <v>309</v>
      </c>
      <c r="C134">
        <f>C128</f>
        <v>915140</v>
      </c>
    </row>
    <row r="135" spans="2:4">
      <c r="B135" t="s">
        <v>310</v>
      </c>
      <c r="C135">
        <f>C129</f>
        <v>4960</v>
      </c>
    </row>
    <row r="136" spans="2:4">
      <c r="B136" t="s">
        <v>397</v>
      </c>
      <c r="C136" s="1">
        <f>SUM(C133:C135)</f>
        <v>1520100</v>
      </c>
    </row>
    <row r="138" spans="2:4">
      <c r="B138" t="s">
        <v>398</v>
      </c>
      <c r="C138">
        <v>0</v>
      </c>
    </row>
    <row r="139" spans="2:4">
      <c r="B139" t="s">
        <v>399</v>
      </c>
      <c r="C139">
        <v>348900</v>
      </c>
    </row>
    <row r="140" spans="2:4">
      <c r="B140" t="s">
        <v>400</v>
      </c>
      <c r="C140">
        <f>SUM(C138:C139)</f>
        <v>348900</v>
      </c>
    </row>
    <row r="142" spans="2:4">
      <c r="B142" t="s">
        <v>401</v>
      </c>
      <c r="C142" s="1">
        <f>C136-C140</f>
        <v>1171200</v>
      </c>
      <c r="D142" t="s">
        <v>353</v>
      </c>
    </row>
    <row r="144" spans="2:4">
      <c r="B144" t="s">
        <v>308</v>
      </c>
      <c r="C144">
        <f>C131</f>
        <v>938000</v>
      </c>
    </row>
    <row r="145" spans="1:5">
      <c r="B145" t="s">
        <v>318</v>
      </c>
      <c r="D145">
        <f>C144-SUM(D146:D147)</f>
        <v>571200</v>
      </c>
    </row>
    <row r="146" spans="1:5">
      <c r="B146" t="s">
        <v>5</v>
      </c>
      <c r="D146">
        <v>348900</v>
      </c>
    </row>
    <row r="147" spans="1:5">
      <c r="B147" t="s">
        <v>402</v>
      </c>
      <c r="D147">
        <v>17900</v>
      </c>
    </row>
    <row r="149" spans="1:5">
      <c r="B149" t="s">
        <v>403</v>
      </c>
    </row>
    <row r="150" spans="1:5">
      <c r="B150" t="s">
        <v>325</v>
      </c>
      <c r="C150">
        <v>0</v>
      </c>
    </row>
    <row r="151" spans="1:5">
      <c r="B151" t="s">
        <v>386</v>
      </c>
      <c r="C151" s="1">
        <f>600000-17900</f>
        <v>582100</v>
      </c>
    </row>
    <row r="152" spans="1:5">
      <c r="B152" t="s">
        <v>404</v>
      </c>
      <c r="C152">
        <f>SUM(C150:C151)</f>
        <v>582100</v>
      </c>
    </row>
    <row r="154" spans="1:5">
      <c r="A154">
        <v>9</v>
      </c>
      <c r="B154" t="s">
        <v>354</v>
      </c>
      <c r="C154" t="s">
        <v>388</v>
      </c>
      <c r="D154" t="s">
        <v>389</v>
      </c>
      <c r="E154" t="s">
        <v>390</v>
      </c>
    </row>
    <row r="155" spans="1:5">
      <c r="B155" t="s">
        <v>356</v>
      </c>
      <c r="C155" t="s">
        <v>391</v>
      </c>
      <c r="D155" t="s">
        <v>392</v>
      </c>
      <c r="E155" t="s">
        <v>393</v>
      </c>
    </row>
    <row r="156" spans="1:5">
      <c r="B156" t="s">
        <v>357</v>
      </c>
      <c r="C156" t="s">
        <v>391</v>
      </c>
      <c r="D156" t="s">
        <v>393</v>
      </c>
      <c r="E156" t="s">
        <v>392</v>
      </c>
    </row>
    <row r="157" spans="1:5">
      <c r="B157" t="s">
        <v>358</v>
      </c>
      <c r="C157" t="s">
        <v>391</v>
      </c>
      <c r="D157" t="s">
        <v>393</v>
      </c>
      <c r="E157" t="s">
        <v>392</v>
      </c>
    </row>
    <row r="158" spans="1:5">
      <c r="B158" t="s">
        <v>355</v>
      </c>
      <c r="C158" t="s">
        <v>392</v>
      </c>
      <c r="D158" t="s">
        <v>393</v>
      </c>
      <c r="E158" t="s">
        <v>391</v>
      </c>
    </row>
    <row r="159" spans="1:5">
      <c r="B159" t="s">
        <v>359</v>
      </c>
      <c r="C159" t="s">
        <v>393</v>
      </c>
      <c r="D159" t="s">
        <v>392</v>
      </c>
      <c r="E159" t="s">
        <v>391</v>
      </c>
    </row>
    <row r="160" spans="1:5">
      <c r="B160" t="s">
        <v>358</v>
      </c>
      <c r="C160" t="s">
        <v>393</v>
      </c>
      <c r="D160" t="s">
        <v>392</v>
      </c>
      <c r="E160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11 HW</vt:lpstr>
      <vt:lpstr>12 WU</vt:lpstr>
      <vt:lpstr>12HW</vt:lpstr>
      <vt:lpstr>18WU</vt:lpstr>
      <vt:lpstr>18HW</vt:lpstr>
      <vt:lpstr>19WU</vt:lpstr>
      <vt:lpstr>19 HW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PC</cp:lastModifiedBy>
  <dcterms:created xsi:type="dcterms:W3CDTF">2020-10-11T07:11:21Z</dcterms:created>
  <dcterms:modified xsi:type="dcterms:W3CDTF">2020-10-27T18:05:01Z</dcterms:modified>
</cp:coreProperties>
</file>