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480" tabRatio="500"/>
  </bookViews>
  <sheets>
    <sheet name="Інвестиції" sheetId="3" r:id="rId1"/>
    <sheet name="Щомісячні Витрати" sheetId="4" r:id="rId2"/>
    <sheet name="Річні Витрати" sheetId="5" r:id="rId3"/>
    <sheet name="Асортимент" sheetId="7" r:id="rId4"/>
    <sheet name="Прибуток" sheetId="6" r:id="rId5"/>
    <sheet name="P&amp;L" sheetId="8" r:id="rId6"/>
    <sheet name="Cash Flow" sheetId="9" r:id="rId7"/>
  </sheets>
  <calcPr calcId="144525"/>
</workbook>
</file>

<file path=xl/sharedStrings.xml><?xml version="1.0" encoding="utf-8"?>
<sst xmlns="http://schemas.openxmlformats.org/spreadsheetml/2006/main" count="294" uniqueCount="144">
  <si>
    <t>Інвестиції</t>
  </si>
  <si>
    <t>Показник</t>
  </si>
  <si>
    <t>Вартість</t>
  </si>
  <si>
    <t>Сумарна Вартість Приміщення</t>
  </si>
  <si>
    <t>Сумарні Витрати на Док. та Налог.</t>
  </si>
  <si>
    <t>Сумарні Витрати на Пер. та Рек.</t>
  </si>
  <si>
    <t>Сумарні Витрати на інгрідієнти</t>
  </si>
  <si>
    <t>Сумарний внесок (грн)</t>
  </si>
  <si>
    <t>Необхідні для приміщення</t>
  </si>
  <si>
    <t>Персонал Та Реклама</t>
  </si>
  <si>
    <t>Кількість</t>
  </si>
  <si>
    <t>Ціна\одиницю</t>
  </si>
  <si>
    <t>Сумарна Вартість</t>
  </si>
  <si>
    <t>Оренда приміщення</t>
  </si>
  <si>
    <t>Пошук Персоналу</t>
  </si>
  <si>
    <t>Ремонтні роботи</t>
  </si>
  <si>
    <t>Інвертар Персоналу</t>
  </si>
  <si>
    <t>Конвекційна печь</t>
  </si>
  <si>
    <t>Реклама</t>
  </si>
  <si>
    <t>Промислові індукційні плити</t>
  </si>
  <si>
    <t>Створення сайту</t>
  </si>
  <si>
    <t>Тістоміс</t>
  </si>
  <si>
    <t>Розстійна шафа</t>
  </si>
  <si>
    <t xml:space="preserve">Холодильне обладнання </t>
  </si>
  <si>
    <t>Холодильна шафа</t>
  </si>
  <si>
    <t>Складське обладнання</t>
  </si>
  <si>
    <t>Інше обладнання для виготовлення</t>
  </si>
  <si>
    <t>Касове обладнання</t>
  </si>
  <si>
    <t>Сантехніка Та Електрика</t>
  </si>
  <si>
    <t>Вентиляція</t>
  </si>
  <si>
    <t>Інтерьер та Екстерьер</t>
  </si>
  <si>
    <t>Документи та Налогові Збори</t>
  </si>
  <si>
    <t>Закупочні продовольчі матеріали</t>
  </si>
  <si>
    <t>Кількість (Літр\Од.\кг)</t>
  </si>
  <si>
    <t>Висновок пожежних</t>
  </si>
  <si>
    <t>Молоко</t>
  </si>
  <si>
    <t>Висновок санепідстанції</t>
  </si>
  <si>
    <t>Цукор</t>
  </si>
  <si>
    <t>Сертифікати на вироблені вироби</t>
  </si>
  <si>
    <t>Борошно</t>
  </si>
  <si>
    <t>Санітарний паспорт</t>
  </si>
  <si>
    <t>Соль</t>
  </si>
  <si>
    <t>Єдиний соц.внесок</t>
  </si>
  <si>
    <t>Желатин</t>
  </si>
  <si>
    <t>Яйця</t>
  </si>
  <si>
    <t>Масло</t>
  </si>
  <si>
    <t>Інші інгрідієнти</t>
  </si>
  <si>
    <t>Загальні щомісячні витрати (Підсумок)</t>
  </si>
  <si>
    <t xml:space="preserve"> Витрати на інгрідієнти</t>
  </si>
  <si>
    <t xml:space="preserve"> Витрати на Персонал</t>
  </si>
  <si>
    <t xml:space="preserve"> Витрати на Приміщення</t>
  </si>
  <si>
    <t>Сіль</t>
  </si>
  <si>
    <t xml:space="preserve"> Витрати на рекламу</t>
  </si>
  <si>
    <t xml:space="preserve"> Незаплановані Витрати</t>
  </si>
  <si>
    <t>Сумарні Витрати</t>
  </si>
  <si>
    <t>Витрати з налогами</t>
  </si>
  <si>
    <t>Витрати на персонал</t>
  </si>
  <si>
    <t>Кухар-продавець</t>
  </si>
  <si>
    <t>Менеджер</t>
  </si>
  <si>
    <t>Сумарні Витрати на Персонал</t>
  </si>
  <si>
    <t>Витрати на Приміщення</t>
  </si>
  <si>
    <t>Оренда</t>
  </si>
  <si>
    <t>Комунальны послуги</t>
  </si>
  <si>
    <t>Підтримання Приміщення (ремонт)</t>
  </si>
  <si>
    <t>Додаткові інвестиції в приміщення</t>
  </si>
  <si>
    <t>Сумарні Витрати на Приміщення</t>
  </si>
  <si>
    <t>Налоги</t>
  </si>
  <si>
    <t>ФОП</t>
  </si>
  <si>
    <t>ФОП (обов'язковий)</t>
  </si>
  <si>
    <t>Військовий збір</t>
  </si>
  <si>
    <t>Сумарні Витрати на Налоги</t>
  </si>
  <si>
    <t>Незаплановані Виплати</t>
  </si>
  <si>
    <t>Премія</t>
  </si>
  <si>
    <t>Витрати на Персонал</t>
  </si>
  <si>
    <t>Витрати на заклад</t>
  </si>
  <si>
    <t>Непередбачуванні Витрати</t>
  </si>
  <si>
    <t>Загальні річні витрати (Підсумок)</t>
  </si>
  <si>
    <t>Місяців</t>
  </si>
  <si>
    <t>Ціна\Місяць</t>
  </si>
  <si>
    <t xml:space="preserve"> Витрати на Налоги</t>
  </si>
  <si>
    <t>Непердбачуванні витрати</t>
  </si>
  <si>
    <t>Оцінка ремонту приміщення</t>
  </si>
  <si>
    <t>Асортимент</t>
  </si>
  <si>
    <t>Назва</t>
  </si>
  <si>
    <t>Ціна</t>
  </si>
  <si>
    <t>Очікуваний Попит (шт.)</t>
  </si>
  <si>
    <t>Собівартість товару</t>
  </si>
  <si>
    <t>Множник націнки</t>
  </si>
  <si>
    <t>Вихідна Вартість</t>
  </si>
  <si>
    <t xml:space="preserve">в день* </t>
  </si>
  <si>
    <t>в місяць*</t>
  </si>
  <si>
    <t>Сінабони</t>
  </si>
  <si>
    <t>Капкейк</t>
  </si>
  <si>
    <t>Пончики</t>
  </si>
  <si>
    <t>Булочки (різні)</t>
  </si>
  <si>
    <t>Мармелад</t>
  </si>
  <si>
    <t>Торти</t>
  </si>
  <si>
    <t>Вафлі</t>
  </si>
  <si>
    <t>Хліб</t>
  </si>
  <si>
    <t>Кава</t>
  </si>
  <si>
    <t>Чай</t>
  </si>
  <si>
    <t>Солодкі напої</t>
  </si>
  <si>
    <t>Інше</t>
  </si>
  <si>
    <t>Джерела Прибутку</t>
  </si>
  <si>
    <t>Назва/Показники</t>
  </si>
  <si>
    <t>Оціночна Вартість</t>
  </si>
  <si>
    <t>Очікуваний попит (продано в місяць)</t>
  </si>
  <si>
    <t>Очікуваний Прибуток</t>
  </si>
  <si>
    <t>Майстеркласи</t>
  </si>
  <si>
    <t>Прибуток з корпоративів</t>
  </si>
  <si>
    <t>Прибуток</t>
  </si>
  <si>
    <t>Очікуваний "Чистий"  Прибуток</t>
  </si>
  <si>
    <t>Загальний щомісячний прибуток</t>
  </si>
  <si>
    <t>Загальний Річний прибуток</t>
  </si>
  <si>
    <t>Звіт доходів та витрат
Категорія: Дохід</t>
  </si>
  <si>
    <t>Для Амортизації</t>
  </si>
  <si>
    <t>одиниця вимірювання</t>
  </si>
  <si>
    <t>План Продажів</t>
  </si>
  <si>
    <t>грн</t>
  </si>
  <si>
    <t>Собівартість</t>
  </si>
  <si>
    <t>Валовий Дохід</t>
  </si>
  <si>
    <t>Оренда&amp;Обслуження Приміщення</t>
  </si>
  <si>
    <t>%</t>
  </si>
  <si>
    <t>Незаплановані витрати</t>
  </si>
  <si>
    <t>Персонал</t>
  </si>
  <si>
    <t>Амортизація</t>
  </si>
  <si>
    <t>Оціночна к.сть років для оновлення</t>
  </si>
  <si>
    <t xml:space="preserve">Амортизація: </t>
  </si>
  <si>
    <t>Рух Кошів станом на 1 місяць</t>
  </si>
  <si>
    <t>Розрахунок Балансу</t>
  </si>
  <si>
    <t>Час Окупності (міс)</t>
  </si>
  <si>
    <t>Одиниці вим.</t>
  </si>
  <si>
    <t>Значення</t>
  </si>
  <si>
    <t>Прибуток (міс)</t>
  </si>
  <si>
    <t>Заборгованість</t>
  </si>
  <si>
    <t xml:space="preserve">Очікуваний </t>
  </si>
  <si>
    <t>Ідеальний</t>
  </si>
  <si>
    <t>Найгірший</t>
  </si>
  <si>
    <t>Залишок станом на 1 місяць (початок)</t>
  </si>
  <si>
    <t>Надходження коштів від продажу</t>
  </si>
  <si>
    <t>Виплати</t>
  </si>
  <si>
    <t>Оплата Продекції</t>
  </si>
  <si>
    <t>Залишок станом на 1 місяць (Кінець)</t>
  </si>
  <si>
    <t xml:space="preserve"> </t>
  </si>
</sst>
</file>

<file path=xl/styles.xml><?xml version="1.0" encoding="utf-8"?>
<styleSheet xmlns="http://schemas.openxmlformats.org/spreadsheetml/2006/main">
  <numFmts count="5">
    <numFmt numFmtId="176" formatCode="_-&quot;₽&quot;* #\ ##0.00_-;\-&quot;₽&quot;* #\ ##0.00_-;_-&quot;₽&quot;* &quot;-&quot;??_-;_-@_-"/>
    <numFmt numFmtId="177" formatCode="\ * #\ ##0.00\ ;\-* #\ ##0.00\ ;\ * \-#\ ;\ @\ "/>
    <numFmt numFmtId="178" formatCode="_-* #\ ##0_-;\-* #\ ##0_-;_-* &quot;-&quot;_-;_-@_-"/>
    <numFmt numFmtId="179" formatCode="_-* #\ ##0_-;\-&quot;₽&quot;* #\ ##0_-;_-&quot;₽&quot;* &quot;-&quot;_-;_-@_-"/>
    <numFmt numFmtId="180" formatCode="0.0"/>
  </numFmts>
  <fonts count="27">
    <font>
      <sz val="10"/>
      <name val="Arial"/>
      <charset val="134"/>
    </font>
    <font>
      <b/>
      <sz val="10"/>
      <name val="Arial"/>
      <charset val="134"/>
    </font>
    <font>
      <sz val="12"/>
      <name val="Arial"/>
      <charset val="134"/>
    </font>
    <font>
      <b/>
      <sz val="14"/>
      <name val="Arial"/>
      <charset val="134"/>
    </font>
    <font>
      <b/>
      <sz val="11"/>
      <name val="Arial"/>
      <charset val="134"/>
    </font>
    <font>
      <b/>
      <sz val="12"/>
      <name val="Arial"/>
      <charset val="134"/>
    </font>
    <font>
      <sz val="11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7" fontId="0" fillId="0" borderId="0" applyFont="0" applyBorder="0" applyAlignment="0" applyProtection="0"/>
    <xf numFmtId="178" fontId="0" fillId="0" borderId="0" applyBorder="0" applyAlignment="0" applyProtection="0"/>
    <xf numFmtId="179" fontId="0" fillId="0" borderId="0" applyBorder="0" applyAlignment="0" applyProtection="0"/>
    <xf numFmtId="176" fontId="0" fillId="0" borderId="0" applyBorder="0" applyAlignment="0" applyProtection="0"/>
    <xf numFmtId="9" fontId="0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9" borderId="40" applyNumberFormat="0" applyAlignment="0" applyProtection="0">
      <alignment vertical="center"/>
    </xf>
    <xf numFmtId="0" fontId="17" fillId="0" borderId="41" applyNumberFormat="0" applyFill="0" applyAlignment="0" applyProtection="0">
      <alignment vertical="center"/>
    </xf>
    <xf numFmtId="0" fontId="18" fillId="13" borderId="4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2" borderId="44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3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5" fillId="4" borderId="44" applyNumberFormat="0" applyAlignment="0" applyProtection="0">
      <alignment vertical="center"/>
    </xf>
    <xf numFmtId="0" fontId="12" fillId="0" borderId="39" applyNumberFormat="0" applyFill="0" applyAlignment="0" applyProtection="0">
      <alignment vertical="center"/>
    </xf>
    <xf numFmtId="0" fontId="26" fillId="0" borderId="4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17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1" fontId="0" fillId="0" borderId="16" xfId="0" applyNumberFormat="1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1" fontId="0" fillId="0" borderId="19" xfId="0" applyNumberFormat="1" applyBorder="1"/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0" fillId="0" borderId="0" xfId="0" applyAlignme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180" fontId="0" fillId="0" borderId="13" xfId="0" applyNumberFormat="1" applyBorder="1" applyAlignment="1"/>
    <xf numFmtId="180" fontId="0" fillId="0" borderId="13" xfId="0" applyNumberFormat="1" applyBorder="1" applyAlignment="1">
      <alignment vertical="center" wrapText="1"/>
    </xf>
    <xf numFmtId="180" fontId="0" fillId="0" borderId="27" xfId="0" applyNumberFormat="1" applyBorder="1" applyAlignment="1">
      <alignment vertical="center" wrapText="1"/>
    </xf>
    <xf numFmtId="180" fontId="0" fillId="0" borderId="0" xfId="0" applyNumberFormat="1" applyBorder="1" applyAlignment="1">
      <alignment vertical="center" wrapText="1"/>
    </xf>
    <xf numFmtId="0" fontId="0" fillId="0" borderId="0" xfId="0" applyBorder="1"/>
    <xf numFmtId="0" fontId="0" fillId="0" borderId="0" xfId="0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18" xfId="0" applyBorder="1"/>
    <xf numFmtId="0" fontId="0" fillId="0" borderId="19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17" xfId="0" applyBorder="1"/>
    <xf numFmtId="0" fontId="0" fillId="0" borderId="18" xfId="0" applyBorder="1"/>
    <xf numFmtId="0" fontId="0" fillId="0" borderId="12" xfId="0" applyBorder="1" applyAlignment="1"/>
    <xf numFmtId="0" fontId="0" fillId="0" borderId="12" xfId="0" applyBorder="1"/>
    <xf numFmtId="2" fontId="0" fillId="0" borderId="27" xfId="0" applyNumberFormat="1" applyBorder="1"/>
    <xf numFmtId="0" fontId="0" fillId="0" borderId="27" xfId="0" applyBorder="1" applyAlignment="1">
      <alignment horizontal="center"/>
    </xf>
    <xf numFmtId="0" fontId="1" fillId="0" borderId="3" xfId="0" applyFont="1" applyBorder="1"/>
    <xf numFmtId="0" fontId="0" fillId="0" borderId="16" xfId="0" applyBorder="1"/>
    <xf numFmtId="0" fontId="0" fillId="0" borderId="33" xfId="0" applyBorder="1"/>
    <xf numFmtId="0" fontId="0" fillId="0" borderId="19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/>
    <xf numFmtId="0" fontId="0" fillId="0" borderId="24" xfId="0" applyBorder="1" applyAlignment="1"/>
    <xf numFmtId="0" fontId="0" fillId="0" borderId="25" xfId="0" applyBorder="1"/>
    <xf numFmtId="0" fontId="0" fillId="0" borderId="26" xfId="0" applyBorder="1"/>
    <xf numFmtId="0" fontId="2" fillId="0" borderId="28" xfId="0" applyFont="1" applyBorder="1"/>
    <xf numFmtId="0" fontId="0" fillId="0" borderId="29" xfId="0" applyBorder="1"/>
    <xf numFmtId="0" fontId="0" fillId="0" borderId="30" xfId="0" applyBorder="1"/>
    <xf numFmtId="0" fontId="2" fillId="0" borderId="14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1" xfId="0" applyFont="1" applyBorder="1"/>
    <xf numFmtId="0" fontId="0" fillId="0" borderId="2" xfId="0" applyBorder="1"/>
    <xf numFmtId="0" fontId="0" fillId="0" borderId="34" xfId="0" applyBorder="1"/>
    <xf numFmtId="0" fontId="0" fillId="0" borderId="8" xfId="0" applyBorder="1"/>
    <xf numFmtId="0" fontId="0" fillId="0" borderId="23" xfId="0" applyBorder="1"/>
    <xf numFmtId="0" fontId="0" fillId="0" borderId="28" xfId="0" applyBorder="1"/>
    <xf numFmtId="0" fontId="0" fillId="0" borderId="29" xfId="0" applyNumberFormat="1" applyBorder="1"/>
    <xf numFmtId="0" fontId="0" fillId="0" borderId="30" xfId="0" applyBorder="1"/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8" xfId="0" applyFont="1" applyBorder="1"/>
    <xf numFmtId="0" fontId="2" fillId="0" borderId="19" xfId="0" applyFont="1" applyBorder="1"/>
    <xf numFmtId="0" fontId="0" fillId="0" borderId="0" xfId="0" applyNumberFormat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35" xfId="0" applyFont="1" applyBorder="1"/>
    <xf numFmtId="0" fontId="0" fillId="0" borderId="28" xfId="0" applyFont="1" applyBorder="1"/>
    <xf numFmtId="0" fontId="0" fillId="0" borderId="30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0" xfId="0" applyBorder="1"/>
    <xf numFmtId="0" fontId="1" fillId="0" borderId="36" xfId="0" applyFont="1" applyBorder="1"/>
    <xf numFmtId="0" fontId="0" fillId="0" borderId="37" xfId="0" applyNumberFormat="1" applyBorder="1"/>
    <xf numFmtId="0" fontId="1" fillId="0" borderId="12" xfId="0" applyFont="1" applyBorder="1"/>
    <xf numFmtId="0" fontId="0" fillId="0" borderId="27" xfId="0" applyNumberFormat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" fillId="0" borderId="13" xfId="0" applyFont="1" applyBorder="1"/>
    <xf numFmtId="0" fontId="1" fillId="0" borderId="5" xfId="0" applyFont="1" applyBorder="1"/>
    <xf numFmtId="0" fontId="1" fillId="0" borderId="27" xfId="0" applyFont="1" applyBorder="1"/>
    <xf numFmtId="0" fontId="0" fillId="0" borderId="21" xfId="0" applyBorder="1"/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5" xfId="0" applyBorder="1"/>
    <xf numFmtId="0" fontId="1" fillId="0" borderId="20" xfId="0" applyFont="1" applyBorder="1"/>
    <xf numFmtId="0" fontId="1" fillId="0" borderId="21" xfId="0" applyFont="1" applyBorder="1"/>
    <xf numFmtId="0" fontId="0" fillId="0" borderId="29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" fillId="0" borderId="16" xfId="0" applyFont="1" applyBorder="1"/>
    <xf numFmtId="0" fontId="0" fillId="0" borderId="7" xfId="0" applyBorder="1"/>
    <xf numFmtId="0" fontId="0" fillId="0" borderId="35" xfId="0" applyBorder="1"/>
    <xf numFmtId="0" fontId="0" fillId="0" borderId="15" xfId="0" applyBorder="1"/>
    <xf numFmtId="0" fontId="1" fillId="0" borderId="22" xfId="0" applyFont="1" applyBorder="1"/>
    <xf numFmtId="9" fontId="0" fillId="0" borderId="29" xfId="0" applyNumberFormat="1" applyBorder="1"/>
    <xf numFmtId="10" fontId="0" fillId="0" borderId="18" xfId="0" applyNumberFormat="1" applyBorder="1"/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27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6" xfId="0" applyNumberFormat="1" applyBorder="1"/>
    <xf numFmtId="0" fontId="3" fillId="0" borderId="2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8"/>
  <sheetViews>
    <sheetView tabSelected="1" zoomScale="85" zoomScaleNormal="85" workbookViewId="0">
      <selection activeCell="E40" sqref="E40"/>
    </sheetView>
  </sheetViews>
  <sheetFormatPr defaultColWidth="8.88888888888889" defaultRowHeight="13.2"/>
  <cols>
    <col min="2" max="5" width="32.4444444444444" customWidth="1"/>
    <col min="6" max="6" width="4.62962962962963" customWidth="1"/>
    <col min="7" max="13" width="32.4444444444444" customWidth="1"/>
  </cols>
  <sheetData>
    <row r="1" ht="13.95"/>
    <row r="2" ht="18.15" spans="2:10">
      <c r="B2" s="125" t="s">
        <v>0</v>
      </c>
      <c r="C2" s="126"/>
      <c r="D2" s="126"/>
      <c r="E2" s="126"/>
      <c r="F2" s="127"/>
      <c r="G2" s="127"/>
      <c r="H2" s="127"/>
      <c r="I2" s="127"/>
      <c r="J2" s="170"/>
    </row>
    <row r="3" ht="16.35" spans="2:5">
      <c r="B3" s="144" t="s">
        <v>1</v>
      </c>
      <c r="C3" s="145"/>
      <c r="D3" s="144" t="s">
        <v>2</v>
      </c>
      <c r="E3" s="146"/>
    </row>
    <row r="4" ht="13.8" spans="2:5">
      <c r="B4" s="154" t="s">
        <v>3</v>
      </c>
      <c r="C4" s="155"/>
      <c r="D4" s="155">
        <f>C26</f>
        <v>725000</v>
      </c>
      <c r="E4" s="156"/>
    </row>
    <row r="5" ht="13.8" spans="2:5">
      <c r="B5" s="157" t="s">
        <v>4</v>
      </c>
      <c r="C5" s="158"/>
      <c r="D5" s="158">
        <f>C35</f>
        <v>40000</v>
      </c>
      <c r="E5" s="159"/>
    </row>
    <row r="6" ht="13.8" spans="2:5">
      <c r="B6" s="157" t="s">
        <v>5</v>
      </c>
      <c r="C6" s="158"/>
      <c r="D6" s="158">
        <f>H16</f>
        <v>62000</v>
      </c>
      <c r="E6" s="159"/>
    </row>
    <row r="7" ht="14.55" spans="2:5">
      <c r="B7" s="160" t="s">
        <v>6</v>
      </c>
      <c r="C7" s="161"/>
      <c r="D7" s="161">
        <f>H38</f>
        <v>208850</v>
      </c>
      <c r="E7" s="162"/>
    </row>
    <row r="8" ht="14.55" spans="2:5">
      <c r="B8" s="163" t="s">
        <v>7</v>
      </c>
      <c r="C8" s="164"/>
      <c r="D8" s="165">
        <f>SUM(D4:D7)</f>
        <v>1035850</v>
      </c>
      <c r="E8" s="166"/>
    </row>
    <row r="9" ht="29" customHeight="1"/>
    <row r="10" ht="16.35" spans="2:10">
      <c r="B10" s="167" t="s">
        <v>8</v>
      </c>
      <c r="C10" s="135"/>
      <c r="D10" s="135"/>
      <c r="E10" s="168"/>
      <c r="G10" s="110" t="s">
        <v>9</v>
      </c>
      <c r="H10" s="111"/>
      <c r="I10" s="111"/>
      <c r="J10" s="112"/>
    </row>
    <row r="11" ht="13.95" spans="2:10">
      <c r="B11" s="45" t="s">
        <v>1</v>
      </c>
      <c r="C11" s="46" t="s">
        <v>10</v>
      </c>
      <c r="D11" s="46" t="s">
        <v>11</v>
      </c>
      <c r="E11" s="70" t="s">
        <v>12</v>
      </c>
      <c r="G11" s="113" t="s">
        <v>1</v>
      </c>
      <c r="H11" s="114" t="s">
        <v>10</v>
      </c>
      <c r="I11" s="114" t="s">
        <v>11</v>
      </c>
      <c r="J11" s="115" t="s">
        <v>12</v>
      </c>
    </row>
    <row r="12" spans="2:10">
      <c r="B12" s="94" t="s">
        <v>13</v>
      </c>
      <c r="C12" s="82">
        <v>1</v>
      </c>
      <c r="D12" s="82">
        <v>35000</v>
      </c>
      <c r="E12" s="83">
        <f t="shared" ref="E12:E25" si="0">D12*C12</f>
        <v>35000</v>
      </c>
      <c r="G12" s="94" t="s">
        <v>14</v>
      </c>
      <c r="H12" s="82">
        <v>1</v>
      </c>
      <c r="I12" s="82">
        <v>7000</v>
      </c>
      <c r="J12" s="83">
        <f t="shared" ref="J12:J15" si="1">I12*H12</f>
        <v>7000</v>
      </c>
    </row>
    <row r="13" spans="2:10">
      <c r="B13" s="49" t="s">
        <v>15</v>
      </c>
      <c r="C13" s="50">
        <v>1</v>
      </c>
      <c r="D13" s="50">
        <v>50000</v>
      </c>
      <c r="E13" s="71">
        <f t="shared" si="0"/>
        <v>50000</v>
      </c>
      <c r="G13" s="49" t="s">
        <v>16</v>
      </c>
      <c r="H13" s="50">
        <v>1</v>
      </c>
      <c r="I13" s="50">
        <v>20000</v>
      </c>
      <c r="J13" s="71">
        <f t="shared" si="1"/>
        <v>20000</v>
      </c>
    </row>
    <row r="14" spans="2:10">
      <c r="B14" s="49" t="s">
        <v>17</v>
      </c>
      <c r="C14" s="50">
        <v>2</v>
      </c>
      <c r="D14" s="50">
        <v>130000</v>
      </c>
      <c r="E14" s="71">
        <f t="shared" si="0"/>
        <v>260000</v>
      </c>
      <c r="G14" s="49" t="s">
        <v>18</v>
      </c>
      <c r="H14" s="50">
        <v>1</v>
      </c>
      <c r="I14" s="50">
        <v>35000</v>
      </c>
      <c r="J14" s="71">
        <f t="shared" si="1"/>
        <v>35000</v>
      </c>
    </row>
    <row r="15" ht="13.95" spans="2:10">
      <c r="B15" s="49" t="s">
        <v>19</v>
      </c>
      <c r="C15" s="50">
        <v>2</v>
      </c>
      <c r="D15" s="50">
        <v>30000</v>
      </c>
      <c r="E15" s="71">
        <f t="shared" si="0"/>
        <v>60000</v>
      </c>
      <c r="G15" s="64" t="s">
        <v>20</v>
      </c>
      <c r="H15" s="65">
        <v>1</v>
      </c>
      <c r="I15" s="65">
        <v>0</v>
      </c>
      <c r="J15" s="73">
        <f t="shared" si="1"/>
        <v>0</v>
      </c>
    </row>
    <row r="16" ht="13.95" spans="2:8">
      <c r="B16" s="49" t="s">
        <v>21</v>
      </c>
      <c r="C16" s="50">
        <v>1</v>
      </c>
      <c r="D16" s="50">
        <v>20000</v>
      </c>
      <c r="E16" s="71">
        <f t="shared" si="0"/>
        <v>20000</v>
      </c>
      <c r="G16" s="121" t="s">
        <v>5</v>
      </c>
      <c r="H16" s="169">
        <f>SUM(I12:I15)</f>
        <v>62000</v>
      </c>
    </row>
    <row r="17" spans="2:5">
      <c r="B17" s="49" t="s">
        <v>22</v>
      </c>
      <c r="C17" s="50">
        <v>2</v>
      </c>
      <c r="D17" s="50">
        <v>15000</v>
      </c>
      <c r="E17" s="71">
        <f t="shared" si="0"/>
        <v>30000</v>
      </c>
    </row>
    <row r="18" spans="2:5">
      <c r="B18" s="49" t="s">
        <v>23</v>
      </c>
      <c r="C18" s="50">
        <v>2</v>
      </c>
      <c r="D18" s="50">
        <v>15000</v>
      </c>
      <c r="E18" s="71">
        <f t="shared" si="0"/>
        <v>30000</v>
      </c>
    </row>
    <row r="19" spans="2:5">
      <c r="B19" s="49" t="s">
        <v>24</v>
      </c>
      <c r="C19" s="50">
        <v>1</v>
      </c>
      <c r="D19" s="50">
        <v>20000</v>
      </c>
      <c r="E19" s="71">
        <f t="shared" si="0"/>
        <v>20000</v>
      </c>
    </row>
    <row r="20" customHeight="1" spans="2:5">
      <c r="B20" s="49" t="s">
        <v>25</v>
      </c>
      <c r="C20" s="50">
        <v>10</v>
      </c>
      <c r="D20" s="50">
        <v>3000</v>
      </c>
      <c r="E20" s="71">
        <f t="shared" si="0"/>
        <v>30000</v>
      </c>
    </row>
    <row r="21" spans="2:5">
      <c r="B21" s="49" t="s">
        <v>26</v>
      </c>
      <c r="C21" s="50">
        <v>1</v>
      </c>
      <c r="D21" s="50">
        <v>50000</v>
      </c>
      <c r="E21" s="71">
        <f t="shared" si="0"/>
        <v>50000</v>
      </c>
    </row>
    <row r="22" spans="2:5">
      <c r="B22" s="49" t="s">
        <v>27</v>
      </c>
      <c r="C22" s="50">
        <v>1</v>
      </c>
      <c r="D22" s="50">
        <v>10000</v>
      </c>
      <c r="E22" s="71">
        <f t="shared" si="0"/>
        <v>10000</v>
      </c>
    </row>
    <row r="23" spans="2:5">
      <c r="B23" s="49" t="s">
        <v>28</v>
      </c>
      <c r="C23" s="50">
        <v>2</v>
      </c>
      <c r="D23" s="50">
        <v>30000</v>
      </c>
      <c r="E23" s="71">
        <f t="shared" si="0"/>
        <v>60000</v>
      </c>
    </row>
    <row r="24" spans="2:5">
      <c r="B24" s="62" t="s">
        <v>29</v>
      </c>
      <c r="C24" s="63">
        <v>1</v>
      </c>
      <c r="D24" s="63">
        <v>30000</v>
      </c>
      <c r="E24" s="72">
        <f t="shared" si="0"/>
        <v>30000</v>
      </c>
    </row>
    <row r="25" ht="13.95" spans="2:5">
      <c r="B25" s="64" t="s">
        <v>30</v>
      </c>
      <c r="C25" s="65">
        <v>2</v>
      </c>
      <c r="D25" s="65">
        <v>20000</v>
      </c>
      <c r="E25" s="73">
        <f t="shared" si="0"/>
        <v>40000</v>
      </c>
    </row>
    <row r="26" ht="13.95" spans="2:3">
      <c r="B26" s="123" t="s">
        <v>3</v>
      </c>
      <c r="C26" s="124">
        <f>SUM(E12:E25)</f>
        <v>725000</v>
      </c>
    </row>
    <row r="27" ht="25" customHeight="1"/>
    <row r="28" ht="16.35" spans="2:10">
      <c r="B28" s="144" t="s">
        <v>31</v>
      </c>
      <c r="C28" s="145"/>
      <c r="D28" s="145"/>
      <c r="E28" s="146"/>
      <c r="G28" s="110" t="s">
        <v>32</v>
      </c>
      <c r="H28" s="111"/>
      <c r="I28" s="111"/>
      <c r="J28" s="112"/>
    </row>
    <row r="29" ht="13.95" spans="2:10">
      <c r="B29" s="45" t="s">
        <v>1</v>
      </c>
      <c r="C29" s="46" t="s">
        <v>10</v>
      </c>
      <c r="D29" s="46" t="s">
        <v>11</v>
      </c>
      <c r="E29" s="70" t="s">
        <v>12</v>
      </c>
      <c r="G29" s="113" t="s">
        <v>1</v>
      </c>
      <c r="H29" s="114" t="s">
        <v>33</v>
      </c>
      <c r="I29" s="114" t="s">
        <v>11</v>
      </c>
      <c r="J29" s="115" t="s">
        <v>12</v>
      </c>
    </row>
    <row r="30" spans="2:10">
      <c r="B30" s="94" t="s">
        <v>34</v>
      </c>
      <c r="C30" s="82">
        <v>1</v>
      </c>
      <c r="D30" s="82">
        <v>7000</v>
      </c>
      <c r="E30" s="83">
        <f t="shared" ref="E30:E34" si="2">D30*C30</f>
        <v>7000</v>
      </c>
      <c r="G30" s="94" t="s">
        <v>35</v>
      </c>
      <c r="H30" s="82">
        <v>1500</v>
      </c>
      <c r="I30" s="82">
        <v>15</v>
      </c>
      <c r="J30" s="83">
        <f t="shared" ref="J30:J32" si="3">I30*H30</f>
        <v>22500</v>
      </c>
    </row>
    <row r="31" spans="2:10">
      <c r="B31" s="49" t="s">
        <v>36</v>
      </c>
      <c r="C31" s="50">
        <v>1</v>
      </c>
      <c r="D31" s="50">
        <v>10000</v>
      </c>
      <c r="E31" s="71">
        <f t="shared" si="2"/>
        <v>10000</v>
      </c>
      <c r="G31" s="49" t="s">
        <v>37</v>
      </c>
      <c r="H31" s="50">
        <v>1700</v>
      </c>
      <c r="I31" s="50">
        <v>20</v>
      </c>
      <c r="J31" s="71">
        <f t="shared" si="3"/>
        <v>34000</v>
      </c>
    </row>
    <row r="32" spans="2:10">
      <c r="B32" s="49" t="s">
        <v>38</v>
      </c>
      <c r="C32" s="50">
        <v>1</v>
      </c>
      <c r="D32" s="50">
        <v>7000</v>
      </c>
      <c r="E32" s="71">
        <f t="shared" si="2"/>
        <v>7000</v>
      </c>
      <c r="G32" s="49" t="s">
        <v>39</v>
      </c>
      <c r="H32" s="50">
        <v>4000</v>
      </c>
      <c r="I32" s="50">
        <v>12</v>
      </c>
      <c r="J32" s="71">
        <v>60000</v>
      </c>
    </row>
    <row r="33" spans="2:10">
      <c r="B33" s="49" t="s">
        <v>40</v>
      </c>
      <c r="C33" s="50">
        <v>1</v>
      </c>
      <c r="D33" s="50">
        <v>12000</v>
      </c>
      <c r="E33" s="71">
        <f t="shared" si="2"/>
        <v>12000</v>
      </c>
      <c r="G33" s="49" t="s">
        <v>41</v>
      </c>
      <c r="H33" s="50">
        <v>750</v>
      </c>
      <c r="I33" s="50">
        <v>15</v>
      </c>
      <c r="J33" s="71">
        <f t="shared" ref="J33:J37" si="4">I33*H33</f>
        <v>11250</v>
      </c>
    </row>
    <row r="34" ht="13.95" spans="2:10">
      <c r="B34" s="64" t="s">
        <v>42</v>
      </c>
      <c r="C34" s="65">
        <v>1</v>
      </c>
      <c r="D34" s="65">
        <v>4000</v>
      </c>
      <c r="E34" s="73">
        <f t="shared" si="2"/>
        <v>4000</v>
      </c>
      <c r="G34" s="49" t="s">
        <v>43</v>
      </c>
      <c r="H34" s="50">
        <v>100</v>
      </c>
      <c r="I34" s="50">
        <v>450</v>
      </c>
      <c r="J34" s="71">
        <f t="shared" si="4"/>
        <v>45000</v>
      </c>
    </row>
    <row r="35" ht="13.95" spans="2:10">
      <c r="B35" s="121" t="s">
        <v>4</v>
      </c>
      <c r="C35" s="169">
        <f>SUM(D30:D34)</f>
        <v>40000</v>
      </c>
      <c r="G35" s="49" t="s">
        <v>44</v>
      </c>
      <c r="H35" s="50">
        <v>2000</v>
      </c>
      <c r="I35" s="50">
        <v>3.8</v>
      </c>
      <c r="J35" s="71">
        <f t="shared" si="4"/>
        <v>7600</v>
      </c>
    </row>
    <row r="36" spans="7:10">
      <c r="G36" s="49" t="s">
        <v>45</v>
      </c>
      <c r="H36" s="50">
        <v>300</v>
      </c>
      <c r="I36" s="50">
        <v>45</v>
      </c>
      <c r="J36" s="71">
        <f t="shared" si="4"/>
        <v>13500</v>
      </c>
    </row>
    <row r="37" ht="13.95" spans="7:10">
      <c r="G37" s="64" t="s">
        <v>46</v>
      </c>
      <c r="H37" s="65">
        <v>1</v>
      </c>
      <c r="I37" s="65">
        <v>15000</v>
      </c>
      <c r="J37" s="73">
        <f t="shared" si="4"/>
        <v>15000</v>
      </c>
    </row>
    <row r="38" ht="13.95" spans="7:8">
      <c r="G38" s="123" t="s">
        <v>6</v>
      </c>
      <c r="H38" s="124">
        <f>SUM(J30:J37)</f>
        <v>208850</v>
      </c>
    </row>
  </sheetData>
  <mergeCells count="17">
    <mergeCell ref="B2:J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10:E10"/>
    <mergeCell ref="G10:J10"/>
    <mergeCell ref="B28:E28"/>
    <mergeCell ref="G28:J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workbookViewId="0">
      <selection activeCell="G12" sqref="G12"/>
    </sheetView>
  </sheetViews>
  <sheetFormatPr defaultColWidth="8.88888888888889" defaultRowHeight="13.2" outlineLevelCol="6"/>
  <cols>
    <col min="1" max="4" width="32.4444444444444" customWidth="1"/>
    <col min="5" max="5" width="2.88888888888889" customWidth="1"/>
    <col min="6" max="20" width="32.4444444444444" customWidth="1"/>
  </cols>
  <sheetData>
    <row r="1" ht="13.95"/>
    <row r="2" ht="16.35" spans="1:7">
      <c r="A2" s="110" t="s">
        <v>32</v>
      </c>
      <c r="B2" s="111"/>
      <c r="C2" s="111"/>
      <c r="D2" s="112"/>
      <c r="F2" s="110" t="s">
        <v>47</v>
      </c>
      <c r="G2" s="112"/>
    </row>
    <row r="3" ht="13.95" spans="1:7">
      <c r="A3" s="113" t="s">
        <v>1</v>
      </c>
      <c r="B3" s="114" t="s">
        <v>33</v>
      </c>
      <c r="C3" s="114" t="s">
        <v>11</v>
      </c>
      <c r="D3" s="115" t="s">
        <v>12</v>
      </c>
      <c r="F3" s="113" t="s">
        <v>1</v>
      </c>
      <c r="G3" s="115" t="s">
        <v>12</v>
      </c>
    </row>
    <row r="4" spans="1:7">
      <c r="A4" s="94" t="s">
        <v>35</v>
      </c>
      <c r="B4" s="82">
        <v>1300</v>
      </c>
      <c r="C4" s="82">
        <v>15</v>
      </c>
      <c r="D4" s="83">
        <f t="shared" ref="D4:D11" si="0">C4*B4</f>
        <v>19500</v>
      </c>
      <c r="F4" s="116" t="s">
        <v>48</v>
      </c>
      <c r="G4" s="117">
        <f>B12</f>
        <v>161750</v>
      </c>
    </row>
    <row r="5" spans="1:7">
      <c r="A5" s="49" t="s">
        <v>37</v>
      </c>
      <c r="B5" s="50">
        <v>1700</v>
      </c>
      <c r="C5" s="50">
        <v>20</v>
      </c>
      <c r="D5" s="71">
        <f t="shared" si="0"/>
        <v>34000</v>
      </c>
      <c r="F5" s="118" t="s">
        <v>49</v>
      </c>
      <c r="G5" s="119">
        <f>B19</f>
        <v>31000</v>
      </c>
    </row>
    <row r="6" spans="1:7">
      <c r="A6" s="49" t="s">
        <v>39</v>
      </c>
      <c r="B6" s="50">
        <v>2500</v>
      </c>
      <c r="C6" s="50">
        <v>12</v>
      </c>
      <c r="D6" s="71">
        <f t="shared" si="0"/>
        <v>30000</v>
      </c>
      <c r="F6" s="118" t="s">
        <v>50</v>
      </c>
      <c r="G6" s="119">
        <f>B29</f>
        <v>54000</v>
      </c>
    </row>
    <row r="7" spans="1:7">
      <c r="A7" s="49" t="s">
        <v>51</v>
      </c>
      <c r="B7" s="50">
        <v>400</v>
      </c>
      <c r="C7" s="50">
        <v>15</v>
      </c>
      <c r="D7" s="71">
        <f t="shared" si="0"/>
        <v>6000</v>
      </c>
      <c r="F7" s="49" t="s">
        <v>52</v>
      </c>
      <c r="G7" s="71">
        <v>7000</v>
      </c>
    </row>
    <row r="8" ht="13.95" spans="1:7">
      <c r="A8" s="49" t="s">
        <v>43</v>
      </c>
      <c r="B8" s="50">
        <v>100</v>
      </c>
      <c r="C8" s="50">
        <v>400</v>
      </c>
      <c r="D8" s="71">
        <f t="shared" si="0"/>
        <v>40000</v>
      </c>
      <c r="F8" s="64" t="s">
        <v>53</v>
      </c>
      <c r="G8" s="73">
        <f>B45</f>
        <v>11000</v>
      </c>
    </row>
    <row r="9" ht="13.95" spans="1:7">
      <c r="A9" s="49" t="s">
        <v>44</v>
      </c>
      <c r="B9" s="50">
        <v>2000</v>
      </c>
      <c r="C9" s="50">
        <v>4</v>
      </c>
      <c r="D9" s="71">
        <f t="shared" si="0"/>
        <v>8000</v>
      </c>
      <c r="F9" s="121" t="s">
        <v>54</v>
      </c>
      <c r="G9" s="122">
        <f>SUM(G4:G8)</f>
        <v>264750</v>
      </c>
    </row>
    <row r="10" spans="1:4">
      <c r="A10" s="49" t="s">
        <v>45</v>
      </c>
      <c r="B10" s="50">
        <v>250</v>
      </c>
      <c r="C10" s="50">
        <v>37</v>
      </c>
      <c r="D10" s="71">
        <f t="shared" si="0"/>
        <v>9250</v>
      </c>
    </row>
    <row r="11" ht="15.75" spans="1:7">
      <c r="A11" s="64" t="s">
        <v>46</v>
      </c>
      <c r="B11" s="65">
        <v>1</v>
      </c>
      <c r="C11" s="65">
        <v>15000</v>
      </c>
      <c r="D11" s="73">
        <f t="shared" si="0"/>
        <v>15000</v>
      </c>
      <c r="F11" s="84" t="s">
        <v>55</v>
      </c>
      <c r="G11" s="147">
        <f>G9+B37</f>
        <v>274396.0463</v>
      </c>
    </row>
    <row r="12" ht="13.95" spans="1:2">
      <c r="A12" s="123" t="s">
        <v>6</v>
      </c>
      <c r="B12" s="124">
        <f>SUM(D4:D11)</f>
        <v>161750</v>
      </c>
    </row>
    <row r="15" ht="18.15" spans="1:4">
      <c r="A15" s="125" t="s">
        <v>56</v>
      </c>
      <c r="B15" s="126"/>
      <c r="C15" s="126"/>
      <c r="D15" s="128"/>
    </row>
    <row r="16" ht="13.95" spans="1:4">
      <c r="A16" s="123" t="s">
        <v>1</v>
      </c>
      <c r="B16" s="129" t="s">
        <v>10</v>
      </c>
      <c r="C16" s="129" t="s">
        <v>11</v>
      </c>
      <c r="D16" s="131" t="s">
        <v>12</v>
      </c>
    </row>
    <row r="17" spans="1:4">
      <c r="A17" s="94" t="s">
        <v>57</v>
      </c>
      <c r="B17" s="82">
        <v>2</v>
      </c>
      <c r="C17" s="82">
        <v>9000</v>
      </c>
      <c r="D17" s="83">
        <f>C17*B17</f>
        <v>18000</v>
      </c>
    </row>
    <row r="18" ht="13.95" spans="1:4">
      <c r="A18" s="49" t="s">
        <v>58</v>
      </c>
      <c r="B18" s="50">
        <v>1</v>
      </c>
      <c r="C18" s="50">
        <v>13000</v>
      </c>
      <c r="D18" s="71">
        <f>C18*B18</f>
        <v>13000</v>
      </c>
    </row>
    <row r="19" ht="13.95" spans="1:2">
      <c r="A19" s="123" t="s">
        <v>59</v>
      </c>
      <c r="B19" s="124">
        <f>SUM(D17:D18)</f>
        <v>31000</v>
      </c>
    </row>
    <row r="22" ht="13.95"/>
    <row r="23" ht="16.35" spans="1:4">
      <c r="A23" s="133" t="s">
        <v>60</v>
      </c>
      <c r="B23" s="134"/>
      <c r="C23" s="134"/>
      <c r="D23" s="136"/>
    </row>
    <row r="24" ht="13.95" spans="1:4">
      <c r="A24" s="45" t="s">
        <v>1</v>
      </c>
      <c r="B24" s="46" t="s">
        <v>10</v>
      </c>
      <c r="C24" s="46" t="s">
        <v>11</v>
      </c>
      <c r="D24" s="70" t="s">
        <v>12</v>
      </c>
    </row>
    <row r="25" spans="1:4">
      <c r="A25" s="148" t="s">
        <v>61</v>
      </c>
      <c r="B25" s="92">
        <v>1</v>
      </c>
      <c r="C25" s="92">
        <v>35000</v>
      </c>
      <c r="D25" s="149">
        <f t="shared" ref="D25:D28" si="1">C25*B25</f>
        <v>35000</v>
      </c>
    </row>
    <row r="26" spans="1:4">
      <c r="A26" s="50" t="s">
        <v>62</v>
      </c>
      <c r="B26" s="50">
        <v>3</v>
      </c>
      <c r="C26" s="50">
        <v>3000</v>
      </c>
      <c r="D26" s="50">
        <f t="shared" si="1"/>
        <v>9000</v>
      </c>
    </row>
    <row r="27" spans="1:4">
      <c r="A27" s="50" t="s">
        <v>63</v>
      </c>
      <c r="B27" s="50">
        <v>1</v>
      </c>
      <c r="C27" s="50">
        <v>5000</v>
      </c>
      <c r="D27" s="50">
        <f t="shared" si="1"/>
        <v>5000</v>
      </c>
    </row>
    <row r="28" spans="1:4">
      <c r="A28" s="150" t="s">
        <v>64</v>
      </c>
      <c r="B28" s="150">
        <v>1</v>
      </c>
      <c r="C28" s="150">
        <v>5000</v>
      </c>
      <c r="D28" s="50">
        <f t="shared" si="1"/>
        <v>5000</v>
      </c>
    </row>
    <row r="29" ht="13.95" spans="1:2">
      <c r="A29" s="121" t="s">
        <v>65</v>
      </c>
      <c r="B29" s="122">
        <f>SUM(D25:D28)</f>
        <v>54000</v>
      </c>
    </row>
    <row r="32" ht="16.35" spans="1:4">
      <c r="A32" s="110" t="s">
        <v>66</v>
      </c>
      <c r="B32" s="111"/>
      <c r="C32" s="111"/>
      <c r="D32" s="112"/>
    </row>
    <row r="33" ht="13.95" spans="1:4">
      <c r="A33" s="140" t="s">
        <v>1</v>
      </c>
      <c r="B33" s="141" t="s">
        <v>10</v>
      </c>
      <c r="C33" s="141" t="s">
        <v>11</v>
      </c>
      <c r="D33" s="151" t="s">
        <v>12</v>
      </c>
    </row>
    <row r="34" spans="1:4">
      <c r="A34" s="94" t="s">
        <v>67</v>
      </c>
      <c r="B34" s="82">
        <v>1</v>
      </c>
      <c r="C34" s="152">
        <v>0.18</v>
      </c>
      <c r="D34" s="83">
        <f>(Прибуток!C23-G9)*C34</f>
        <v>8816.58</v>
      </c>
    </row>
    <row r="35" ht="13.95" spans="1:4">
      <c r="A35" s="49" t="s">
        <v>68</v>
      </c>
      <c r="B35" s="50">
        <v>1</v>
      </c>
      <c r="C35" s="50">
        <v>227</v>
      </c>
      <c r="D35" s="71">
        <f>C35*B35</f>
        <v>227</v>
      </c>
    </row>
    <row r="36" ht="13.95" spans="1:4">
      <c r="A36" s="64" t="s">
        <v>69</v>
      </c>
      <c r="B36" s="65">
        <v>1</v>
      </c>
      <c r="C36" s="153">
        <v>0.015</v>
      </c>
      <c r="D36" s="83">
        <f>((Прибуток!C23-G9)-D34)*C36</f>
        <v>602.4663</v>
      </c>
    </row>
    <row r="37" ht="13.95" spans="1:2">
      <c r="A37" s="121" t="s">
        <v>70</v>
      </c>
      <c r="B37" s="122">
        <f>SUM(D34:D36)</f>
        <v>9646.0463</v>
      </c>
    </row>
    <row r="40" ht="16.35" spans="1:4">
      <c r="A40" s="144" t="s">
        <v>71</v>
      </c>
      <c r="B40" s="145"/>
      <c r="C40" s="145"/>
      <c r="D40" s="146"/>
    </row>
    <row r="41" ht="13.95" spans="1:4">
      <c r="A41" s="140" t="s">
        <v>1</v>
      </c>
      <c r="B41" s="141" t="s">
        <v>10</v>
      </c>
      <c r="C41" s="141" t="s">
        <v>11</v>
      </c>
      <c r="D41" s="151" t="s">
        <v>12</v>
      </c>
    </row>
    <row r="42" spans="1:4">
      <c r="A42" s="94" t="s">
        <v>72</v>
      </c>
      <c r="B42" s="82">
        <v>1</v>
      </c>
      <c r="C42" s="82">
        <v>6000</v>
      </c>
      <c r="D42" s="83">
        <f t="shared" ref="D42:D44" si="2">C42*B42</f>
        <v>6000</v>
      </c>
    </row>
    <row r="43" spans="1:4">
      <c r="A43" s="49" t="s">
        <v>73</v>
      </c>
      <c r="B43" s="50">
        <v>1</v>
      </c>
      <c r="C43" s="50">
        <v>2000</v>
      </c>
      <c r="D43" s="71">
        <f t="shared" si="2"/>
        <v>2000</v>
      </c>
    </row>
    <row r="44" ht="13.95" spans="1:4">
      <c r="A44" s="64" t="s">
        <v>74</v>
      </c>
      <c r="B44" s="65">
        <v>1</v>
      </c>
      <c r="C44" s="65">
        <v>3000</v>
      </c>
      <c r="D44" s="73">
        <f t="shared" si="2"/>
        <v>3000</v>
      </c>
    </row>
    <row r="45" ht="13.95" spans="1:2">
      <c r="A45" s="121" t="s">
        <v>75</v>
      </c>
      <c r="B45" s="122">
        <f>SUM(D42:D44)</f>
        <v>11000</v>
      </c>
    </row>
  </sheetData>
  <mergeCells count="6">
    <mergeCell ref="A2:D2"/>
    <mergeCell ref="F2:G2"/>
    <mergeCell ref="A15:D15"/>
    <mergeCell ref="A23:D23"/>
    <mergeCell ref="A32:D32"/>
    <mergeCell ref="A40:D40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3"/>
  <sheetViews>
    <sheetView workbookViewId="0">
      <selection activeCell="B16" sqref="B16"/>
    </sheetView>
  </sheetViews>
  <sheetFormatPr defaultColWidth="8.88888888888889" defaultRowHeight="13.2" outlineLevelCol="7"/>
  <cols>
    <col min="1" max="1" width="3.11111111111111" customWidth="1"/>
    <col min="2" max="2" width="32.4444444444444" customWidth="1"/>
    <col min="3" max="3" width="8.55555555555556" customWidth="1"/>
    <col min="4" max="4" width="15.7777777777778" customWidth="1"/>
    <col min="5" max="5" width="19.3333333333333" customWidth="1"/>
    <col min="6" max="6" width="3.77777777777778" customWidth="1"/>
    <col min="7" max="9" width="32.4444444444444" customWidth="1"/>
  </cols>
  <sheetData>
    <row r="1" ht="13.95"/>
    <row r="2" ht="16.35" spans="2:8">
      <c r="B2" s="110" t="s">
        <v>32</v>
      </c>
      <c r="C2" s="111"/>
      <c r="D2" s="111"/>
      <c r="E2" s="112"/>
      <c r="G2" s="110" t="s">
        <v>76</v>
      </c>
      <c r="H2" s="112"/>
    </row>
    <row r="3" ht="13.95" spans="2:8">
      <c r="B3" s="113" t="s">
        <v>1</v>
      </c>
      <c r="C3" s="114" t="s">
        <v>77</v>
      </c>
      <c r="D3" s="114" t="s">
        <v>78</v>
      </c>
      <c r="E3" s="115" t="s">
        <v>12</v>
      </c>
      <c r="G3" s="113" t="s">
        <v>1</v>
      </c>
      <c r="H3" s="115" t="s">
        <v>12</v>
      </c>
    </row>
    <row r="4" spans="2:8">
      <c r="B4" s="94" t="s">
        <v>35</v>
      </c>
      <c r="C4" s="82">
        <v>12</v>
      </c>
      <c r="D4" s="82">
        <f>'Щомісячні Витрати'!D4</f>
        <v>19500</v>
      </c>
      <c r="E4" s="83">
        <f t="shared" ref="E4:E11" si="0">D4*C4</f>
        <v>234000</v>
      </c>
      <c r="G4" s="116" t="s">
        <v>48</v>
      </c>
      <c r="H4" s="117">
        <f>C12</f>
        <v>1941000</v>
      </c>
    </row>
    <row r="5" spans="2:8">
      <c r="B5" s="49" t="s">
        <v>37</v>
      </c>
      <c r="C5" s="50">
        <v>12</v>
      </c>
      <c r="D5" s="50">
        <f>'Щомісячні Витрати'!D5</f>
        <v>34000</v>
      </c>
      <c r="E5" s="71">
        <f t="shared" si="0"/>
        <v>408000</v>
      </c>
      <c r="G5" s="118" t="s">
        <v>49</v>
      </c>
      <c r="H5" s="119">
        <f>C20</f>
        <v>396000</v>
      </c>
    </row>
    <row r="6" spans="2:8">
      <c r="B6" s="49" t="s">
        <v>39</v>
      </c>
      <c r="C6" s="50">
        <v>12</v>
      </c>
      <c r="D6" s="50">
        <f>'Щомісячні Витрати'!D6</f>
        <v>30000</v>
      </c>
      <c r="E6" s="71">
        <f t="shared" si="0"/>
        <v>360000</v>
      </c>
      <c r="G6" s="118" t="s">
        <v>50</v>
      </c>
      <c r="H6" s="119">
        <f>C27</f>
        <v>588000</v>
      </c>
    </row>
    <row r="7" spans="2:8">
      <c r="B7" s="49" t="s">
        <v>51</v>
      </c>
      <c r="C7" s="50">
        <v>12</v>
      </c>
      <c r="D7" s="50">
        <f>'Щомісячні Витрати'!D7</f>
        <v>6000</v>
      </c>
      <c r="E7" s="71">
        <f t="shared" si="0"/>
        <v>72000</v>
      </c>
      <c r="G7" s="118" t="s">
        <v>79</v>
      </c>
      <c r="H7" s="119">
        <f>C35</f>
        <v>37824</v>
      </c>
    </row>
    <row r="8" spans="2:8">
      <c r="B8" s="49" t="s">
        <v>43</v>
      </c>
      <c r="C8" s="120">
        <v>12</v>
      </c>
      <c r="D8" s="50">
        <f>'Щомісячні Витрати'!D8</f>
        <v>40000</v>
      </c>
      <c r="E8" s="71">
        <f t="shared" si="0"/>
        <v>480000</v>
      </c>
      <c r="G8" s="49" t="s">
        <v>52</v>
      </c>
      <c r="H8" s="71">
        <v>7000</v>
      </c>
    </row>
    <row r="9" ht="13.95" spans="2:8">
      <c r="B9" s="49" t="s">
        <v>44</v>
      </c>
      <c r="C9" s="50">
        <v>12</v>
      </c>
      <c r="D9" s="50">
        <f>'Щомісячні Витрати'!D9</f>
        <v>8000</v>
      </c>
      <c r="E9" s="71">
        <f t="shared" si="0"/>
        <v>96000</v>
      </c>
      <c r="G9" s="64" t="s">
        <v>53</v>
      </c>
      <c r="H9" s="73">
        <f>C43</f>
        <v>132000</v>
      </c>
    </row>
    <row r="10" ht="13.95" spans="2:8">
      <c r="B10" s="49" t="s">
        <v>45</v>
      </c>
      <c r="C10" s="120">
        <v>12</v>
      </c>
      <c r="D10" s="50">
        <f>'Щомісячні Витрати'!D10</f>
        <v>9250</v>
      </c>
      <c r="E10" s="71">
        <f t="shared" si="0"/>
        <v>111000</v>
      </c>
      <c r="G10" s="121" t="s">
        <v>54</v>
      </c>
      <c r="H10" s="122">
        <f>SUM(H4:H9)</f>
        <v>3101824</v>
      </c>
    </row>
    <row r="11" ht="13.95" spans="2:5">
      <c r="B11" s="64" t="s">
        <v>46</v>
      </c>
      <c r="C11" s="120">
        <v>12</v>
      </c>
      <c r="D11" s="65">
        <f>'Щомісячні Витрати'!D11</f>
        <v>15000</v>
      </c>
      <c r="E11" s="73">
        <f t="shared" si="0"/>
        <v>180000</v>
      </c>
    </row>
    <row r="12" ht="13.95" spans="2:3">
      <c r="B12" s="123" t="s">
        <v>6</v>
      </c>
      <c r="C12" s="124">
        <f>SUM(E4:E11)</f>
        <v>1941000</v>
      </c>
    </row>
    <row r="15" ht="18.15" spans="2:5">
      <c r="B15" s="125" t="s">
        <v>56</v>
      </c>
      <c r="C15" s="126"/>
      <c r="D15" s="127"/>
      <c r="E15" s="128"/>
    </row>
    <row r="16" spans="2:5">
      <c r="B16" s="123" t="s">
        <v>1</v>
      </c>
      <c r="C16" s="129" t="s">
        <v>10</v>
      </c>
      <c r="D16" s="130" t="s">
        <v>78</v>
      </c>
      <c r="E16" s="131" t="s">
        <v>12</v>
      </c>
    </row>
    <row r="17" spans="2:5">
      <c r="B17" s="94" t="s">
        <v>57</v>
      </c>
      <c r="C17" s="82">
        <v>12</v>
      </c>
      <c r="D17" s="120">
        <f>'Щомісячні Витрати'!D17</f>
        <v>18000</v>
      </c>
      <c r="E17" s="83">
        <f t="shared" ref="E17:E19" si="1">D17*C17</f>
        <v>216000</v>
      </c>
    </row>
    <row r="18" spans="2:5">
      <c r="B18" s="49" t="s">
        <v>58</v>
      </c>
      <c r="C18" s="50">
        <v>12</v>
      </c>
      <c r="D18" s="50">
        <f>'Щомісячні Витрати'!D18</f>
        <v>13000</v>
      </c>
      <c r="E18" s="71">
        <f t="shared" si="1"/>
        <v>156000</v>
      </c>
    </row>
    <row r="19" ht="13.95" spans="2:5">
      <c r="B19" s="62" t="s">
        <v>80</v>
      </c>
      <c r="C19" s="120">
        <v>12</v>
      </c>
      <c r="D19" s="63">
        <f>'Щомісячні Витрати'!D43</f>
        <v>2000</v>
      </c>
      <c r="E19" s="73">
        <f t="shared" si="1"/>
        <v>24000</v>
      </c>
    </row>
    <row r="20" ht="13.95" spans="2:4">
      <c r="B20" s="123" t="s">
        <v>59</v>
      </c>
      <c r="C20" s="124">
        <f>SUM(E17:E19)</f>
        <v>396000</v>
      </c>
      <c r="D20" s="132"/>
    </row>
    <row r="22" ht="16.35" spans="2:5">
      <c r="B22" s="133" t="s">
        <v>60</v>
      </c>
      <c r="C22" s="134"/>
      <c r="D22" s="135"/>
      <c r="E22" s="136"/>
    </row>
    <row r="23" spans="2:5">
      <c r="B23" s="45" t="s">
        <v>1</v>
      </c>
      <c r="C23" s="46" t="s">
        <v>10</v>
      </c>
      <c r="D23" s="114" t="s">
        <v>78</v>
      </c>
      <c r="E23" s="70" t="s">
        <v>12</v>
      </c>
    </row>
    <row r="24" spans="2:5">
      <c r="B24" s="137" t="s">
        <v>61</v>
      </c>
      <c r="C24" s="82">
        <v>12</v>
      </c>
      <c r="D24" s="82">
        <f>'Щомісячні Витрати'!D25</f>
        <v>35000</v>
      </c>
      <c r="E24" s="138">
        <f t="shared" ref="E24:E26" si="2">D24*C24</f>
        <v>420000</v>
      </c>
    </row>
    <row r="25" spans="2:5">
      <c r="B25" s="49" t="s">
        <v>62</v>
      </c>
      <c r="C25" s="120">
        <v>12</v>
      </c>
      <c r="D25" s="50">
        <f>'Щомісячні Витрати'!D26</f>
        <v>9000</v>
      </c>
      <c r="E25" s="71">
        <f t="shared" si="2"/>
        <v>108000</v>
      </c>
    </row>
    <row r="26" ht="13.95" spans="2:5">
      <c r="B26" s="64" t="s">
        <v>81</v>
      </c>
      <c r="C26" s="139">
        <v>12</v>
      </c>
      <c r="D26" s="65">
        <f>'Щомісячні Витрати'!D27</f>
        <v>5000</v>
      </c>
      <c r="E26" s="73">
        <f t="shared" si="2"/>
        <v>60000</v>
      </c>
    </row>
    <row r="27" ht="13.95" spans="2:3">
      <c r="B27" s="121" t="s">
        <v>65</v>
      </c>
      <c r="C27" s="122">
        <f>SUM(E24:E26)</f>
        <v>588000</v>
      </c>
    </row>
    <row r="29" ht="13.95"/>
    <row r="30" ht="16.35" spans="2:5">
      <c r="B30" s="110" t="s">
        <v>66</v>
      </c>
      <c r="C30" s="111"/>
      <c r="D30" s="111"/>
      <c r="E30" s="112"/>
    </row>
    <row r="31" spans="2:5">
      <c r="B31" s="140" t="s">
        <v>1</v>
      </c>
      <c r="C31" s="141" t="s">
        <v>10</v>
      </c>
      <c r="D31" s="114" t="s">
        <v>78</v>
      </c>
      <c r="E31" s="131" t="s">
        <v>12</v>
      </c>
    </row>
    <row r="32" spans="2:5">
      <c r="B32" s="94" t="s">
        <v>67</v>
      </c>
      <c r="C32" s="82">
        <v>12</v>
      </c>
      <c r="D32" s="142">
        <v>2700</v>
      </c>
      <c r="E32" s="138">
        <f t="shared" ref="E32:E34" si="3">D32*C32</f>
        <v>32400</v>
      </c>
    </row>
    <row r="33" spans="2:5">
      <c r="B33" s="49" t="s">
        <v>68</v>
      </c>
      <c r="C33" s="50">
        <v>12</v>
      </c>
      <c r="D33" s="50">
        <v>227</v>
      </c>
      <c r="E33" s="138">
        <f t="shared" si="3"/>
        <v>2724</v>
      </c>
    </row>
    <row r="34" ht="13.95" spans="2:5">
      <c r="B34" s="64" t="s">
        <v>69</v>
      </c>
      <c r="C34" s="92">
        <v>12</v>
      </c>
      <c r="D34" s="143">
        <v>225</v>
      </c>
      <c r="E34" s="138">
        <f t="shared" si="3"/>
        <v>2700</v>
      </c>
    </row>
    <row r="35" ht="13.95" spans="2:3">
      <c r="B35" s="121" t="s">
        <v>70</v>
      </c>
      <c r="C35" s="124">
        <f>SUM(E32:E34)</f>
        <v>37824</v>
      </c>
    </row>
    <row r="37" ht="13.95"/>
    <row r="38" ht="16.35" spans="2:5">
      <c r="B38" s="144" t="s">
        <v>71</v>
      </c>
      <c r="C38" s="145"/>
      <c r="D38" s="145"/>
      <c r="E38" s="146"/>
    </row>
    <row r="39" ht="13.95" spans="2:5">
      <c r="B39" s="45" t="s">
        <v>1</v>
      </c>
      <c r="C39" s="46" t="s">
        <v>10</v>
      </c>
      <c r="D39" s="46" t="s">
        <v>78</v>
      </c>
      <c r="E39" s="70" t="s">
        <v>12</v>
      </c>
    </row>
    <row r="40" spans="2:5">
      <c r="B40" s="94" t="s">
        <v>72</v>
      </c>
      <c r="C40" s="82">
        <v>12</v>
      </c>
      <c r="D40" s="82">
        <f>'Щомісячні Витрати'!D42</f>
        <v>6000</v>
      </c>
      <c r="E40" s="83">
        <f t="shared" ref="E40:E42" si="4">D40*C40</f>
        <v>72000</v>
      </c>
    </row>
    <row r="41" spans="2:5">
      <c r="B41" s="49" t="s">
        <v>73</v>
      </c>
      <c r="C41" s="50">
        <v>12</v>
      </c>
      <c r="D41" s="50">
        <f>'Щомісячні Витрати'!D43</f>
        <v>2000</v>
      </c>
      <c r="E41" s="71">
        <f t="shared" si="4"/>
        <v>24000</v>
      </c>
    </row>
    <row r="42" spans="2:5">
      <c r="B42" s="64" t="s">
        <v>74</v>
      </c>
      <c r="C42" s="65">
        <v>12</v>
      </c>
      <c r="D42" s="65">
        <f>'Щомісячні Витрати'!D44</f>
        <v>3000</v>
      </c>
      <c r="E42" s="73">
        <f t="shared" si="4"/>
        <v>36000</v>
      </c>
    </row>
    <row r="43" spans="2:3">
      <c r="B43" s="121" t="s">
        <v>75</v>
      </c>
      <c r="C43" s="122">
        <f>SUM(E40:E42)</f>
        <v>132000</v>
      </c>
    </row>
  </sheetData>
  <mergeCells count="6">
    <mergeCell ref="B2:E2"/>
    <mergeCell ref="G2:H2"/>
    <mergeCell ref="B15:E15"/>
    <mergeCell ref="B22:E22"/>
    <mergeCell ref="B30:E30"/>
    <mergeCell ref="B38:E3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5"/>
  <sheetViews>
    <sheetView workbookViewId="0">
      <selection activeCell="I19" sqref="I19"/>
    </sheetView>
  </sheetViews>
  <sheetFormatPr defaultColWidth="8.88888888888889" defaultRowHeight="13.2"/>
  <cols>
    <col min="1" max="1" width="1.88888888888889" customWidth="1"/>
    <col min="2" max="2" width="28.7777777777778" customWidth="1"/>
    <col min="3" max="3" width="19.5555555555556" customWidth="1"/>
    <col min="4" max="4" width="16.2222222222222" customWidth="1"/>
    <col min="5" max="5" width="17.1111111111111" customWidth="1"/>
    <col min="6" max="6" width="17" customWidth="1"/>
    <col min="7" max="7" width="15.5555555555556" customWidth="1"/>
    <col min="10" max="10" width="9.66666666666667"/>
  </cols>
  <sheetData>
    <row r="1" ht="17.4" spans="2:7">
      <c r="B1" s="97" t="s">
        <v>82</v>
      </c>
      <c r="C1" s="98"/>
      <c r="D1" s="98"/>
      <c r="E1" s="98"/>
      <c r="F1" s="98"/>
      <c r="G1" s="99"/>
    </row>
    <row r="2" ht="13.8" spans="2:7">
      <c r="B2" s="100" t="s">
        <v>83</v>
      </c>
      <c r="C2" s="101" t="s">
        <v>84</v>
      </c>
      <c r="D2" s="101"/>
      <c r="E2" s="101"/>
      <c r="F2" s="101" t="s">
        <v>85</v>
      </c>
      <c r="G2" s="102"/>
    </row>
    <row r="3" ht="13.95" spans="2:7">
      <c r="B3" s="62"/>
      <c r="C3" s="63" t="s">
        <v>86</v>
      </c>
      <c r="D3" s="63" t="s">
        <v>87</v>
      </c>
      <c r="E3" s="63" t="s">
        <v>88</v>
      </c>
      <c r="F3" s="63" t="s">
        <v>89</v>
      </c>
      <c r="G3" s="72" t="s">
        <v>90</v>
      </c>
    </row>
    <row r="4" ht="15" spans="2:7">
      <c r="B4" s="81" t="s">
        <v>91</v>
      </c>
      <c r="C4" s="103">
        <v>10</v>
      </c>
      <c r="D4" s="103">
        <v>2.1</v>
      </c>
      <c r="E4" s="103">
        <f t="shared" ref="E4:E7" si="0">C4*D4</f>
        <v>21</v>
      </c>
      <c r="F4" s="103">
        <v>35</v>
      </c>
      <c r="G4" s="104">
        <f t="shared" ref="G4:G15" si="1">30*F4</f>
        <v>1050</v>
      </c>
    </row>
    <row r="5" ht="15" spans="2:7">
      <c r="B5" s="84" t="s">
        <v>92</v>
      </c>
      <c r="C5" s="105">
        <v>12</v>
      </c>
      <c r="D5" s="105">
        <v>1.7</v>
      </c>
      <c r="E5" s="105">
        <f t="shared" si="0"/>
        <v>20.4</v>
      </c>
      <c r="F5" s="105">
        <v>40</v>
      </c>
      <c r="G5" s="106">
        <f t="shared" si="1"/>
        <v>1200</v>
      </c>
    </row>
    <row r="6" ht="15" spans="2:7">
      <c r="B6" s="84" t="s">
        <v>93</v>
      </c>
      <c r="C6" s="105">
        <v>7</v>
      </c>
      <c r="D6" s="105">
        <v>1.8</v>
      </c>
      <c r="E6" s="105">
        <f t="shared" si="0"/>
        <v>12.6</v>
      </c>
      <c r="F6" s="105">
        <v>32</v>
      </c>
      <c r="G6" s="106">
        <f t="shared" si="1"/>
        <v>960</v>
      </c>
    </row>
    <row r="7" ht="15" spans="2:7">
      <c r="B7" s="84" t="s">
        <v>94</v>
      </c>
      <c r="C7" s="105">
        <v>9</v>
      </c>
      <c r="D7" s="105">
        <v>2.1</v>
      </c>
      <c r="E7" s="105">
        <f t="shared" si="0"/>
        <v>18.9</v>
      </c>
      <c r="F7" s="105">
        <v>35</v>
      </c>
      <c r="G7" s="106">
        <f t="shared" si="1"/>
        <v>1050</v>
      </c>
    </row>
    <row r="8" ht="15" spans="2:7">
      <c r="B8" s="84" t="s">
        <v>95</v>
      </c>
      <c r="C8" s="105">
        <v>15</v>
      </c>
      <c r="D8" s="105">
        <v>3.1</v>
      </c>
      <c r="E8" s="105">
        <f t="shared" ref="E8:E15" si="2">C8*D8</f>
        <v>46.5</v>
      </c>
      <c r="F8" s="105">
        <v>8</v>
      </c>
      <c r="G8" s="106">
        <f t="shared" si="1"/>
        <v>240</v>
      </c>
    </row>
    <row r="9" ht="15" spans="2:7">
      <c r="B9" s="84" t="s">
        <v>96</v>
      </c>
      <c r="C9" s="105">
        <v>60</v>
      </c>
      <c r="D9" s="105">
        <v>2.2</v>
      </c>
      <c r="E9" s="105">
        <f t="shared" si="2"/>
        <v>132</v>
      </c>
      <c r="F9" s="105">
        <v>3</v>
      </c>
      <c r="G9" s="106">
        <f t="shared" si="1"/>
        <v>90</v>
      </c>
    </row>
    <row r="10" ht="15" spans="2:7">
      <c r="B10" s="84" t="s">
        <v>97</v>
      </c>
      <c r="C10" s="105">
        <v>5</v>
      </c>
      <c r="D10" s="105">
        <v>2.7</v>
      </c>
      <c r="E10" s="105">
        <f t="shared" si="2"/>
        <v>13.5</v>
      </c>
      <c r="F10" s="105">
        <v>30</v>
      </c>
      <c r="G10" s="106">
        <f t="shared" si="1"/>
        <v>900</v>
      </c>
    </row>
    <row r="11" ht="15" spans="2:7">
      <c r="B11" s="84" t="s">
        <v>98</v>
      </c>
      <c r="C11" s="105">
        <v>9</v>
      </c>
      <c r="D11" s="105">
        <v>1.9</v>
      </c>
      <c r="E11" s="105">
        <f t="shared" si="2"/>
        <v>17.1</v>
      </c>
      <c r="F11" s="105">
        <v>40</v>
      </c>
      <c r="G11" s="106">
        <f t="shared" si="1"/>
        <v>1200</v>
      </c>
    </row>
    <row r="12" ht="15" spans="2:7">
      <c r="B12" s="84" t="s">
        <v>99</v>
      </c>
      <c r="C12" s="105">
        <v>10</v>
      </c>
      <c r="D12" s="105">
        <f>2.3</f>
        <v>2.3</v>
      </c>
      <c r="E12" s="105">
        <f t="shared" si="2"/>
        <v>23</v>
      </c>
      <c r="F12" s="105">
        <v>50</v>
      </c>
      <c r="G12" s="106">
        <f t="shared" si="1"/>
        <v>1500</v>
      </c>
    </row>
    <row r="13" ht="15" spans="2:7">
      <c r="B13" s="84" t="s">
        <v>100</v>
      </c>
      <c r="C13" s="105">
        <v>3</v>
      </c>
      <c r="D13" s="105">
        <v>3</v>
      </c>
      <c r="E13" s="105">
        <f t="shared" si="2"/>
        <v>9</v>
      </c>
      <c r="F13" s="105">
        <v>50</v>
      </c>
      <c r="G13" s="106">
        <f t="shared" si="1"/>
        <v>1500</v>
      </c>
    </row>
    <row r="14" ht="15" spans="2:7">
      <c r="B14" s="84" t="s">
        <v>101</v>
      </c>
      <c r="C14" s="105">
        <v>7</v>
      </c>
      <c r="D14" s="105">
        <v>2</v>
      </c>
      <c r="E14" s="105">
        <f t="shared" si="2"/>
        <v>14</v>
      </c>
      <c r="F14" s="105">
        <v>30</v>
      </c>
      <c r="G14" s="106">
        <f t="shared" si="1"/>
        <v>900</v>
      </c>
    </row>
    <row r="15" ht="15.75" spans="2:12">
      <c r="B15" s="85" t="s">
        <v>102</v>
      </c>
      <c r="C15" s="86">
        <v>10</v>
      </c>
      <c r="D15" s="86">
        <v>3</v>
      </c>
      <c r="E15" s="107">
        <f t="shared" si="2"/>
        <v>30</v>
      </c>
      <c r="F15" s="86">
        <v>65</v>
      </c>
      <c r="G15" s="108">
        <f t="shared" si="1"/>
        <v>1950</v>
      </c>
      <c r="L15" s="109"/>
    </row>
  </sheetData>
  <mergeCells count="4">
    <mergeCell ref="B1:G1"/>
    <mergeCell ref="C2:E2"/>
    <mergeCell ref="F2:G2"/>
    <mergeCell ref="B2:B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"/>
  <sheetViews>
    <sheetView workbookViewId="0">
      <selection activeCell="D24" sqref="D24"/>
    </sheetView>
  </sheetViews>
  <sheetFormatPr defaultColWidth="8.88888888888889" defaultRowHeight="13.2"/>
  <cols>
    <col min="1" max="1" width="4.55555555555556" customWidth="1"/>
    <col min="2" max="12" width="32.4444444444444" customWidth="1"/>
  </cols>
  <sheetData>
    <row r="1" ht="13.95" spans="7:9">
      <c r="G1" s="35"/>
      <c r="H1" s="35"/>
      <c r="I1" s="35"/>
    </row>
    <row r="2" ht="13.95" spans="2:9">
      <c r="B2" s="74" t="s">
        <v>103</v>
      </c>
      <c r="C2" s="75"/>
      <c r="D2" s="75"/>
      <c r="E2" s="76"/>
      <c r="G2" s="77"/>
      <c r="H2" s="77"/>
      <c r="I2" s="77"/>
    </row>
    <row r="3" ht="13.95" spans="2:9">
      <c r="B3" s="78" t="s">
        <v>104</v>
      </c>
      <c r="C3" s="79" t="s">
        <v>105</v>
      </c>
      <c r="D3" s="79" t="s">
        <v>106</v>
      </c>
      <c r="E3" s="80" t="s">
        <v>107</v>
      </c>
      <c r="G3" s="77"/>
      <c r="H3" s="77"/>
      <c r="I3" s="77"/>
    </row>
    <row r="4" ht="15.75" spans="2:9">
      <c r="B4" s="81" t="s">
        <v>91</v>
      </c>
      <c r="C4" s="82">
        <f>Асортимент!E4</f>
        <v>21</v>
      </c>
      <c r="D4" s="82">
        <f>Асортимент!G4</f>
        <v>1050</v>
      </c>
      <c r="E4" s="83">
        <f t="shared" ref="E4:E15" si="0">C4*D4</f>
        <v>22050</v>
      </c>
      <c r="G4" s="77"/>
      <c r="H4" s="77"/>
      <c r="I4" s="77"/>
    </row>
    <row r="5" ht="15.75" spans="2:9">
      <c r="B5" s="84" t="s">
        <v>92</v>
      </c>
      <c r="C5" s="50">
        <f>Асортимент!E5</f>
        <v>20.4</v>
      </c>
      <c r="D5" s="50">
        <f>Асортимент!G5</f>
        <v>1200</v>
      </c>
      <c r="E5" s="71">
        <f t="shared" si="0"/>
        <v>24480</v>
      </c>
      <c r="G5" s="77"/>
      <c r="H5" s="77"/>
      <c r="I5" s="77"/>
    </row>
    <row r="6" ht="15.75" spans="2:9">
      <c r="B6" s="84" t="s">
        <v>93</v>
      </c>
      <c r="C6" s="50">
        <f>Асортимент!E6</f>
        <v>12.6</v>
      </c>
      <c r="D6" s="50">
        <f>Асортимент!G6</f>
        <v>960</v>
      </c>
      <c r="E6" s="71">
        <f t="shared" si="0"/>
        <v>12096</v>
      </c>
      <c r="G6" s="77"/>
      <c r="H6" s="77"/>
      <c r="I6" s="77"/>
    </row>
    <row r="7" ht="15.75" spans="2:9">
      <c r="B7" s="84" t="s">
        <v>94</v>
      </c>
      <c r="C7" s="50">
        <f>Асортимент!E7</f>
        <v>18.9</v>
      </c>
      <c r="D7" s="50">
        <f>Асортимент!G7</f>
        <v>1050</v>
      </c>
      <c r="E7" s="71">
        <f t="shared" si="0"/>
        <v>19845</v>
      </c>
      <c r="G7" s="77"/>
      <c r="H7" s="77"/>
      <c r="I7" s="77"/>
    </row>
    <row r="8" ht="15.75" spans="2:9">
      <c r="B8" s="84" t="s">
        <v>95</v>
      </c>
      <c r="C8" s="50">
        <f>Асортимент!E8</f>
        <v>46.5</v>
      </c>
      <c r="D8" s="50">
        <f>Асортимент!G8</f>
        <v>240</v>
      </c>
      <c r="E8" s="71">
        <f t="shared" si="0"/>
        <v>11160</v>
      </c>
      <c r="G8" s="77"/>
      <c r="H8" s="77"/>
      <c r="I8" s="77"/>
    </row>
    <row r="9" ht="15.75" spans="2:9">
      <c r="B9" s="84" t="s">
        <v>96</v>
      </c>
      <c r="C9" s="50">
        <f>Асортимент!E9</f>
        <v>132</v>
      </c>
      <c r="D9" s="50">
        <f>Асортимент!G9</f>
        <v>90</v>
      </c>
      <c r="E9" s="71">
        <f t="shared" si="0"/>
        <v>11880</v>
      </c>
      <c r="G9" s="77"/>
      <c r="H9" s="77"/>
      <c r="I9" s="77"/>
    </row>
    <row r="10" ht="15.75" spans="2:9">
      <c r="B10" s="84" t="s">
        <v>97</v>
      </c>
      <c r="C10" s="50">
        <f>Асортимент!E10</f>
        <v>13.5</v>
      </c>
      <c r="D10" s="50">
        <f>Асортимент!G10</f>
        <v>900</v>
      </c>
      <c r="E10" s="71">
        <f t="shared" si="0"/>
        <v>12150</v>
      </c>
      <c r="G10" s="77"/>
      <c r="H10" s="77"/>
      <c r="I10" s="77"/>
    </row>
    <row r="11" ht="15.75" spans="2:9">
      <c r="B11" s="84" t="s">
        <v>98</v>
      </c>
      <c r="C11" s="50">
        <f>Асортимент!E11</f>
        <v>17.1</v>
      </c>
      <c r="D11" s="50">
        <f>Асортимент!G11</f>
        <v>1200</v>
      </c>
      <c r="E11" s="71">
        <f t="shared" si="0"/>
        <v>20520</v>
      </c>
      <c r="G11" s="77"/>
      <c r="H11" s="77"/>
      <c r="I11" s="77"/>
    </row>
    <row r="12" ht="15.75" spans="2:9">
      <c r="B12" s="84" t="s">
        <v>99</v>
      </c>
      <c r="C12" s="50">
        <f>Асортимент!E12</f>
        <v>23</v>
      </c>
      <c r="D12" s="50">
        <f>Асортимент!G12</f>
        <v>1500</v>
      </c>
      <c r="E12" s="71">
        <f t="shared" si="0"/>
        <v>34500</v>
      </c>
      <c r="F12" s="35"/>
      <c r="G12" s="77"/>
      <c r="H12" s="77"/>
      <c r="I12" s="77"/>
    </row>
    <row r="13" ht="15.75" spans="2:9">
      <c r="B13" s="84" t="s">
        <v>100</v>
      </c>
      <c r="C13" s="50">
        <f>Асортимент!E13</f>
        <v>9</v>
      </c>
      <c r="D13" s="50">
        <f>Асортимент!G13</f>
        <v>1500</v>
      </c>
      <c r="E13" s="71">
        <f t="shared" si="0"/>
        <v>13500</v>
      </c>
      <c r="F13" s="35"/>
      <c r="G13" s="77"/>
      <c r="H13" s="77"/>
      <c r="I13" s="77"/>
    </row>
    <row r="14" ht="15" spans="2:9">
      <c r="B14" s="84" t="s">
        <v>101</v>
      </c>
      <c r="C14" s="50">
        <f>Асортимент!E14</f>
        <v>14</v>
      </c>
      <c r="D14" s="50">
        <f>Асортимент!G14</f>
        <v>900</v>
      </c>
      <c r="E14" s="71">
        <f t="shared" si="0"/>
        <v>12600</v>
      </c>
      <c r="F14" s="35"/>
      <c r="G14" s="35"/>
      <c r="H14" s="35"/>
      <c r="I14" s="35"/>
    </row>
    <row r="15" ht="16" customHeight="1" spans="2:9">
      <c r="B15" s="85" t="s">
        <v>102</v>
      </c>
      <c r="C15" s="86">
        <v>15</v>
      </c>
      <c r="D15" s="65">
        <f>Асортимент!G15</f>
        <v>1950</v>
      </c>
      <c r="E15" s="73">
        <f t="shared" si="0"/>
        <v>29250</v>
      </c>
      <c r="F15" s="87"/>
      <c r="G15" s="88"/>
      <c r="H15" s="35"/>
      <c r="I15" s="35"/>
    </row>
    <row r="16" ht="5" customHeight="1" spans="6:8">
      <c r="F16" s="35"/>
      <c r="G16" s="35"/>
      <c r="H16" s="35"/>
    </row>
    <row r="17" ht="21" customHeight="1" spans="2:8">
      <c r="B17" s="89" t="s">
        <v>108</v>
      </c>
      <c r="C17" s="90">
        <v>6700</v>
      </c>
      <c r="D17" s="90">
        <v>11</v>
      </c>
      <c r="E17" s="91">
        <f>C17*D17</f>
        <v>73700</v>
      </c>
      <c r="F17" s="35"/>
      <c r="G17" s="35"/>
      <c r="H17" s="35"/>
    </row>
    <row r="18" ht="4" customHeight="1" spans="2:8">
      <c r="B18" s="92"/>
      <c r="C18" s="92"/>
      <c r="D18" s="92"/>
      <c r="E18" s="93"/>
      <c r="F18" s="35"/>
      <c r="G18" s="35"/>
      <c r="H18" s="35"/>
    </row>
    <row r="19" ht="15.75" spans="2:8">
      <c r="B19" s="89" t="s">
        <v>109</v>
      </c>
      <c r="C19" s="90">
        <v>8000</v>
      </c>
      <c r="D19" s="90">
        <v>2</v>
      </c>
      <c r="E19" s="91">
        <f>C19*D19</f>
        <v>16000</v>
      </c>
      <c r="F19" s="35"/>
      <c r="G19" s="35"/>
      <c r="H19" s="35"/>
    </row>
    <row r="20" spans="6:8">
      <c r="F20" s="35"/>
      <c r="G20" s="35"/>
      <c r="H20" s="35"/>
    </row>
    <row r="21" ht="13.95" spans="6:8">
      <c r="F21" s="35"/>
      <c r="G21" s="35"/>
      <c r="H21" s="35"/>
    </row>
    <row r="22" ht="13.95" spans="2:4">
      <c r="B22" t="s">
        <v>110</v>
      </c>
      <c r="C22" t="s">
        <v>107</v>
      </c>
      <c r="D22" t="s">
        <v>111</v>
      </c>
    </row>
    <row r="23" spans="2:4">
      <c r="B23" s="94" t="s">
        <v>112</v>
      </c>
      <c r="C23" s="95">
        <f>SUM(E4:E19)</f>
        <v>313731</v>
      </c>
      <c r="D23" s="96">
        <f>'P&amp;L'!D14</f>
        <v>52675.73</v>
      </c>
    </row>
    <row r="24" ht="13.95" spans="2:4">
      <c r="B24" s="64" t="s">
        <v>113</v>
      </c>
      <c r="C24" s="65">
        <f>12*C23</f>
        <v>3764772</v>
      </c>
      <c r="D24" s="58">
        <f>D23*12</f>
        <v>632108.76</v>
      </c>
    </row>
  </sheetData>
  <mergeCells count="1">
    <mergeCell ref="B2:E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workbookViewId="0">
      <selection activeCell="G21" sqref="G21"/>
    </sheetView>
  </sheetViews>
  <sheetFormatPr defaultColWidth="8.88888888888889" defaultRowHeight="13.2"/>
  <cols>
    <col min="2" max="4" width="32.4444444444444" customWidth="1"/>
    <col min="6" max="6" width="33.2222222222222" customWidth="1"/>
    <col min="7" max="7" width="11.1111111111111" customWidth="1"/>
    <col min="8" max="8" width="15" customWidth="1"/>
    <col min="9" max="9" width="18" customWidth="1"/>
  </cols>
  <sheetData>
    <row r="1" ht="13.95"/>
    <row r="2" ht="13.95" spans="2:10">
      <c r="B2" s="36" t="s">
        <v>114</v>
      </c>
      <c r="C2" s="37"/>
      <c r="D2" s="38"/>
      <c r="E2" s="39"/>
      <c r="F2" s="40" t="s">
        <v>115</v>
      </c>
      <c r="G2" s="41"/>
      <c r="H2" s="41"/>
      <c r="I2" s="69"/>
      <c r="J2" s="25"/>
    </row>
    <row r="3" ht="13.95" spans="2:9">
      <c r="B3" s="42"/>
      <c r="C3" s="43"/>
      <c r="D3" s="44"/>
      <c r="E3" s="39"/>
      <c r="F3" s="45" t="s">
        <v>1</v>
      </c>
      <c r="G3" s="46" t="s">
        <v>10</v>
      </c>
      <c r="H3" s="46" t="s">
        <v>11</v>
      </c>
      <c r="I3" s="70" t="s">
        <v>12</v>
      </c>
    </row>
    <row r="4" ht="13.95" spans="2:9">
      <c r="B4" s="47" t="s">
        <v>1</v>
      </c>
      <c r="C4" s="18" t="s">
        <v>116</v>
      </c>
      <c r="D4" s="48" t="s">
        <v>2</v>
      </c>
      <c r="F4" s="49" t="s">
        <v>17</v>
      </c>
      <c r="G4" s="50">
        <v>2</v>
      </c>
      <c r="H4" s="50">
        <v>130000</v>
      </c>
      <c r="I4" s="71">
        <f t="shared" ref="I4:I15" si="0">H4*G4</f>
        <v>260000</v>
      </c>
    </row>
    <row r="5" spans="2:9">
      <c r="B5" s="9" t="s">
        <v>117</v>
      </c>
      <c r="C5" s="51" t="s">
        <v>118</v>
      </c>
      <c r="D5" s="11">
        <f>Прибуток!C23</f>
        <v>313731</v>
      </c>
      <c r="F5" s="49" t="s">
        <v>19</v>
      </c>
      <c r="G5" s="50">
        <v>2</v>
      </c>
      <c r="H5" s="50">
        <v>30000</v>
      </c>
      <c r="I5" s="71">
        <f t="shared" si="0"/>
        <v>60000</v>
      </c>
    </row>
    <row r="6" spans="2:9">
      <c r="B6" s="14" t="s">
        <v>119</v>
      </c>
      <c r="C6" s="52" t="s">
        <v>118</v>
      </c>
      <c r="D6" s="53">
        <v>120345</v>
      </c>
      <c r="F6" s="49" t="s">
        <v>21</v>
      </c>
      <c r="G6" s="50">
        <v>1</v>
      </c>
      <c r="H6" s="50">
        <v>20000</v>
      </c>
      <c r="I6" s="71">
        <f t="shared" si="0"/>
        <v>20000</v>
      </c>
    </row>
    <row r="7" spans="2:9">
      <c r="B7" s="54" t="s">
        <v>120</v>
      </c>
      <c r="C7" s="55" t="s">
        <v>118</v>
      </c>
      <c r="D7" s="56">
        <f>D5-D6</f>
        <v>193386</v>
      </c>
      <c r="F7" s="49" t="s">
        <v>22</v>
      </c>
      <c r="G7" s="50">
        <v>2</v>
      </c>
      <c r="H7" s="50">
        <v>15000</v>
      </c>
      <c r="I7" s="71">
        <f t="shared" si="0"/>
        <v>30000</v>
      </c>
    </row>
    <row r="8" spans="2:9">
      <c r="B8" s="14" t="s">
        <v>121</v>
      </c>
      <c r="C8" s="52" t="s">
        <v>118</v>
      </c>
      <c r="D8" s="53">
        <f>'Щомісячні Витрати'!B29</f>
        <v>54000</v>
      </c>
      <c r="F8" s="49" t="s">
        <v>23</v>
      </c>
      <c r="G8" s="50">
        <v>2</v>
      </c>
      <c r="H8" s="50">
        <v>15000</v>
      </c>
      <c r="I8" s="71">
        <f t="shared" si="0"/>
        <v>30000</v>
      </c>
    </row>
    <row r="9" spans="2:9">
      <c r="B9" s="14" t="s">
        <v>66</v>
      </c>
      <c r="C9" s="52" t="s">
        <v>122</v>
      </c>
      <c r="D9" s="53">
        <f>18+1.5</f>
        <v>19.5</v>
      </c>
      <c r="F9" s="49" t="s">
        <v>24</v>
      </c>
      <c r="G9" s="50">
        <v>1</v>
      </c>
      <c r="H9" s="50">
        <v>20000</v>
      </c>
      <c r="I9" s="71">
        <f t="shared" si="0"/>
        <v>20000</v>
      </c>
    </row>
    <row r="10" spans="2:9">
      <c r="B10" s="14" t="s">
        <v>18</v>
      </c>
      <c r="C10" s="52" t="s">
        <v>118</v>
      </c>
      <c r="D10" s="53">
        <f>'Щомісячні Витрати'!G7</f>
        <v>7000</v>
      </c>
      <c r="F10" s="49" t="s">
        <v>25</v>
      </c>
      <c r="G10" s="50">
        <v>10</v>
      </c>
      <c r="H10" s="50">
        <v>3000</v>
      </c>
      <c r="I10" s="71">
        <f t="shared" si="0"/>
        <v>30000</v>
      </c>
    </row>
    <row r="11" spans="2:9">
      <c r="B11" s="14" t="s">
        <v>123</v>
      </c>
      <c r="C11" s="52" t="s">
        <v>118</v>
      </c>
      <c r="D11" s="53">
        <f>'Щомісячні Витрати'!B45</f>
        <v>11000</v>
      </c>
      <c r="F11" s="49" t="s">
        <v>26</v>
      </c>
      <c r="G11" s="50">
        <v>1</v>
      </c>
      <c r="H11" s="50">
        <v>50000</v>
      </c>
      <c r="I11" s="71">
        <f t="shared" si="0"/>
        <v>50000</v>
      </c>
    </row>
    <row r="12" spans="2:9">
      <c r="B12" s="14" t="s">
        <v>124</v>
      </c>
      <c r="C12" s="52" t="s">
        <v>118</v>
      </c>
      <c r="D12" s="53">
        <f>'Щомісячні Витрати'!B19</f>
        <v>31000</v>
      </c>
      <c r="F12" s="49" t="s">
        <v>27</v>
      </c>
      <c r="G12" s="50">
        <v>1</v>
      </c>
      <c r="H12" s="50">
        <v>10000</v>
      </c>
      <c r="I12" s="71">
        <f t="shared" si="0"/>
        <v>10000</v>
      </c>
    </row>
    <row r="13" ht="13.95" spans="2:9">
      <c r="B13" s="17" t="s">
        <v>125</v>
      </c>
      <c r="C13" s="57" t="s">
        <v>118</v>
      </c>
      <c r="D13" s="58">
        <f>G18</f>
        <v>7619.04761904762</v>
      </c>
      <c r="F13" s="49" t="s">
        <v>28</v>
      </c>
      <c r="G13" s="50">
        <v>2</v>
      </c>
      <c r="H13" s="50">
        <v>30000</v>
      </c>
      <c r="I13" s="71">
        <f t="shared" si="0"/>
        <v>60000</v>
      </c>
    </row>
    <row r="14" ht="13.95" spans="2:9">
      <c r="B14" s="59" t="s">
        <v>110</v>
      </c>
      <c r="C14" s="60"/>
      <c r="D14" s="61">
        <f>D7*(100-D9)/100-D8-D10-D11-D12</f>
        <v>52675.73</v>
      </c>
      <c r="F14" s="62" t="s">
        <v>29</v>
      </c>
      <c r="G14" s="63">
        <v>1</v>
      </c>
      <c r="H14" s="63">
        <v>30000</v>
      </c>
      <c r="I14" s="72">
        <f t="shared" si="0"/>
        <v>30000</v>
      </c>
    </row>
    <row r="15" spans="6:9">
      <c r="F15" s="64" t="s">
        <v>30</v>
      </c>
      <c r="G15" s="65">
        <v>2</v>
      </c>
      <c r="H15" s="65">
        <v>20000</v>
      </c>
      <c r="I15" s="73">
        <f t="shared" si="0"/>
        <v>40000</v>
      </c>
    </row>
    <row r="16" ht="13.95"/>
    <row r="17" ht="13.95" spans="6:8">
      <c r="F17" s="66" t="s">
        <v>126</v>
      </c>
      <c r="G17" s="61">
        <v>7</v>
      </c>
      <c r="H17" s="24"/>
    </row>
    <row r="18" ht="13.95" spans="6:7">
      <c r="F18" s="67" t="s">
        <v>127</v>
      </c>
      <c r="G18" s="68">
        <f>SUM(I4:I15)/(7*12)</f>
        <v>7619.04761904762</v>
      </c>
    </row>
  </sheetData>
  <mergeCells count="3">
    <mergeCell ref="F2:I2"/>
    <mergeCell ref="B14:C14"/>
    <mergeCell ref="B2:D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8"/>
  <sheetViews>
    <sheetView workbookViewId="0">
      <selection activeCell="I7" sqref="I7"/>
    </sheetView>
  </sheetViews>
  <sheetFormatPr defaultColWidth="8.88888888888889" defaultRowHeight="13.2"/>
  <cols>
    <col min="2" max="2" width="33.8888888888889" customWidth="1"/>
    <col min="3" max="3" width="12.1111111111111" customWidth="1"/>
    <col min="4" max="4" width="32.4444444444444" customWidth="1"/>
    <col min="10" max="10" width="11.2222222222222" customWidth="1"/>
    <col min="11" max="11" width="10.1111111111111" customWidth="1"/>
    <col min="12" max="12" width="10.2222222222222" customWidth="1"/>
  </cols>
  <sheetData>
    <row r="2" ht="16" customHeight="1" spans="2:16">
      <c r="B2" s="1" t="s">
        <v>128</v>
      </c>
      <c r="C2" s="2"/>
      <c r="D2" s="3"/>
      <c r="F2" s="1" t="s">
        <v>129</v>
      </c>
      <c r="G2" s="2"/>
      <c r="H2" s="2"/>
      <c r="I2" s="3"/>
      <c r="J2" s="20" t="s">
        <v>130</v>
      </c>
      <c r="K2" s="21"/>
      <c r="L2" s="22"/>
      <c r="M2" s="23"/>
      <c r="N2" s="23"/>
      <c r="O2" s="24"/>
      <c r="P2" s="25"/>
    </row>
    <row r="3" ht="13.95" spans="2:16">
      <c r="B3" s="4" t="s">
        <v>1</v>
      </c>
      <c r="C3" s="5" t="s">
        <v>131</v>
      </c>
      <c r="D3" s="6" t="s">
        <v>132</v>
      </c>
      <c r="F3" s="7" t="s">
        <v>133</v>
      </c>
      <c r="G3" s="8"/>
      <c r="H3" s="8" t="s">
        <v>134</v>
      </c>
      <c r="I3" s="26"/>
      <c r="J3" s="27" t="s">
        <v>135</v>
      </c>
      <c r="K3" s="28" t="s">
        <v>136</v>
      </c>
      <c r="L3" s="29" t="s">
        <v>137</v>
      </c>
      <c r="M3" s="23"/>
      <c r="N3" s="23"/>
      <c r="O3" s="24"/>
      <c r="P3" s="25"/>
    </row>
    <row r="4" ht="13.95" spans="2:15">
      <c r="B4" s="9" t="s">
        <v>138</v>
      </c>
      <c r="C4" s="10" t="s">
        <v>118</v>
      </c>
      <c r="D4" s="11">
        <v>0</v>
      </c>
      <c r="F4" s="12">
        <f>Прибуток!D23</f>
        <v>52675.73</v>
      </c>
      <c r="G4" s="13"/>
      <c r="H4" s="13">
        <f>Інвестиції!D8</f>
        <v>1035850</v>
      </c>
      <c r="I4" s="13"/>
      <c r="J4" s="30">
        <f>H4/F4</f>
        <v>19.664653911773</v>
      </c>
      <c r="K4" s="31">
        <f>H4/(F4*1.3)</f>
        <v>15.12665685521</v>
      </c>
      <c r="L4" s="32">
        <f>H4/(F4*0.8)</f>
        <v>24.5808173897163</v>
      </c>
      <c r="M4" s="33"/>
      <c r="N4" s="34"/>
      <c r="O4" s="34"/>
    </row>
    <row r="5" spans="2:15">
      <c r="B5" s="14" t="s">
        <v>139</v>
      </c>
      <c r="C5" s="15" t="s">
        <v>118</v>
      </c>
      <c r="D5" s="16">
        <f>Прибуток!C23</f>
        <v>313731</v>
      </c>
      <c r="J5" s="34"/>
      <c r="K5" s="34"/>
      <c r="L5" s="34"/>
      <c r="M5" s="34"/>
      <c r="N5" s="34"/>
      <c r="O5" s="34"/>
    </row>
    <row r="6" spans="2:15">
      <c r="B6" s="14" t="s">
        <v>140</v>
      </c>
      <c r="C6" s="15" t="s">
        <v>118</v>
      </c>
      <c r="D6" s="16">
        <f>-SUM('P&amp;L'!D8,'P&amp;L'!D10,'P&amp;L'!D11,'P&amp;L'!D12,'P&amp;L'!D13)</f>
        <v>-110619.047619048</v>
      </c>
      <c r="J6" s="34"/>
      <c r="K6" s="34"/>
      <c r="L6" s="34"/>
      <c r="M6" s="34"/>
      <c r="N6" s="34"/>
      <c r="O6" s="34"/>
    </row>
    <row r="7" spans="2:15">
      <c r="B7" s="14" t="s">
        <v>141</v>
      </c>
      <c r="C7" s="15" t="s">
        <v>118</v>
      </c>
      <c r="D7" s="16">
        <f>'Щомісячні Витрати'!B12</f>
        <v>161750</v>
      </c>
      <c r="J7" s="34"/>
      <c r="K7" s="34"/>
      <c r="L7" s="34"/>
      <c r="M7" s="34"/>
      <c r="N7" s="34"/>
      <c r="O7" s="34"/>
    </row>
    <row r="8" spans="2:15">
      <c r="B8" s="14" t="s">
        <v>0</v>
      </c>
      <c r="C8" s="15" t="s">
        <v>118</v>
      </c>
      <c r="D8" s="16">
        <f>-Інвестиції!D8</f>
        <v>-1035850</v>
      </c>
      <c r="J8" s="34"/>
      <c r="K8" s="34"/>
      <c r="L8" s="34"/>
      <c r="M8" s="34"/>
      <c r="N8" s="34"/>
      <c r="O8" s="34"/>
    </row>
    <row r="9" ht="13.95" spans="2:15">
      <c r="B9" s="17" t="s">
        <v>142</v>
      </c>
      <c r="C9" s="18" t="s">
        <v>118</v>
      </c>
      <c r="D9" s="19">
        <f>SUM(D4:D8)</f>
        <v>-670988.047619048</v>
      </c>
      <c r="J9" s="34"/>
      <c r="K9" s="34"/>
      <c r="L9" s="34"/>
      <c r="M9" s="34"/>
      <c r="N9" s="34"/>
      <c r="O9" s="34"/>
    </row>
    <row r="10" ht="13" customHeight="1" spans="10:15">
      <c r="J10" s="34"/>
      <c r="K10" s="34"/>
      <c r="L10" s="23"/>
      <c r="M10" s="34"/>
      <c r="N10" s="34"/>
      <c r="O10" s="34"/>
    </row>
    <row r="11" spans="10:15">
      <c r="J11" s="34"/>
      <c r="K11" s="34"/>
      <c r="L11" s="34"/>
      <c r="M11" s="34"/>
      <c r="N11" s="34"/>
      <c r="O11" s="34"/>
    </row>
    <row r="12" spans="10:15">
      <c r="J12" s="34"/>
      <c r="K12" s="34"/>
      <c r="L12" s="34"/>
      <c r="M12" s="34"/>
      <c r="N12" s="34"/>
      <c r="O12" s="34"/>
    </row>
    <row r="13" spans="10:15">
      <c r="J13" s="34"/>
      <c r="K13" s="34"/>
      <c r="L13" s="34"/>
      <c r="M13" s="34"/>
      <c r="N13" s="34"/>
      <c r="O13" s="34"/>
    </row>
    <row r="14" spans="10:15">
      <c r="J14" s="35"/>
      <c r="K14" s="35"/>
      <c r="L14" s="35"/>
      <c r="M14" s="35"/>
      <c r="N14" s="35"/>
      <c r="O14" s="35"/>
    </row>
    <row r="15" spans="10:10">
      <c r="J15" s="35"/>
    </row>
    <row r="18" spans="4:4">
      <c r="D18" t="s">
        <v>143</v>
      </c>
    </row>
  </sheetData>
  <mergeCells count="7">
    <mergeCell ref="B2:D2"/>
    <mergeCell ref="F2:I2"/>
    <mergeCell ref="J2:L2"/>
    <mergeCell ref="F3:G3"/>
    <mergeCell ref="H3:I3"/>
    <mergeCell ref="F4:G4"/>
    <mergeCell ref="H4:I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LibreOffice/7.2.1.2$Windows_X86_64 LibreOffice_project/87b77fad49947c1441b67c559c339af8f3517e22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Інвестиції</vt:lpstr>
      <vt:lpstr>Щомісячні Витрати</vt:lpstr>
      <vt:lpstr>Річні Витрати</vt:lpstr>
      <vt:lpstr>Асортимент</vt:lpstr>
      <vt:lpstr>Прибуток</vt:lpstr>
      <vt:lpstr>P&amp;L</vt:lpstr>
      <vt:lpstr>Cash 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HeTic</cp:lastModifiedBy>
  <cp:revision>3</cp:revision>
  <dcterms:created xsi:type="dcterms:W3CDTF">2022-10-30T23:48:00Z</dcterms:created>
  <dcterms:modified xsi:type="dcterms:W3CDTF">2022-10-31T03:32:51Z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9C116E3CBA3A4AF692C4D369EE8C05BF</vt:lpwstr>
  </property>
  <property fmtid="{D5CDD505-2E9C-101B-9397-08002B2CF9AE}" pid="3" name="KSOProductBuildVer">
    <vt:lpwstr>1033-11.2.0.11380</vt:lpwstr>
  </property>
  <property fmtid="{D5CDD505-2E9C-101B-9397-08002B2CF9AE}" pid="4" name="KSOReadingLayout">
    <vt:bool>false</vt:bool>
  </property>
</Properties>
</file>