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3" i="1"/>
  <c r="G3" i="1"/>
  <c r="D34" i="1"/>
  <c r="C34" i="1"/>
  <c r="B34" i="1"/>
  <c r="F63" i="1"/>
  <c r="E63" i="1"/>
  <c r="D63" i="1"/>
  <c r="C63" i="1"/>
  <c r="B63" i="1"/>
  <c r="C60" i="1"/>
  <c r="D60" i="1"/>
  <c r="B60" i="1"/>
  <c r="E60" i="1" s="1"/>
  <c r="E34" i="1" l="1"/>
  <c r="F34" i="1" s="1"/>
  <c r="E41" i="1"/>
  <c r="F41" i="1" s="1"/>
  <c r="D41" i="1"/>
  <c r="C41" i="1"/>
  <c r="B41" i="1"/>
  <c r="E16" i="1"/>
  <c r="F16" i="1" s="1"/>
  <c r="D16" i="1"/>
  <c r="B16" i="1"/>
  <c r="C16" i="1"/>
  <c r="D59" i="1" l="1"/>
  <c r="C59" i="1"/>
  <c r="B59" i="1"/>
  <c r="F49" i="1"/>
  <c r="D50" i="1"/>
  <c r="C50" i="1"/>
  <c r="B50" i="1"/>
  <c r="D49" i="1"/>
  <c r="C49" i="1"/>
  <c r="B49" i="1"/>
  <c r="D24" i="1"/>
  <c r="C24" i="1"/>
  <c r="B24" i="1"/>
  <c r="D30" i="1"/>
  <c r="C30" i="1"/>
  <c r="B30" i="1"/>
  <c r="D56" i="1"/>
  <c r="C56" i="1"/>
  <c r="B56" i="1"/>
  <c r="B4" i="1" l="1"/>
  <c r="E4" i="1" s="1"/>
  <c r="F4" i="1" s="1"/>
  <c r="E49" i="1"/>
  <c r="M42" i="1"/>
  <c r="M40" i="1"/>
  <c r="M39" i="1"/>
  <c r="M20" i="1"/>
  <c r="M19" i="1"/>
  <c r="M18" i="1"/>
  <c r="M17" i="1"/>
  <c r="D55" i="1"/>
  <c r="C55" i="1"/>
  <c r="B55" i="1"/>
  <c r="D54" i="1"/>
  <c r="C54" i="1"/>
  <c r="B54" i="1"/>
  <c r="E54" i="1" s="1"/>
  <c r="D53" i="1"/>
  <c r="C53" i="1"/>
  <c r="B53" i="1"/>
  <c r="D52" i="1"/>
  <c r="C52" i="1"/>
  <c r="B52" i="1"/>
  <c r="D51" i="1"/>
  <c r="C51" i="1"/>
  <c r="E51" i="1" s="1"/>
  <c r="F51" i="1" s="1"/>
  <c r="B51" i="1"/>
  <c r="D48" i="1"/>
  <c r="C48" i="1"/>
  <c r="B48" i="1"/>
  <c r="E48" i="1" s="1"/>
  <c r="D47" i="1"/>
  <c r="C47" i="1"/>
  <c r="B47" i="1"/>
  <c r="D45" i="1"/>
  <c r="C45" i="1"/>
  <c r="B45" i="1"/>
  <c r="E45" i="1" s="1"/>
  <c r="D44" i="1"/>
  <c r="C44" i="1"/>
  <c r="B44" i="1"/>
  <c r="D43" i="1"/>
  <c r="C43" i="1"/>
  <c r="B43" i="1"/>
  <c r="E43" i="1" s="1"/>
  <c r="D42" i="1"/>
  <c r="C42" i="1"/>
  <c r="E42" i="1" s="1"/>
  <c r="F42" i="1" s="1"/>
  <c r="B42" i="1"/>
  <c r="D40" i="1"/>
  <c r="B40" i="1"/>
  <c r="D39" i="1"/>
  <c r="C39" i="1"/>
  <c r="B39" i="1"/>
  <c r="D38" i="1"/>
  <c r="C38" i="1"/>
  <c r="B38" i="1"/>
  <c r="E30" i="1"/>
  <c r="F30" i="1" s="1"/>
  <c r="D29" i="1"/>
  <c r="C29" i="1"/>
  <c r="E29" i="1" s="1"/>
  <c r="F29" i="1" s="1"/>
  <c r="B29" i="1"/>
  <c r="M8" i="1"/>
  <c r="D8" i="1"/>
  <c r="C8" i="1"/>
  <c r="B8" i="1"/>
  <c r="E8" i="1" s="1"/>
  <c r="F8" i="1" s="1"/>
  <c r="D28" i="1"/>
  <c r="E28" i="1" s="1"/>
  <c r="F28" i="1" s="1"/>
  <c r="C28" i="1"/>
  <c r="B28" i="1"/>
  <c r="A37" i="1"/>
  <c r="A38" i="1"/>
  <c r="A39" i="1"/>
  <c r="A40" i="1"/>
  <c r="A42" i="1"/>
  <c r="A43" i="1"/>
  <c r="A44" i="1"/>
  <c r="A45" i="1"/>
  <c r="A46" i="1"/>
  <c r="A47" i="1"/>
  <c r="A48" i="1"/>
  <c r="A51" i="1"/>
  <c r="A53" i="1"/>
  <c r="A54" i="1"/>
  <c r="A55" i="1"/>
  <c r="A56" i="1"/>
  <c r="A57" i="1"/>
  <c r="A58" i="1"/>
  <c r="A59" i="1"/>
  <c r="A52" i="1"/>
  <c r="D27" i="1"/>
  <c r="C27" i="1"/>
  <c r="B27" i="1"/>
  <c r="D26" i="1"/>
  <c r="C26" i="1"/>
  <c r="B26" i="1"/>
  <c r="E26" i="1" s="1"/>
  <c r="F26" i="1" s="1"/>
  <c r="D25" i="1"/>
  <c r="C25" i="1"/>
  <c r="B25" i="1"/>
  <c r="D23" i="1"/>
  <c r="C23" i="1"/>
  <c r="B23" i="1"/>
  <c r="D22" i="1"/>
  <c r="E22" i="1" s="1"/>
  <c r="F22" i="1" s="1"/>
  <c r="C22" i="1"/>
  <c r="B22" i="1"/>
  <c r="D19" i="1"/>
  <c r="C19" i="1"/>
  <c r="B19" i="1"/>
  <c r="D20" i="1"/>
  <c r="E20" i="1" s="1"/>
  <c r="C20" i="1"/>
  <c r="B20" i="1"/>
  <c r="E46" i="1"/>
  <c r="F46" i="1" s="1"/>
  <c r="M24" i="1"/>
  <c r="M7" i="1"/>
  <c r="E21" i="1"/>
  <c r="F21" i="1" s="1"/>
  <c r="D18" i="1"/>
  <c r="C18" i="1"/>
  <c r="B18" i="1"/>
  <c r="E18" i="1" s="1"/>
  <c r="D17" i="1"/>
  <c r="E17" i="1" s="1"/>
  <c r="F17" i="1" s="1"/>
  <c r="C17" i="1"/>
  <c r="B17" i="1"/>
  <c r="B15" i="1"/>
  <c r="F12" i="1"/>
  <c r="D14" i="1"/>
  <c r="C14" i="1"/>
  <c r="B14" i="1"/>
  <c r="D13" i="1"/>
  <c r="C13" i="1"/>
  <c r="B13" i="1"/>
  <c r="E7" i="1"/>
  <c r="F7" i="1" s="1"/>
  <c r="D6" i="1"/>
  <c r="C6" i="1"/>
  <c r="E6" i="1" s="1"/>
  <c r="D5" i="1"/>
  <c r="E5" i="1" s="1"/>
  <c r="F5" i="1" s="1"/>
  <c r="C3" i="1"/>
  <c r="D3" i="1" s="1"/>
  <c r="E3" i="1" s="1"/>
  <c r="F3" i="1" s="1"/>
  <c r="B3" i="1"/>
  <c r="D4" i="1"/>
  <c r="E59" i="1"/>
  <c r="E58" i="1"/>
  <c r="F58" i="1" s="1"/>
  <c r="E57" i="1"/>
  <c r="F57" i="1" s="1"/>
  <c r="E56" i="1"/>
  <c r="F56" i="1" s="1"/>
  <c r="E32" i="1"/>
  <c r="F32" i="1" s="1"/>
  <c r="E33" i="1"/>
  <c r="F33" i="1" s="1"/>
  <c r="E31" i="1"/>
  <c r="F31" i="1" s="1"/>
  <c r="M3" i="1"/>
  <c r="M4" i="1"/>
  <c r="M5" i="1"/>
  <c r="M6" i="1"/>
  <c r="M9" i="1"/>
  <c r="M12" i="1"/>
  <c r="M13" i="1"/>
  <c r="M14" i="1"/>
  <c r="M15" i="1"/>
  <c r="M23" i="1"/>
  <c r="M25" i="1"/>
  <c r="M26" i="1"/>
  <c r="M27" i="1"/>
  <c r="M28" i="1"/>
  <c r="M29" i="1"/>
  <c r="M30" i="1"/>
  <c r="M33" i="1"/>
  <c r="M35" i="1"/>
  <c r="M36" i="1"/>
  <c r="M37" i="1"/>
  <c r="M38" i="1"/>
  <c r="E15" i="1"/>
  <c r="F15" i="1" s="1"/>
  <c r="E53" i="1"/>
  <c r="F53" i="1" s="1"/>
  <c r="E50" i="1"/>
  <c r="E25" i="1"/>
  <c r="F25" i="1" s="1"/>
  <c r="E47" i="1"/>
  <c r="F47" i="1" s="1"/>
  <c r="E24" i="1"/>
  <c r="F24" i="1" s="1"/>
  <c r="E40" i="1"/>
  <c r="F40" i="1" s="1"/>
  <c r="E38" i="1"/>
  <c r="E37" i="1"/>
  <c r="F37" i="1" s="1"/>
  <c r="E12" i="1"/>
  <c r="E13" i="1" l="1"/>
  <c r="F13" i="1" s="1"/>
  <c r="E27" i="1"/>
  <c r="E55" i="1"/>
  <c r="F55" i="1" s="1"/>
  <c r="E19" i="1"/>
  <c r="E52" i="1"/>
  <c r="F52" i="1" s="1"/>
  <c r="E44" i="1"/>
  <c r="E39" i="1"/>
  <c r="F39" i="1" s="1"/>
  <c r="E23" i="1"/>
  <c r="F23" i="1" s="1"/>
  <c r="E14" i="1"/>
</calcChain>
</file>

<file path=xl/sharedStrings.xml><?xml version="1.0" encoding="utf-8"?>
<sst xmlns="http://schemas.openxmlformats.org/spreadsheetml/2006/main" count="56" uniqueCount="45">
  <si>
    <t>Diwan Rounds</t>
  </si>
  <si>
    <t>Pine Pavilion Rounds</t>
  </si>
  <si>
    <t>Cocktail (Wide)</t>
  </si>
  <si>
    <t>Cocktail (Small)</t>
  </si>
  <si>
    <t>Diwan rectangle</t>
  </si>
  <si>
    <t>Plastic rectangle</t>
  </si>
  <si>
    <t>Ozawa table</t>
  </si>
  <si>
    <t>Diwan chairs</t>
  </si>
  <si>
    <t>White folding chairs</t>
  </si>
  <si>
    <t>Brown/Green folding chairs</t>
  </si>
  <si>
    <t>Average</t>
  </si>
  <si>
    <t>Trial 1</t>
  </si>
  <si>
    <t>Trail 2</t>
  </si>
  <si>
    <t>Trial 3</t>
  </si>
  <si>
    <t>Black Podium</t>
  </si>
  <si>
    <t>UofA Podium</t>
  </si>
  <si>
    <t>Width (ft)</t>
  </si>
  <si>
    <t>Length (ft)</t>
  </si>
  <si>
    <t>Diameter (ft)</t>
  </si>
  <si>
    <t>Object</t>
  </si>
  <si>
    <t>Height (ft)</t>
  </si>
  <si>
    <t>Diwan TV</t>
  </si>
  <si>
    <t>Projector Screen 1</t>
  </si>
  <si>
    <t>Projector Screen 2</t>
  </si>
  <si>
    <t>Ikoi-no-ba table</t>
  </si>
  <si>
    <t>Ikoi-no-ba chair</t>
  </si>
  <si>
    <t>Tents (white)</t>
  </si>
  <si>
    <t>Tents (brown)</t>
  </si>
  <si>
    <t>Bar Cart (white)</t>
  </si>
  <si>
    <t>Tent (large)</t>
  </si>
  <si>
    <t>Ice bin</t>
  </si>
  <si>
    <t>Speaker (tripod)</t>
  </si>
  <si>
    <t>Ozawa chair (incl. cushion)</t>
  </si>
  <si>
    <t>Bar Cart (wood)</t>
  </si>
  <si>
    <t>Stanchion (base)</t>
  </si>
  <si>
    <t>Speaker (without Tripod)</t>
  </si>
  <si>
    <t>Mic stand (base)</t>
  </si>
  <si>
    <t>Speaker (back, without Tripod)</t>
  </si>
  <si>
    <t>Speaker (front, without Tripod)</t>
  </si>
  <si>
    <t>Welcome Centre Table</t>
  </si>
  <si>
    <t>Wooden Arch</t>
  </si>
  <si>
    <t>Wooden arch</t>
  </si>
  <si>
    <t xml:space="preserve"> </t>
  </si>
  <si>
    <t>Size (ft)</t>
  </si>
  <si>
    <t>Size (px BARCINO)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</si>
</sst>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3"/>
  <sheetViews>
    <sheetView tabSelected="1" workbookViewId="0">
      <selection activeCell="G10" sqref="G10"/>
    </sheetView>
  </sheetViews>
  <sheetFormatPr defaultRowHeight="15" x14ac:dyDescent="0.25"/>
  <cols>
    <col min="1" max="1" width="25.42578125" style="3" customWidth="1"/>
    <col min="2" max="2" width="9.140625" style="2"/>
    <col min="3" max="3" width="9.140625" style="1"/>
    <col min="4" max="4" width="9.140625" style="4"/>
    <col min="5" max="5" width="9.140625" style="5"/>
    <col min="6" max="8" width="9.140625" style="1"/>
    <col min="9" max="9" width="25.28515625" style="3" customWidth="1"/>
    <col min="10" max="10" width="9.140625" style="2"/>
    <col min="11" max="11" width="9.140625" style="1"/>
    <col min="12" max="12" width="9.140625" style="4"/>
    <col min="13" max="13" width="9.140625" style="5"/>
    <col min="14" max="16384" width="9.140625" style="1"/>
  </cols>
  <sheetData>
    <row r="1" spans="1:13" x14ac:dyDescent="0.25">
      <c r="A1" s="3" t="s">
        <v>19</v>
      </c>
      <c r="B1" s="2" t="s">
        <v>11</v>
      </c>
      <c r="C1" s="1" t="s">
        <v>12</v>
      </c>
      <c r="D1" s="4" t="s">
        <v>13</v>
      </c>
      <c r="E1" s="5" t="s">
        <v>10</v>
      </c>
      <c r="F1" s="1" t="s">
        <v>43</v>
      </c>
      <c r="G1" s="1" t="s">
        <v>44</v>
      </c>
      <c r="I1" s="3" t="s">
        <v>19</v>
      </c>
      <c r="J1" s="2" t="s">
        <v>11</v>
      </c>
      <c r="K1" s="1" t="s">
        <v>12</v>
      </c>
      <c r="L1" s="4" t="s">
        <v>13</v>
      </c>
      <c r="M1" s="5" t="s">
        <v>10</v>
      </c>
    </row>
    <row r="2" spans="1:13" x14ac:dyDescent="0.25">
      <c r="A2" s="7" t="s">
        <v>18</v>
      </c>
      <c r="B2" s="8"/>
      <c r="C2" s="8"/>
      <c r="D2" s="8"/>
      <c r="E2" s="8"/>
      <c r="F2" s="9"/>
      <c r="I2" s="6" t="s">
        <v>18</v>
      </c>
      <c r="J2" s="6"/>
      <c r="K2" s="6"/>
      <c r="L2" s="6"/>
      <c r="M2" s="6"/>
    </row>
    <row r="3" spans="1:13" x14ac:dyDescent="0.25">
      <c r="A3" s="3" t="s">
        <v>0</v>
      </c>
      <c r="B3" s="2">
        <f>4+(11+7/8)/12</f>
        <v>4.989583333333333</v>
      </c>
      <c r="C3" s="1">
        <f>B3</f>
        <v>4.989583333333333</v>
      </c>
      <c r="D3" s="4">
        <f>C3</f>
        <v>4.989583333333333</v>
      </c>
      <c r="E3" s="5">
        <f>AVERAGE(B3:D3)</f>
        <v>4.989583333333333</v>
      </c>
      <c r="F3" s="1">
        <f>ROUND(E3,0.25)</f>
        <v>5</v>
      </c>
      <c r="G3" s="1">
        <f>F3*12*2</f>
        <v>120</v>
      </c>
      <c r="M3" s="5" t="e">
        <f>AVERAGE(J3:L3)</f>
        <v>#DIV/0!</v>
      </c>
    </row>
    <row r="4" spans="1:13" x14ac:dyDescent="0.25">
      <c r="A4" s="3" t="s">
        <v>1</v>
      </c>
      <c r="B4" s="2">
        <f>4+(11.5/12)</f>
        <v>4.958333333333333</v>
      </c>
      <c r="C4" s="1" t="s">
        <v>42</v>
      </c>
      <c r="D4" s="4">
        <f>59.5/12</f>
        <v>4.958333333333333</v>
      </c>
      <c r="E4" s="5">
        <f t="shared" ref="E4:E6" si="0">AVERAGE(B4:D4)</f>
        <v>4.958333333333333</v>
      </c>
      <c r="F4" s="1">
        <f t="shared" ref="F4:F8" si="1">ROUND(E4,0.25)</f>
        <v>5</v>
      </c>
      <c r="G4" s="1">
        <f t="shared" ref="G4:G63" si="2">F4*12*2</f>
        <v>120</v>
      </c>
      <c r="M4" s="5" t="e">
        <f t="shared" ref="M4:M8" si="3">AVERAGE(J4:L4)</f>
        <v>#DIV/0!</v>
      </c>
    </row>
    <row r="5" spans="1:13" x14ac:dyDescent="0.25">
      <c r="A5" s="3" t="s">
        <v>2</v>
      </c>
      <c r="B5" s="2">
        <v>3</v>
      </c>
      <c r="C5" s="1">
        <v>3</v>
      </c>
      <c r="D5" s="4">
        <f>(36.75/12)</f>
        <v>3.0625</v>
      </c>
      <c r="E5" s="5">
        <f t="shared" si="0"/>
        <v>3.0208333333333335</v>
      </c>
      <c r="F5" s="1">
        <f t="shared" si="1"/>
        <v>3</v>
      </c>
      <c r="G5" s="1">
        <f t="shared" si="2"/>
        <v>72</v>
      </c>
      <c r="M5" s="5" t="e">
        <f t="shared" si="3"/>
        <v>#DIV/0!</v>
      </c>
    </row>
    <row r="6" spans="1:13" x14ac:dyDescent="0.25">
      <c r="A6" s="3" t="s">
        <v>3</v>
      </c>
      <c r="B6" s="2">
        <v>2.5</v>
      </c>
      <c r="C6" s="1">
        <f>(30/12)</f>
        <v>2.5</v>
      </c>
      <c r="D6" s="4">
        <f>(29.75/12)</f>
        <v>2.4791666666666665</v>
      </c>
      <c r="E6" s="5">
        <f t="shared" si="0"/>
        <v>2.4930555555555554</v>
      </c>
      <c r="F6" s="1">
        <v>2.5</v>
      </c>
      <c r="G6" s="1">
        <f t="shared" si="2"/>
        <v>60</v>
      </c>
      <c r="M6" s="5" t="e">
        <f t="shared" si="3"/>
        <v>#DIV/0!</v>
      </c>
    </row>
    <row r="7" spans="1:13" x14ac:dyDescent="0.25">
      <c r="A7" s="3" t="s">
        <v>31</v>
      </c>
      <c r="E7" s="5" t="e">
        <f>AVERAGE(B7:D7)</f>
        <v>#DIV/0!</v>
      </c>
      <c r="F7" s="1" t="e">
        <f t="shared" si="1"/>
        <v>#DIV/0!</v>
      </c>
      <c r="G7" s="1" t="e">
        <f t="shared" si="2"/>
        <v>#DIV/0!</v>
      </c>
      <c r="M7" s="5" t="e">
        <f t="shared" si="3"/>
        <v>#DIV/0!</v>
      </c>
    </row>
    <row r="8" spans="1:13" x14ac:dyDescent="0.25">
      <c r="A8" s="3" t="s">
        <v>34</v>
      </c>
      <c r="B8" s="2">
        <f>1+1.5/12</f>
        <v>1.125</v>
      </c>
      <c r="C8" s="1">
        <f>1+1.75/12</f>
        <v>1.1458333333333333</v>
      </c>
      <c r="D8" s="4">
        <f>1+1.75/12</f>
        <v>1.1458333333333333</v>
      </c>
      <c r="E8" s="5">
        <f>AVERAGE(B8:D8)</f>
        <v>1.1388888888888886</v>
      </c>
      <c r="F8" s="1">
        <f t="shared" si="1"/>
        <v>1</v>
      </c>
      <c r="G8" s="1">
        <f t="shared" si="2"/>
        <v>24</v>
      </c>
      <c r="M8" s="5" t="e">
        <f t="shared" si="3"/>
        <v>#DIV/0!</v>
      </c>
    </row>
    <row r="9" spans="1:13" x14ac:dyDescent="0.25">
      <c r="A9" s="3" t="s">
        <v>36</v>
      </c>
      <c r="G9" s="1">
        <f t="shared" si="2"/>
        <v>0</v>
      </c>
      <c r="M9" s="5" t="e">
        <f>AVERAGE(J10:L10)</f>
        <v>#DIV/0!</v>
      </c>
    </row>
    <row r="11" spans="1:13" x14ac:dyDescent="0.25">
      <c r="A11" s="7" t="s">
        <v>17</v>
      </c>
      <c r="B11" s="8"/>
      <c r="C11" s="8"/>
      <c r="D11" s="8"/>
      <c r="E11" s="8"/>
      <c r="F11" s="9"/>
      <c r="I11" s="7" t="s">
        <v>17</v>
      </c>
      <c r="J11" s="8"/>
      <c r="K11" s="8"/>
      <c r="L11" s="8"/>
      <c r="M11" s="9"/>
    </row>
    <row r="12" spans="1:13" x14ac:dyDescent="0.25">
      <c r="A12" s="3" t="s">
        <v>4</v>
      </c>
      <c r="B12" s="2">
        <v>5.989583333333333</v>
      </c>
      <c r="C12" s="1">
        <v>6</v>
      </c>
      <c r="D12" s="4">
        <v>6</v>
      </c>
      <c r="E12" s="5">
        <f>AVERAGE(B12:D12)</f>
        <v>5.9965277777777777</v>
      </c>
      <c r="F12" s="1">
        <f>ROUND(E12,0)</f>
        <v>6</v>
      </c>
      <c r="G12" s="1">
        <f t="shared" si="2"/>
        <v>144</v>
      </c>
      <c r="M12" s="5" t="e">
        <f>AVERAGE(J12:L12)</f>
        <v>#DIV/0!</v>
      </c>
    </row>
    <row r="13" spans="1:13" x14ac:dyDescent="0.25">
      <c r="A13" s="3" t="s">
        <v>5</v>
      </c>
      <c r="B13" s="2">
        <f>5+11.5/12</f>
        <v>5.958333333333333</v>
      </c>
      <c r="C13" s="1">
        <f>5+11.5/12</f>
        <v>5.958333333333333</v>
      </c>
      <c r="D13" s="4">
        <f>5+11/12</f>
        <v>5.916666666666667</v>
      </c>
      <c r="E13" s="5">
        <f t="shared" ref="E13:E17" si="4">AVERAGE(B13:D13)</f>
        <v>5.9444444444444438</v>
      </c>
      <c r="F13" s="1">
        <f t="shared" ref="F13:F33" si="5">ROUND(E13,0)</f>
        <v>6</v>
      </c>
      <c r="G13" s="1">
        <f t="shared" si="2"/>
        <v>144</v>
      </c>
      <c r="M13" s="5" t="e">
        <f t="shared" ref="M13:M15" si="6">AVERAGE(J13:L13)</f>
        <v>#DIV/0!</v>
      </c>
    </row>
    <row r="14" spans="1:13" x14ac:dyDescent="0.25">
      <c r="A14" s="3" t="s">
        <v>6</v>
      </c>
      <c r="B14" s="2">
        <f>6+(2+7/8)/12</f>
        <v>6.239583333333333</v>
      </c>
      <c r="C14" s="1">
        <f>6+2/12</f>
        <v>6.166666666666667</v>
      </c>
      <c r="D14" s="4">
        <f>6+3/12</f>
        <v>6.25</v>
      </c>
      <c r="E14" s="5">
        <f t="shared" si="4"/>
        <v>6.21875</v>
      </c>
      <c r="F14" s="1">
        <v>6.25</v>
      </c>
      <c r="G14" s="1">
        <f t="shared" si="2"/>
        <v>150</v>
      </c>
      <c r="M14" s="5" t="e">
        <f t="shared" si="6"/>
        <v>#DIV/0!</v>
      </c>
    </row>
    <row r="15" spans="1:13" x14ac:dyDescent="0.25">
      <c r="A15" s="3" t="s">
        <v>24</v>
      </c>
      <c r="B15" s="2">
        <f>4+(11+7/8)/12</f>
        <v>4.989583333333333</v>
      </c>
      <c r="C15" s="1">
        <v>5</v>
      </c>
      <c r="D15" s="4">
        <v>5</v>
      </c>
      <c r="E15" s="5">
        <f t="shared" si="4"/>
        <v>4.9965277777777777</v>
      </c>
      <c r="F15" s="1">
        <f t="shared" si="5"/>
        <v>5</v>
      </c>
      <c r="G15" s="1">
        <f t="shared" si="2"/>
        <v>120</v>
      </c>
      <c r="M15" s="5" t="e">
        <f t="shared" si="6"/>
        <v>#DIV/0!</v>
      </c>
    </row>
    <row r="16" spans="1:13" x14ac:dyDescent="0.25">
      <c r="A16" s="3" t="s">
        <v>39</v>
      </c>
      <c r="B16" s="2">
        <f>60.5/12</f>
        <v>5.041666666666667</v>
      </c>
      <c r="C16" s="1">
        <f>60.5/12</f>
        <v>5.041666666666667</v>
      </c>
      <c r="D16" s="4">
        <f>60.5/12</f>
        <v>5.041666666666667</v>
      </c>
      <c r="E16" s="5">
        <f t="shared" ref="E16" si="7">AVERAGE(B16:D16)</f>
        <v>5.041666666666667</v>
      </c>
      <c r="F16" s="1">
        <f t="shared" ref="F16" si="8">ROUND(E16,0)</f>
        <v>5</v>
      </c>
      <c r="G16" s="1">
        <f t="shared" si="2"/>
        <v>120</v>
      </c>
    </row>
    <row r="17" spans="1:13" x14ac:dyDescent="0.25">
      <c r="A17" s="3" t="s">
        <v>7</v>
      </c>
      <c r="B17" s="2">
        <f>1+(6.5/12)</f>
        <v>1.5416666666666665</v>
      </c>
      <c r="C17" s="1">
        <f>1+(9.75/12)</f>
        <v>1.8125</v>
      </c>
      <c r="D17" s="4">
        <f>20/12</f>
        <v>1.6666666666666667</v>
      </c>
      <c r="E17" s="5">
        <f t="shared" si="4"/>
        <v>1.6736111111111109</v>
      </c>
      <c r="F17" s="1">
        <f t="shared" si="5"/>
        <v>2</v>
      </c>
      <c r="G17" s="1">
        <f t="shared" si="2"/>
        <v>48</v>
      </c>
      <c r="M17" s="5" t="e">
        <f>AVERAGE(J17:L17)</f>
        <v>#DIV/0!</v>
      </c>
    </row>
    <row r="18" spans="1:13" x14ac:dyDescent="0.25">
      <c r="A18" s="3" t="s">
        <v>8</v>
      </c>
      <c r="B18" s="2">
        <f>1+5.5/12</f>
        <v>1.4583333333333333</v>
      </c>
      <c r="C18" s="1">
        <f>1.5</f>
        <v>1.5</v>
      </c>
      <c r="D18" s="4">
        <f>18.5/12</f>
        <v>1.5416666666666667</v>
      </c>
      <c r="E18" s="5">
        <f t="shared" ref="E18:E27" si="9">AVERAGE(B18:D18)</f>
        <v>1.5</v>
      </c>
      <c r="F18" s="1">
        <v>1.5</v>
      </c>
      <c r="G18" s="1">
        <f t="shared" si="2"/>
        <v>36</v>
      </c>
      <c r="M18" s="5" t="e">
        <f t="shared" ref="M18:M20" si="10">AVERAGE(J18:L18)</f>
        <v>#DIV/0!</v>
      </c>
    </row>
    <row r="19" spans="1:13" x14ac:dyDescent="0.25">
      <c r="A19" s="3" t="s">
        <v>9</v>
      </c>
      <c r="B19" s="2">
        <f>1+7/12</f>
        <v>1.5833333333333335</v>
      </c>
      <c r="C19" s="1">
        <f>1+5/12</f>
        <v>1.4166666666666667</v>
      </c>
      <c r="D19" s="4">
        <f>18.5/12</f>
        <v>1.5416666666666667</v>
      </c>
      <c r="E19" s="5">
        <f t="shared" si="9"/>
        <v>1.5138888888888891</v>
      </c>
      <c r="F19" s="1">
        <v>1.5</v>
      </c>
      <c r="G19" s="1">
        <f t="shared" si="2"/>
        <v>36</v>
      </c>
      <c r="M19" s="5" t="e">
        <f t="shared" si="10"/>
        <v>#DIV/0!</v>
      </c>
    </row>
    <row r="20" spans="1:13" x14ac:dyDescent="0.25">
      <c r="A20" s="3" t="s">
        <v>25</v>
      </c>
      <c r="B20" s="2">
        <f>1+9.5/12</f>
        <v>1.7916666666666665</v>
      </c>
      <c r="C20" s="1">
        <f>1+9/12</f>
        <v>1.75</v>
      </c>
      <c r="D20" s="4">
        <f>19.5/12</f>
        <v>1.625</v>
      </c>
      <c r="E20" s="5">
        <f t="shared" si="9"/>
        <v>1.7222222222222221</v>
      </c>
      <c r="F20" s="1">
        <v>1.75</v>
      </c>
      <c r="G20" s="1">
        <f t="shared" si="2"/>
        <v>42</v>
      </c>
      <c r="M20" s="5" t="e">
        <f t="shared" si="10"/>
        <v>#DIV/0!</v>
      </c>
    </row>
    <row r="21" spans="1:13" x14ac:dyDescent="0.25">
      <c r="A21" s="3" t="s">
        <v>32</v>
      </c>
      <c r="B21" s="2">
        <v>2</v>
      </c>
      <c r="E21" s="5">
        <f t="shared" si="9"/>
        <v>2</v>
      </c>
      <c r="F21" s="1">
        <f t="shared" si="5"/>
        <v>2</v>
      </c>
      <c r="G21" s="1">
        <f t="shared" si="2"/>
        <v>48</v>
      </c>
    </row>
    <row r="22" spans="1:13" x14ac:dyDescent="0.25">
      <c r="A22" s="3" t="s">
        <v>14</v>
      </c>
      <c r="B22" s="2">
        <f>1+11.5/12</f>
        <v>1.9583333333333335</v>
      </c>
      <c r="C22" s="1">
        <f>1+11.5/12</f>
        <v>1.9583333333333335</v>
      </c>
      <c r="D22" s="4">
        <f>23.5/12</f>
        <v>1.9583333333333333</v>
      </c>
      <c r="E22" s="5">
        <f t="shared" si="9"/>
        <v>1.9583333333333333</v>
      </c>
      <c r="F22" s="1">
        <f t="shared" si="5"/>
        <v>2</v>
      </c>
      <c r="G22" s="1">
        <f t="shared" si="2"/>
        <v>48</v>
      </c>
      <c r="I22" s="7" t="s">
        <v>16</v>
      </c>
      <c r="J22" s="8"/>
      <c r="K22" s="8"/>
      <c r="L22" s="8"/>
      <c r="M22" s="9"/>
    </row>
    <row r="23" spans="1:13" x14ac:dyDescent="0.25">
      <c r="A23" s="3" t="s">
        <v>15</v>
      </c>
      <c r="B23" s="2">
        <f>2+0.75/12</f>
        <v>2.0625</v>
      </c>
      <c r="C23" s="1">
        <f>2+1/12</f>
        <v>2.0833333333333335</v>
      </c>
      <c r="D23" s="4">
        <f>2+0.75/12</f>
        <v>2.0625</v>
      </c>
      <c r="E23" s="5">
        <f t="shared" si="9"/>
        <v>2.0694444444444446</v>
      </c>
      <c r="F23" s="1">
        <f t="shared" si="5"/>
        <v>2</v>
      </c>
      <c r="G23" s="1">
        <f t="shared" si="2"/>
        <v>48</v>
      </c>
      <c r="M23" s="5" t="e">
        <f t="shared" ref="M23:M30" si="11">AVERAGE(J23:L23)</f>
        <v>#DIV/0!</v>
      </c>
    </row>
    <row r="24" spans="1:13" x14ac:dyDescent="0.25">
      <c r="A24" s="3" t="s">
        <v>35</v>
      </c>
      <c r="B24" s="2">
        <f>23/12</f>
        <v>1.9166666666666667</v>
      </c>
      <c r="C24" s="1">
        <f>22.5/12</f>
        <v>1.875</v>
      </c>
      <c r="D24" s="4">
        <f>23.5/12</f>
        <v>1.9583333333333333</v>
      </c>
      <c r="E24" s="5">
        <f t="shared" si="9"/>
        <v>1.9166666666666667</v>
      </c>
      <c r="F24" s="1">
        <f t="shared" si="5"/>
        <v>2</v>
      </c>
      <c r="G24" s="1">
        <f t="shared" si="2"/>
        <v>48</v>
      </c>
      <c r="M24" s="5" t="e">
        <f t="shared" si="11"/>
        <v>#DIV/0!</v>
      </c>
    </row>
    <row r="25" spans="1:13" x14ac:dyDescent="0.25">
      <c r="A25" s="3" t="s">
        <v>21</v>
      </c>
      <c r="B25" s="2">
        <f>5+11.75/12</f>
        <v>5.979166666666667</v>
      </c>
      <c r="C25" s="1">
        <f>5+11.75/12</f>
        <v>5.979166666666667</v>
      </c>
      <c r="D25" s="4">
        <f>6</f>
        <v>6</v>
      </c>
      <c r="E25" s="5">
        <f t="shared" si="9"/>
        <v>5.9861111111111116</v>
      </c>
      <c r="F25" s="1">
        <f t="shared" si="5"/>
        <v>6</v>
      </c>
      <c r="G25" s="1">
        <f t="shared" si="2"/>
        <v>144</v>
      </c>
      <c r="M25" s="5" t="e">
        <f t="shared" si="11"/>
        <v>#DIV/0!</v>
      </c>
    </row>
    <row r="26" spans="1:13" x14ac:dyDescent="0.25">
      <c r="A26" s="3" t="s">
        <v>22</v>
      </c>
      <c r="B26" s="2">
        <f>2+2/12</f>
        <v>2.1666666666666665</v>
      </c>
      <c r="C26" s="1">
        <f>2+2/12</f>
        <v>2.1666666666666665</v>
      </c>
      <c r="D26" s="4">
        <f>2+3/12</f>
        <v>2.25</v>
      </c>
      <c r="E26" s="5">
        <f t="shared" si="9"/>
        <v>2.1944444444444442</v>
      </c>
      <c r="F26" s="1">
        <f t="shared" si="5"/>
        <v>2</v>
      </c>
      <c r="G26" s="1">
        <f t="shared" si="2"/>
        <v>48</v>
      </c>
      <c r="M26" s="5" t="e">
        <f t="shared" si="11"/>
        <v>#DIV/0!</v>
      </c>
    </row>
    <row r="27" spans="1:13" x14ac:dyDescent="0.25">
      <c r="A27" s="3" t="s">
        <v>23</v>
      </c>
      <c r="B27" s="2">
        <f>3+4/12</f>
        <v>3.3333333333333335</v>
      </c>
      <c r="C27" s="1">
        <f>3+7/12</f>
        <v>3.5833333333333335</v>
      </c>
      <c r="D27" s="4">
        <f>3+7.5/12</f>
        <v>3.625</v>
      </c>
      <c r="E27" s="5">
        <f t="shared" si="9"/>
        <v>3.5138888888888893</v>
      </c>
      <c r="F27" s="1">
        <v>3.5</v>
      </c>
      <c r="G27" s="1">
        <f t="shared" si="2"/>
        <v>84</v>
      </c>
      <c r="M27" s="5" t="e">
        <f t="shared" si="11"/>
        <v>#DIV/0!</v>
      </c>
    </row>
    <row r="28" spans="1:13" x14ac:dyDescent="0.25">
      <c r="A28" s="3" t="s">
        <v>28</v>
      </c>
      <c r="B28" s="2">
        <f>4+11/12</f>
        <v>4.916666666666667</v>
      </c>
      <c r="C28" s="1">
        <f>4+11/12</f>
        <v>4.916666666666667</v>
      </c>
      <c r="D28" s="4">
        <f>4+11/12</f>
        <v>4.916666666666667</v>
      </c>
      <c r="E28" s="5">
        <f t="shared" ref="E28:E33" si="12">AVERAGE(B28:D28)</f>
        <v>4.916666666666667</v>
      </c>
      <c r="F28" s="1">
        <f t="shared" si="5"/>
        <v>5</v>
      </c>
      <c r="G28" s="1">
        <f t="shared" si="2"/>
        <v>120</v>
      </c>
      <c r="M28" s="5" t="e">
        <f t="shared" si="11"/>
        <v>#DIV/0!</v>
      </c>
    </row>
    <row r="29" spans="1:13" x14ac:dyDescent="0.25">
      <c r="A29" s="3" t="s">
        <v>33</v>
      </c>
      <c r="B29" s="2">
        <f>6+1.5/12</f>
        <v>6.125</v>
      </c>
      <c r="C29" s="1">
        <f>6+1.5/12</f>
        <v>6.125</v>
      </c>
      <c r="D29" s="4">
        <f>6+1.5/12</f>
        <v>6.125</v>
      </c>
      <c r="E29" s="5">
        <f t="shared" si="12"/>
        <v>6.125</v>
      </c>
      <c r="F29" s="1">
        <f t="shared" si="5"/>
        <v>6</v>
      </c>
      <c r="G29" s="1">
        <f t="shared" si="2"/>
        <v>144</v>
      </c>
      <c r="M29" s="5" t="e">
        <f t="shared" si="11"/>
        <v>#DIV/0!</v>
      </c>
    </row>
    <row r="30" spans="1:13" x14ac:dyDescent="0.25">
      <c r="A30" s="3" t="s">
        <v>26</v>
      </c>
      <c r="B30" s="2">
        <f>118.5/12</f>
        <v>9.875</v>
      </c>
      <c r="C30" s="1">
        <f>119/12</f>
        <v>9.9166666666666661</v>
      </c>
      <c r="D30" s="4">
        <f>118.5/12</f>
        <v>9.875</v>
      </c>
      <c r="E30" s="5">
        <f t="shared" si="12"/>
        <v>9.8888888888888875</v>
      </c>
      <c r="F30" s="1">
        <f t="shared" si="5"/>
        <v>10</v>
      </c>
      <c r="G30" s="1">
        <f t="shared" si="2"/>
        <v>240</v>
      </c>
      <c r="M30" s="5" t="e">
        <f t="shared" si="11"/>
        <v>#DIV/0!</v>
      </c>
    </row>
    <row r="31" spans="1:13" x14ac:dyDescent="0.25">
      <c r="A31" s="3" t="s">
        <v>27</v>
      </c>
      <c r="E31" s="5" t="e">
        <f t="shared" si="12"/>
        <v>#DIV/0!</v>
      </c>
      <c r="F31" s="1" t="e">
        <f t="shared" si="5"/>
        <v>#DIV/0!</v>
      </c>
      <c r="G31" s="1" t="e">
        <f t="shared" si="2"/>
        <v>#DIV/0!</v>
      </c>
    </row>
    <row r="32" spans="1:13" x14ac:dyDescent="0.25">
      <c r="A32" s="3" t="s">
        <v>29</v>
      </c>
      <c r="E32" s="5" t="e">
        <f t="shared" si="12"/>
        <v>#DIV/0!</v>
      </c>
      <c r="F32" s="1" t="e">
        <f t="shared" si="5"/>
        <v>#DIV/0!</v>
      </c>
      <c r="G32" s="1" t="e">
        <f t="shared" si="2"/>
        <v>#DIV/0!</v>
      </c>
      <c r="I32" s="7" t="s">
        <v>20</v>
      </c>
      <c r="J32" s="8"/>
      <c r="K32" s="8"/>
      <c r="L32" s="8"/>
      <c r="M32" s="9"/>
    </row>
    <row r="33" spans="1:13" x14ac:dyDescent="0.25">
      <c r="A33" s="3" t="s">
        <v>30</v>
      </c>
      <c r="B33" s="2">
        <v>2</v>
      </c>
      <c r="C33" s="1">
        <v>2</v>
      </c>
      <c r="D33" s="4">
        <v>2</v>
      </c>
      <c r="E33" s="5">
        <f t="shared" si="12"/>
        <v>2</v>
      </c>
      <c r="F33" s="1">
        <f t="shared" si="5"/>
        <v>2</v>
      </c>
      <c r="G33" s="1">
        <f t="shared" si="2"/>
        <v>48</v>
      </c>
      <c r="M33" s="5" t="e">
        <f>AVERAGE(J38:L38)</f>
        <v>#DIV/0!</v>
      </c>
    </row>
    <row r="34" spans="1:13" x14ac:dyDescent="0.25">
      <c r="A34" s="3" t="s">
        <v>41</v>
      </c>
      <c r="B34" s="2">
        <f>86/12</f>
        <v>7.166666666666667</v>
      </c>
      <c r="C34" s="1">
        <f>86.5/12</f>
        <v>7.208333333333333</v>
      </c>
      <c r="D34" s="4">
        <f>86/12</f>
        <v>7.166666666666667</v>
      </c>
      <c r="E34" s="5">
        <f t="shared" ref="E34" si="13">AVERAGE(B34:D34)</f>
        <v>7.1805555555555562</v>
      </c>
      <c r="F34" s="1">
        <f t="shared" ref="F34" si="14">ROUND(E34,0)</f>
        <v>7</v>
      </c>
      <c r="G34" s="1">
        <f t="shared" si="2"/>
        <v>168</v>
      </c>
    </row>
    <row r="35" spans="1:13" x14ac:dyDescent="0.25">
      <c r="M35" s="5" t="e">
        <f>AVERAGE(J42:L42)</f>
        <v>#DIV/0!</v>
      </c>
    </row>
    <row r="36" spans="1:13" x14ac:dyDescent="0.25">
      <c r="A36" s="7" t="s">
        <v>16</v>
      </c>
      <c r="B36" s="8"/>
      <c r="C36" s="8"/>
      <c r="D36" s="8"/>
      <c r="E36" s="8"/>
      <c r="F36" s="9"/>
      <c r="M36" s="5" t="e">
        <f>AVERAGE(J44:L44)</f>
        <v>#DIV/0!</v>
      </c>
    </row>
    <row r="37" spans="1:13" x14ac:dyDescent="0.25">
      <c r="A37" s="3" t="str">
        <f>A12</f>
        <v>Diwan rectangle</v>
      </c>
      <c r="B37" s="2">
        <v>3</v>
      </c>
      <c r="C37" s="1">
        <v>3</v>
      </c>
      <c r="D37" s="4">
        <v>3</v>
      </c>
      <c r="E37" s="5">
        <f>AVERAGE(B37:D37)</f>
        <v>3</v>
      </c>
      <c r="F37" s="1">
        <f t="shared" ref="F37:F58" si="15">ROUND(E37,0)</f>
        <v>3</v>
      </c>
      <c r="G37" s="1">
        <f t="shared" si="2"/>
        <v>72</v>
      </c>
      <c r="M37" s="5" t="e">
        <f>AVERAGE(J45:L45)</f>
        <v>#DIV/0!</v>
      </c>
    </row>
    <row r="38" spans="1:13" x14ac:dyDescent="0.25">
      <c r="A38" s="3" t="str">
        <f>A13</f>
        <v>Plastic rectangle</v>
      </c>
      <c r="B38" s="2">
        <f>2+5.5/12</f>
        <v>2.4583333333333335</v>
      </c>
      <c r="C38" s="1">
        <f>2+5.5/12</f>
        <v>2.4583333333333335</v>
      </c>
      <c r="D38" s="4">
        <f>29.5/12</f>
        <v>2.4583333333333335</v>
      </c>
      <c r="E38" s="5">
        <f t="shared" ref="E38:E59" si="16">AVERAGE(B38:D38)</f>
        <v>2.4583333333333335</v>
      </c>
      <c r="F38" s="1">
        <v>2.5</v>
      </c>
      <c r="G38" s="1">
        <f t="shared" si="2"/>
        <v>60</v>
      </c>
      <c r="M38" s="5" t="e">
        <f>AVERAGE(J47:L47)</f>
        <v>#DIV/0!</v>
      </c>
    </row>
    <row r="39" spans="1:13" x14ac:dyDescent="0.25">
      <c r="A39" s="3" t="str">
        <f>A14</f>
        <v>Ozawa table</v>
      </c>
      <c r="B39" s="2">
        <f>3+(4+3/8)/12</f>
        <v>3.3645833333333335</v>
      </c>
      <c r="C39" s="1">
        <f>3+(4.5/12)</f>
        <v>3.375</v>
      </c>
      <c r="D39" s="4">
        <f>3+4/12</f>
        <v>3.3333333333333335</v>
      </c>
      <c r="E39" s="5">
        <f t="shared" si="16"/>
        <v>3.3576388888888893</v>
      </c>
      <c r="F39" s="1">
        <f t="shared" si="15"/>
        <v>3</v>
      </c>
      <c r="G39" s="1">
        <f t="shared" si="2"/>
        <v>72</v>
      </c>
      <c r="M39" s="5" t="e">
        <f>AVERAGE(J45:L45)</f>
        <v>#DIV/0!</v>
      </c>
    </row>
    <row r="40" spans="1:13" x14ac:dyDescent="0.25">
      <c r="A40" s="3" t="str">
        <f>A15</f>
        <v>Ikoi-no-ba table</v>
      </c>
      <c r="B40" s="2">
        <f>2+(5+7/8)/12</f>
        <v>2.4895833333333335</v>
      </c>
      <c r="C40" s="1">
        <v>2.5</v>
      </c>
      <c r="D40" s="4">
        <f>2.5</f>
        <v>2.5</v>
      </c>
      <c r="E40" s="5">
        <f t="shared" si="16"/>
        <v>2.4965277777777781</v>
      </c>
      <c r="F40" s="1">
        <f t="shared" si="15"/>
        <v>2</v>
      </c>
      <c r="G40" s="1">
        <f t="shared" si="2"/>
        <v>48</v>
      </c>
      <c r="M40" s="5" t="e">
        <f>AVERAGE(J48:L48)</f>
        <v>#DIV/0!</v>
      </c>
    </row>
    <row r="41" spans="1:13" x14ac:dyDescent="0.25">
      <c r="A41" s="3" t="s">
        <v>39</v>
      </c>
      <c r="B41" s="2">
        <f>30/12</f>
        <v>2.5</v>
      </c>
      <c r="C41" s="1">
        <f>30/12</f>
        <v>2.5</v>
      </c>
      <c r="D41" s="4">
        <f>30/12</f>
        <v>2.5</v>
      </c>
      <c r="E41" s="5">
        <f t="shared" ref="E41" si="17">AVERAGE(B41:D41)</f>
        <v>2.5</v>
      </c>
      <c r="F41" s="1">
        <f t="shared" ref="F41" si="18">ROUND(E41,0)</f>
        <v>3</v>
      </c>
      <c r="G41" s="1">
        <f t="shared" si="2"/>
        <v>72</v>
      </c>
    </row>
    <row r="42" spans="1:13" x14ac:dyDescent="0.25">
      <c r="A42" s="3" t="str">
        <f t="shared" ref="A42:A48" si="19">A17</f>
        <v>Diwan chairs</v>
      </c>
      <c r="B42" s="2">
        <f>1+9.5/12</f>
        <v>1.7916666666666665</v>
      </c>
      <c r="C42" s="1">
        <f>1+9.75/12</f>
        <v>1.8125</v>
      </c>
      <c r="D42" s="4">
        <f>22/12</f>
        <v>1.8333333333333333</v>
      </c>
      <c r="E42" s="5">
        <f t="shared" si="16"/>
        <v>1.8125</v>
      </c>
      <c r="F42" s="1">
        <f t="shared" si="15"/>
        <v>2</v>
      </c>
      <c r="G42" s="1">
        <f t="shared" si="2"/>
        <v>48</v>
      </c>
      <c r="M42" s="5" t="e">
        <f>AVERAGE(J50:L50)</f>
        <v>#DIV/0!</v>
      </c>
    </row>
    <row r="43" spans="1:13" x14ac:dyDescent="0.25">
      <c r="A43" s="3" t="str">
        <f t="shared" si="19"/>
        <v>White folding chairs</v>
      </c>
      <c r="B43" s="2">
        <f>1+8/12</f>
        <v>1.6666666666666665</v>
      </c>
      <c r="C43" s="1">
        <f>1+7/12</f>
        <v>1.5833333333333335</v>
      </c>
      <c r="D43" s="4">
        <f>1+8/12</f>
        <v>1.6666666666666665</v>
      </c>
      <c r="E43" s="5">
        <f t="shared" si="16"/>
        <v>1.6388888888888886</v>
      </c>
      <c r="F43" s="1">
        <v>1.5</v>
      </c>
      <c r="G43" s="1">
        <f t="shared" si="2"/>
        <v>36</v>
      </c>
    </row>
    <row r="44" spans="1:13" x14ac:dyDescent="0.25">
      <c r="A44" s="3" t="str">
        <f t="shared" si="19"/>
        <v>Brown/Green folding chairs</v>
      </c>
      <c r="B44" s="2">
        <f>1+5.5/12</f>
        <v>1.4583333333333333</v>
      </c>
      <c r="C44" s="1">
        <f>1+5.5/12</f>
        <v>1.4583333333333333</v>
      </c>
      <c r="D44" s="4">
        <f>1+7.5/12</f>
        <v>1.625</v>
      </c>
      <c r="E44" s="5">
        <f t="shared" si="16"/>
        <v>1.5138888888888886</v>
      </c>
      <c r="F44" s="1">
        <v>1.5</v>
      </c>
      <c r="G44" s="1">
        <f t="shared" si="2"/>
        <v>36</v>
      </c>
    </row>
    <row r="45" spans="1:13" x14ac:dyDescent="0.25">
      <c r="A45" s="3" t="str">
        <f t="shared" si="19"/>
        <v>Ikoi-no-ba chair</v>
      </c>
      <c r="B45" s="2">
        <f>1+9/12</f>
        <v>1.75</v>
      </c>
      <c r="C45" s="1">
        <f>1+10/12</f>
        <v>1.8333333333333335</v>
      </c>
      <c r="D45" s="4">
        <f>21/12</f>
        <v>1.75</v>
      </c>
      <c r="E45" s="5">
        <f t="shared" si="16"/>
        <v>1.7777777777777779</v>
      </c>
      <c r="F45" s="1">
        <v>1.75</v>
      </c>
      <c r="G45" s="1">
        <f t="shared" si="2"/>
        <v>42</v>
      </c>
    </row>
    <row r="46" spans="1:13" x14ac:dyDescent="0.25">
      <c r="A46" s="3" t="str">
        <f t="shared" si="19"/>
        <v>Ozawa chair (incl. cushion)</v>
      </c>
      <c r="E46" s="5" t="e">
        <f t="shared" si="16"/>
        <v>#DIV/0!</v>
      </c>
      <c r="F46" s="1" t="e">
        <f t="shared" si="15"/>
        <v>#DIV/0!</v>
      </c>
      <c r="G46" s="1" t="e">
        <f t="shared" si="2"/>
        <v>#DIV/0!</v>
      </c>
    </row>
    <row r="47" spans="1:13" x14ac:dyDescent="0.25">
      <c r="A47" s="3" t="str">
        <f t="shared" si="19"/>
        <v>Black Podium</v>
      </c>
      <c r="B47" s="2">
        <f>1+2/12</f>
        <v>1.1666666666666667</v>
      </c>
      <c r="C47" s="1">
        <f>1+2.5/12</f>
        <v>1.2083333333333333</v>
      </c>
      <c r="D47" s="4">
        <f>14.5/12</f>
        <v>1.2083333333333333</v>
      </c>
      <c r="E47" s="5">
        <f t="shared" si="16"/>
        <v>1.1944444444444444</v>
      </c>
      <c r="F47" s="1">
        <f t="shared" si="15"/>
        <v>1</v>
      </c>
      <c r="G47" s="1">
        <f t="shared" si="2"/>
        <v>24</v>
      </c>
    </row>
    <row r="48" spans="1:13" x14ac:dyDescent="0.25">
      <c r="A48" s="3" t="str">
        <f t="shared" si="19"/>
        <v>UofA Podium</v>
      </c>
      <c r="B48" s="2">
        <f>2+5/12</f>
        <v>2.4166666666666665</v>
      </c>
      <c r="C48" s="1">
        <f>2+5/12</f>
        <v>2.4166666666666665</v>
      </c>
      <c r="D48" s="4">
        <f>2+5/12</f>
        <v>2.4166666666666665</v>
      </c>
      <c r="E48" s="5">
        <f t="shared" si="16"/>
        <v>2.4166666666666665</v>
      </c>
      <c r="F48" s="1">
        <v>2.5</v>
      </c>
      <c r="G48" s="1">
        <f t="shared" si="2"/>
        <v>60</v>
      </c>
    </row>
    <row r="49" spans="1:7" x14ac:dyDescent="0.25">
      <c r="A49" s="1" t="s">
        <v>38</v>
      </c>
      <c r="B49" s="2">
        <f>14.5/12</f>
        <v>1.2083333333333333</v>
      </c>
      <c r="C49" s="1">
        <f>15/12</f>
        <v>1.25</v>
      </c>
      <c r="D49" s="4">
        <f>14.5/12</f>
        <v>1.2083333333333333</v>
      </c>
      <c r="E49" s="5">
        <f t="shared" ref="E49" si="20">AVERAGE(B49:D49)</f>
        <v>1.2222222222222221</v>
      </c>
      <c r="F49" s="1">
        <f t="shared" si="15"/>
        <v>1</v>
      </c>
      <c r="G49" s="1">
        <f t="shared" si="2"/>
        <v>24</v>
      </c>
    </row>
    <row r="50" spans="1:7" x14ac:dyDescent="0.25">
      <c r="A50" s="1" t="s">
        <v>37</v>
      </c>
      <c r="B50" s="2">
        <f>6.5/12</f>
        <v>0.54166666666666663</v>
      </c>
      <c r="C50" s="1">
        <f>6.5/12</f>
        <v>0.54166666666666663</v>
      </c>
      <c r="D50" s="4">
        <f>6.5/12</f>
        <v>0.54166666666666663</v>
      </c>
      <c r="E50" s="5">
        <f t="shared" si="16"/>
        <v>0.54166666666666663</v>
      </c>
      <c r="F50" s="1">
        <v>0.5</v>
      </c>
      <c r="G50" s="1">
        <f t="shared" si="2"/>
        <v>12</v>
      </c>
    </row>
    <row r="51" spans="1:7" x14ac:dyDescent="0.25">
      <c r="A51" s="3" t="str">
        <f>A25</f>
        <v>Diwan TV</v>
      </c>
      <c r="B51" s="2">
        <f>2+10/12</f>
        <v>2.8333333333333335</v>
      </c>
      <c r="C51" s="1">
        <f>2+10/12</f>
        <v>2.8333333333333335</v>
      </c>
      <c r="D51" s="4">
        <f>34/12</f>
        <v>2.8333333333333335</v>
      </c>
      <c r="E51" s="5">
        <f t="shared" si="16"/>
        <v>2.8333333333333335</v>
      </c>
      <c r="F51" s="1">
        <f t="shared" si="15"/>
        <v>3</v>
      </c>
      <c r="G51" s="1">
        <f t="shared" si="2"/>
        <v>72</v>
      </c>
    </row>
    <row r="52" spans="1:7" x14ac:dyDescent="0.25">
      <c r="A52" s="3" t="str">
        <f>A26</f>
        <v>Projector Screen 1</v>
      </c>
      <c r="B52" s="2">
        <f>5+10/12</f>
        <v>5.833333333333333</v>
      </c>
      <c r="C52" s="1">
        <f>5+95/12</f>
        <v>12.916666666666668</v>
      </c>
      <c r="D52" s="4">
        <f>5+10/12</f>
        <v>5.833333333333333</v>
      </c>
      <c r="E52" s="5">
        <f t="shared" si="16"/>
        <v>8.1944444444444446</v>
      </c>
      <c r="F52" s="1">
        <f t="shared" si="15"/>
        <v>8</v>
      </c>
      <c r="G52" s="1">
        <f t="shared" si="2"/>
        <v>192</v>
      </c>
    </row>
    <row r="53" spans="1:7" x14ac:dyDescent="0.25">
      <c r="A53" s="3" t="str">
        <f t="shared" ref="A53:A59" si="21">A27</f>
        <v>Projector Screen 2</v>
      </c>
      <c r="B53" s="2">
        <f>5+2/12</f>
        <v>5.166666666666667</v>
      </c>
      <c r="C53" s="1">
        <f>5+2/12</f>
        <v>5.166666666666667</v>
      </c>
      <c r="D53" s="4">
        <f>5+2/12</f>
        <v>5.166666666666667</v>
      </c>
      <c r="E53" s="5">
        <f t="shared" si="16"/>
        <v>5.166666666666667</v>
      </c>
      <c r="F53" s="1">
        <f t="shared" si="15"/>
        <v>5</v>
      </c>
      <c r="G53" s="1">
        <f t="shared" si="2"/>
        <v>120</v>
      </c>
    </row>
    <row r="54" spans="1:7" x14ac:dyDescent="0.25">
      <c r="A54" s="3" t="str">
        <f t="shared" si="21"/>
        <v>Bar Cart (white)</v>
      </c>
      <c r="B54" s="2">
        <f>2+5/12</f>
        <v>2.4166666666666665</v>
      </c>
      <c r="C54" s="1">
        <f>2+4.75/12</f>
        <v>2.3958333333333335</v>
      </c>
      <c r="D54" s="4">
        <f>2+5/12</f>
        <v>2.4166666666666665</v>
      </c>
      <c r="E54" s="5">
        <f t="shared" si="16"/>
        <v>2.4097222222222219</v>
      </c>
      <c r="F54" s="1">
        <v>2.5</v>
      </c>
      <c r="G54" s="1">
        <f t="shared" si="2"/>
        <v>60</v>
      </c>
    </row>
    <row r="55" spans="1:7" x14ac:dyDescent="0.25">
      <c r="A55" s="3" t="str">
        <f t="shared" si="21"/>
        <v>Bar Cart (wood)</v>
      </c>
      <c r="B55" s="2">
        <f>1+9/12</f>
        <v>1.75</v>
      </c>
      <c r="C55" s="1">
        <f>1+9.5/12</f>
        <v>1.7916666666666665</v>
      </c>
      <c r="D55" s="4">
        <f>1+9.5/12</f>
        <v>1.7916666666666665</v>
      </c>
      <c r="E55" s="5">
        <f t="shared" si="16"/>
        <v>1.7777777777777777</v>
      </c>
      <c r="F55" s="1">
        <f t="shared" si="15"/>
        <v>2</v>
      </c>
      <c r="G55" s="1">
        <f t="shared" si="2"/>
        <v>48</v>
      </c>
    </row>
    <row r="56" spans="1:7" x14ac:dyDescent="0.25">
      <c r="A56" s="3" t="str">
        <f t="shared" si="21"/>
        <v>Tents (white)</v>
      </c>
      <c r="B56" s="2">
        <f>116/12</f>
        <v>9.6666666666666661</v>
      </c>
      <c r="C56" s="1">
        <f>116.5/12</f>
        <v>9.7083333333333339</v>
      </c>
      <c r="D56" s="4">
        <f>116/12</f>
        <v>9.6666666666666661</v>
      </c>
      <c r="E56" s="5">
        <f t="shared" si="16"/>
        <v>9.6805555555555554</v>
      </c>
      <c r="F56" s="1">
        <f t="shared" si="15"/>
        <v>10</v>
      </c>
      <c r="G56" s="1">
        <f t="shared" si="2"/>
        <v>240</v>
      </c>
    </row>
    <row r="57" spans="1:7" x14ac:dyDescent="0.25">
      <c r="A57" s="3" t="str">
        <f t="shared" si="21"/>
        <v>Tents (brown)</v>
      </c>
      <c r="E57" s="5" t="e">
        <f t="shared" si="16"/>
        <v>#DIV/0!</v>
      </c>
      <c r="F57" s="1" t="e">
        <f t="shared" si="15"/>
        <v>#DIV/0!</v>
      </c>
      <c r="G57" s="1" t="e">
        <f t="shared" si="2"/>
        <v>#DIV/0!</v>
      </c>
    </row>
    <row r="58" spans="1:7" x14ac:dyDescent="0.25">
      <c r="A58" s="3" t="str">
        <f t="shared" si="21"/>
        <v>Tent (large)</v>
      </c>
      <c r="E58" s="5" t="e">
        <f t="shared" si="16"/>
        <v>#DIV/0!</v>
      </c>
      <c r="F58" s="1" t="e">
        <f t="shared" si="15"/>
        <v>#DIV/0!</v>
      </c>
      <c r="G58" s="1" t="e">
        <f t="shared" si="2"/>
        <v>#DIV/0!</v>
      </c>
    </row>
    <row r="59" spans="1:7" x14ac:dyDescent="0.25">
      <c r="A59" s="3" t="str">
        <f t="shared" si="21"/>
        <v>Ice bin</v>
      </c>
      <c r="B59" s="2">
        <f>1+6/12</f>
        <v>1.5</v>
      </c>
      <c r="C59" s="1">
        <f>18/12</f>
        <v>1.5</v>
      </c>
      <c r="D59" s="4">
        <f>18/12</f>
        <v>1.5</v>
      </c>
      <c r="E59" s="5">
        <f t="shared" si="16"/>
        <v>1.5</v>
      </c>
      <c r="F59" s="1">
        <v>1.5</v>
      </c>
      <c r="G59" s="1">
        <f t="shared" si="2"/>
        <v>36</v>
      </c>
    </row>
    <row r="60" spans="1:7" x14ac:dyDescent="0.25">
      <c r="A60" s="3" t="s">
        <v>40</v>
      </c>
      <c r="B60" s="2">
        <f>42/12</f>
        <v>3.5</v>
      </c>
      <c r="C60" s="2">
        <f t="shared" ref="C60:D60" si="22">42/12</f>
        <v>3.5</v>
      </c>
      <c r="D60" s="2">
        <f t="shared" si="22"/>
        <v>3.5</v>
      </c>
      <c r="E60" s="5">
        <f t="shared" ref="E60" si="23">AVERAGE(B60:D60)</f>
        <v>3.5</v>
      </c>
      <c r="F60" s="1">
        <v>3.5</v>
      </c>
      <c r="G60" s="1">
        <f t="shared" si="2"/>
        <v>84</v>
      </c>
    </row>
    <row r="62" spans="1:7" x14ac:dyDescent="0.25">
      <c r="A62" s="7" t="s">
        <v>20</v>
      </c>
      <c r="B62" s="8"/>
      <c r="C62" s="8"/>
      <c r="D62" s="8"/>
      <c r="E62" s="8"/>
      <c r="F62" s="9"/>
    </row>
    <row r="63" spans="1:7" x14ac:dyDescent="0.25">
      <c r="A63" s="3" t="s">
        <v>40</v>
      </c>
      <c r="B63" s="2">
        <f>95.5/12</f>
        <v>7.958333333333333</v>
      </c>
      <c r="C63" s="1">
        <f>95/12</f>
        <v>7.916666666666667</v>
      </c>
      <c r="D63" s="4">
        <f>95/12</f>
        <v>7.916666666666667</v>
      </c>
      <c r="E63" s="5">
        <f t="shared" ref="E63" si="24">AVERAGE(B63:D63)</f>
        <v>7.9305555555555562</v>
      </c>
      <c r="F63" s="1">
        <f t="shared" ref="F63" si="25">ROUND(E63,0)</f>
        <v>8</v>
      </c>
      <c r="G63" s="1">
        <f t="shared" si="2"/>
        <v>192</v>
      </c>
    </row>
  </sheetData>
  <mergeCells count="8">
    <mergeCell ref="I2:M2"/>
    <mergeCell ref="A2:F2"/>
    <mergeCell ref="A11:F11"/>
    <mergeCell ref="A36:F36"/>
    <mergeCell ref="A62:F62"/>
    <mergeCell ref="I11:M11"/>
    <mergeCell ref="I22:M22"/>
    <mergeCell ref="I32:M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2024-12-24T19:38:51Z</dcterms:modified>
</cp:coreProperties>
</file>