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invenergy-my.sharepoint.com/personal/lthomas_invenergyllc_com/Documents/Personal/"/>
    </mc:Choice>
  </mc:AlternateContent>
  <xr:revisionPtr revIDLastSave="0" documentId="8_{D78B3A29-DC7F-4F03-A253-4539881059F0}" xr6:coauthVersionLast="47" xr6:coauthVersionMax="47" xr10:uidLastSave="{00000000-0000-0000-0000-000000000000}"/>
  <bookViews>
    <workbookView xWindow="-110" yWindow="-110" windowWidth="19420" windowHeight="10420" tabRatio="821" xr2:uid="{00000000-000D-0000-FFFF-FFFF00000000}"/>
  </bookViews>
  <sheets>
    <sheet name="Design Inputs" sheetId="11" r:id="rId1"/>
    <sheet name="Inventory" sheetId="9" r:id="rId2"/>
    <sheet name="Impacts" sheetId="12" r:id="rId3"/>
    <sheet name="Summary" sheetId="13" r:id="rId4"/>
    <sheet name="Embodied Water" sheetId="16" r:id="rId5"/>
    <sheet name="PNG Offsets" sheetId="15" r:id="rId6"/>
    <sheet name="Steam Offsets" sheetId="8" r:id="rId7"/>
    <sheet name="Spider" sheetId="4" r:id="rId8"/>
    <sheet name="Reference" sheetId="5" r:id="rId9"/>
    <sheet name="Strategies" sheetId="6" r:id="rId10"/>
    <sheet name="Chillers" sheetId="14" r:id="rId11"/>
  </sheets>
  <definedNames>
    <definedName name="Goals">Reference!$A$2:$A$15</definedName>
    <definedName name="Strategies">Strategies!$A$2:$A$15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1" l="1"/>
  <c r="I54" i="11"/>
  <c r="B47" i="12"/>
  <c r="B48" i="12"/>
  <c r="B49" i="12"/>
  <c r="B50" i="12"/>
  <c r="B51" i="12"/>
  <c r="B46" i="12"/>
  <c r="C44" i="11"/>
  <c r="E44" i="11"/>
  <c r="B7" i="12"/>
  <c r="D7" i="12"/>
  <c r="C45" i="11"/>
  <c r="E45" i="11"/>
  <c r="B8" i="12"/>
  <c r="D8" i="12"/>
  <c r="C46" i="11"/>
  <c r="E46" i="11"/>
  <c r="B9" i="12"/>
  <c r="D9" i="12"/>
  <c r="B13" i="16"/>
  <c r="C48" i="11"/>
  <c r="E48" i="11"/>
  <c r="B19" i="12"/>
  <c r="D19" i="12"/>
  <c r="C49" i="11"/>
  <c r="E49" i="11"/>
  <c r="B20" i="12"/>
  <c r="D20" i="12"/>
  <c r="C50" i="11"/>
  <c r="E50" i="11"/>
  <c r="B21" i="12"/>
  <c r="D21" i="12"/>
  <c r="B14" i="16"/>
  <c r="B15" i="16"/>
  <c r="C15" i="16"/>
  <c r="D15" i="16"/>
  <c r="C53" i="11"/>
  <c r="E53" i="11"/>
  <c r="B4" i="12"/>
  <c r="D4" i="12"/>
  <c r="C54" i="11"/>
  <c r="E54" i="11"/>
  <c r="B5" i="12"/>
  <c r="D5" i="12"/>
  <c r="C55" i="11"/>
  <c r="E55" i="11"/>
  <c r="B6" i="12"/>
  <c r="D6" i="12"/>
  <c r="B3" i="16"/>
  <c r="C57" i="11"/>
  <c r="E57" i="11"/>
  <c r="B16" i="12"/>
  <c r="D16" i="12"/>
  <c r="C58" i="11"/>
  <c r="E58" i="11"/>
  <c r="B17" i="12"/>
  <c r="D17" i="12"/>
  <c r="C59" i="11"/>
  <c r="E59" i="11"/>
  <c r="B18" i="12"/>
  <c r="D18" i="12"/>
  <c r="B4" i="16"/>
  <c r="B5" i="16"/>
  <c r="B29" i="12"/>
  <c r="D29" i="12"/>
  <c r="B6" i="16"/>
  <c r="I44" i="11"/>
  <c r="B34" i="12"/>
  <c r="D34" i="12"/>
  <c r="B7" i="16"/>
  <c r="D38" i="12"/>
  <c r="B8" i="16"/>
  <c r="B9" i="16"/>
  <c r="C9" i="16"/>
  <c r="D24" i="16"/>
  <c r="D25" i="16"/>
  <c r="C14" i="16"/>
  <c r="D14" i="16"/>
  <c r="C13" i="16"/>
  <c r="D13" i="16"/>
  <c r="C4" i="16"/>
  <c r="C5" i="16"/>
  <c r="C6" i="16"/>
  <c r="C7" i="16"/>
  <c r="C8" i="16"/>
  <c r="C3" i="16"/>
  <c r="B16" i="15"/>
  <c r="B18" i="15"/>
  <c r="B20" i="15"/>
  <c r="B56" i="12"/>
  <c r="D56" i="12"/>
  <c r="D56" i="9"/>
  <c r="G56" i="12"/>
  <c r="B58" i="12"/>
  <c r="D58" i="12"/>
  <c r="D58" i="9"/>
  <c r="G58" i="12"/>
  <c r="G72" i="12"/>
  <c r="B21" i="15"/>
  <c r="H2" i="15"/>
  <c r="C10" i="15"/>
  <c r="C11" i="15"/>
  <c r="H6" i="15"/>
  <c r="C13" i="15"/>
  <c r="B10" i="15"/>
  <c r="B11" i="15"/>
  <c r="B13" i="15"/>
  <c r="C12" i="15"/>
  <c r="B12" i="15"/>
  <c r="H7" i="15"/>
  <c r="H5" i="15"/>
  <c r="H4" i="15"/>
  <c r="H3" i="15"/>
  <c r="I49" i="11"/>
  <c r="B57" i="12"/>
  <c r="D49" i="12"/>
  <c r="I49" i="12"/>
  <c r="D57" i="12"/>
  <c r="B2" i="6"/>
  <c r="C34" i="13"/>
  <c r="G4" i="12"/>
  <c r="G5" i="12"/>
  <c r="G6" i="12"/>
  <c r="G7" i="12"/>
  <c r="G8" i="12"/>
  <c r="G9" i="12"/>
  <c r="G10" i="12"/>
  <c r="G11" i="12"/>
  <c r="D12" i="12"/>
  <c r="G12" i="12"/>
  <c r="D46" i="12"/>
  <c r="B13" i="12"/>
  <c r="D13" i="12"/>
  <c r="G13" i="12"/>
  <c r="B14" i="12"/>
  <c r="D14" i="12"/>
  <c r="G14" i="12"/>
  <c r="G16" i="12"/>
  <c r="G17" i="12"/>
  <c r="G18" i="12"/>
  <c r="G19" i="12"/>
  <c r="G20" i="12"/>
  <c r="G21" i="12"/>
  <c r="G22" i="12"/>
  <c r="G23" i="12"/>
  <c r="D24" i="12"/>
  <c r="G24" i="12"/>
  <c r="B25" i="12"/>
  <c r="D25" i="12"/>
  <c r="G25" i="12"/>
  <c r="B26" i="12"/>
  <c r="D26" i="12"/>
  <c r="G26" i="12"/>
  <c r="B28" i="12"/>
  <c r="D28" i="12"/>
  <c r="G28" i="12"/>
  <c r="G29" i="12"/>
  <c r="B30" i="12"/>
  <c r="D30" i="12"/>
  <c r="G30" i="12"/>
  <c r="B31" i="12"/>
  <c r="D31" i="12"/>
  <c r="G31" i="12"/>
  <c r="I47" i="11"/>
  <c r="B33" i="12"/>
  <c r="D33" i="12"/>
  <c r="G33" i="12"/>
  <c r="G34" i="12"/>
  <c r="I46" i="11"/>
  <c r="B35" i="12"/>
  <c r="D35" i="12"/>
  <c r="G35" i="12"/>
  <c r="I45" i="11"/>
  <c r="B36" i="12"/>
  <c r="D36" i="12"/>
  <c r="G36" i="12"/>
  <c r="D39" i="12"/>
  <c r="G39" i="12"/>
  <c r="C32" i="13"/>
  <c r="B42" i="12"/>
  <c r="D42" i="12"/>
  <c r="G42" i="12"/>
  <c r="B43" i="12"/>
  <c r="D43" i="12"/>
  <c r="G43" i="12"/>
  <c r="D44" i="12"/>
  <c r="G44" i="12"/>
  <c r="G46" i="12"/>
  <c r="D47" i="12"/>
  <c r="G47" i="12"/>
  <c r="D48" i="12"/>
  <c r="G48" i="12"/>
  <c r="G49" i="12"/>
  <c r="D50" i="12"/>
  <c r="G50" i="12"/>
  <c r="D51" i="12"/>
  <c r="G51" i="12"/>
  <c r="D53" i="12"/>
  <c r="G53" i="12"/>
  <c r="C33" i="13"/>
  <c r="G62" i="12"/>
  <c r="G63" i="12"/>
  <c r="D64" i="12"/>
  <c r="G64" i="12"/>
  <c r="D65" i="12"/>
  <c r="G65" i="12"/>
  <c r="D66" i="12"/>
  <c r="G66" i="12"/>
  <c r="D67" i="12"/>
  <c r="G67" i="12"/>
  <c r="C35" i="13"/>
  <c r="C36" i="13"/>
  <c r="H4" i="12"/>
  <c r="H5" i="12"/>
  <c r="H6" i="12"/>
  <c r="H7" i="12"/>
  <c r="H8" i="12"/>
  <c r="H9" i="12"/>
  <c r="H10" i="12"/>
  <c r="H11" i="12"/>
  <c r="H12" i="12"/>
  <c r="H13" i="12"/>
  <c r="H14" i="12"/>
  <c r="H16" i="12"/>
  <c r="H17" i="12"/>
  <c r="H18" i="12"/>
  <c r="H19" i="12"/>
  <c r="H20" i="12"/>
  <c r="H21" i="12"/>
  <c r="H22" i="12"/>
  <c r="H23" i="12"/>
  <c r="H24" i="12"/>
  <c r="H25" i="12"/>
  <c r="H26" i="12"/>
  <c r="H28" i="12"/>
  <c r="H29" i="12"/>
  <c r="H30" i="12"/>
  <c r="H31" i="12"/>
  <c r="H33" i="12"/>
  <c r="H34" i="12"/>
  <c r="H35" i="12"/>
  <c r="H36" i="12"/>
  <c r="H39" i="12"/>
  <c r="D32" i="13"/>
  <c r="H42" i="12"/>
  <c r="H43" i="12"/>
  <c r="H44" i="12"/>
  <c r="H46" i="12"/>
  <c r="H47" i="12"/>
  <c r="H48" i="12"/>
  <c r="H49" i="12"/>
  <c r="H50" i="12"/>
  <c r="H51" i="12"/>
  <c r="H53" i="12"/>
  <c r="D33" i="13"/>
  <c r="D34" i="13"/>
  <c r="H62" i="12"/>
  <c r="H63" i="12"/>
  <c r="H64" i="12"/>
  <c r="H65" i="12"/>
  <c r="H66" i="12"/>
  <c r="H67" i="12"/>
  <c r="D35" i="13"/>
  <c r="D36" i="13"/>
  <c r="I4" i="12"/>
  <c r="I5" i="12"/>
  <c r="I6" i="12"/>
  <c r="I7" i="12"/>
  <c r="I8" i="12"/>
  <c r="I9" i="12"/>
  <c r="I10" i="12"/>
  <c r="I11" i="12"/>
  <c r="I12" i="12"/>
  <c r="I13" i="12"/>
  <c r="I14" i="12"/>
  <c r="I16" i="12"/>
  <c r="I17" i="12"/>
  <c r="I18" i="12"/>
  <c r="I19" i="12"/>
  <c r="I20" i="12"/>
  <c r="I21" i="12"/>
  <c r="I22" i="12"/>
  <c r="I23" i="12"/>
  <c r="I24" i="12"/>
  <c r="I25" i="12"/>
  <c r="I26" i="12"/>
  <c r="I28" i="12"/>
  <c r="I29" i="12"/>
  <c r="I30" i="12"/>
  <c r="I31" i="12"/>
  <c r="I33" i="12"/>
  <c r="I34" i="12"/>
  <c r="I35" i="12"/>
  <c r="I36" i="12"/>
  <c r="I39" i="12"/>
  <c r="E32" i="13"/>
  <c r="I42" i="12"/>
  <c r="I43" i="12"/>
  <c r="I44" i="12"/>
  <c r="I46" i="12"/>
  <c r="I47" i="12"/>
  <c r="I48" i="12"/>
  <c r="I50" i="12"/>
  <c r="I51" i="12"/>
  <c r="I53" i="12"/>
  <c r="E33" i="13"/>
  <c r="E34" i="13"/>
  <c r="I62" i="12"/>
  <c r="I63" i="12"/>
  <c r="I64" i="12"/>
  <c r="I65" i="12"/>
  <c r="I66" i="12"/>
  <c r="I67" i="12"/>
  <c r="E35" i="13"/>
  <c r="E36" i="13"/>
  <c r="J4" i="12"/>
  <c r="J5" i="12"/>
  <c r="J6" i="12"/>
  <c r="J7" i="12"/>
  <c r="J8" i="12"/>
  <c r="J9" i="12"/>
  <c r="J10" i="12"/>
  <c r="J11" i="12"/>
  <c r="J12" i="12"/>
  <c r="J13" i="12"/>
  <c r="J14" i="12"/>
  <c r="J16" i="12"/>
  <c r="J17" i="12"/>
  <c r="J18" i="12"/>
  <c r="J19" i="12"/>
  <c r="J20" i="12"/>
  <c r="J21" i="12"/>
  <c r="J22" i="12"/>
  <c r="J23" i="12"/>
  <c r="J24" i="12"/>
  <c r="J25" i="12"/>
  <c r="J26" i="12"/>
  <c r="J28" i="12"/>
  <c r="J29" i="12"/>
  <c r="J30" i="12"/>
  <c r="J31" i="12"/>
  <c r="J33" i="12"/>
  <c r="J34" i="12"/>
  <c r="J35" i="12"/>
  <c r="J36" i="12"/>
  <c r="J39" i="12"/>
  <c r="F32" i="13"/>
  <c r="J42" i="12"/>
  <c r="J43" i="12"/>
  <c r="J44" i="12"/>
  <c r="J46" i="12"/>
  <c r="J47" i="12"/>
  <c r="J48" i="12"/>
  <c r="J49" i="12"/>
  <c r="J50" i="12"/>
  <c r="J51" i="12"/>
  <c r="J53" i="12"/>
  <c r="F33" i="13"/>
  <c r="F34" i="13"/>
  <c r="J62" i="12"/>
  <c r="J63" i="12"/>
  <c r="J64" i="12"/>
  <c r="J65" i="12"/>
  <c r="J66" i="12"/>
  <c r="J67" i="12"/>
  <c r="F35" i="13"/>
  <c r="F36" i="13"/>
  <c r="K4" i="12"/>
  <c r="K5" i="12"/>
  <c r="K6" i="12"/>
  <c r="K7" i="12"/>
  <c r="K8" i="12"/>
  <c r="K9" i="12"/>
  <c r="K10" i="12"/>
  <c r="K11" i="12"/>
  <c r="K12" i="12"/>
  <c r="K13" i="12"/>
  <c r="K14" i="12"/>
  <c r="K16" i="12"/>
  <c r="K17" i="12"/>
  <c r="K18" i="12"/>
  <c r="K19" i="12"/>
  <c r="K20" i="12"/>
  <c r="K21" i="12"/>
  <c r="K22" i="12"/>
  <c r="K23" i="12"/>
  <c r="K24" i="12"/>
  <c r="K25" i="12"/>
  <c r="K26" i="12"/>
  <c r="K28" i="12"/>
  <c r="K29" i="12"/>
  <c r="K30" i="12"/>
  <c r="K31" i="12"/>
  <c r="K33" i="12"/>
  <c r="K34" i="12"/>
  <c r="K35" i="12"/>
  <c r="K36" i="12"/>
  <c r="K39" i="12"/>
  <c r="G32" i="13"/>
  <c r="K42" i="12"/>
  <c r="K43" i="12"/>
  <c r="K44" i="12"/>
  <c r="K46" i="12"/>
  <c r="K47" i="12"/>
  <c r="K48" i="12"/>
  <c r="K49" i="12"/>
  <c r="K50" i="12"/>
  <c r="K51" i="12"/>
  <c r="K53" i="12"/>
  <c r="G33" i="13"/>
  <c r="G34" i="13"/>
  <c r="K62" i="12"/>
  <c r="K63" i="12"/>
  <c r="K64" i="12"/>
  <c r="K65" i="12"/>
  <c r="K66" i="12"/>
  <c r="K67" i="12"/>
  <c r="G35" i="13"/>
  <c r="G36" i="13"/>
  <c r="F4" i="12"/>
  <c r="F5" i="12"/>
  <c r="F6" i="12"/>
  <c r="F7" i="12"/>
  <c r="F8" i="12"/>
  <c r="F9" i="12"/>
  <c r="F10" i="12"/>
  <c r="F11" i="12"/>
  <c r="F12" i="12"/>
  <c r="F13" i="12"/>
  <c r="F14" i="12"/>
  <c r="F16" i="12"/>
  <c r="F17" i="12"/>
  <c r="F18" i="12"/>
  <c r="F19" i="12"/>
  <c r="F20" i="12"/>
  <c r="F21" i="12"/>
  <c r="F22" i="12"/>
  <c r="F23" i="12"/>
  <c r="F24" i="12"/>
  <c r="F25" i="12"/>
  <c r="F26" i="12"/>
  <c r="F28" i="12"/>
  <c r="F29" i="12"/>
  <c r="F30" i="12"/>
  <c r="F31" i="12"/>
  <c r="F33" i="12"/>
  <c r="F34" i="12"/>
  <c r="F35" i="12"/>
  <c r="F36" i="12"/>
  <c r="F39" i="12"/>
  <c r="B32" i="13"/>
  <c r="F42" i="12"/>
  <c r="F43" i="12"/>
  <c r="F44" i="12"/>
  <c r="F46" i="12"/>
  <c r="F47" i="12"/>
  <c r="F48" i="12"/>
  <c r="F49" i="12"/>
  <c r="F50" i="12"/>
  <c r="F51" i="12"/>
  <c r="F53" i="12"/>
  <c r="B33" i="13"/>
  <c r="B34" i="13"/>
  <c r="F62" i="12"/>
  <c r="F63" i="12"/>
  <c r="F64" i="12"/>
  <c r="F65" i="12"/>
  <c r="F66" i="12"/>
  <c r="F67" i="12"/>
  <c r="B35" i="13"/>
  <c r="B36" i="13"/>
  <c r="B10" i="8"/>
  <c r="B11" i="8"/>
  <c r="F2" i="6"/>
  <c r="C9" i="4"/>
  <c r="B17" i="8"/>
  <c r="B26" i="8"/>
  <c r="B27" i="8"/>
  <c r="H2" i="8"/>
  <c r="B30" i="8"/>
  <c r="B31" i="8"/>
  <c r="B32" i="8"/>
  <c r="G38" i="12"/>
  <c r="G70" i="12"/>
  <c r="F38" i="12"/>
  <c r="F70" i="12"/>
  <c r="K38" i="12"/>
  <c r="K70" i="12"/>
  <c r="J38" i="12"/>
  <c r="J70" i="12"/>
  <c r="H38" i="12"/>
  <c r="H70" i="12"/>
  <c r="I38" i="12"/>
  <c r="B20" i="8"/>
  <c r="B21" i="8"/>
  <c r="B22" i="8"/>
  <c r="F3" i="5"/>
  <c r="F2" i="5"/>
  <c r="B9" i="4"/>
  <c r="D9" i="4"/>
  <c r="B2" i="5"/>
  <c r="C2" i="5"/>
  <c r="D2" i="6"/>
  <c r="C7" i="4"/>
  <c r="D2" i="5"/>
  <c r="B7" i="4"/>
  <c r="D7" i="4"/>
  <c r="D57" i="9"/>
  <c r="C2" i="6"/>
  <c r="I70" i="12"/>
  <c r="C10" i="8"/>
  <c r="C11" i="8"/>
  <c r="H6" i="8"/>
  <c r="C13" i="8"/>
  <c r="B13" i="8"/>
  <c r="C12" i="8"/>
  <c r="B12" i="8"/>
  <c r="H7" i="8"/>
  <c r="H5" i="8"/>
  <c r="H4" i="8"/>
  <c r="H3" i="8"/>
  <c r="C61" i="11"/>
  <c r="E61" i="11"/>
  <c r="B10" i="12"/>
  <c r="B11" i="12"/>
  <c r="C63" i="11"/>
  <c r="E63" i="11"/>
  <c r="B22" i="12"/>
  <c r="C63" i="13"/>
  <c r="D63" i="13"/>
  <c r="E63" i="13"/>
  <c r="F63" i="13"/>
  <c r="G63" i="13"/>
  <c r="B63" i="13"/>
  <c r="C62" i="13"/>
  <c r="D62" i="13"/>
  <c r="E62" i="13"/>
  <c r="F62" i="13"/>
  <c r="G62" i="13"/>
  <c r="B62" i="13"/>
  <c r="C61" i="13"/>
  <c r="D61" i="13"/>
  <c r="E61" i="13"/>
  <c r="F61" i="13"/>
  <c r="G61" i="13"/>
  <c r="B61" i="13"/>
  <c r="C60" i="13"/>
  <c r="D60" i="13"/>
  <c r="E60" i="13"/>
  <c r="F60" i="13"/>
  <c r="G60" i="13"/>
  <c r="B60" i="13"/>
  <c r="C35" i="12"/>
  <c r="C36" i="12"/>
  <c r="C34" i="12"/>
  <c r="C33" i="12"/>
  <c r="I48" i="11"/>
  <c r="I43" i="11"/>
  <c r="C60" i="11"/>
  <c r="D6" i="13"/>
  <c r="C6" i="13"/>
  <c r="G6" i="13"/>
  <c r="C7" i="13"/>
  <c r="F6" i="13"/>
  <c r="B6" i="13"/>
  <c r="E6" i="13"/>
  <c r="F5" i="13"/>
  <c r="E5" i="13"/>
  <c r="B5" i="13"/>
  <c r="D5" i="13"/>
  <c r="F4" i="13"/>
  <c r="G5" i="13"/>
  <c r="C5" i="13"/>
  <c r="B4" i="13"/>
  <c r="E4" i="13"/>
  <c r="D4" i="13"/>
  <c r="G4" i="13"/>
  <c r="C4" i="13"/>
  <c r="F7" i="13"/>
  <c r="E7" i="13"/>
  <c r="B7" i="13"/>
  <c r="D7" i="13"/>
  <c r="G7" i="13"/>
  <c r="E2" i="5"/>
  <c r="B8" i="4"/>
  <c r="C22" i="12"/>
  <c r="C20" i="12"/>
  <c r="C21" i="12"/>
  <c r="C19" i="12"/>
  <c r="C17" i="12"/>
  <c r="C18" i="12"/>
  <c r="C16" i="12"/>
  <c r="C10" i="12"/>
  <c r="C8" i="12"/>
  <c r="C9" i="12"/>
  <c r="C7" i="12"/>
  <c r="C5" i="12"/>
  <c r="C6" i="12"/>
  <c r="C4" i="12"/>
  <c r="I57" i="11"/>
  <c r="I56" i="11"/>
  <c r="C5" i="4"/>
  <c r="B6" i="4"/>
  <c r="B5" i="4"/>
  <c r="C47" i="11"/>
  <c r="E47" i="11"/>
  <c r="C43" i="11"/>
  <c r="E43" i="11"/>
  <c r="C56" i="11"/>
  <c r="E56" i="11"/>
  <c r="C52" i="11"/>
  <c r="E52" i="11"/>
  <c r="E60" i="11"/>
  <c r="E7" i="4"/>
  <c r="B23" i="12"/>
  <c r="D5" i="4"/>
  <c r="E5" i="4"/>
  <c r="D2" i="13"/>
  <c r="E2" i="13"/>
  <c r="G2" i="13"/>
  <c r="B2" i="13"/>
  <c r="C2" i="13"/>
  <c r="F3" i="13"/>
  <c r="F2" i="13"/>
  <c r="E2" i="6"/>
  <c r="C8" i="4"/>
  <c r="D8" i="4"/>
  <c r="E8" i="4"/>
  <c r="D3" i="13"/>
  <c r="C3" i="13"/>
  <c r="E3" i="13"/>
  <c r="B3" i="13"/>
  <c r="E9" i="4"/>
  <c r="C6" i="4"/>
  <c r="D6" i="4"/>
  <c r="E6" i="4"/>
  <c r="G3" i="13"/>
</calcChain>
</file>

<file path=xl/sharedStrings.xml><?xml version="1.0" encoding="utf-8"?>
<sst xmlns="http://schemas.openxmlformats.org/spreadsheetml/2006/main" count="937" uniqueCount="328">
  <si>
    <t>Well Inputs</t>
  </si>
  <si>
    <t>Drill Rig Inputs</t>
  </si>
  <si>
    <t>Chiller Inputs</t>
  </si>
  <si>
    <t>Injection Well</t>
  </si>
  <si>
    <t>Value</t>
  </si>
  <si>
    <t>Unit</t>
  </si>
  <si>
    <t>Engine</t>
  </si>
  <si>
    <t>Input</t>
  </si>
  <si>
    <t>Surface Casing Length</t>
  </si>
  <si>
    <t>ft</t>
  </si>
  <si>
    <t>Power</t>
  </si>
  <si>
    <t>hp</t>
  </si>
  <si>
    <t>Scheme</t>
  </si>
  <si>
    <t>Electric water-cooled chiller for cooling</t>
  </si>
  <si>
    <t>[-]</t>
  </si>
  <si>
    <t>Surface Casing Diameter (Label 1)</t>
  </si>
  <si>
    <t>in</t>
  </si>
  <si>
    <t>Fuel Consumption</t>
  </si>
  <si>
    <t>gal/hp/hr</t>
  </si>
  <si>
    <t>Model</t>
  </si>
  <si>
    <t>CVGF 500-430-1030-31-T700A-T700A</t>
  </si>
  <si>
    <t>Surface Hole Diameter</t>
  </si>
  <si>
    <t>Capacity</t>
  </si>
  <si>
    <t>%</t>
  </si>
  <si>
    <t>COP</t>
  </si>
  <si>
    <t>Surface Casing Specified Mass (Label 2)</t>
  </si>
  <si>
    <t>#/ft</t>
  </si>
  <si>
    <t>Operation Length</t>
  </si>
  <si>
    <t>days</t>
  </si>
  <si>
    <t>Surface Casing Thickness</t>
  </si>
  <si>
    <t>mm</t>
  </si>
  <si>
    <t>Submersible Pump</t>
  </si>
  <si>
    <t>Int. Casing Length</t>
  </si>
  <si>
    <t>Operation Equipment Inputs</t>
  </si>
  <si>
    <t>Materials</t>
  </si>
  <si>
    <t>Int. Casing Diameter (Label 1)</t>
  </si>
  <si>
    <t>Trenching</t>
  </si>
  <si>
    <t>Copper Wire</t>
  </si>
  <si>
    <t>kg</t>
  </si>
  <si>
    <t>Int. Hole Diameter</t>
  </si>
  <si>
    <t>Length</t>
  </si>
  <si>
    <t>Steel</t>
  </si>
  <si>
    <t>Int. Casing Specified Mass (Label 2)</t>
  </si>
  <si>
    <t>Width</t>
  </si>
  <si>
    <t>Lead</t>
  </si>
  <si>
    <t>Int. Casing Thickness</t>
  </si>
  <si>
    <t>Depth</t>
  </si>
  <si>
    <t>Lubricant Oil</t>
  </si>
  <si>
    <t>L</t>
  </si>
  <si>
    <t>Prod. Casing Length</t>
  </si>
  <si>
    <t>Connection</t>
  </si>
  <si>
    <t>HDPE</t>
  </si>
  <si>
    <t>Prod. Casing Diameter (Label 1)</t>
  </si>
  <si>
    <t>Material</t>
  </si>
  <si>
    <t>Central Heating &amp; Surface Components</t>
  </si>
  <si>
    <t>Prod. Hole Diameter</t>
  </si>
  <si>
    <t>Prod. Casing Specified Mass (Label 2)</t>
  </si>
  <si>
    <t>Inner Diameter</t>
  </si>
  <si>
    <t>Heat Exchanger</t>
  </si>
  <si>
    <t>kWh/hr</t>
  </si>
  <si>
    <t>Prod. Casing Thickness</t>
  </si>
  <si>
    <t>Outer Diameter</t>
  </si>
  <si>
    <t>m</t>
  </si>
  <si>
    <t>Injection Tubing Length</t>
  </si>
  <si>
    <t>Heat Pump</t>
  </si>
  <si>
    <t>kW</t>
  </si>
  <si>
    <t>Injection Tubing Diameter</t>
  </si>
  <si>
    <t>Production Well</t>
  </si>
  <si>
    <t>Long String Length</t>
  </si>
  <si>
    <t>Long String Diameter (Label 1)</t>
  </si>
  <si>
    <t>Long String Hole Diameter</t>
  </si>
  <si>
    <t>Long String Specified Mass (Label 2)</t>
  </si>
  <si>
    <t>Long String Thickness</t>
  </si>
  <si>
    <t>Production Tubing Length</t>
  </si>
  <si>
    <t>Production Tubing Diameter</t>
  </si>
  <si>
    <t>Well Material Calculations</t>
  </si>
  <si>
    <t>Chiller Material Calculations</t>
  </si>
  <si>
    <t>Concrete</t>
  </si>
  <si>
    <t>Injection Well Total</t>
  </si>
  <si>
    <r>
      <t>ft</t>
    </r>
    <r>
      <rPr>
        <vertAlign val="superscript"/>
        <sz val="10"/>
        <color theme="1"/>
        <rFont val="Calibri"/>
        <family val="2"/>
        <scheme val="minor"/>
      </rPr>
      <t>3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</si>
  <si>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</si>
  <si>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Total weight</t>
  </si>
  <si>
    <t>surface</t>
  </si>
  <si>
    <t>int.</t>
  </si>
  <si>
    <t>Copper</t>
  </si>
  <si>
    <t>prod.</t>
  </si>
  <si>
    <t>Aluminum</t>
  </si>
  <si>
    <t>Production Well Total</t>
  </si>
  <si>
    <t>Refrigerant</t>
  </si>
  <si>
    <t>Rated Cooling</t>
  </si>
  <si>
    <t>long string</t>
  </si>
  <si>
    <t>Surface Component Calculations</t>
  </si>
  <si>
    <t>Connection Dist.</t>
  </si>
  <si>
    <t>Energy</t>
  </si>
  <si>
    <t>Fuel for Excavating</t>
  </si>
  <si>
    <t>Fuel for Drilling</t>
  </si>
  <si>
    <t>Well Tubing Total</t>
  </si>
  <si>
    <t>IW Tube Lining</t>
  </si>
  <si>
    <t>PW Tube Lining</t>
  </si>
  <si>
    <t>Lifecycle Stage, Components &amp; Processes</t>
  </si>
  <si>
    <t>Impact Categories</t>
  </si>
  <si>
    <t>Material Production</t>
  </si>
  <si>
    <t>Impact Inventory</t>
  </si>
  <si>
    <t>Injection Well (IW)</t>
  </si>
  <si>
    <t>SimaPro Process and Unit</t>
  </si>
  <si>
    <t>Total kg CFC eq</t>
  </si>
  <si>
    <r>
      <t>Total kg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eq</t>
    </r>
  </si>
  <si>
    <r>
      <t>Total kg 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eq</t>
    </r>
  </si>
  <si>
    <r>
      <t>Total kg SO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eq</t>
    </r>
  </si>
  <si>
    <t>Total kg N eq</t>
  </si>
  <si>
    <t>Total MJ surplus</t>
  </si>
  <si>
    <t>Casing 1 (surface)</t>
  </si>
  <si>
    <t>1 kg Steel, unalloyed {RoW}| steel production, converter, unalloyed | Alloc Def, U</t>
  </si>
  <si>
    <t>IMPACTS</t>
  </si>
  <si>
    <t>Casing 2 (int.)</t>
  </si>
  <si>
    <t>Ozone Depletion</t>
  </si>
  <si>
    <t>Casing 3 (prod.)</t>
  </si>
  <si>
    <t>GWP</t>
  </si>
  <si>
    <t>Concrete 1 (surface)</t>
  </si>
  <si>
    <r>
      <t>1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Concrete, normal {RoW}| market for | Alloc Def, U</t>
    </r>
  </si>
  <si>
    <t>Smog</t>
  </si>
  <si>
    <t>Concrete 2 (int.)</t>
  </si>
  <si>
    <t>Acidification</t>
  </si>
  <si>
    <t>Concrete 3 (prod.)</t>
  </si>
  <si>
    <t>Eutrophication</t>
  </si>
  <si>
    <t>Tubing</t>
  </si>
  <si>
    <t>Fossil Fuel Depletion</t>
  </si>
  <si>
    <t>Tube lining</t>
  </si>
  <si>
    <t>1 kg Tetrafluoroethylene {GLO}| market for | Alloc Def, U</t>
  </si>
  <si>
    <t>Injection packer insulation</t>
  </si>
  <si>
    <t>1 kg Polymer foaming {RoW}| processing | Alloc Def, U</t>
  </si>
  <si>
    <t>Drilling (prod. of fuel)</t>
  </si>
  <si>
    <t>1 kg Diesel, low-sulfur {RoW}| production</t>
  </si>
  <si>
    <t>Drilling (water)</t>
  </si>
  <si>
    <t xml:space="preserve">1 kg Tap water {RoW}| tap water production, underground water without treatment </t>
  </si>
  <si>
    <t>Production Well (PW)</t>
  </si>
  <si>
    <t>Casing 3 (long string)</t>
  </si>
  <si>
    <t>Concrete 3 (long string)</t>
  </si>
  <si>
    <t>Production packer insulation</t>
  </si>
  <si>
    <t>Polymer foaming {RoW}| processing | Alloc Def, U</t>
  </si>
  <si>
    <t>Copper wire</t>
  </si>
  <si>
    <t>1 kg Copper wire, technology mix, consumption mix, at plant, cross section 1 mm² EU-15 S</t>
  </si>
  <si>
    <t xml:space="preserve">1 kg Steel, low-alloyed {GLO}| market for </t>
  </si>
  <si>
    <t>1 kg Lead {GLO}| market for | Alloc Def, U</t>
  </si>
  <si>
    <t>Lubricant oil</t>
  </si>
  <si>
    <t>1 kg Lubricating oil {RER}| production | Alloc Def, U</t>
  </si>
  <si>
    <t>Chiller</t>
  </si>
  <si>
    <t>1 kg Refrigerant R134a {RoW}| production | Alloc Def, U</t>
  </si>
  <si>
    <t>Surface Components</t>
  </si>
  <si>
    <t>1 kg HDPE pipes E</t>
  </si>
  <si>
    <t>Material Transport &amp; Construction</t>
  </si>
  <si>
    <t>Transportation of Materials</t>
  </si>
  <si>
    <t>Transport of concrete</t>
  </si>
  <si>
    <t>1 tkm Transport, freight, lorry &gt;32 metric ton, EURO5 {GLO}| market for | Alloc Def, U</t>
  </si>
  <si>
    <t>Transport of steel</t>
  </si>
  <si>
    <t>Transport of construction equip.</t>
  </si>
  <si>
    <t>Construction of Wells</t>
  </si>
  <si>
    <t>Drilling IW (comb. of fuel)</t>
  </si>
  <si>
    <t>1 m Deep well, drilled, for geothermal power {RoW}| deep well drilling, for deep geothermal power | Alloc Def, U</t>
  </si>
  <si>
    <t>Pumping cement IW (comb. of fuel)</t>
  </si>
  <si>
    <t>1 hr Machine operation, diesel, &lt; 18.64 kW, generators {GLO}| machine operation, diesel, &lt; 18.64 kW, generators | Alloc Def, U</t>
  </si>
  <si>
    <t>Pumping water IW (comb. of fuel)</t>
  </si>
  <si>
    <t>Drilling PW (comb. of fuel)</t>
  </si>
  <si>
    <t>Pumping cement PW (comb. of fuel)</t>
  </si>
  <si>
    <t>Pumping water PW (comb. of fuel)</t>
  </si>
  <si>
    <t>Excavating</t>
  </si>
  <si>
    <t>1 hr Excavator, technology mix, 100 kW, Construction GLO</t>
  </si>
  <si>
    <t>Use of System</t>
  </si>
  <si>
    <t>Operation of Wells</t>
  </si>
  <si>
    <t>Electricity for pumps</t>
  </si>
  <si>
    <t>1 kWh from Ameren</t>
  </si>
  <si>
    <t>Operation of chiller</t>
  </si>
  <si>
    <t>Operation of heat exchanger</t>
  </si>
  <si>
    <t>Maintenance</t>
  </si>
  <si>
    <t>Maintenance, heat and power co-generation unit, 160kW electrical {GLO}| market for | Alloc Def, U</t>
  </si>
  <si>
    <t>End of Life</t>
  </si>
  <si>
    <t>Deconstruction</t>
  </si>
  <si>
    <t>Pump removal</t>
  </si>
  <si>
    <t>Surface equip. removal</t>
  </si>
  <si>
    <t>Sealing IW</t>
  </si>
  <si>
    <r>
      <t>1 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Concrete, sole plate and foundation {RoW}| concrete production, for civil engineering, with cement CEM I | Alloc Def, U</t>
    </r>
  </si>
  <si>
    <t>Sealing PW</t>
  </si>
  <si>
    <t>Waste</t>
  </si>
  <si>
    <t>1 kg _48 Recycling of concrete, asphalt and other mineral products, DK</t>
  </si>
  <si>
    <t>Transport of waste</t>
  </si>
  <si>
    <t xml:space="preserve">1 tkm Transport, freight, lorry 3.5-7.5 metric ton, EURO3 {RoW}| transport, freight, lorry 3.5-7.5 metric ton, EURO3 </t>
  </si>
  <si>
    <t>Total Impact</t>
  </si>
  <si>
    <t>Design Input</t>
  </si>
  <si>
    <t>Functional Input</t>
  </si>
  <si>
    <t>kg CFC eq</t>
  </si>
  <si>
    <r>
      <t>kg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eq</t>
    </r>
  </si>
  <si>
    <r>
      <t>kg O</t>
    </r>
    <r>
      <rPr>
        <b/>
        <vertAlign val="sub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 xml:space="preserve"> eq</t>
    </r>
  </si>
  <si>
    <r>
      <t>kg SO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eq</t>
    </r>
  </si>
  <si>
    <t>kg N eq</t>
  </si>
  <si>
    <t>MJ surplus</t>
  </si>
  <si>
    <t>NOTES:</t>
  </si>
  <si>
    <t>assumes density of 8000 kg/m3</t>
  </si>
  <si>
    <t>`</t>
  </si>
  <si>
    <t>unsure of units/materials</t>
  </si>
  <si>
    <t>unsure of units</t>
  </si>
  <si>
    <t>Injection Packer</t>
  </si>
  <si>
    <t>assumes small amount of insulation</t>
  </si>
  <si>
    <t>gal</t>
  </si>
  <si>
    <t>assumes 25 gal/hr use, 1 gal diesel weighs 3.22 kg</t>
  </si>
  <si>
    <t>OR 2.4 L per m drilled</t>
  </si>
  <si>
    <t>assumes 15 kg/m use</t>
  </si>
  <si>
    <t>Production Packer</t>
  </si>
  <si>
    <t>from another example Sullivan et al 2010</t>
  </si>
  <si>
    <t>from another example</t>
  </si>
  <si>
    <t>from Chiller LCA paper</t>
  </si>
  <si>
    <t>from Adolfsson et al</t>
  </si>
  <si>
    <t>typical 20 m trench --&gt; 10.1 kg piping, assume 30 meters trench (Ch. 8)</t>
  </si>
  <si>
    <t>Transport of Concrete</t>
  </si>
  <si>
    <t>mi</t>
  </si>
  <si>
    <t>tkm</t>
  </si>
  <si>
    <t>assumes 30 truck loads, 15 tons on each truck, 3 miles</t>
  </si>
  <si>
    <t>Transport of Steel</t>
  </si>
  <si>
    <t>assumes 5 truckloads, 40 miles, can hold 35 tons</t>
  </si>
  <si>
    <t>assumes equip is 40 tons</t>
  </si>
  <si>
    <t>d</t>
  </si>
  <si>
    <t>hr</t>
  </si>
  <si>
    <t>assumes operations run 24/7</t>
  </si>
  <si>
    <t>Excavating (comb. of fuel)</t>
  </si>
  <si>
    <t>mech.room --&gt; 5.35 kg copper to connect heat pump to water pump &amp; tanks</t>
  </si>
  <si>
    <t>kWh</t>
  </si>
  <si>
    <t>450 B/D, 2.5 kWh per barrel</t>
  </si>
  <si>
    <t>kWh/h</t>
  </si>
  <si>
    <t>504 kWh/h, operate 30% of year (2628 hr/year)… From Adolfsson et al</t>
  </si>
  <si>
    <t>p</t>
  </si>
  <si>
    <t>assumes seal to 20 m depth</t>
  </si>
  <si>
    <t>assume ~1 ton of waste</t>
  </si>
  <si>
    <t>Waste Transport</t>
  </si>
  <si>
    <t>landfill ~60 mi away</t>
  </si>
  <si>
    <t>Stages</t>
  </si>
  <si>
    <t>Material Transport/Cons.</t>
  </si>
  <si>
    <t>Operation</t>
  </si>
  <si>
    <t>TOTAL</t>
  </si>
  <si>
    <t>Diesel</t>
  </si>
  <si>
    <t>Water</t>
  </si>
  <si>
    <t>Blue Water footprint of Unalloyed Steel</t>
  </si>
  <si>
    <t>Design Component</t>
  </si>
  <si>
    <t>Amount of Steel (kg)</t>
  </si>
  <si>
    <t>Embodied Water (L)</t>
  </si>
  <si>
    <t>https://essay.utwente.nl/69751/1/MA%20thesis%20Bosman,%20R..pdf</t>
  </si>
  <si>
    <t>Wells Total</t>
  </si>
  <si>
    <t>Pumps</t>
  </si>
  <si>
    <t>Total</t>
  </si>
  <si>
    <t>Blue Water footprint of Concrete</t>
  </si>
  <si>
    <r>
      <t>Amount of Concrete (m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</si>
  <si>
    <t>Amount of Concrete (kg)</t>
  </si>
  <si>
    <t>https://www.diva-portal.org/smash/get/diva2:855765/FULLTEXT01.pdf</t>
  </si>
  <si>
    <t>assumes density of 2400 kg/m3</t>
  </si>
  <si>
    <t>Energy Corridor Heat Consumption</t>
  </si>
  <si>
    <t>Energy Farm (P)</t>
  </si>
  <si>
    <t>Beef/Sheep Lab (NG)</t>
  </si>
  <si>
    <t>Poultry Farm (NG)</t>
  </si>
  <si>
    <t>Swine Farm (NG P)</t>
  </si>
  <si>
    <t>Dairy Farm (NG)</t>
  </si>
  <si>
    <t>Feed Mill (NG)</t>
  </si>
  <si>
    <t>**From Yonqi's slides</t>
  </si>
  <si>
    <t>Yearly Total (MMBtu)</t>
  </si>
  <si>
    <t>Annual Avg. Rate (MMBtu/hr)</t>
  </si>
  <si>
    <t>https://www.eia.gov/environment/emissions/co2_vol_mass.php</t>
  </si>
  <si>
    <t>Winter 6-month Total (MMBtu/hr)</t>
  </si>
  <si>
    <t>Winter Avg. Rate (MMBtu/hr)</t>
  </si>
  <si>
    <t>Maximum Monthly Rate (MMBtu/mo)</t>
  </si>
  <si>
    <t>Maximum Monthly Avg. Rate (MMBtu/hr)</t>
  </si>
  <si>
    <t>DDU Heat Production Range (MMBtu/hr)</t>
  </si>
  <si>
    <t>Daily Heat Production (MMBtu/day)</t>
  </si>
  <si>
    <t>Annual Heat Production (MMBtu/yr)</t>
  </si>
  <si>
    <t>Annual Excess Heat (MMBtu)</t>
  </si>
  <si>
    <t>No. of heated buildings at max. monthly use</t>
  </si>
  <si>
    <t>Energy Corridor Emissions</t>
  </si>
  <si>
    <t>Annual NG Use (MMBtu/yr)</t>
  </si>
  <si>
    <t>Emissions from NG (kg CO2/MMBtu)</t>
  </si>
  <si>
    <t>Annual Propane Use (MMBtu/yr)</t>
  </si>
  <si>
    <t>Emissions from Propane (kg CO2/MMBtu)</t>
  </si>
  <si>
    <t>Existing Energy Corridor Emissions (kg CO2/yr)</t>
  </si>
  <si>
    <t>Years until DDU emissions offset</t>
  </si>
  <si>
    <t>Abbott Power Plant Production</t>
  </si>
  <si>
    <t>Hourly Steam Production (lb/hr)</t>
  </si>
  <si>
    <t>Annual Steam Production (lb/yr)</t>
  </si>
  <si>
    <t>% Steam Used</t>
  </si>
  <si>
    <t>*assumes capacity</t>
  </si>
  <si>
    <t>Heat in 1 lb of 100 C Steam (Btu/lb)</t>
  </si>
  <si>
    <t>Hourly Heat Production (MMBtu/hr)</t>
  </si>
  <si>
    <t>Abbot Power Plant Emissions</t>
  </si>
  <si>
    <r>
      <t>Co-generated steam emissions, 2016 (kg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</si>
  <si>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Annual Steam Production at capacity (lb/yr)</t>
  </si>
  <si>
    <r>
      <t>Emissions from Steam (kg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/lb)</t>
    </r>
  </si>
  <si>
    <t>Facility Steam Usage &amp; DDU Offsets</t>
  </si>
  <si>
    <t>Annual Steam Usage (lb/yr)</t>
  </si>
  <si>
    <r>
      <t>Annual 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emissions offset by DDU (kg)</t>
    </r>
  </si>
  <si>
    <t>*ONLY for operation</t>
  </si>
  <si>
    <t>Reference:</t>
  </si>
  <si>
    <t>Energy Corridor Usage</t>
  </si>
  <si>
    <t>Strategy:</t>
  </si>
  <si>
    <t>IL DDU</t>
  </si>
  <si>
    <t>Criteria</t>
  </si>
  <si>
    <t>Reference</t>
  </si>
  <si>
    <t>Strategy</t>
  </si>
  <si>
    <t>Performance</t>
  </si>
  <si>
    <t>Points</t>
  </si>
  <si>
    <t>Annual Energy Use (MBTU)</t>
  </si>
  <si>
    <t>GWP (kg CO2 eq)</t>
  </si>
  <si>
    <t>Water Consumption (kg)</t>
  </si>
  <si>
    <t>Waste Production (kg)</t>
  </si>
  <si>
    <t>Annual Heat Production (MBTU)</t>
  </si>
  <si>
    <t>Target Reduction</t>
  </si>
  <si>
    <t>Energy Use (MBTU)</t>
  </si>
  <si>
    <t>Goal/Reference</t>
  </si>
  <si>
    <t>UIUC Usage</t>
  </si>
  <si>
    <t>FACTOR</t>
  </si>
  <si>
    <t>*low end</t>
  </si>
  <si>
    <t>No.</t>
  </si>
  <si>
    <t>Rated cooling (kw)</t>
  </si>
  <si>
    <t>Rated heating (kw)</t>
  </si>
  <si>
    <t>Amount</t>
  </si>
  <si>
    <t>** information from Gu et al</t>
  </si>
  <si>
    <t>LiBr vapour absorption chiller/heater</t>
  </si>
  <si>
    <t>BZ 175</t>
  </si>
  <si>
    <t>Electric air-cooled chiller for cooling</t>
  </si>
  <si>
    <t>LSBLGF1140M</t>
  </si>
  <si>
    <t>Total weight (kg)</t>
  </si>
  <si>
    <t>Steel (kg)</t>
  </si>
  <si>
    <t>Copper (kg)</t>
  </si>
  <si>
    <t>Aluminum (kg)</t>
  </si>
  <si>
    <t>Refrigerant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</si>
</sst>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0.0E+00"/>
    <numFmt numFmtId="168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C00000"/>
      <name val="Calibri"/>
      <scheme val="minor"/>
    </font>
    <font>
      <b/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/>
    <xf numFmtId="166" fontId="2" fillId="0" borderId="0" xfId="2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6" fontId="2" fillId="0" borderId="0" xfId="2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29" xfId="0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1" xfId="0" applyFont="1" applyFill="1" applyBorder="1"/>
    <xf numFmtId="0" fontId="2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35" xfId="0" applyFont="1" applyBorder="1"/>
    <xf numFmtId="0" fontId="2" fillId="2" borderId="36" xfId="0" applyFont="1" applyFill="1" applyBorder="1" applyAlignment="1">
      <alignment horizontal="left"/>
    </xf>
    <xf numFmtId="0" fontId="2" fillId="3" borderId="0" xfId="0" applyFont="1" applyFill="1"/>
    <xf numFmtId="11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0" fillId="0" borderId="35" xfId="0" applyBorder="1"/>
    <xf numFmtId="0" fontId="3" fillId="5" borderId="31" xfId="0" applyFont="1" applyFill="1" applyBorder="1"/>
    <xf numFmtId="0" fontId="3" fillId="5" borderId="3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4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5" borderId="6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3" fillId="5" borderId="39" xfId="0" applyFont="1" applyFill="1" applyBorder="1" applyAlignment="1">
      <alignment horizontal="center"/>
    </xf>
    <xf numFmtId="0" fontId="3" fillId="5" borderId="32" xfId="0" applyFont="1" applyFill="1" applyBorder="1"/>
    <xf numFmtId="0" fontId="3" fillId="5" borderId="33" xfId="0" applyFont="1" applyFill="1" applyBorder="1" applyAlignment="1">
      <alignment horizontal="center"/>
    </xf>
    <xf numFmtId="0" fontId="2" fillId="0" borderId="29" xfId="0" applyFont="1" applyFill="1" applyBorder="1" applyAlignment="1">
      <alignment vertical="center"/>
    </xf>
    <xf numFmtId="0" fontId="0" fillId="0" borderId="0" xfId="0" applyFill="1" applyBorder="1"/>
    <xf numFmtId="0" fontId="2" fillId="0" borderId="40" xfId="0" applyFont="1" applyFill="1" applyBorder="1" applyAlignment="1">
      <alignment vertical="center" wrapText="1"/>
    </xf>
    <xf numFmtId="0" fontId="3" fillId="5" borderId="32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vertical="center" wrapText="1"/>
    </xf>
    <xf numFmtId="0" fontId="3" fillId="5" borderId="43" xfId="0" applyFont="1" applyFill="1" applyBorder="1" applyAlignment="1">
      <alignment horizontal="center"/>
    </xf>
    <xf numFmtId="11" fontId="2" fillId="0" borderId="1" xfId="0" applyNumberFormat="1" applyFont="1" applyFill="1" applyBorder="1" applyAlignment="1">
      <alignment horizontal="center" vertical="center" wrapText="1"/>
    </xf>
    <xf numFmtId="11" fontId="2" fillId="0" borderId="8" xfId="0" applyNumberFormat="1" applyFont="1" applyFill="1" applyBorder="1" applyAlignment="1">
      <alignment horizontal="center" vertical="center" wrapText="1"/>
    </xf>
    <xf numFmtId="11" fontId="2" fillId="0" borderId="9" xfId="0" applyNumberFormat="1" applyFont="1" applyFill="1" applyBorder="1" applyAlignment="1">
      <alignment horizontal="center" vertical="center" wrapText="1"/>
    </xf>
    <xf numFmtId="11" fontId="2" fillId="0" borderId="11" xfId="0" applyNumberFormat="1" applyFont="1" applyFill="1" applyBorder="1" applyAlignment="1">
      <alignment horizontal="center" vertical="center" wrapText="1"/>
    </xf>
    <xf numFmtId="11" fontId="2" fillId="0" borderId="12" xfId="0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0" borderId="31" xfId="0" applyFont="1" applyFill="1" applyBorder="1" applyAlignment="1">
      <alignment vertical="center"/>
    </xf>
    <xf numFmtId="11" fontId="2" fillId="0" borderId="2" xfId="0" applyNumberFormat="1" applyFont="1" applyFill="1" applyBorder="1" applyAlignment="1">
      <alignment horizontal="center" vertical="center" wrapText="1"/>
    </xf>
    <xf numFmtId="11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11" fontId="2" fillId="0" borderId="7" xfId="0" applyNumberFormat="1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11" fontId="2" fillId="0" borderId="8" xfId="0" applyNumberFormat="1" applyFont="1" applyFill="1" applyBorder="1" applyAlignment="1">
      <alignment horizontal="center" vertical="center"/>
    </xf>
    <xf numFmtId="11" fontId="2" fillId="0" borderId="9" xfId="0" applyNumberFormat="1" applyFont="1" applyFill="1" applyBorder="1" applyAlignment="1">
      <alignment horizontal="center" vertical="center"/>
    </xf>
    <xf numFmtId="11" fontId="2" fillId="0" borderId="11" xfId="0" applyNumberFormat="1" applyFont="1" applyFill="1" applyBorder="1" applyAlignment="1">
      <alignment horizontal="center" vertical="center"/>
    </xf>
    <xf numFmtId="11" fontId="2" fillId="0" borderId="1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right"/>
    </xf>
    <xf numFmtId="165" fontId="2" fillId="0" borderId="11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3" fillId="5" borderId="45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3" fillId="5" borderId="44" xfId="0" applyFont="1" applyFill="1" applyBorder="1" applyAlignment="1">
      <alignment horizontal="left"/>
    </xf>
    <xf numFmtId="0" fontId="3" fillId="5" borderId="46" xfId="0" applyFont="1" applyFill="1" applyBorder="1" applyAlignment="1">
      <alignment horizontal="left"/>
    </xf>
    <xf numFmtId="0" fontId="2" fillId="0" borderId="29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4" fillId="4" borderId="1" xfId="0" applyFont="1" applyFill="1" applyBorder="1"/>
    <xf numFmtId="9" fontId="2" fillId="0" borderId="3" xfId="1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0" borderId="11" xfId="0" applyNumberFormat="1" applyFont="1" applyFill="1" applyBorder="1" applyAlignment="1">
      <alignment vertical="center"/>
    </xf>
    <xf numFmtId="1" fontId="2" fillId="0" borderId="1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/>
    </xf>
    <xf numFmtId="165" fontId="2" fillId="0" borderId="1" xfId="0" applyNumberFormat="1" applyFont="1" applyBorder="1" applyAlignment="1">
      <alignment vertical="center"/>
    </xf>
    <xf numFmtId="11" fontId="2" fillId="0" borderId="9" xfId="0" applyNumberFormat="1" applyFont="1" applyBorder="1" applyAlignment="1">
      <alignment horizontal="center" vertical="center"/>
    </xf>
    <xf numFmtId="11" fontId="2" fillId="0" borderId="11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vertical="center"/>
    </xf>
    <xf numFmtId="0" fontId="2" fillId="0" borderId="8" xfId="0" applyFont="1" applyFill="1" applyBorder="1" applyAlignment="1">
      <alignment wrapText="1"/>
    </xf>
    <xf numFmtId="11" fontId="2" fillId="0" borderId="48" xfId="0" applyNumberFormat="1" applyFont="1" applyFill="1" applyBorder="1" applyAlignment="1">
      <alignment horizontal="center" vertical="center"/>
    </xf>
    <xf numFmtId="11" fontId="2" fillId="0" borderId="49" xfId="0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165" fontId="2" fillId="2" borderId="11" xfId="0" applyNumberFormat="1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2" fillId="0" borderId="9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left"/>
    </xf>
    <xf numFmtId="0" fontId="3" fillId="5" borderId="3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11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166" fontId="2" fillId="0" borderId="0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" fontId="2" fillId="0" borderId="0" xfId="0" applyNumberFormat="1" applyFont="1" applyBorder="1" applyAlignment="1">
      <alignment horizontal="right" vertical="center"/>
    </xf>
    <xf numFmtId="0" fontId="0" fillId="0" borderId="0" xfId="0" applyFill="1"/>
    <xf numFmtId="0" fontId="2" fillId="0" borderId="1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8" borderId="5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5" borderId="58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right" vertical="center"/>
    </xf>
    <xf numFmtId="0" fontId="3" fillId="5" borderId="54" xfId="0" applyFont="1" applyFill="1" applyBorder="1" applyAlignment="1">
      <alignment horizontal="right" vertical="center"/>
    </xf>
    <xf numFmtId="0" fontId="3" fillId="5" borderId="55" xfId="0" applyFont="1" applyFill="1" applyBorder="1" applyAlignment="1">
      <alignment horizontal="right" vertical="center"/>
    </xf>
    <xf numFmtId="0" fontId="3" fillId="5" borderId="48" xfId="0" applyFont="1" applyFill="1" applyBorder="1" applyAlignment="1">
      <alignment horizontal="right" vertical="center"/>
    </xf>
    <xf numFmtId="0" fontId="3" fillId="5" borderId="59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5" borderId="9" xfId="0" applyFont="1" applyFill="1" applyBorder="1" applyAlignment="1">
      <alignment horizontal="right" vertical="center"/>
    </xf>
    <xf numFmtId="0" fontId="3" fillId="5" borderId="60" xfId="0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30" xfId="0" applyNumberFormat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Fill="1" applyBorder="1" applyAlignment="1">
      <alignment horizontal="left" vertical="center"/>
    </xf>
    <xf numFmtId="1" fontId="2" fillId="0" borderId="9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0" fontId="3" fillId="5" borderId="31" xfId="0" applyFont="1" applyFill="1" applyBorder="1" applyAlignment="1">
      <alignment horizontal="right" vertical="center"/>
    </xf>
    <xf numFmtId="168" fontId="2" fillId="0" borderId="12" xfId="0" applyNumberFormat="1" applyFon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2" xfId="0" applyBorder="1"/>
    <xf numFmtId="165" fontId="2" fillId="0" borderId="0" xfId="0" applyNumberFormat="1" applyFont="1" applyFill="1" applyBorder="1" applyAlignment="1">
      <alignment horizontal="center"/>
    </xf>
    <xf numFmtId="11" fontId="2" fillId="0" borderId="29" xfId="0" applyNumberFormat="1" applyFont="1" applyFill="1" applyBorder="1" applyAlignment="1">
      <alignment horizontal="center" vertical="center" wrapText="1"/>
    </xf>
    <xf numFmtId="11" fontId="2" fillId="0" borderId="3" xfId="0" applyNumberFormat="1" applyFont="1" applyFill="1" applyBorder="1" applyAlignment="1">
      <alignment horizontal="center" vertical="center" wrapText="1"/>
    </xf>
    <xf numFmtId="11" fontId="2" fillId="0" borderId="23" xfId="0" applyNumberFormat="1" applyFont="1" applyFill="1" applyBorder="1" applyAlignment="1">
      <alignment horizontal="center" vertical="center" wrapText="1"/>
    </xf>
    <xf numFmtId="11" fontId="2" fillId="0" borderId="3" xfId="0" applyNumberFormat="1" applyFont="1" applyBorder="1" applyAlignment="1">
      <alignment vertical="center"/>
    </xf>
    <xf numFmtId="0" fontId="2" fillId="0" borderId="29" xfId="0" applyFont="1" applyBorder="1" applyAlignment="1">
      <alignment horizontal="center" vertical="center"/>
    </xf>
    <xf numFmtId="1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1" fontId="2" fillId="0" borderId="61" xfId="0" applyNumberFormat="1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vertical="center"/>
    </xf>
    <xf numFmtId="11" fontId="3" fillId="0" borderId="0" xfId="0" applyNumberFormat="1" applyFont="1" applyFill="1" applyBorder="1" applyAlignment="1">
      <alignment vertical="center"/>
    </xf>
    <xf numFmtId="165" fontId="2" fillId="0" borderId="12" xfId="0" applyNumberFormat="1" applyFont="1" applyBorder="1" applyAlignment="1">
      <alignment horizontal="center"/>
    </xf>
    <xf numFmtId="11" fontId="0" fillId="0" borderId="0" xfId="0" applyNumberFormat="1"/>
    <xf numFmtId="9" fontId="2" fillId="0" borderId="0" xfId="1" applyFont="1" applyBorder="1" applyAlignment="1">
      <alignment horizontal="center" vertical="center"/>
    </xf>
    <xf numFmtId="164" fontId="0" fillId="0" borderId="0" xfId="2" applyFont="1" applyFill="1" applyBorder="1"/>
    <xf numFmtId="11" fontId="2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7" fillId="4" borderId="50" xfId="0" applyFont="1" applyFill="1" applyBorder="1" applyAlignment="1">
      <alignment horizontal="left"/>
    </xf>
    <xf numFmtId="0" fontId="2" fillId="0" borderId="38" xfId="0" applyFont="1" applyBorder="1"/>
    <xf numFmtId="0" fontId="2" fillId="0" borderId="52" xfId="0" applyFont="1" applyBorder="1"/>
    <xf numFmtId="0" fontId="0" fillId="4" borderId="62" xfId="0" applyFill="1" applyBorder="1"/>
    <xf numFmtId="0" fontId="0" fillId="4" borderId="63" xfId="0" applyFill="1" applyBorder="1"/>
    <xf numFmtId="0" fontId="11" fillId="0" borderId="0" xfId="4"/>
    <xf numFmtId="0" fontId="3" fillId="5" borderId="4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0" fontId="2" fillId="2" borderId="1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5">
    <cellStyle name="Lien hypertexte" xfId="4" builtinId="8"/>
    <cellStyle name="Milliers" xfId="2" builtinId="3"/>
    <cellStyle name="Normal" xfId="0" builtinId="0"/>
    <cellStyle name="Normal 2" xfId="3" xr:uid="{00000000-0005-0000-0000-000003000000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/>
                </a:solidFill>
                <a:latin typeface="+mn-lt"/>
                <a:cs typeface="Segoe UI" panose="020B0502040204020203" pitchFamily="34" charset="0"/>
              </a:rPr>
              <a:t>Well Design Impacts</a:t>
            </a:r>
            <a:endParaRPr lang="en-US" sz="1400" b="0" baseline="0">
              <a:solidFill>
                <a:schemeClr val="tx1"/>
              </a:solidFill>
              <a:latin typeface="+mn-lt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Injection Well (IW)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Summary!$B$2:$G$2</c:f>
              <c:numCache>
                <c:formatCode>0.00E+00</c:formatCode>
                <c:ptCount val="6"/>
                <c:pt idx="0">
                  <c:v>6.0790251345287101E-2</c:v>
                </c:pt>
                <c:pt idx="1">
                  <c:v>471996.28652604215</c:v>
                </c:pt>
                <c:pt idx="2">
                  <c:v>24451.573071936233</c:v>
                </c:pt>
                <c:pt idx="3">
                  <c:v>1995.9356004283093</c:v>
                </c:pt>
                <c:pt idx="4">
                  <c:v>1516.1237746093573</c:v>
                </c:pt>
                <c:pt idx="5">
                  <c:v>512914.57667654142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D-4931-AFD1-7A2313BAB599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Production Well (PW)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Summary!$B$3:$G$3</c:f>
              <c:numCache>
                <c:formatCode>0.00E+00</c:formatCode>
                <c:ptCount val="6"/>
                <c:pt idx="0">
                  <c:v>7.2197516803896244E-2</c:v>
                </c:pt>
                <c:pt idx="1">
                  <c:v>674962.11938408704</c:v>
                </c:pt>
                <c:pt idx="2">
                  <c:v>34688.939262772641</c:v>
                </c:pt>
                <c:pt idx="3">
                  <c:v>2799.8808425037473</c:v>
                </c:pt>
                <c:pt idx="4">
                  <c:v>2167.6271080232964</c:v>
                </c:pt>
                <c:pt idx="5">
                  <c:v>602369.81135825638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D-4931-AFD1-7A2313BA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769744"/>
        <c:axId val="-21457762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Submersible Pump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Summary!$B$1:$G$1</c15:sqref>
                        </c15:formulaRef>
                      </c:ext>
                    </c:extLst>
                    <c:strCache>
                      <c:ptCount val="6"/>
                      <c:pt idx="0">
                        <c:v>Total kg CFC eq</c:v>
                      </c:pt>
                      <c:pt idx="1">
                        <c:v>Total kg CO2 eq</c:v>
                      </c:pt>
                      <c:pt idx="2">
                        <c:v>Total kg O3 eq</c:v>
                      </c:pt>
                      <c:pt idx="3">
                        <c:v>Total kg SO2 eq</c:v>
                      </c:pt>
                      <c:pt idx="4">
                        <c:v>Total kg N eq</c:v>
                      </c:pt>
                      <c:pt idx="5">
                        <c:v>Total MJ surplus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Summary!$B$4:$G$4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5.2908398067942077E-6</c:v>
                      </c:pt>
                      <c:pt idx="1">
                        <c:v>46.341834613439644</c:v>
                      </c:pt>
                      <c:pt idx="2">
                        <c:v>2.7533276393663506</c:v>
                      </c:pt>
                      <c:pt idx="3">
                        <c:v>0.23540802494917693</c:v>
                      </c:pt>
                      <c:pt idx="4">
                        <c:v>0.25573259461707137</c:v>
                      </c:pt>
                      <c:pt idx="5">
                        <c:v>44.149017427819558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3D-4931-AFD1-7A2313BAB5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Transportation of Materials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Summary!$B$1:$G$1</c15:sqref>
                        </c15:formulaRef>
                      </c:ext>
                    </c:extLst>
                    <c:strCache>
                      <c:ptCount val="6"/>
                      <c:pt idx="0">
                        <c:v>Total kg CFC eq</c:v>
                      </c:pt>
                      <c:pt idx="1">
                        <c:v>Total kg CO2 eq</c:v>
                      </c:pt>
                      <c:pt idx="2">
                        <c:v>Total kg O3 eq</c:v>
                      </c:pt>
                      <c:pt idx="3">
                        <c:v>Total kg SO2 eq</c:v>
                      </c:pt>
                      <c:pt idx="4">
                        <c:v>Total kg N eq</c:v>
                      </c:pt>
                      <c:pt idx="5">
                        <c:v>Total MJ surplus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Summary!$B$5:$G$5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2.1383230194428659E-3</c:v>
                      </c:pt>
                      <c:pt idx="1">
                        <c:v>8478.3191016695509</c:v>
                      </c:pt>
                      <c:pt idx="2">
                        <c:v>662.82424883612657</c:v>
                      </c:pt>
                      <c:pt idx="3">
                        <c:v>31.860449959615902</c:v>
                      </c:pt>
                      <c:pt idx="4">
                        <c:v>9.0433208539421788</c:v>
                      </c:pt>
                      <c:pt idx="5">
                        <c:v>18980.58743352435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3D-4931-AFD1-7A2313BAB599}"/>
                  </c:ext>
                </c:extLst>
              </c15:ser>
            </c15:filteredBarSeries>
          </c:ext>
        </c:extLst>
      </c:barChart>
      <c:catAx>
        <c:axId val="-21457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-2145776208"/>
        <c:crosses val="autoZero"/>
        <c:auto val="1"/>
        <c:lblAlgn val="ctr"/>
        <c:lblOffset val="100"/>
        <c:noMultiLvlLbl val="0"/>
      </c:catAx>
      <c:valAx>
        <c:axId val="-21457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-2145769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Life Cycle Stage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Summary!$A$32</c:f>
              <c:strCache>
                <c:ptCount val="1"/>
                <c:pt idx="0">
                  <c:v>Material Production</c:v>
                </c:pt>
              </c:strCache>
            </c:strRef>
          </c:tx>
          <c:spPr>
            <a:pattFill prst="lt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Summary!$B$32:$G$32</c:f>
              <c:numCache>
                <c:formatCode>0.00E+00</c:formatCode>
                <c:ptCount val="6"/>
                <c:pt idx="0">
                  <c:v>12.502825763098553</c:v>
                </c:pt>
                <c:pt idx="1">
                  <c:v>1315381.5837047379</c:v>
                </c:pt>
                <c:pt idx="2">
                  <c:v>62812.756635907375</c:v>
                </c:pt>
                <c:pt idx="3">
                  <c:v>5123.6539544417283</c:v>
                </c:pt>
                <c:pt idx="4">
                  <c:v>4015.5874205521841</c:v>
                </c:pt>
                <c:pt idx="5">
                  <c:v>1163964.5804608848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1-4A9D-AE7A-719089342BA6}"/>
            </c:ext>
          </c:extLst>
        </c:ser>
        <c:ser>
          <c:idx val="1"/>
          <c:order val="1"/>
          <c:tx>
            <c:strRef>
              <c:f>Summary!$A$33</c:f>
              <c:strCache>
                <c:ptCount val="1"/>
                <c:pt idx="0">
                  <c:v>Material Transport/Cons.</c:v>
                </c:pt>
              </c:strCache>
            </c:strRef>
          </c:tx>
          <c:spPr>
            <a:pattFill prst="pct10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Summary!$B$33:$G$33</c:f>
              <c:numCache>
                <c:formatCode>0.00E+00</c:formatCode>
                <c:ptCount val="6"/>
                <c:pt idx="0">
                  <c:v>0.24550199195997746</c:v>
                </c:pt>
                <c:pt idx="1">
                  <c:v>3783627.5016379929</c:v>
                </c:pt>
                <c:pt idx="2">
                  <c:v>197790.12097501836</c:v>
                </c:pt>
                <c:pt idx="3">
                  <c:v>18201.644308950607</c:v>
                </c:pt>
                <c:pt idx="4">
                  <c:v>16005.98583988252</c:v>
                </c:pt>
                <c:pt idx="5">
                  <c:v>2596475.7762384033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1-4A9D-AE7A-719089342BA6}"/>
            </c:ext>
          </c:extLst>
        </c:ser>
        <c:ser>
          <c:idx val="2"/>
          <c:order val="2"/>
          <c:tx>
            <c:strRef>
              <c:f>Summary!$A$34</c:f>
              <c:strCache>
                <c:ptCount val="1"/>
                <c:pt idx="0">
                  <c:v>Operation</c:v>
                </c:pt>
              </c:strCache>
            </c:strRef>
          </c:tx>
          <c:spPr>
            <a:pattFill prst="pct50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Summary!$B$34:$G$34</c:f>
              <c:numCache>
                <c:formatCode>0.00E+00</c:formatCode>
                <c:ptCount val="6"/>
                <c:pt idx="0">
                  <c:v>0</c:v>
                </c:pt>
                <c:pt idx="1">
                  <c:v>5406994.0806544796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BD1-4A9D-AE7A-719089342BA6}"/>
            </c:ext>
          </c:extLst>
        </c:ser>
        <c:ser>
          <c:idx val="3"/>
          <c:order val="3"/>
          <c:tx>
            <c:strRef>
              <c:f>Summary!$A$35</c:f>
              <c:strCache>
                <c:ptCount val="1"/>
                <c:pt idx="0">
                  <c:v>End of Life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Summary!$B$1:$G$1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Summary!$B$35:$G$35</c:f>
              <c:numCache>
                <c:formatCode>0.00E+00</c:formatCode>
                <c:ptCount val="6"/>
                <c:pt idx="0">
                  <c:v>3.3567876026012362E-3</c:v>
                </c:pt>
                <c:pt idx="1">
                  <c:v>65346.805798950547</c:v>
                </c:pt>
                <c:pt idx="2">
                  <c:v>3032.0439902368935</c:v>
                </c:pt>
                <c:pt idx="3">
                  <c:v>169.08396018447925</c:v>
                </c:pt>
                <c:pt idx="4">
                  <c:v>67.380337882709796</c:v>
                </c:pt>
                <c:pt idx="5">
                  <c:v>31315.635776330724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BD1-4A9D-AE7A-71908934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34832"/>
        <c:axId val="2144038320"/>
        <c:extLst/>
      </c:barChart>
      <c:catAx>
        <c:axId val="21440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38320"/>
        <c:crosses val="autoZero"/>
        <c:auto val="1"/>
        <c:lblAlgn val="ctr"/>
        <c:lblOffset val="100"/>
        <c:noMultiLvlLbl val="0"/>
      </c:catAx>
      <c:valAx>
        <c:axId val="21440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Raw Material</a:t>
            </a:r>
            <a:r>
              <a:rPr lang="en-US" baseline="0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Summary!$A$60</c:f>
              <c:strCache>
                <c:ptCount val="1"/>
                <c:pt idx="0">
                  <c:v>Concrete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bg2">
                  <a:lumMod val="25000"/>
                </a:schemeClr>
              </a:solidFill>
            </a:ln>
            <a:effectLst/>
          </c:spPr>
          <c:invertIfNegative val="0"/>
          <c:cat>
            <c:strRef>
              <c:f>Summary!$B$59:$G$59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Summary!$B$60:$G$60</c:f>
              <c:numCache>
                <c:formatCode>0.00E+00</c:formatCode>
                <c:ptCount val="6"/>
                <c:pt idx="0">
                  <c:v>8.3081933663756123E-3</c:v>
                </c:pt>
                <c:pt idx="1">
                  <c:v>100355.05273446147</c:v>
                </c:pt>
                <c:pt idx="2">
                  <c:v>6170.3432864283295</c:v>
                </c:pt>
                <c:pt idx="3">
                  <c:v>323.81216427313677</c:v>
                </c:pt>
                <c:pt idx="4">
                  <c:v>119.95178999713355</c:v>
                </c:pt>
                <c:pt idx="5">
                  <c:v>75865.443393983674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924-BBE2-CA15DE97C377}"/>
            </c:ext>
          </c:extLst>
        </c:ser>
        <c:ser>
          <c:idx val="1"/>
          <c:order val="1"/>
          <c:tx>
            <c:strRef>
              <c:f>Summary!$A$61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Summary!$B$59:$G$59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Summary!$B$61:$G$61</c:f>
              <c:numCache>
                <c:formatCode>0.00E+00</c:formatCode>
                <c:ptCount val="6"/>
                <c:pt idx="0">
                  <c:v>5.6332715096555755E-2</c:v>
                </c:pt>
                <c:pt idx="1">
                  <c:v>1042090.5704326434</c:v>
                </c:pt>
                <c:pt idx="2">
                  <c:v>51891.436332897254</c:v>
                </c:pt>
                <c:pt idx="3">
                  <c:v>4241.4327084138795</c:v>
                </c:pt>
                <c:pt idx="4">
                  <c:v>3723.4543490593851</c:v>
                </c:pt>
                <c:pt idx="5">
                  <c:v>434920.25262773887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924-BBE2-CA15DE97C377}"/>
            </c:ext>
          </c:extLst>
        </c:ser>
        <c:ser>
          <c:idx val="2"/>
          <c:order val="2"/>
          <c:tx>
            <c:strRef>
              <c:f>Summary!$A$62</c:f>
              <c:strCache>
                <c:ptCount val="1"/>
                <c:pt idx="0">
                  <c:v>Diesel</c:v>
                </c:pt>
              </c:strCache>
            </c:strRef>
          </c:tx>
          <c:spPr>
            <a:pattFill prst="pct25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Summary!$B$59:$G$59</c:f>
              <c:strCache>
                <c:ptCount val="6"/>
                <c:pt idx="0">
                  <c:v>Total kg CFC eq</c:v>
                </c:pt>
                <c:pt idx="1">
                  <c:v>Total kg CO2 eq</c:v>
                </c:pt>
                <c:pt idx="2">
                  <c:v>Total kg O3 eq</c:v>
                </c:pt>
                <c:pt idx="3">
                  <c:v>Total kg SO2 eq</c:v>
                </c:pt>
                <c:pt idx="4">
                  <c:v>Total kg N eq</c:v>
                </c:pt>
                <c:pt idx="5">
                  <c:v>Total MJ surplus</c:v>
                </c:pt>
              </c:strCache>
            </c:strRef>
          </c:cat>
          <c:val>
            <c:numRef>
              <c:f>Summary!$B$62:$G$62</c:f>
              <c:numCache>
                <c:formatCode>0.00E+00</c:formatCode>
                <c:ptCount val="6"/>
                <c:pt idx="0">
                  <c:v>7.107002515302932E-2</c:v>
                </c:pt>
                <c:pt idx="1">
                  <c:v>44520.593252411374</c:v>
                </c:pt>
                <c:pt idx="2">
                  <c:v>3553.2815262672498</c:v>
                </c:pt>
                <c:pt idx="3">
                  <c:v>427.38856212826266</c:v>
                </c:pt>
                <c:pt idx="4">
                  <c:v>141.18602628153542</c:v>
                </c:pt>
                <c:pt idx="5">
                  <c:v>629846.4571728115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924-BBE2-CA15DE97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461824"/>
        <c:axId val="-2077458400"/>
      </c:barChart>
      <c:catAx>
        <c:axId val="-20774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58400"/>
        <c:crosses val="autoZero"/>
        <c:auto val="1"/>
        <c:lblAlgn val="ctr"/>
        <c:lblOffset val="100"/>
        <c:noMultiLvlLbl val="0"/>
      </c:catAx>
      <c:valAx>
        <c:axId val="-20774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Spider!$A$5:$A$9</c:f>
              <c:strCache>
                <c:ptCount val="5"/>
                <c:pt idx="0">
                  <c:v>Annual Energy Use (MBTU)</c:v>
                </c:pt>
                <c:pt idx="1">
                  <c:v>GWP (kg CO2 eq)</c:v>
                </c:pt>
                <c:pt idx="2">
                  <c:v>Water Consumption (kg)</c:v>
                </c:pt>
                <c:pt idx="3">
                  <c:v>Waste Production (kg)</c:v>
                </c:pt>
                <c:pt idx="4">
                  <c:v>Annual Heat Production (MBTU)</c:v>
                </c:pt>
              </c:strCache>
            </c:strRef>
          </c:cat>
          <c:val>
            <c:numRef>
              <c:f>Spider!$E$5:$E$9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6-478F-A89F-4FE31418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90064"/>
        <c:axId val="-2145883888"/>
      </c:radarChart>
      <c:catAx>
        <c:axId val="-21458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83888"/>
        <c:crosses val="autoZero"/>
        <c:auto val="1"/>
        <c:lblAlgn val="ctr"/>
        <c:lblOffset val="100"/>
        <c:noMultiLvlLbl val="0"/>
      </c:catAx>
      <c:valAx>
        <c:axId val="-2145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890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7</xdr:row>
      <xdr:rowOff>76200</xdr:rowOff>
    </xdr:from>
    <xdr:to>
      <xdr:col>7</xdr:col>
      <xdr:colOff>38100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36</xdr:row>
      <xdr:rowOff>123825</xdr:rowOff>
    </xdr:from>
    <xdr:to>
      <xdr:col>8</xdr:col>
      <xdr:colOff>457200</xdr:colOff>
      <xdr:row>56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63</xdr:row>
      <xdr:rowOff>95249</xdr:rowOff>
    </xdr:from>
    <xdr:to>
      <xdr:col>8</xdr:col>
      <xdr:colOff>523875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9</xdr:row>
      <xdr:rowOff>104776</xdr:rowOff>
    </xdr:from>
    <xdr:to>
      <xdr:col>12</xdr:col>
      <xdr:colOff>542925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va-portal.org/smash/get/diva2:855765/FULLTEXT01.pdf" TargetMode="External"/><Relationship Id="rId1" Type="http://schemas.openxmlformats.org/officeDocument/2006/relationships/hyperlink" Target="https://essay.utwente.nl/69751/1/MA%20thesis%20Bosman,%20R.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ia.gov/environment/emissions/co2_vol_mass.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zoomScale="90" zoomScaleNormal="90" zoomScalePageLayoutView="90" workbookViewId="0">
      <selection activeCell="I16" sqref="I16"/>
    </sheetView>
  </sheetViews>
  <sheetFormatPr defaultColWidth="8.85546875" defaultRowHeight="14.45"/>
  <cols>
    <col min="2" max="2" width="36" bestFit="1" customWidth="1"/>
    <col min="3" max="3" width="8.42578125" bestFit="1" customWidth="1"/>
    <col min="4" max="4" width="4.42578125" bestFit="1" customWidth="1"/>
    <col min="5" max="5" width="7.140625" bestFit="1" customWidth="1"/>
    <col min="6" max="6" width="4.42578125" bestFit="1" customWidth="1"/>
    <col min="7" max="7" width="1" customWidth="1"/>
    <col min="8" max="8" width="17" bestFit="1" customWidth="1"/>
    <col min="9" max="9" width="7.42578125" bestFit="1" customWidth="1"/>
    <col min="10" max="10" width="9.28515625" bestFit="1" customWidth="1"/>
    <col min="11" max="11" width="4.42578125" customWidth="1"/>
    <col min="12" max="12" width="1.140625" customWidth="1"/>
    <col min="13" max="13" width="15.85546875" bestFit="1" customWidth="1"/>
    <col min="14" max="14" width="31.140625" bestFit="1" customWidth="1"/>
    <col min="15" max="15" width="7.42578125" bestFit="1" customWidth="1"/>
  </cols>
  <sheetData>
    <row r="1" spans="2:23" ht="15" thickBot="1">
      <c r="B1" s="279" t="s">
        <v>0</v>
      </c>
      <c r="C1" s="280"/>
      <c r="D1" s="281"/>
      <c r="E1" s="7"/>
      <c r="F1" s="7"/>
      <c r="G1" s="7"/>
      <c r="H1" s="282" t="s">
        <v>1</v>
      </c>
      <c r="I1" s="283"/>
      <c r="J1" s="284"/>
      <c r="K1" s="7"/>
      <c r="L1" s="7"/>
      <c r="M1" s="285" t="s">
        <v>2</v>
      </c>
      <c r="N1" s="286"/>
      <c r="O1" s="287"/>
      <c r="P1" s="7"/>
      <c r="Q1" s="7"/>
      <c r="R1" s="7"/>
      <c r="S1" s="7"/>
      <c r="T1" s="7"/>
      <c r="U1" s="7"/>
      <c r="V1" s="7"/>
      <c r="W1" s="7"/>
    </row>
    <row r="2" spans="2:23" ht="15" thickBot="1">
      <c r="B2" s="115" t="s">
        <v>3</v>
      </c>
      <c r="C2" s="75" t="s">
        <v>4</v>
      </c>
      <c r="D2" s="69" t="s">
        <v>5</v>
      </c>
      <c r="E2" s="7"/>
      <c r="F2" s="7"/>
      <c r="G2" s="7"/>
      <c r="H2" s="45" t="s">
        <v>6</v>
      </c>
      <c r="I2" s="47" t="s">
        <v>4</v>
      </c>
      <c r="J2" s="46" t="s">
        <v>5</v>
      </c>
      <c r="K2" s="7"/>
      <c r="L2" s="7"/>
      <c r="M2" s="52" t="s">
        <v>7</v>
      </c>
      <c r="N2" s="51" t="s">
        <v>4</v>
      </c>
      <c r="O2" s="54" t="s">
        <v>5</v>
      </c>
      <c r="P2" s="7"/>
      <c r="Q2" s="7"/>
      <c r="R2" s="7"/>
      <c r="S2" s="7"/>
      <c r="T2" s="7"/>
      <c r="U2" s="7"/>
      <c r="V2" s="7"/>
      <c r="W2" s="7"/>
    </row>
    <row r="3" spans="2:23">
      <c r="B3" s="116" t="s">
        <v>8</v>
      </c>
      <c r="C3" s="117">
        <v>350</v>
      </c>
      <c r="D3" s="118" t="s">
        <v>9</v>
      </c>
      <c r="E3" s="7"/>
      <c r="F3" s="7"/>
      <c r="G3" s="7"/>
      <c r="H3" s="21" t="s">
        <v>10</v>
      </c>
      <c r="I3" s="32"/>
      <c r="J3" s="18" t="s">
        <v>11</v>
      </c>
      <c r="K3" s="7"/>
      <c r="L3" s="7"/>
      <c r="M3" s="13" t="s">
        <v>12</v>
      </c>
      <c r="N3" s="162" t="s">
        <v>13</v>
      </c>
      <c r="O3" s="18" t="s">
        <v>14</v>
      </c>
      <c r="P3" s="7"/>
      <c r="Q3" s="7"/>
      <c r="R3" s="7"/>
      <c r="S3" s="7"/>
      <c r="T3" s="7"/>
      <c r="U3" s="7"/>
      <c r="V3" s="7"/>
      <c r="W3" s="7"/>
    </row>
    <row r="4" spans="2:23">
      <c r="B4" s="21" t="s">
        <v>15</v>
      </c>
      <c r="C4" s="32">
        <v>13.375</v>
      </c>
      <c r="D4" s="25" t="s">
        <v>16</v>
      </c>
      <c r="E4" s="7"/>
      <c r="F4" s="7"/>
      <c r="G4" s="7"/>
      <c r="H4" s="21" t="s">
        <v>17</v>
      </c>
      <c r="I4" s="32"/>
      <c r="J4" s="18" t="s">
        <v>18</v>
      </c>
      <c r="K4" s="7"/>
      <c r="L4" s="7"/>
      <c r="M4" s="13" t="s">
        <v>19</v>
      </c>
      <c r="N4" s="162" t="s">
        <v>20</v>
      </c>
      <c r="O4" s="18" t="s">
        <v>14</v>
      </c>
      <c r="P4" s="7"/>
      <c r="Q4" s="7"/>
      <c r="R4" s="7"/>
      <c r="S4" s="7"/>
      <c r="T4" s="7"/>
      <c r="U4" s="7"/>
      <c r="V4" s="7"/>
      <c r="W4" s="7"/>
    </row>
    <row r="5" spans="2:23" ht="15" thickBot="1">
      <c r="B5" s="21" t="s">
        <v>21</v>
      </c>
      <c r="C5" s="32">
        <v>17.5</v>
      </c>
      <c r="D5" s="25" t="s">
        <v>16</v>
      </c>
      <c r="E5" s="7"/>
      <c r="F5" s="7"/>
      <c r="G5" s="7"/>
      <c r="H5" s="21" t="s">
        <v>22</v>
      </c>
      <c r="I5" s="32"/>
      <c r="J5" s="18" t="s">
        <v>23</v>
      </c>
      <c r="K5" s="7"/>
      <c r="L5" s="7"/>
      <c r="M5" s="14" t="s">
        <v>24</v>
      </c>
      <c r="N5" s="163">
        <v>5</v>
      </c>
      <c r="O5" s="19" t="s">
        <v>14</v>
      </c>
      <c r="P5" s="7"/>
      <c r="Q5" s="7"/>
      <c r="R5" s="7"/>
      <c r="S5" s="7"/>
      <c r="T5" s="7"/>
      <c r="U5" s="7"/>
      <c r="V5" s="7"/>
      <c r="W5" s="7"/>
    </row>
    <row r="6" spans="2:23" ht="15" thickBot="1">
      <c r="B6" s="21" t="s">
        <v>25</v>
      </c>
      <c r="C6" s="32">
        <v>54.5</v>
      </c>
      <c r="D6" s="25" t="s">
        <v>26</v>
      </c>
      <c r="E6" s="7"/>
      <c r="F6" s="7"/>
      <c r="G6" s="7"/>
      <c r="H6" s="22" t="s">
        <v>27</v>
      </c>
      <c r="I6" s="33">
        <v>20</v>
      </c>
      <c r="J6" s="19" t="s">
        <v>28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 ht="15" thickBot="1">
      <c r="B7" s="21" t="s">
        <v>29</v>
      </c>
      <c r="C7" s="32">
        <v>9.65</v>
      </c>
      <c r="D7" s="25" t="s">
        <v>30</v>
      </c>
      <c r="E7" s="7"/>
      <c r="F7" s="7"/>
      <c r="G7" s="7"/>
      <c r="H7" s="88"/>
      <c r="I7" s="88"/>
      <c r="J7" s="153"/>
      <c r="K7" s="7"/>
      <c r="L7" s="7"/>
      <c r="M7" s="282" t="s">
        <v>31</v>
      </c>
      <c r="N7" s="283"/>
      <c r="O7" s="284"/>
      <c r="P7" s="7"/>
      <c r="Q7" s="7"/>
      <c r="R7" s="7"/>
      <c r="S7" s="7"/>
      <c r="T7" s="7"/>
      <c r="U7" s="7"/>
      <c r="V7" s="7"/>
      <c r="W7" s="7"/>
    </row>
    <row r="8" spans="2:23" ht="15" thickBot="1">
      <c r="B8" s="21" t="s">
        <v>32</v>
      </c>
      <c r="C8" s="32">
        <v>4500</v>
      </c>
      <c r="D8" s="25" t="s">
        <v>9</v>
      </c>
      <c r="E8" s="7"/>
      <c r="F8" s="7"/>
      <c r="G8" s="7"/>
      <c r="H8" s="282" t="s">
        <v>33</v>
      </c>
      <c r="I8" s="283"/>
      <c r="J8" s="284"/>
      <c r="K8" s="7"/>
      <c r="L8" s="7"/>
      <c r="M8" s="52" t="s">
        <v>34</v>
      </c>
      <c r="N8" s="51" t="s">
        <v>4</v>
      </c>
      <c r="O8" s="53" t="s">
        <v>5</v>
      </c>
      <c r="P8" s="7"/>
      <c r="Q8" s="7"/>
      <c r="R8" s="7"/>
      <c r="S8" s="7"/>
      <c r="T8" s="7"/>
      <c r="U8" s="7"/>
      <c r="V8" s="7"/>
      <c r="W8" s="7"/>
    </row>
    <row r="9" spans="2:23">
      <c r="B9" s="21" t="s">
        <v>35</v>
      </c>
      <c r="C9" s="32">
        <v>9.625</v>
      </c>
      <c r="D9" s="25" t="s">
        <v>16</v>
      </c>
      <c r="E9" s="7"/>
      <c r="F9" s="7"/>
      <c r="G9" s="7"/>
      <c r="H9" s="48" t="s">
        <v>36</v>
      </c>
      <c r="I9" s="51" t="s">
        <v>4</v>
      </c>
      <c r="J9" s="49" t="s">
        <v>5</v>
      </c>
      <c r="K9" s="7"/>
      <c r="L9" s="7"/>
      <c r="M9" s="21" t="s">
        <v>37</v>
      </c>
      <c r="N9" s="276">
        <v>16</v>
      </c>
      <c r="O9" s="25" t="s">
        <v>38</v>
      </c>
      <c r="P9" s="7"/>
      <c r="Q9" s="7"/>
      <c r="R9" s="7"/>
      <c r="S9" s="7"/>
      <c r="T9" s="7"/>
      <c r="U9" s="7"/>
      <c r="V9" s="7"/>
      <c r="W9" s="7"/>
    </row>
    <row r="10" spans="2:23">
      <c r="B10" s="21" t="s">
        <v>39</v>
      </c>
      <c r="C10" s="32">
        <v>12.25</v>
      </c>
      <c r="D10" s="25" t="s">
        <v>16</v>
      </c>
      <c r="E10" s="7"/>
      <c r="F10" s="7"/>
      <c r="G10" s="7"/>
      <c r="H10" s="21" t="s">
        <v>40</v>
      </c>
      <c r="I10" s="32">
        <v>1600</v>
      </c>
      <c r="J10" s="25" t="s">
        <v>9</v>
      </c>
      <c r="K10" s="7"/>
      <c r="L10" s="7"/>
      <c r="M10" s="21" t="s">
        <v>41</v>
      </c>
      <c r="N10" s="276">
        <v>19.350000000000001</v>
      </c>
      <c r="O10" s="25" t="s">
        <v>38</v>
      </c>
      <c r="P10" s="7"/>
      <c r="Q10" s="7"/>
      <c r="R10" s="7"/>
      <c r="S10" s="7"/>
      <c r="T10" s="7"/>
      <c r="U10" s="7"/>
      <c r="V10" s="7"/>
      <c r="W10" s="7"/>
    </row>
    <row r="11" spans="2:23">
      <c r="B11" s="21" t="s">
        <v>42</v>
      </c>
      <c r="C11" s="32">
        <v>40</v>
      </c>
      <c r="D11" s="25" t="s">
        <v>26</v>
      </c>
      <c r="E11" s="7"/>
      <c r="F11" s="7"/>
      <c r="G11" s="7"/>
      <c r="H11" s="21" t="s">
        <v>43</v>
      </c>
      <c r="I11" s="32">
        <v>4</v>
      </c>
      <c r="J11" s="25" t="s">
        <v>9</v>
      </c>
      <c r="K11" s="7"/>
      <c r="L11" s="7"/>
      <c r="M11" s="21" t="s">
        <v>44</v>
      </c>
      <c r="N11" s="276">
        <v>0.7</v>
      </c>
      <c r="O11" s="25" t="s">
        <v>38</v>
      </c>
      <c r="P11" s="7"/>
      <c r="Q11" s="7"/>
      <c r="R11" s="7"/>
      <c r="S11" s="7"/>
      <c r="T11" s="7"/>
      <c r="U11" s="7"/>
      <c r="V11" s="7"/>
      <c r="W11" s="7"/>
    </row>
    <row r="12" spans="2:23" ht="15" thickBot="1">
      <c r="B12" s="21" t="s">
        <v>45</v>
      </c>
      <c r="C12" s="32">
        <v>10.029999999999999</v>
      </c>
      <c r="D12" s="25" t="s">
        <v>30</v>
      </c>
      <c r="E12" s="7"/>
      <c r="F12" s="7"/>
      <c r="G12" s="7"/>
      <c r="H12" s="21" t="s">
        <v>46</v>
      </c>
      <c r="I12" s="32">
        <v>5</v>
      </c>
      <c r="J12" s="25" t="s">
        <v>9</v>
      </c>
      <c r="K12" s="7"/>
      <c r="L12" s="7"/>
      <c r="M12" s="22" t="s">
        <v>47</v>
      </c>
      <c r="N12" s="277">
        <v>1</v>
      </c>
      <c r="O12" s="26" t="s">
        <v>48</v>
      </c>
      <c r="P12" s="7"/>
      <c r="Q12" s="7"/>
      <c r="R12" s="7"/>
      <c r="S12" s="7"/>
      <c r="T12" s="7"/>
      <c r="U12" s="7"/>
      <c r="V12" s="7"/>
      <c r="W12" s="7"/>
    </row>
    <row r="13" spans="2:23" ht="15" thickBot="1">
      <c r="B13" s="21" t="s">
        <v>49</v>
      </c>
      <c r="C13" s="32">
        <v>5500</v>
      </c>
      <c r="D13" s="25" t="s">
        <v>9</v>
      </c>
      <c r="E13" s="7"/>
      <c r="F13" s="7"/>
      <c r="G13" s="7"/>
      <c r="H13" s="14" t="s">
        <v>50</v>
      </c>
      <c r="I13" s="33" t="s">
        <v>51</v>
      </c>
      <c r="J13" s="19" t="s">
        <v>14</v>
      </c>
      <c r="K13" s="7"/>
      <c r="L13" s="7"/>
      <c r="P13" s="7"/>
      <c r="Q13" s="7"/>
      <c r="R13" s="7"/>
      <c r="S13" s="7"/>
      <c r="T13" s="7"/>
      <c r="U13" s="7"/>
      <c r="V13" s="7"/>
      <c r="W13" s="7"/>
    </row>
    <row r="14" spans="2:23" ht="15" thickBot="1">
      <c r="B14" s="21" t="s">
        <v>52</v>
      </c>
      <c r="C14" s="32">
        <v>5.5</v>
      </c>
      <c r="D14" s="25" t="s">
        <v>16</v>
      </c>
      <c r="E14" s="7"/>
      <c r="F14" s="7"/>
      <c r="G14" s="7"/>
      <c r="H14" s="52" t="s">
        <v>53</v>
      </c>
      <c r="I14" s="51" t="s">
        <v>4</v>
      </c>
      <c r="J14" s="49" t="s">
        <v>5</v>
      </c>
      <c r="K14" s="7"/>
      <c r="L14" s="7"/>
      <c r="M14" s="282" t="s">
        <v>54</v>
      </c>
      <c r="N14" s="283"/>
      <c r="O14" s="284"/>
      <c r="P14" s="7"/>
      <c r="Q14" s="7"/>
      <c r="R14" s="7"/>
      <c r="S14" s="7"/>
      <c r="T14" s="7"/>
      <c r="U14" s="7"/>
      <c r="V14" s="7"/>
      <c r="W14" s="7"/>
    </row>
    <row r="15" spans="2:23">
      <c r="B15" s="21" t="s">
        <v>55</v>
      </c>
      <c r="C15" s="32">
        <v>8.5</v>
      </c>
      <c r="D15" s="25" t="s">
        <v>16</v>
      </c>
      <c r="E15" s="7"/>
      <c r="F15" s="7"/>
      <c r="G15" s="7"/>
      <c r="H15" s="21" t="s">
        <v>40</v>
      </c>
      <c r="I15" s="32">
        <v>65</v>
      </c>
      <c r="J15" s="25" t="s">
        <v>9</v>
      </c>
      <c r="K15" s="7"/>
      <c r="L15" s="7"/>
      <c r="M15" s="52" t="s">
        <v>34</v>
      </c>
      <c r="N15" s="51" t="s">
        <v>4</v>
      </c>
      <c r="O15" s="53" t="s">
        <v>5</v>
      </c>
      <c r="P15" s="7"/>
      <c r="Q15" s="7"/>
      <c r="R15" s="7"/>
      <c r="S15" s="7"/>
      <c r="T15" s="7"/>
      <c r="U15" s="7"/>
      <c r="V15" s="7"/>
      <c r="W15" s="7"/>
    </row>
    <row r="16" spans="2:23">
      <c r="B16" s="21" t="s">
        <v>56</v>
      </c>
      <c r="C16" s="32">
        <v>17</v>
      </c>
      <c r="D16" s="25" t="s">
        <v>26</v>
      </c>
      <c r="E16" s="7"/>
      <c r="F16" s="7"/>
      <c r="G16" s="7"/>
      <c r="H16" s="21" t="s">
        <v>57</v>
      </c>
      <c r="I16" s="32"/>
      <c r="J16" s="24" t="s">
        <v>16</v>
      </c>
      <c r="K16" s="7"/>
      <c r="L16" s="7"/>
      <c r="M16" s="13" t="s">
        <v>58</v>
      </c>
      <c r="N16" s="261">
        <v>504</v>
      </c>
      <c r="O16" s="18" t="s">
        <v>59</v>
      </c>
      <c r="P16" s="7"/>
      <c r="Q16" s="7"/>
      <c r="R16" s="7"/>
      <c r="S16" s="7"/>
      <c r="T16" s="7"/>
      <c r="U16" s="7"/>
      <c r="V16" s="7"/>
      <c r="W16" s="7"/>
    </row>
    <row r="17" spans="2:23" ht="15" thickBot="1">
      <c r="B17" s="21" t="s">
        <v>60</v>
      </c>
      <c r="C17" s="32">
        <v>7.72</v>
      </c>
      <c r="D17" s="25" t="s">
        <v>30</v>
      </c>
      <c r="E17" s="7"/>
      <c r="F17" s="7"/>
      <c r="G17" s="7"/>
      <c r="H17" s="22" t="s">
        <v>61</v>
      </c>
      <c r="I17" s="33"/>
      <c r="J17" s="35" t="s">
        <v>16</v>
      </c>
      <c r="K17" s="7"/>
      <c r="L17" s="7"/>
      <c r="M17" s="13" t="s">
        <v>50</v>
      </c>
      <c r="N17" s="261">
        <v>500</v>
      </c>
      <c r="O17" s="18" t="s">
        <v>62</v>
      </c>
      <c r="P17" s="7"/>
      <c r="Q17" s="7"/>
      <c r="R17" s="7"/>
      <c r="S17" s="7"/>
      <c r="T17" s="7"/>
      <c r="U17" s="7"/>
      <c r="V17" s="7"/>
      <c r="W17" s="7"/>
    </row>
    <row r="18" spans="2:23" ht="15" thickBot="1">
      <c r="B18" s="21" t="s">
        <v>63</v>
      </c>
      <c r="C18" s="32">
        <v>5400</v>
      </c>
      <c r="D18" s="25" t="s">
        <v>9</v>
      </c>
      <c r="E18" s="7"/>
      <c r="F18" s="7"/>
      <c r="G18" s="7"/>
      <c r="K18" s="7"/>
      <c r="L18" s="7"/>
      <c r="M18" s="14" t="s">
        <v>64</v>
      </c>
      <c r="N18" s="27"/>
      <c r="O18" s="19" t="s">
        <v>65</v>
      </c>
      <c r="P18" s="7"/>
      <c r="Q18" s="7"/>
      <c r="R18" s="7"/>
      <c r="S18" s="7"/>
      <c r="T18" s="7"/>
      <c r="U18" s="7"/>
      <c r="V18" s="7"/>
      <c r="W18" s="7"/>
    </row>
    <row r="19" spans="2:23" ht="15" thickBot="1">
      <c r="B19" s="22" t="s">
        <v>66</v>
      </c>
      <c r="C19" s="33">
        <v>2.5</v>
      </c>
      <c r="D19" s="26" t="s">
        <v>16</v>
      </c>
      <c r="E19" s="7"/>
      <c r="F19" s="7"/>
      <c r="G19" s="7"/>
      <c r="K19" s="7"/>
      <c r="L19" s="7"/>
      <c r="P19" s="7"/>
      <c r="Q19" s="7"/>
      <c r="R19" s="7"/>
      <c r="S19" s="7"/>
      <c r="T19" s="7"/>
      <c r="U19" s="7"/>
      <c r="V19" s="7"/>
      <c r="W19" s="7"/>
    </row>
    <row r="20" spans="2:23" ht="15" thickBot="1">
      <c r="B20" s="119" t="s">
        <v>67</v>
      </c>
      <c r="C20" s="114" t="s">
        <v>4</v>
      </c>
      <c r="D20" s="120" t="s">
        <v>5</v>
      </c>
      <c r="E20" s="7"/>
      <c r="F20" s="7"/>
      <c r="G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2:23">
      <c r="B21" s="116" t="s">
        <v>8</v>
      </c>
      <c r="C21" s="117">
        <v>350</v>
      </c>
      <c r="D21" s="118" t="s">
        <v>9</v>
      </c>
      <c r="E21" s="7"/>
      <c r="F21" s="7"/>
      <c r="G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2:23">
      <c r="B22" s="21" t="s">
        <v>15</v>
      </c>
      <c r="C22" s="32">
        <v>16</v>
      </c>
      <c r="D22" s="25" t="s">
        <v>16</v>
      </c>
      <c r="E22" s="7"/>
      <c r="F22" s="7"/>
      <c r="G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2:23">
      <c r="B23" s="21" t="s">
        <v>21</v>
      </c>
      <c r="C23" s="32">
        <v>20</v>
      </c>
      <c r="D23" s="25" t="s">
        <v>16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2:23">
      <c r="B24" s="21" t="s">
        <v>25</v>
      </c>
      <c r="C24" s="32">
        <v>84</v>
      </c>
      <c r="D24" s="25" t="s">
        <v>26</v>
      </c>
      <c r="E24" s="7"/>
      <c r="F24" s="7"/>
      <c r="G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21" t="s">
        <v>29</v>
      </c>
      <c r="C25" s="32">
        <v>12.57</v>
      </c>
      <c r="D25" s="25" t="s">
        <v>30</v>
      </c>
      <c r="E25" s="7"/>
      <c r="F25" s="7"/>
      <c r="G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21" t="s">
        <v>32</v>
      </c>
      <c r="C26" s="32">
        <v>4500</v>
      </c>
      <c r="D26" s="25" t="s">
        <v>9</v>
      </c>
      <c r="E26" s="7"/>
      <c r="F26" s="7"/>
      <c r="G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21" t="s">
        <v>35</v>
      </c>
      <c r="C27" s="32">
        <v>10.75</v>
      </c>
      <c r="D27" s="25" t="s">
        <v>16</v>
      </c>
      <c r="E27" s="7"/>
      <c r="F27" s="7"/>
      <c r="G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21" t="s">
        <v>39</v>
      </c>
      <c r="C28" s="32">
        <v>14.75</v>
      </c>
      <c r="D28" s="25" t="s">
        <v>16</v>
      </c>
      <c r="E28" s="7"/>
      <c r="F28" s="7"/>
      <c r="G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21" t="s">
        <v>42</v>
      </c>
      <c r="C29" s="32">
        <v>51</v>
      </c>
      <c r="D29" s="25" t="s">
        <v>26</v>
      </c>
      <c r="E29" s="7"/>
      <c r="F29" s="7"/>
      <c r="G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2:23">
      <c r="B30" s="21" t="s">
        <v>45</v>
      </c>
      <c r="C30" s="32">
        <v>11.43</v>
      </c>
      <c r="D30" s="25" t="s">
        <v>30</v>
      </c>
      <c r="E30" s="7"/>
      <c r="F30" s="7"/>
      <c r="G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2:23">
      <c r="B31" s="21" t="s">
        <v>68</v>
      </c>
      <c r="C31" s="32">
        <v>6350</v>
      </c>
      <c r="D31" s="25" t="s">
        <v>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2:23">
      <c r="B32" s="21" t="s">
        <v>69</v>
      </c>
      <c r="C32" s="32">
        <v>7</v>
      </c>
      <c r="D32" s="25" t="s">
        <v>16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B33" s="21" t="s">
        <v>70</v>
      </c>
      <c r="C33" s="32">
        <v>9.75</v>
      </c>
      <c r="D33" s="25" t="s">
        <v>16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>
      <c r="B34" s="21" t="s">
        <v>71</v>
      </c>
      <c r="C34" s="32">
        <v>26</v>
      </c>
      <c r="D34" s="25" t="s">
        <v>26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B35" s="21" t="s">
        <v>72</v>
      </c>
      <c r="C35" s="32">
        <v>9.19</v>
      </c>
      <c r="D35" s="25" t="s">
        <v>30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>
      <c r="B36" s="21" t="s">
        <v>73</v>
      </c>
      <c r="C36" s="32">
        <v>6000</v>
      </c>
      <c r="D36" s="25" t="s">
        <v>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5" thickBot="1">
      <c r="B37" s="22" t="s">
        <v>74</v>
      </c>
      <c r="C37" s="33">
        <v>3.5</v>
      </c>
      <c r="D37" s="26" t="s">
        <v>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" thickBot="1">
      <c r="A39" s="4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7"/>
    </row>
    <row r="40" spans="1:23" ht="15.6" thickTop="1" thickBot="1"/>
    <row r="41" spans="1:23" ht="15" thickBot="1">
      <c r="B41" s="282" t="s">
        <v>75</v>
      </c>
      <c r="C41" s="283"/>
      <c r="D41" s="283"/>
      <c r="E41" s="283"/>
      <c r="F41" s="284"/>
      <c r="G41" s="161"/>
      <c r="H41" s="282" t="s">
        <v>76</v>
      </c>
      <c r="I41" s="283"/>
      <c r="J41" s="284"/>
      <c r="K41" s="159"/>
      <c r="L41" s="159"/>
      <c r="M41" s="159"/>
    </row>
    <row r="42" spans="1:23">
      <c r="B42" s="48" t="s">
        <v>77</v>
      </c>
      <c r="C42" s="51" t="s">
        <v>4</v>
      </c>
      <c r="D42" s="51" t="s">
        <v>5</v>
      </c>
      <c r="E42" s="51" t="s">
        <v>4</v>
      </c>
      <c r="F42" s="49" t="s">
        <v>5</v>
      </c>
      <c r="G42" s="57"/>
      <c r="H42" s="167" t="s">
        <v>53</v>
      </c>
      <c r="I42" s="47" t="s">
        <v>4</v>
      </c>
      <c r="J42" s="46" t="s">
        <v>5</v>
      </c>
    </row>
    <row r="43" spans="1:23" ht="15">
      <c r="B43" s="122" t="s">
        <v>78</v>
      </c>
      <c r="C43" s="169">
        <f>SUM(C44:C46)</f>
        <v>6434.5254793990134</v>
      </c>
      <c r="D43" s="61" t="s">
        <v>79</v>
      </c>
      <c r="E43" s="169">
        <f t="shared" ref="E43:E50" si="0">C43*0.0283168</f>
        <v>182.20517109504598</v>
      </c>
      <c r="F43" s="28" t="s">
        <v>80</v>
      </c>
      <c r="G43" s="160"/>
      <c r="H43" s="122" t="s">
        <v>81</v>
      </c>
      <c r="I43" s="169">
        <f>VLOOKUP($N$4,Chillers!$A$6:$F$9,2,FALSE)</f>
        <v>32529</v>
      </c>
      <c r="J43" s="164" t="s">
        <v>38</v>
      </c>
    </row>
    <row r="44" spans="1:23" ht="15">
      <c r="B44" s="105" t="s">
        <v>82</v>
      </c>
      <c r="C44" s="169">
        <f>C3*PI()*(((C5/12)/2)^2)-(((C4/12)/2)^2)</f>
        <v>584.30654849245809</v>
      </c>
      <c r="D44" s="61" t="s">
        <v>79</v>
      </c>
      <c r="E44" s="169">
        <f t="shared" si="0"/>
        <v>16.545691672351236</v>
      </c>
      <c r="F44" s="28" t="s">
        <v>80</v>
      </c>
      <c r="G44" s="160"/>
      <c r="H44" s="105" t="s">
        <v>41</v>
      </c>
      <c r="I44" s="169">
        <f>VLOOKUP($N$4,Chillers!$A$6:$F$9,3,FALSE)</f>
        <v>24397</v>
      </c>
      <c r="J44" s="164" t="s">
        <v>38</v>
      </c>
    </row>
    <row r="45" spans="1:23" ht="15">
      <c r="B45" s="105" t="s">
        <v>83</v>
      </c>
      <c r="C45" s="169">
        <f>C8*PI()*(((C10/12)/2)^2)-(((C9/12)/2)^2)</f>
        <v>3682.9270372950209</v>
      </c>
      <c r="D45" s="61" t="s">
        <v>79</v>
      </c>
      <c r="E45" s="169">
        <f t="shared" si="0"/>
        <v>104.28870832967564</v>
      </c>
      <c r="F45" s="28" t="s">
        <v>80</v>
      </c>
      <c r="G45" s="160"/>
      <c r="H45" s="105" t="s">
        <v>84</v>
      </c>
      <c r="I45" s="169">
        <f>VLOOKUP($N$4,Chillers!$A$6:$F$9,4,FALSE)</f>
        <v>6506</v>
      </c>
      <c r="J45" s="164" t="s">
        <v>38</v>
      </c>
    </row>
    <row r="46" spans="1:23" ht="15">
      <c r="B46" s="105" t="s">
        <v>85</v>
      </c>
      <c r="C46" s="169">
        <f>C13*PI()*(((C15/12)/2)^2)-(((C14/12)/2)^2)</f>
        <v>2167.2918936115348</v>
      </c>
      <c r="D46" s="61" t="s">
        <v>79</v>
      </c>
      <c r="E46" s="169">
        <f t="shared" si="0"/>
        <v>61.370771093019108</v>
      </c>
      <c r="F46" s="28" t="s">
        <v>80</v>
      </c>
      <c r="G46" s="160"/>
      <c r="H46" s="105" t="s">
        <v>86</v>
      </c>
      <c r="I46" s="169">
        <f>VLOOKUP($N$4,Chillers!$A$6:$F$9,5,FALSE)</f>
        <v>435</v>
      </c>
      <c r="J46" s="164" t="s">
        <v>38</v>
      </c>
    </row>
    <row r="47" spans="1:23" ht="15">
      <c r="B47" s="122" t="s">
        <v>87</v>
      </c>
      <c r="C47" s="169">
        <f>SUM(C48:C50)</f>
        <v>9395.0214921872212</v>
      </c>
      <c r="D47" s="61" t="s">
        <v>79</v>
      </c>
      <c r="E47" s="169">
        <f t="shared" si="0"/>
        <v>266.03694458996711</v>
      </c>
      <c r="F47" s="28" t="s">
        <v>80</v>
      </c>
      <c r="G47" s="160"/>
      <c r="H47" s="122" t="s">
        <v>88</v>
      </c>
      <c r="I47" s="169">
        <f>VLOOKUP($N$4,Chillers!$A$6:$F$9,6,FALSE)</f>
        <v>1191</v>
      </c>
      <c r="J47" s="164" t="s">
        <v>38</v>
      </c>
    </row>
    <row r="48" spans="1:23" ht="15">
      <c r="B48" s="121" t="s">
        <v>82</v>
      </c>
      <c r="C48" s="170">
        <f>C21*PI()*(((C23/12)/2)^2)-(((C22/12)/2)^2)</f>
        <v>763.1371033030747</v>
      </c>
      <c r="D48" s="61" t="s">
        <v>79</v>
      </c>
      <c r="E48" s="169">
        <f t="shared" si="0"/>
        <v>21.609600726812506</v>
      </c>
      <c r="F48" s="28" t="s">
        <v>80</v>
      </c>
      <c r="G48" s="160"/>
      <c r="H48" s="105" t="s">
        <v>24</v>
      </c>
      <c r="I48" s="169">
        <f>N5</f>
        <v>5</v>
      </c>
      <c r="J48" s="164" t="s">
        <v>14</v>
      </c>
    </row>
    <row r="49" spans="2:12" ht="15.6" thickBot="1">
      <c r="B49" s="121" t="s">
        <v>83</v>
      </c>
      <c r="C49" s="170">
        <f>C26*PI()*(((C28/12)/2)^2)-(((C27/12)/2)^2)</f>
        <v>5339.5864932896402</v>
      </c>
      <c r="D49" s="61" t="s">
        <v>79</v>
      </c>
      <c r="E49" s="169">
        <f t="shared" si="0"/>
        <v>151.20000281318408</v>
      </c>
      <c r="F49" s="28" t="s">
        <v>80</v>
      </c>
      <c r="G49" s="160"/>
      <c r="H49" s="165" t="s">
        <v>89</v>
      </c>
      <c r="I49" s="174">
        <f>VLOOKUP(N4,Chillers!C2:D4,2,FALSE)</f>
        <v>2285</v>
      </c>
      <c r="J49" s="166" t="s">
        <v>65</v>
      </c>
    </row>
    <row r="50" spans="2:12" ht="15.6" thickBot="1">
      <c r="B50" s="121" t="s">
        <v>90</v>
      </c>
      <c r="C50" s="170">
        <f>C31*PI()*(((C33/12)/2)^2)-(((C32/12)/2)^2)</f>
        <v>3292.2978955945073</v>
      </c>
      <c r="D50" s="61" t="s">
        <v>79</v>
      </c>
      <c r="E50" s="169">
        <f t="shared" si="0"/>
        <v>93.227341049970548</v>
      </c>
      <c r="F50" s="28" t="s">
        <v>80</v>
      </c>
      <c r="G50" s="160"/>
    </row>
    <row r="51" spans="2:12" ht="15" thickBot="1">
      <c r="B51" s="48" t="s">
        <v>41</v>
      </c>
      <c r="C51" s="51" t="s">
        <v>4</v>
      </c>
      <c r="D51" s="51" t="s">
        <v>5</v>
      </c>
      <c r="E51" s="51" t="s">
        <v>4</v>
      </c>
      <c r="F51" s="49" t="s">
        <v>5</v>
      </c>
      <c r="G51" s="57"/>
      <c r="H51" s="279" t="s">
        <v>91</v>
      </c>
      <c r="I51" s="280"/>
      <c r="J51" s="281"/>
    </row>
    <row r="52" spans="2:12" ht="15">
      <c r="B52" s="122" t="s">
        <v>78</v>
      </c>
      <c r="C52" s="169">
        <f>SUM(C53:C55)</f>
        <v>989.82875574318746</v>
      </c>
      <c r="D52" s="61" t="s">
        <v>79</v>
      </c>
      <c r="E52" s="169">
        <f>C52*0.0283168</f>
        <v>28.028782910628689</v>
      </c>
      <c r="F52" s="28" t="s">
        <v>80</v>
      </c>
      <c r="G52" s="160"/>
      <c r="H52" s="50" t="s">
        <v>53</v>
      </c>
      <c r="I52" s="51" t="s">
        <v>4</v>
      </c>
      <c r="J52" s="49" t="s">
        <v>5</v>
      </c>
    </row>
    <row r="53" spans="2:12" ht="15">
      <c r="B53" s="105" t="s">
        <v>82</v>
      </c>
      <c r="C53" s="169">
        <f>C3*PI()*((C7/25.4)/2)^2</f>
        <v>39.67757481065567</v>
      </c>
      <c r="D53" s="61" t="s">
        <v>79</v>
      </c>
      <c r="E53" s="169">
        <f t="shared" ref="E53:E59" si="1">C53*0.0283168</f>
        <v>1.1235419503983746</v>
      </c>
      <c r="F53" s="28" t="s">
        <v>80</v>
      </c>
      <c r="G53" s="160"/>
      <c r="H53" s="240" t="s">
        <v>92</v>
      </c>
      <c r="I53" s="239">
        <f>N17</f>
        <v>500</v>
      </c>
      <c r="J53" s="241" t="s">
        <v>62</v>
      </c>
    </row>
    <row r="54" spans="2:12" ht="15.6" thickBot="1">
      <c r="B54" s="105" t="s">
        <v>83</v>
      </c>
      <c r="C54" s="169">
        <f>C8*PI()*((C12/25.4)/2)^2</f>
        <v>551.10814283679497</v>
      </c>
      <c r="D54" s="61" t="s">
        <v>79</v>
      </c>
      <c r="E54" s="169">
        <f t="shared" si="1"/>
        <v>15.605619059080956</v>
      </c>
      <c r="F54" s="28" t="s">
        <v>80</v>
      </c>
      <c r="G54" s="160"/>
      <c r="H54" s="242" t="s">
        <v>51</v>
      </c>
      <c r="I54" s="174">
        <f>I53</f>
        <v>500</v>
      </c>
      <c r="J54" s="243" t="s">
        <v>62</v>
      </c>
    </row>
    <row r="55" spans="2:12" ht="15">
      <c r="B55" s="105" t="s">
        <v>85</v>
      </c>
      <c r="C55" s="169">
        <f>C13*PI()*((C17/25.4)/2)^2</f>
        <v>399.04303809573685</v>
      </c>
      <c r="D55" s="61" t="s">
        <v>79</v>
      </c>
      <c r="E55" s="169">
        <f t="shared" si="1"/>
        <v>11.299621901149361</v>
      </c>
      <c r="F55" s="28" t="s">
        <v>80</v>
      </c>
      <c r="G55" s="160"/>
      <c r="H55" s="50" t="s">
        <v>93</v>
      </c>
      <c r="I55" s="51" t="s">
        <v>4</v>
      </c>
      <c r="J55" s="49" t="s">
        <v>5</v>
      </c>
    </row>
    <row r="56" spans="2:12" ht="15">
      <c r="B56" s="122" t="s">
        <v>87</v>
      </c>
      <c r="C56" s="169">
        <f>SUM(C57:C59)</f>
        <v>1435.887429052158</v>
      </c>
      <c r="D56" s="61" t="s">
        <v>79</v>
      </c>
      <c r="E56" s="169">
        <f t="shared" si="1"/>
        <v>40.659737150984149</v>
      </c>
      <c r="F56" s="28" t="s">
        <v>80</v>
      </c>
      <c r="G56" s="160"/>
      <c r="H56" s="105" t="s">
        <v>94</v>
      </c>
      <c r="I56" s="6">
        <f>(I10*0.3048)*3.2</f>
        <v>1560.576</v>
      </c>
      <c r="J56" s="28" t="s">
        <v>48</v>
      </c>
      <c r="K56" s="57"/>
      <c r="L56" s="57"/>
    </row>
    <row r="57" spans="2:12" ht="15.6" thickBot="1">
      <c r="B57" s="105" t="s">
        <v>82</v>
      </c>
      <c r="C57" s="169">
        <f>C21*PI()*((C25/25.4)/2)^2</f>
        <v>67.322626005532143</v>
      </c>
      <c r="D57" s="61" t="s">
        <v>79</v>
      </c>
      <c r="E57" s="169">
        <f t="shared" si="1"/>
        <v>1.9063613360734526</v>
      </c>
      <c r="F57" s="28" t="s">
        <v>80</v>
      </c>
      <c r="G57" s="160"/>
      <c r="H57" s="109" t="s">
        <v>95</v>
      </c>
      <c r="I57" s="106">
        <f>((C13+C31)*0.3048)*2.4</f>
        <v>8668.5120000000006</v>
      </c>
      <c r="J57" s="29" t="s">
        <v>48</v>
      </c>
      <c r="K57" s="244"/>
      <c r="L57" s="88"/>
    </row>
    <row r="58" spans="2:12" ht="15">
      <c r="B58" s="105" t="s">
        <v>83</v>
      </c>
      <c r="C58" s="169">
        <f>C26*PI()*((C30/25.4)/2)^2</f>
        <v>715.69407639592487</v>
      </c>
      <c r="D58" s="61" t="s">
        <v>79</v>
      </c>
      <c r="E58" s="169">
        <f t="shared" si="1"/>
        <v>20.266166022488125</v>
      </c>
      <c r="F58" s="28" t="s">
        <v>80</v>
      </c>
      <c r="G58" s="160"/>
      <c r="K58" s="244"/>
      <c r="L58" s="88"/>
    </row>
    <row r="59" spans="2:12" ht="15">
      <c r="B59" s="105" t="s">
        <v>90</v>
      </c>
      <c r="C59" s="169">
        <f>C31*PI()*((C35/25.4)/2)^2</f>
        <v>652.87072665070104</v>
      </c>
      <c r="D59" s="61" t="s">
        <v>79</v>
      </c>
      <c r="E59" s="169">
        <f t="shared" si="1"/>
        <v>18.487209792422572</v>
      </c>
      <c r="F59" s="28" t="s">
        <v>80</v>
      </c>
      <c r="G59" s="160"/>
    </row>
    <row r="60" spans="2:12">
      <c r="B60" s="123" t="s">
        <v>96</v>
      </c>
      <c r="C60" s="171">
        <f>SUM(C61,C63)</f>
        <v>11400</v>
      </c>
      <c r="D60" s="110" t="s">
        <v>9</v>
      </c>
      <c r="E60" s="172">
        <f>C60*0.3048</f>
        <v>3474.7200000000003</v>
      </c>
      <c r="F60" s="108" t="s">
        <v>62</v>
      </c>
      <c r="G60" s="88"/>
    </row>
    <row r="61" spans="2:12">
      <c r="B61" s="111" t="s">
        <v>3</v>
      </c>
      <c r="C61" s="172">
        <f>C18</f>
        <v>5400</v>
      </c>
      <c r="D61" s="61" t="s">
        <v>9</v>
      </c>
      <c r="E61" s="172">
        <f>C61*0.3048</f>
        <v>1645.92</v>
      </c>
      <c r="F61" s="108" t="s">
        <v>62</v>
      </c>
      <c r="G61" s="88"/>
    </row>
    <row r="62" spans="2:12">
      <c r="B62" s="111" t="s">
        <v>97</v>
      </c>
      <c r="C62" s="169"/>
      <c r="D62" s="61"/>
      <c r="E62" s="169"/>
      <c r="F62" s="108"/>
      <c r="G62" s="88"/>
    </row>
    <row r="63" spans="2:12">
      <c r="B63" s="111" t="s">
        <v>67</v>
      </c>
      <c r="C63" s="172">
        <f>C36</f>
        <v>6000</v>
      </c>
      <c r="D63" s="61" t="s">
        <v>9</v>
      </c>
      <c r="E63" s="169">
        <f>C63*0.3048</f>
        <v>1828.8000000000002</v>
      </c>
      <c r="F63" s="28" t="s">
        <v>62</v>
      </c>
      <c r="G63" s="160"/>
    </row>
    <row r="64" spans="2:12" ht="15" thickBot="1">
      <c r="B64" s="165" t="s">
        <v>98</v>
      </c>
      <c r="C64" s="173"/>
      <c r="D64" s="31"/>
      <c r="E64" s="173"/>
      <c r="F64" s="29"/>
      <c r="G64" s="160"/>
    </row>
    <row r="65" spans="2:7">
      <c r="B65" s="168"/>
      <c r="C65" s="107"/>
      <c r="D65" s="160"/>
      <c r="E65" s="107"/>
      <c r="F65" s="160"/>
      <c r="G65" s="160"/>
    </row>
    <row r="66" spans="2:7">
      <c r="G66" s="57"/>
    </row>
    <row r="67" spans="2:7">
      <c r="G67" s="160"/>
    </row>
    <row r="68" spans="2:7">
      <c r="G68" s="160"/>
    </row>
  </sheetData>
  <mergeCells count="9">
    <mergeCell ref="B1:D1"/>
    <mergeCell ref="H1:J1"/>
    <mergeCell ref="M1:O1"/>
    <mergeCell ref="H8:J8"/>
    <mergeCell ref="H51:J51"/>
    <mergeCell ref="M7:O7"/>
    <mergeCell ref="M14:O14"/>
    <mergeCell ref="H41:J41"/>
    <mergeCell ref="B41:F4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Chillers!$C$2:$C$4</xm:f>
          </x14:formula1>
          <xm:sqref>N4</xm:sqref>
        </x14:dataValidation>
        <x14:dataValidation type="list" allowBlank="1" showInputMessage="1" showErrorMessage="1" xr:uid="{00000000-0002-0000-0000-000001000000}">
          <x14:formula1>
            <xm:f>Chillers!$B$2:$B$4</xm:f>
          </x14:formula1>
          <xm:sqref>N3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workbookViewId="0">
      <selection activeCell="B2" sqref="B2"/>
    </sheetView>
  </sheetViews>
  <sheetFormatPr defaultColWidth="8.85546875" defaultRowHeight="14.45"/>
  <cols>
    <col min="1" max="1" width="7.42578125" bestFit="1" customWidth="1"/>
    <col min="2" max="2" width="15.85546875" customWidth="1"/>
    <col min="3" max="3" width="14.42578125" bestFit="1" customWidth="1"/>
    <col min="4" max="4" width="20.42578125" bestFit="1" customWidth="1"/>
    <col min="5" max="5" width="18.42578125" bestFit="1" customWidth="1"/>
    <col min="6" max="6" width="27.42578125" bestFit="1" customWidth="1"/>
  </cols>
  <sheetData>
    <row r="1" spans="1:15">
      <c r="A1" s="39" t="s">
        <v>300</v>
      </c>
      <c r="B1" s="124" t="s">
        <v>309</v>
      </c>
      <c r="C1" s="40" t="s">
        <v>304</v>
      </c>
      <c r="D1" s="40" t="s">
        <v>305</v>
      </c>
      <c r="E1" s="40" t="s">
        <v>306</v>
      </c>
      <c r="F1" s="40" t="s">
        <v>307</v>
      </c>
      <c r="G1" s="1"/>
      <c r="H1" s="1"/>
      <c r="I1" s="1"/>
      <c r="J1" s="1"/>
      <c r="K1" s="1"/>
      <c r="L1" s="1"/>
      <c r="M1" s="1"/>
      <c r="N1" s="1"/>
      <c r="O1" s="1"/>
    </row>
    <row r="2" spans="1:15">
      <c r="A2" s="23" t="s">
        <v>297</v>
      </c>
      <c r="B2" s="37">
        <f>((SUM(Impacts!D56:D57))*3412.14)/1000000</f>
        <v>7043.2416880998217</v>
      </c>
      <c r="C2" s="37">
        <f>Impacts!G70</f>
        <v>10587414.641866548</v>
      </c>
      <c r="D2" s="37">
        <f>SUM(Impacts!D14,Impacts!D26)</f>
        <v>250487.47621116089</v>
      </c>
      <c r="E2" s="37">
        <f>SUM(Impacts!D66)</f>
        <v>900</v>
      </c>
      <c r="F2" s="37">
        <f>'Steam Offsets'!B11</f>
        <v>350400</v>
      </c>
      <c r="G2" s="1" t="s">
        <v>313</v>
      </c>
      <c r="H2" s="1"/>
      <c r="I2" s="1"/>
      <c r="J2" s="1"/>
      <c r="K2" s="1"/>
      <c r="L2" s="1"/>
      <c r="M2" s="1"/>
      <c r="N2" s="1"/>
      <c r="O2" s="1"/>
    </row>
    <row r="3" spans="1:15">
      <c r="A3" s="23"/>
      <c r="B3" s="30"/>
      <c r="C3" s="30"/>
      <c r="D3" s="30"/>
      <c r="E3" s="30"/>
      <c r="F3" s="30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3"/>
      <c r="B4" s="30"/>
      <c r="C4" s="30"/>
      <c r="D4" s="30"/>
      <c r="E4" s="30"/>
      <c r="F4" s="30"/>
      <c r="G4" s="1"/>
      <c r="H4" s="1"/>
      <c r="I4" s="1"/>
      <c r="J4" s="1"/>
      <c r="K4" s="1"/>
      <c r="L4" s="1"/>
      <c r="M4" s="1"/>
      <c r="N4" s="1"/>
      <c r="O4" s="1"/>
    </row>
    <row r="5" spans="1:15">
      <c r="A5" s="20"/>
      <c r="B5" s="30"/>
      <c r="C5" s="30"/>
      <c r="D5" s="30"/>
      <c r="E5" s="30"/>
      <c r="F5" s="30"/>
      <c r="G5" s="1"/>
      <c r="H5" s="1"/>
      <c r="I5" s="1"/>
      <c r="J5" s="1"/>
      <c r="K5" s="1"/>
      <c r="L5" s="1"/>
      <c r="M5" s="1"/>
      <c r="N5" s="1"/>
      <c r="O5" s="1"/>
    </row>
    <row r="6" spans="1:15">
      <c r="A6" s="20"/>
      <c r="B6" s="30"/>
      <c r="C6" s="30"/>
      <c r="D6" s="30"/>
      <c r="E6" s="12"/>
      <c r="F6" s="30"/>
      <c r="G6" s="1"/>
      <c r="H6" s="1"/>
      <c r="I6" s="1"/>
      <c r="J6" s="1"/>
      <c r="K6" s="1"/>
      <c r="L6" s="1"/>
      <c r="M6" s="1"/>
      <c r="N6" s="1"/>
      <c r="O6" s="1"/>
    </row>
    <row r="7" spans="1:15">
      <c r="A7" s="20"/>
      <c r="B7" s="30"/>
      <c r="C7" s="30"/>
      <c r="D7" s="30"/>
      <c r="E7" s="12"/>
      <c r="F7" s="30"/>
      <c r="G7" s="1"/>
      <c r="H7" s="1"/>
      <c r="I7" s="1"/>
      <c r="J7" s="1"/>
      <c r="K7" s="1"/>
      <c r="L7" s="1"/>
      <c r="M7" s="1"/>
      <c r="N7" s="1"/>
      <c r="O7" s="1"/>
    </row>
    <row r="8" spans="1:15">
      <c r="A8" s="20"/>
      <c r="B8" s="30"/>
      <c r="C8" s="30"/>
      <c r="D8" s="30"/>
      <c r="E8" s="12"/>
      <c r="F8" s="30"/>
      <c r="G8" s="1"/>
      <c r="H8" s="1"/>
      <c r="I8" s="1"/>
      <c r="J8" s="1"/>
      <c r="K8" s="1"/>
      <c r="L8" s="1"/>
      <c r="M8" s="1"/>
      <c r="N8" s="1"/>
      <c r="O8" s="1"/>
    </row>
    <row r="9" spans="1:15">
      <c r="A9" s="20"/>
      <c r="B9" s="30"/>
      <c r="C9" s="30"/>
      <c r="D9" s="30"/>
      <c r="E9" s="12"/>
      <c r="F9" s="30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0"/>
      <c r="B10" s="30"/>
      <c r="C10" s="30"/>
      <c r="D10" s="30"/>
      <c r="E10" s="30"/>
      <c r="F10" s="30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0"/>
      <c r="B11" s="30"/>
      <c r="C11" s="30"/>
      <c r="D11" s="30"/>
      <c r="E11" s="30"/>
      <c r="F11" s="30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0"/>
      <c r="B12" s="30"/>
      <c r="C12" s="30"/>
      <c r="D12" s="30"/>
      <c r="E12" s="30"/>
      <c r="F12" s="30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0"/>
      <c r="B13" s="30"/>
      <c r="C13" s="30"/>
      <c r="D13" s="30"/>
      <c r="E13" s="30"/>
      <c r="F13" s="30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0"/>
      <c r="B14" s="30"/>
      <c r="C14" s="30"/>
      <c r="D14" s="30"/>
      <c r="E14" s="30"/>
      <c r="F14" s="30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0"/>
      <c r="B15" s="30"/>
      <c r="C15" s="30"/>
      <c r="D15" s="30"/>
      <c r="E15" s="30"/>
      <c r="F15" s="30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37">
        <v>1031497.53556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G15" sqref="G15"/>
    </sheetView>
  </sheetViews>
  <sheetFormatPr defaultColWidth="8.85546875" defaultRowHeight="14.45"/>
  <cols>
    <col min="1" max="1" width="30.7109375" bestFit="1" customWidth="1"/>
    <col min="2" max="2" width="32.85546875" customWidth="1"/>
    <col min="3" max="3" width="30.7109375" customWidth="1"/>
    <col min="4" max="4" width="15.42578125" customWidth="1"/>
    <col min="5" max="5" width="15.85546875" bestFit="1" customWidth="1"/>
    <col min="6" max="6" width="13.28515625" bestFit="1" customWidth="1"/>
    <col min="7" max="7" width="13.140625" bestFit="1" customWidth="1"/>
  </cols>
  <sheetData>
    <row r="1" spans="1:14">
      <c r="A1" s="158" t="s">
        <v>314</v>
      </c>
      <c r="B1" s="158" t="s">
        <v>12</v>
      </c>
      <c r="C1" s="158" t="s">
        <v>19</v>
      </c>
      <c r="D1" s="158" t="s">
        <v>315</v>
      </c>
      <c r="E1" s="158" t="s">
        <v>316</v>
      </c>
      <c r="F1" s="158" t="s">
        <v>317</v>
      </c>
      <c r="G1" s="155"/>
      <c r="H1" s="155"/>
      <c r="I1" s="155"/>
      <c r="J1" s="155"/>
      <c r="K1" s="155"/>
      <c r="L1" s="7"/>
      <c r="M1" s="7"/>
      <c r="N1" s="7"/>
    </row>
    <row r="2" spans="1:14">
      <c r="A2" s="30">
        <v>1</v>
      </c>
      <c r="B2" s="61" t="s">
        <v>13</v>
      </c>
      <c r="C2" s="61" t="s">
        <v>20</v>
      </c>
      <c r="D2" s="30">
        <v>2285</v>
      </c>
      <c r="E2" s="30"/>
      <c r="F2" s="30">
        <v>3</v>
      </c>
      <c r="G2" s="157" t="s">
        <v>318</v>
      </c>
      <c r="H2" s="155"/>
      <c r="I2" s="155"/>
      <c r="J2" s="155"/>
      <c r="K2" s="155"/>
      <c r="L2" s="7"/>
      <c r="M2" s="7"/>
      <c r="N2" s="7"/>
    </row>
    <row r="3" spans="1:14">
      <c r="A3" s="30">
        <v>3</v>
      </c>
      <c r="B3" s="61" t="s">
        <v>319</v>
      </c>
      <c r="C3" s="61" t="s">
        <v>320</v>
      </c>
      <c r="D3" s="30">
        <v>2326</v>
      </c>
      <c r="E3" s="30">
        <v>1791</v>
      </c>
      <c r="F3" s="30">
        <v>3</v>
      </c>
      <c r="G3" s="155"/>
      <c r="H3" s="155"/>
      <c r="I3" s="155"/>
      <c r="J3" s="155"/>
      <c r="K3" s="155"/>
      <c r="L3" s="7"/>
      <c r="M3" s="7"/>
      <c r="N3" s="7"/>
    </row>
    <row r="4" spans="1:14">
      <c r="A4" s="30">
        <v>4</v>
      </c>
      <c r="B4" s="61" t="s">
        <v>321</v>
      </c>
      <c r="C4" s="61" t="s">
        <v>322</v>
      </c>
      <c r="D4" s="30">
        <v>1139</v>
      </c>
      <c r="E4" s="30"/>
      <c r="F4" s="30">
        <v>6</v>
      </c>
      <c r="G4" s="155"/>
      <c r="H4" s="155"/>
      <c r="I4" s="155"/>
      <c r="J4" s="155"/>
      <c r="K4" s="155"/>
      <c r="L4" s="7"/>
      <c r="M4" s="7"/>
      <c r="N4" s="7"/>
    </row>
    <row r="5" spans="1:14">
      <c r="C5" s="155"/>
      <c r="D5" s="155"/>
      <c r="E5" s="155"/>
      <c r="F5" s="155"/>
      <c r="G5" s="155"/>
      <c r="H5" s="155"/>
      <c r="I5" s="155"/>
      <c r="J5" s="155"/>
      <c r="K5" s="155"/>
      <c r="L5" s="7"/>
      <c r="M5" s="7"/>
      <c r="N5" s="7"/>
    </row>
    <row r="6" spans="1:14">
      <c r="A6" s="158" t="s">
        <v>19</v>
      </c>
      <c r="B6" s="158" t="s">
        <v>323</v>
      </c>
      <c r="C6" s="158" t="s">
        <v>324</v>
      </c>
      <c r="D6" s="158" t="s">
        <v>325</v>
      </c>
      <c r="E6" s="158" t="s">
        <v>326</v>
      </c>
      <c r="F6" s="158" t="s">
        <v>327</v>
      </c>
      <c r="G6" s="156"/>
      <c r="I6" s="155"/>
      <c r="J6" s="155"/>
      <c r="K6" s="155"/>
      <c r="L6" s="7"/>
      <c r="M6" s="7"/>
      <c r="N6" s="7"/>
    </row>
    <row r="7" spans="1:14">
      <c r="A7" s="61" t="s">
        <v>20</v>
      </c>
      <c r="B7" s="152">
        <v>32529</v>
      </c>
      <c r="C7" s="30">
        <v>24397</v>
      </c>
      <c r="D7" s="30">
        <v>6506</v>
      </c>
      <c r="E7" s="30">
        <v>435</v>
      </c>
      <c r="F7" s="30">
        <v>1191</v>
      </c>
      <c r="G7" s="155"/>
      <c r="H7" s="155"/>
      <c r="I7" s="155"/>
      <c r="J7" s="155"/>
      <c r="K7" s="155"/>
      <c r="L7" s="7"/>
      <c r="M7" s="7"/>
      <c r="N7" s="7"/>
    </row>
    <row r="8" spans="1:14">
      <c r="A8" s="61" t="s">
        <v>320</v>
      </c>
      <c r="B8" s="152">
        <v>88800</v>
      </c>
      <c r="C8" s="30">
        <v>37464</v>
      </c>
      <c r="D8" s="30">
        <v>29436</v>
      </c>
      <c r="E8" s="30"/>
      <c r="F8" s="30"/>
      <c r="G8" s="155"/>
      <c r="H8" s="155"/>
      <c r="I8" s="155"/>
      <c r="J8" s="155"/>
      <c r="K8" s="155"/>
      <c r="L8" s="7"/>
      <c r="M8" s="7"/>
      <c r="N8" s="7"/>
    </row>
    <row r="9" spans="1:14">
      <c r="A9" s="61" t="s">
        <v>322</v>
      </c>
      <c r="B9" s="152">
        <v>59400</v>
      </c>
      <c r="C9" s="30">
        <v>10080</v>
      </c>
      <c r="D9" s="30">
        <v>23760</v>
      </c>
      <c r="E9" s="30">
        <v>23760</v>
      </c>
      <c r="F9" s="30">
        <v>1800</v>
      </c>
      <c r="G9" s="155"/>
      <c r="H9" s="155"/>
      <c r="I9" s="155"/>
      <c r="J9" s="155"/>
      <c r="K9" s="155"/>
      <c r="L9" s="7"/>
      <c r="M9" s="7"/>
      <c r="N9" s="7"/>
    </row>
    <row r="10" spans="1:14">
      <c r="C10" s="155"/>
      <c r="D10" s="155"/>
      <c r="E10" s="155"/>
      <c r="F10" s="155"/>
      <c r="G10" s="155"/>
      <c r="H10" s="155"/>
      <c r="I10" s="155"/>
      <c r="J10" s="155"/>
      <c r="K10" s="155"/>
      <c r="L10" s="7"/>
      <c r="M10" s="7"/>
      <c r="N10" s="7"/>
    </row>
    <row r="11" spans="1:14">
      <c r="C11" s="155"/>
      <c r="D11" s="155"/>
      <c r="E11" s="155"/>
      <c r="F11" s="155"/>
      <c r="G11" s="155"/>
      <c r="H11" s="155"/>
      <c r="I11" s="155"/>
      <c r="J11" s="155"/>
      <c r="K11" s="155"/>
      <c r="L11" s="7"/>
      <c r="M11" s="7"/>
      <c r="N11" s="7"/>
    </row>
    <row r="12" spans="1:14">
      <c r="C12" s="155"/>
      <c r="D12" s="155"/>
      <c r="E12" s="155"/>
      <c r="F12" s="155"/>
      <c r="G12" s="155"/>
      <c r="H12" s="155"/>
      <c r="I12" s="155"/>
      <c r="J12" s="155"/>
      <c r="K12" s="155"/>
      <c r="L12" s="7"/>
      <c r="M12" s="7"/>
      <c r="N12" s="7"/>
    </row>
    <row r="13" spans="1:14">
      <c r="C13" s="155"/>
      <c r="D13" s="155"/>
      <c r="E13" s="155"/>
      <c r="F13" s="155"/>
      <c r="G13" s="155"/>
      <c r="H13" s="155"/>
      <c r="I13" s="155"/>
      <c r="J13" s="155"/>
      <c r="K13" s="155"/>
      <c r="L13" s="7"/>
      <c r="M13" s="7"/>
      <c r="N13" s="7"/>
    </row>
    <row r="14" spans="1:14">
      <c r="C14" s="155"/>
      <c r="D14" s="155"/>
      <c r="E14" s="155"/>
      <c r="F14" s="155"/>
      <c r="G14" s="155"/>
      <c r="H14" s="155"/>
      <c r="I14" s="155"/>
      <c r="J14" s="155"/>
      <c r="K14" s="155"/>
      <c r="L14" s="7"/>
      <c r="M14" s="7"/>
      <c r="N14" s="7"/>
    </row>
    <row r="15" spans="1:14">
      <c r="C15" s="155"/>
      <c r="D15" s="155"/>
      <c r="E15" s="155"/>
      <c r="F15" s="155"/>
      <c r="G15" s="155"/>
      <c r="H15" s="155"/>
      <c r="I15" s="155"/>
      <c r="J15" s="155"/>
      <c r="K15" s="155"/>
      <c r="L15" s="7"/>
      <c r="M15" s="7"/>
      <c r="N15" s="7"/>
    </row>
    <row r="16" spans="1:14">
      <c r="C16" s="155"/>
      <c r="D16" s="155"/>
      <c r="E16" s="155"/>
      <c r="F16" s="155"/>
      <c r="G16" s="155"/>
      <c r="H16" s="155"/>
      <c r="I16" s="155"/>
      <c r="J16" s="155"/>
      <c r="K16" s="155"/>
      <c r="L16" s="7"/>
      <c r="M16" s="7"/>
      <c r="N16" s="7"/>
    </row>
    <row r="17" spans="3:14">
      <c r="C17" s="155"/>
      <c r="D17" s="155"/>
      <c r="E17" s="155"/>
      <c r="F17" s="155"/>
      <c r="G17" s="155"/>
      <c r="H17" s="155"/>
      <c r="I17" s="155"/>
      <c r="J17" s="155"/>
      <c r="K17" s="155"/>
      <c r="L17" s="7"/>
      <c r="M17" s="7"/>
      <c r="N17" s="7"/>
    </row>
    <row r="18" spans="3:14">
      <c r="C18" s="155"/>
      <c r="D18" s="155"/>
      <c r="E18" s="155"/>
      <c r="F18" s="155"/>
      <c r="G18" s="155"/>
      <c r="H18" s="155"/>
      <c r="I18" s="155"/>
      <c r="J18" s="155"/>
      <c r="K18" s="155"/>
      <c r="L18" s="7"/>
      <c r="M18" s="7"/>
      <c r="N18" s="7"/>
    </row>
    <row r="19" spans="3:14">
      <c r="C19" s="155"/>
      <c r="D19" s="155"/>
      <c r="E19" s="155"/>
      <c r="F19" s="155"/>
      <c r="G19" s="155"/>
      <c r="H19" s="155"/>
      <c r="I19" s="155"/>
      <c r="J19" s="155"/>
      <c r="K19" s="155"/>
      <c r="L19" s="7"/>
      <c r="M19" s="7"/>
      <c r="N19" s="7"/>
    </row>
    <row r="20" spans="3:14">
      <c r="C20" s="155"/>
      <c r="D20" s="155"/>
      <c r="E20" s="155"/>
      <c r="F20" s="155"/>
      <c r="G20" s="155"/>
      <c r="H20" s="155"/>
      <c r="I20" s="155"/>
      <c r="J20" s="155"/>
      <c r="K20" s="155"/>
      <c r="L20" s="7"/>
      <c r="M20" s="7"/>
      <c r="N20" s="7"/>
    </row>
    <row r="21" spans="3:14">
      <c r="C21" s="155"/>
      <c r="D21" s="155"/>
      <c r="E21" s="155"/>
      <c r="F21" s="155"/>
      <c r="G21" s="155"/>
      <c r="H21" s="155"/>
      <c r="I21" s="155"/>
      <c r="J21" s="155"/>
      <c r="K21" s="155"/>
      <c r="L21" s="7"/>
      <c r="M21" s="7"/>
      <c r="N21" s="7"/>
    </row>
    <row r="22" spans="3:14">
      <c r="C22" s="155"/>
      <c r="D22" s="155"/>
      <c r="E22" s="155"/>
      <c r="F22" s="155"/>
      <c r="G22" s="155"/>
      <c r="H22" s="155"/>
      <c r="I22" s="155"/>
      <c r="J22" s="155"/>
      <c r="K22" s="155"/>
      <c r="L22" s="7"/>
      <c r="M22" s="7"/>
      <c r="N22" s="7"/>
    </row>
    <row r="23" spans="3:14">
      <c r="C23" s="155"/>
      <c r="D23" s="155"/>
      <c r="E23" s="155"/>
      <c r="F23" s="155"/>
      <c r="G23" s="155"/>
      <c r="H23" s="155"/>
      <c r="I23" s="155"/>
      <c r="J23" s="155"/>
      <c r="K23" s="155"/>
      <c r="L23" s="7"/>
      <c r="M23" s="7"/>
      <c r="N23" s="7"/>
    </row>
    <row r="24" spans="3:14">
      <c r="C24" s="155"/>
      <c r="D24" s="155"/>
      <c r="E24" s="155"/>
      <c r="F24" s="155"/>
      <c r="G24" s="155"/>
      <c r="H24" s="155"/>
      <c r="I24" s="155"/>
      <c r="J24" s="155"/>
      <c r="K24" s="155"/>
      <c r="L24" s="7"/>
      <c r="M24" s="7"/>
      <c r="N24" s="7"/>
    </row>
    <row r="25" spans="3:14">
      <c r="C25" s="155"/>
      <c r="D25" s="155"/>
      <c r="E25" s="155"/>
      <c r="F25" s="155"/>
      <c r="G25" s="155"/>
      <c r="H25" s="155"/>
      <c r="I25" s="155"/>
      <c r="J25" s="155"/>
      <c r="K25" s="155"/>
      <c r="L25" s="7"/>
      <c r="M25" s="7"/>
      <c r="N25" s="7"/>
    </row>
    <row r="26" spans="3:14">
      <c r="C26" s="155"/>
      <c r="D26" s="155"/>
      <c r="E26" s="155"/>
      <c r="F26" s="155"/>
      <c r="G26" s="155"/>
      <c r="H26" s="155"/>
      <c r="I26" s="155"/>
      <c r="J26" s="155"/>
      <c r="K26" s="155"/>
      <c r="L26" s="7"/>
      <c r="M26" s="7"/>
      <c r="N26" s="7"/>
    </row>
    <row r="27" spans="3:14">
      <c r="C27" s="155"/>
      <c r="D27" s="155"/>
      <c r="E27" s="155"/>
      <c r="F27" s="155"/>
      <c r="G27" s="155"/>
      <c r="H27" s="155"/>
      <c r="I27" s="155"/>
      <c r="J27" s="155"/>
      <c r="K27" s="155"/>
      <c r="L27" s="7"/>
      <c r="M27" s="7"/>
      <c r="N27" s="7"/>
    </row>
    <row r="28" spans="3:14">
      <c r="C28" s="155"/>
      <c r="D28" s="155"/>
      <c r="E28" s="155"/>
      <c r="F28" s="155"/>
      <c r="G28" s="155"/>
      <c r="H28" s="155"/>
      <c r="I28" s="155"/>
      <c r="J28" s="155"/>
      <c r="K28" s="155"/>
      <c r="L28" s="7"/>
      <c r="M28" s="7"/>
      <c r="N28" s="7"/>
    </row>
    <row r="29" spans="3:14">
      <c r="C29" s="155"/>
      <c r="D29" s="155"/>
      <c r="E29" s="155"/>
      <c r="F29" s="155"/>
      <c r="G29" s="155"/>
      <c r="H29" s="155"/>
      <c r="I29" s="155"/>
      <c r="J29" s="155"/>
      <c r="K29" s="155"/>
      <c r="L29" s="7"/>
      <c r="M29" s="7"/>
      <c r="N29" s="7"/>
    </row>
    <row r="30" spans="3:14">
      <c r="C30" s="155"/>
      <c r="D30" s="155"/>
      <c r="E30" s="155"/>
      <c r="F30" s="155"/>
      <c r="G30" s="155"/>
      <c r="H30" s="155"/>
      <c r="I30" s="155"/>
      <c r="J30" s="155"/>
      <c r="K30" s="155"/>
      <c r="L30" s="7"/>
      <c r="M30" s="7"/>
      <c r="N30" s="7"/>
    </row>
    <row r="31" spans="3:14">
      <c r="C31" s="155"/>
      <c r="D31" s="155"/>
      <c r="E31" s="155"/>
      <c r="F31" s="155"/>
      <c r="G31" s="155"/>
      <c r="H31" s="155"/>
      <c r="I31" s="155"/>
      <c r="J31" s="155"/>
      <c r="K31" s="155"/>
      <c r="L31" s="7"/>
      <c r="M31" s="7"/>
      <c r="N31" s="7"/>
    </row>
    <row r="32" spans="3:14">
      <c r="C32" s="1"/>
      <c r="D32" s="1"/>
      <c r="E32" s="1"/>
      <c r="F32" s="1"/>
      <c r="G32" s="1"/>
      <c r="H32" s="1"/>
      <c r="I32" s="1"/>
      <c r="J32" s="1"/>
      <c r="K32" s="1"/>
    </row>
    <row r="33" spans="3:11">
      <c r="C33" s="1"/>
      <c r="D33" s="1"/>
      <c r="E33" s="1"/>
      <c r="F33" s="1"/>
      <c r="G33" s="1"/>
      <c r="H33" s="1"/>
      <c r="I33" s="1"/>
      <c r="J33" s="1"/>
      <c r="K33" s="1"/>
    </row>
    <row r="34" spans="3:11">
      <c r="C34" s="1"/>
      <c r="D34" s="1"/>
      <c r="E34" s="1"/>
      <c r="F34" s="1"/>
      <c r="G34" s="1"/>
      <c r="H34" s="1"/>
      <c r="I34" s="1"/>
      <c r="J34" s="1"/>
      <c r="K34" s="1"/>
    </row>
    <row r="35" spans="3:11">
      <c r="C35" s="1"/>
      <c r="D35" s="1"/>
      <c r="E35" s="1"/>
      <c r="F35" s="1"/>
      <c r="G35" s="1"/>
      <c r="H35" s="1"/>
      <c r="I35" s="1"/>
      <c r="J35" s="1"/>
      <c r="K35" s="1"/>
    </row>
    <row r="36" spans="3:11">
      <c r="C36" s="1"/>
      <c r="D36" s="1"/>
      <c r="E36" s="1"/>
      <c r="F36" s="1"/>
      <c r="G36" s="1"/>
      <c r="H36" s="1"/>
      <c r="I36" s="1"/>
      <c r="J36" s="1"/>
      <c r="K36" s="1"/>
    </row>
    <row r="37" spans="3:11">
      <c r="C37" s="1"/>
      <c r="D37" s="1"/>
      <c r="E37" s="1"/>
      <c r="F37" s="1"/>
      <c r="G37" s="1"/>
      <c r="H37" s="1"/>
      <c r="I37" s="1"/>
      <c r="J37" s="1"/>
      <c r="K37" s="1"/>
    </row>
    <row r="38" spans="3:11">
      <c r="C38" s="1"/>
      <c r="D38" s="1"/>
      <c r="E38" s="1"/>
      <c r="F38" s="1"/>
      <c r="G38" s="1"/>
      <c r="H38" s="1"/>
      <c r="I38" s="1"/>
      <c r="J38" s="1"/>
      <c r="K38" s="1"/>
    </row>
    <row r="39" spans="3:11">
      <c r="C39" s="1"/>
      <c r="D39" s="1"/>
      <c r="E39" s="1"/>
      <c r="F39" s="1"/>
      <c r="G39" s="1"/>
      <c r="H39" s="1"/>
      <c r="I39" s="1"/>
      <c r="J39" s="1"/>
      <c r="K39" s="1"/>
    </row>
    <row r="40" spans="3:11">
      <c r="C40" s="1"/>
      <c r="D40" s="1"/>
      <c r="E40" s="1"/>
      <c r="F40" s="1"/>
      <c r="G40" s="1"/>
      <c r="H40" s="1"/>
      <c r="I40" s="1"/>
      <c r="J40" s="1"/>
      <c r="K40" s="1"/>
    </row>
    <row r="41" spans="3:11">
      <c r="C41" s="1"/>
      <c r="D41" s="1"/>
      <c r="E41" s="1"/>
      <c r="F41" s="1"/>
      <c r="G41" s="1"/>
      <c r="H41" s="1"/>
      <c r="I41" s="1"/>
      <c r="J41" s="1"/>
      <c r="K41" s="1"/>
    </row>
    <row r="42" spans="3:11">
      <c r="C42" s="1"/>
      <c r="D42" s="1"/>
      <c r="E42" s="1"/>
      <c r="F42" s="1"/>
      <c r="G42" s="1"/>
      <c r="H42" s="1"/>
      <c r="I42" s="1"/>
      <c r="J42" s="1"/>
      <c r="K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topLeftCell="A6" zoomScale="80" zoomScaleNormal="80" zoomScalePageLayoutView="80" workbookViewId="0">
      <selection activeCell="D57" sqref="D57"/>
    </sheetView>
  </sheetViews>
  <sheetFormatPr defaultColWidth="8.85546875" defaultRowHeight="14.45"/>
  <cols>
    <col min="1" max="1" width="31.42578125" bestFit="1" customWidth="1"/>
    <col min="2" max="2" width="49.42578125" customWidth="1"/>
    <col min="3" max="4" width="13.42578125" bestFit="1" customWidth="1"/>
    <col min="5" max="5" width="12.28515625" bestFit="1" customWidth="1"/>
    <col min="6" max="6" width="13.140625" customWidth="1"/>
    <col min="7" max="7" width="11.42578125" bestFit="1" customWidth="1"/>
    <col min="8" max="8" width="14.42578125" customWidth="1"/>
    <col min="10" max="10" width="14.42578125" customWidth="1"/>
    <col min="11" max="11" width="18.7109375" bestFit="1" customWidth="1"/>
  </cols>
  <sheetData>
    <row r="1" spans="1:18" ht="15" thickBot="1">
      <c r="A1" s="295" t="s">
        <v>99</v>
      </c>
      <c r="B1" s="297"/>
      <c r="C1" s="295" t="s">
        <v>100</v>
      </c>
      <c r="D1" s="296"/>
      <c r="E1" s="296"/>
      <c r="F1" s="296"/>
      <c r="G1" s="296"/>
      <c r="H1" s="297"/>
    </row>
    <row r="2" spans="1:18" ht="15" thickBot="1">
      <c r="A2" s="279" t="s">
        <v>101</v>
      </c>
      <c r="B2" s="281"/>
      <c r="C2" s="282" t="s">
        <v>102</v>
      </c>
      <c r="D2" s="283"/>
      <c r="E2" s="283"/>
      <c r="F2" s="283"/>
      <c r="G2" s="283"/>
      <c r="H2" s="284"/>
    </row>
    <row r="3" spans="1:18" ht="15">
      <c r="A3" s="48" t="s">
        <v>103</v>
      </c>
      <c r="B3" s="78" t="s">
        <v>104</v>
      </c>
      <c r="C3" s="73" t="s">
        <v>105</v>
      </c>
      <c r="D3" s="74" t="s">
        <v>106</v>
      </c>
      <c r="E3" s="75" t="s">
        <v>107</v>
      </c>
      <c r="F3" s="75" t="s">
        <v>108</v>
      </c>
      <c r="G3" s="75" t="s">
        <v>109</v>
      </c>
      <c r="H3" s="69" t="s">
        <v>110</v>
      </c>
      <c r="K3" s="57"/>
      <c r="L3" s="57"/>
      <c r="M3" s="57"/>
      <c r="N3" s="57"/>
      <c r="O3" s="57"/>
      <c r="P3" s="57"/>
      <c r="Q3" s="57"/>
      <c r="R3" s="71"/>
    </row>
    <row r="4" spans="1:18" ht="26.1">
      <c r="A4" s="62" t="s">
        <v>111</v>
      </c>
      <c r="B4" s="72" t="s">
        <v>112</v>
      </c>
      <c r="C4" s="76">
        <v>9.7550165977590503E-8</v>
      </c>
      <c r="D4" s="79">
        <v>1.82345857779673</v>
      </c>
      <c r="E4" s="79">
        <v>8.9922037787769304E-2</v>
      </c>
      <c r="F4" s="79">
        <v>7.3597193002834698E-3</v>
      </c>
      <c r="G4" s="79">
        <v>6.2279155736918203E-3</v>
      </c>
      <c r="H4" s="80">
        <v>0.74525050561078698</v>
      </c>
      <c r="J4" s="288" t="s">
        <v>113</v>
      </c>
      <c r="K4" s="288"/>
    </row>
    <row r="5" spans="1:18" ht="26.1">
      <c r="A5" s="62" t="s">
        <v>114</v>
      </c>
      <c r="B5" s="72" t="s">
        <v>112</v>
      </c>
      <c r="C5" s="76">
        <v>9.7550165977590503E-8</v>
      </c>
      <c r="D5" s="79">
        <v>1.82345857779673</v>
      </c>
      <c r="E5" s="79">
        <v>8.9922037787769304E-2</v>
      </c>
      <c r="F5" s="79">
        <v>7.3597193002834698E-3</v>
      </c>
      <c r="G5" s="79">
        <v>6.2279155736918203E-3</v>
      </c>
      <c r="H5" s="80">
        <v>0.74525050561078698</v>
      </c>
      <c r="J5" s="154" t="s">
        <v>105</v>
      </c>
      <c r="K5" s="154" t="s">
        <v>115</v>
      </c>
    </row>
    <row r="6" spans="1:18" ht="26.1">
      <c r="A6" s="62" t="s">
        <v>116</v>
      </c>
      <c r="B6" s="72" t="s">
        <v>112</v>
      </c>
      <c r="C6" s="76">
        <v>9.7550165977590503E-8</v>
      </c>
      <c r="D6" s="79">
        <v>1.82345857779673</v>
      </c>
      <c r="E6" s="79">
        <v>8.9922037787769304E-2</v>
      </c>
      <c r="F6" s="79">
        <v>7.3597193002834698E-3</v>
      </c>
      <c r="G6" s="79">
        <v>6.2279155736918203E-3</v>
      </c>
      <c r="H6" s="80">
        <v>0.74525050561078698</v>
      </c>
      <c r="J6" s="154" t="s">
        <v>106</v>
      </c>
      <c r="K6" s="154" t="s">
        <v>117</v>
      </c>
    </row>
    <row r="7" spans="1:18" ht="15">
      <c r="A7" s="62" t="s">
        <v>118</v>
      </c>
      <c r="B7" s="72" t="s">
        <v>119</v>
      </c>
      <c r="C7" s="76">
        <v>1.8535057451437499E-5</v>
      </c>
      <c r="D7" s="79">
        <v>223.88581800506799</v>
      </c>
      <c r="E7" s="79">
        <v>13.765648230083601</v>
      </c>
      <c r="F7" s="79">
        <v>0.72240459551258396</v>
      </c>
      <c r="G7" s="79">
        <v>0.267604907704446</v>
      </c>
      <c r="H7" s="80">
        <v>169.25103808695999</v>
      </c>
      <c r="J7" s="154" t="s">
        <v>107</v>
      </c>
      <c r="K7" s="154" t="s">
        <v>120</v>
      </c>
    </row>
    <row r="8" spans="1:18" ht="15">
      <c r="A8" s="62" t="s">
        <v>121</v>
      </c>
      <c r="B8" s="72" t="s">
        <v>119</v>
      </c>
      <c r="C8" s="76">
        <v>1.8535057451437499E-5</v>
      </c>
      <c r="D8" s="79">
        <v>223.88581800506799</v>
      </c>
      <c r="E8" s="79">
        <v>13.765648230083601</v>
      </c>
      <c r="F8" s="79">
        <v>0.72240459551258396</v>
      </c>
      <c r="G8" s="79">
        <v>0.267604907704446</v>
      </c>
      <c r="H8" s="80">
        <v>169.25103808695999</v>
      </c>
      <c r="J8" s="154" t="s">
        <v>108</v>
      </c>
      <c r="K8" s="154" t="s">
        <v>122</v>
      </c>
    </row>
    <row r="9" spans="1:18">
      <c r="A9" s="62" t="s">
        <v>123</v>
      </c>
      <c r="B9" s="72" t="s">
        <v>119</v>
      </c>
      <c r="C9" s="76">
        <v>1.8535057451437499E-5</v>
      </c>
      <c r="D9" s="79">
        <v>223.88581800506799</v>
      </c>
      <c r="E9" s="79">
        <v>13.765648230083601</v>
      </c>
      <c r="F9" s="79">
        <v>0.72240459551258396</v>
      </c>
      <c r="G9" s="79">
        <v>0.267604907704446</v>
      </c>
      <c r="H9" s="80">
        <v>169.25103808695999</v>
      </c>
      <c r="J9" s="154" t="s">
        <v>109</v>
      </c>
      <c r="K9" s="154" t="s">
        <v>124</v>
      </c>
    </row>
    <row r="10" spans="1:18" ht="26.1">
      <c r="A10" s="62" t="s">
        <v>125</v>
      </c>
      <c r="B10" s="72" t="s">
        <v>112</v>
      </c>
      <c r="C10" s="76">
        <v>9.7550165977590503E-8</v>
      </c>
      <c r="D10" s="79">
        <v>1.82345857779673</v>
      </c>
      <c r="E10" s="79">
        <v>8.9922037787769304E-2</v>
      </c>
      <c r="F10" s="79">
        <v>7.3597193002834698E-3</v>
      </c>
      <c r="G10" s="79">
        <v>6.2279155736918203E-3</v>
      </c>
      <c r="H10" s="80">
        <v>0.74525050561078698</v>
      </c>
      <c r="J10" s="154" t="s">
        <v>110</v>
      </c>
      <c r="K10" s="154" t="s">
        <v>126</v>
      </c>
    </row>
    <row r="11" spans="1:18">
      <c r="A11" s="62" t="s">
        <v>127</v>
      </c>
      <c r="B11" s="72" t="s">
        <v>128</v>
      </c>
      <c r="C11" s="76">
        <v>9.4206251750659498E-3</v>
      </c>
      <c r="D11" s="79">
        <v>323.41309561513202</v>
      </c>
      <c r="E11" s="79">
        <v>0.64055561137681205</v>
      </c>
      <c r="F11" s="79">
        <v>0.10251496815647</v>
      </c>
      <c r="G11" s="79">
        <v>4.6574324894903901E-2</v>
      </c>
      <c r="H11" s="80">
        <v>17.692116663018101</v>
      </c>
    </row>
    <row r="12" spans="1:18">
      <c r="A12" s="62" t="s">
        <v>129</v>
      </c>
      <c r="B12" s="72" t="s">
        <v>130</v>
      </c>
      <c r="C12" s="76">
        <v>4.7315024388278803E-8</v>
      </c>
      <c r="D12" s="79">
        <v>0.95057621316844398</v>
      </c>
      <c r="E12" s="79">
        <v>6.9005544209238601E-2</v>
      </c>
      <c r="F12" s="79">
        <v>5.4335267565159204E-3</v>
      </c>
      <c r="G12" s="79">
        <v>3.27265854107203E-3</v>
      </c>
      <c r="H12" s="80">
        <v>0.50139309273060895</v>
      </c>
    </row>
    <row r="13" spans="1:18">
      <c r="A13" s="62" t="s">
        <v>131</v>
      </c>
      <c r="B13" s="72" t="s">
        <v>132</v>
      </c>
      <c r="C13" s="76">
        <v>9.1964318262201504E-7</v>
      </c>
      <c r="D13" s="79">
        <v>0.57609463318337695</v>
      </c>
      <c r="E13" s="79">
        <v>4.59793158160876E-2</v>
      </c>
      <c r="F13" s="79">
        <v>5.5303902966907697E-3</v>
      </c>
      <c r="G13" s="79">
        <v>1.8269413338708E-3</v>
      </c>
      <c r="H13" s="80">
        <v>8.1501870752175396</v>
      </c>
      <c r="K13" s="57"/>
    </row>
    <row r="14" spans="1:18" ht="26.45" thickBot="1">
      <c r="A14" s="65" t="s">
        <v>133</v>
      </c>
      <c r="B14" s="77" t="s">
        <v>134</v>
      </c>
      <c r="C14" s="81">
        <v>1.9616590088395E-11</v>
      </c>
      <c r="D14" s="82">
        <v>3.07064513673496E-4</v>
      </c>
      <c r="E14" s="82">
        <v>1.5806964765960599E-5</v>
      </c>
      <c r="F14" s="82">
        <v>1.5457272764793501E-6</v>
      </c>
      <c r="G14" s="82">
        <v>1.2814988800086801E-6</v>
      </c>
      <c r="H14" s="83">
        <v>2.0361228289122199E-4</v>
      </c>
      <c r="K14" s="88"/>
    </row>
    <row r="15" spans="1:18" ht="15">
      <c r="A15" s="68" t="s">
        <v>135</v>
      </c>
      <c r="B15" s="69" t="s">
        <v>104</v>
      </c>
      <c r="C15" s="50" t="s">
        <v>105</v>
      </c>
      <c r="D15" s="67" t="s">
        <v>106</v>
      </c>
      <c r="E15" s="51" t="s">
        <v>107</v>
      </c>
      <c r="F15" s="51" t="s">
        <v>108</v>
      </c>
      <c r="G15" s="51" t="s">
        <v>109</v>
      </c>
      <c r="H15" s="49" t="s">
        <v>110</v>
      </c>
      <c r="K15" s="88"/>
    </row>
    <row r="16" spans="1:18" ht="26.1">
      <c r="A16" s="62" t="s">
        <v>111</v>
      </c>
      <c r="B16" s="64" t="s">
        <v>112</v>
      </c>
      <c r="C16" s="76">
        <v>9.7550165977590503E-8</v>
      </c>
      <c r="D16" s="79">
        <v>1.82345857779673</v>
      </c>
      <c r="E16" s="79">
        <v>8.9922037787769304E-2</v>
      </c>
      <c r="F16" s="79">
        <v>7.3597193002834698E-3</v>
      </c>
      <c r="G16" s="79">
        <v>6.2279155736918203E-3</v>
      </c>
      <c r="H16" s="80">
        <v>0.74525050561078698</v>
      </c>
      <c r="K16" s="88"/>
    </row>
    <row r="17" spans="1:8" ht="26.1">
      <c r="A17" s="62" t="s">
        <v>114</v>
      </c>
      <c r="B17" s="64" t="s">
        <v>112</v>
      </c>
      <c r="C17" s="76">
        <v>9.7550165977590503E-8</v>
      </c>
      <c r="D17" s="79">
        <v>1.82345857779673</v>
      </c>
      <c r="E17" s="79">
        <v>8.9922037787769304E-2</v>
      </c>
      <c r="F17" s="79">
        <v>7.3597193002834698E-3</v>
      </c>
      <c r="G17" s="79">
        <v>6.2279155736918203E-3</v>
      </c>
      <c r="H17" s="80">
        <v>0.74525050561078698</v>
      </c>
    </row>
    <row r="18" spans="1:8" ht="26.1">
      <c r="A18" s="62" t="s">
        <v>136</v>
      </c>
      <c r="B18" s="64" t="s">
        <v>112</v>
      </c>
      <c r="C18" s="76">
        <v>9.7550165977590503E-8</v>
      </c>
      <c r="D18" s="79">
        <v>1.82345857779673</v>
      </c>
      <c r="E18" s="79">
        <v>8.9922037787769304E-2</v>
      </c>
      <c r="F18" s="79">
        <v>7.3597193002834698E-3</v>
      </c>
      <c r="G18" s="79">
        <v>6.2279155736918203E-3</v>
      </c>
      <c r="H18" s="80">
        <v>0.74525050561078698</v>
      </c>
    </row>
    <row r="19" spans="1:8">
      <c r="A19" s="62" t="s">
        <v>118</v>
      </c>
      <c r="B19" s="64" t="s">
        <v>119</v>
      </c>
      <c r="C19" s="76">
        <v>1.8535057451437499E-5</v>
      </c>
      <c r="D19" s="79">
        <v>223.88581800506799</v>
      </c>
      <c r="E19" s="79">
        <v>13.765648230083601</v>
      </c>
      <c r="F19" s="79">
        <v>0.72240459551258396</v>
      </c>
      <c r="G19" s="79">
        <v>0.267604907704446</v>
      </c>
      <c r="H19" s="80">
        <v>169.25103808695999</v>
      </c>
    </row>
    <row r="20" spans="1:8">
      <c r="A20" s="62" t="s">
        <v>121</v>
      </c>
      <c r="B20" s="64" t="s">
        <v>119</v>
      </c>
      <c r="C20" s="76">
        <v>1.8535057451437499E-5</v>
      </c>
      <c r="D20" s="79">
        <v>223.88581800506799</v>
      </c>
      <c r="E20" s="79">
        <v>13.765648230083601</v>
      </c>
      <c r="F20" s="79">
        <v>0.72240459551258396</v>
      </c>
      <c r="G20" s="79">
        <v>0.267604907704446</v>
      </c>
      <c r="H20" s="80">
        <v>169.25103808695999</v>
      </c>
    </row>
    <row r="21" spans="1:8">
      <c r="A21" s="62" t="s">
        <v>137</v>
      </c>
      <c r="B21" s="64" t="s">
        <v>119</v>
      </c>
      <c r="C21" s="76">
        <v>1.8535057451437499E-5</v>
      </c>
      <c r="D21" s="79">
        <v>223.88581800506799</v>
      </c>
      <c r="E21" s="79">
        <v>13.765648230083601</v>
      </c>
      <c r="F21" s="79">
        <v>0.72240459551258396</v>
      </c>
      <c r="G21" s="79">
        <v>0.267604907704446</v>
      </c>
      <c r="H21" s="80">
        <v>169.25103808695999</v>
      </c>
    </row>
    <row r="22" spans="1:8" ht="26.1">
      <c r="A22" s="62" t="s">
        <v>125</v>
      </c>
      <c r="B22" s="64" t="s">
        <v>112</v>
      </c>
      <c r="C22" s="76">
        <v>9.7550165977590503E-8</v>
      </c>
      <c r="D22" s="79">
        <v>1.82345857779673</v>
      </c>
      <c r="E22" s="79">
        <v>8.9922037787769304E-2</v>
      </c>
      <c r="F22" s="79">
        <v>7.3597193002834698E-3</v>
      </c>
      <c r="G22" s="79">
        <v>6.2279155736918203E-3</v>
      </c>
      <c r="H22" s="80">
        <v>0.74525050561078698</v>
      </c>
    </row>
    <row r="23" spans="1:8">
      <c r="A23" s="62" t="s">
        <v>127</v>
      </c>
      <c r="B23" s="64" t="s">
        <v>128</v>
      </c>
      <c r="C23" s="76">
        <v>9.4206251750659498E-3</v>
      </c>
      <c r="D23" s="79">
        <v>323.41309561513202</v>
      </c>
      <c r="E23" s="79">
        <v>0.64055561137681205</v>
      </c>
      <c r="F23" s="79">
        <v>0.10251496815647</v>
      </c>
      <c r="G23" s="79">
        <v>4.6574324894903901E-2</v>
      </c>
      <c r="H23" s="80">
        <v>17.692116663018101</v>
      </c>
    </row>
    <row r="24" spans="1:8">
      <c r="A24" s="62" t="s">
        <v>138</v>
      </c>
      <c r="B24" s="64" t="s">
        <v>139</v>
      </c>
      <c r="C24" s="76">
        <v>4.7315024388278803E-8</v>
      </c>
      <c r="D24" s="79">
        <v>0.95057621316844398</v>
      </c>
      <c r="E24" s="79">
        <v>6.9005544209238601E-2</v>
      </c>
      <c r="F24" s="79">
        <v>5.4335267565159204E-3</v>
      </c>
      <c r="G24" s="79">
        <v>3.27265854107203E-3</v>
      </c>
      <c r="H24" s="80">
        <v>0.50139309273060895</v>
      </c>
    </row>
    <row r="25" spans="1:8">
      <c r="A25" s="62" t="s">
        <v>131</v>
      </c>
      <c r="B25" s="64" t="s">
        <v>132</v>
      </c>
      <c r="C25" s="76">
        <v>9.1964318262201504E-7</v>
      </c>
      <c r="D25" s="79">
        <v>0.57609463318337695</v>
      </c>
      <c r="E25" s="79">
        <v>4.59793158160876E-2</v>
      </c>
      <c r="F25" s="79">
        <v>5.5303902966907697E-3</v>
      </c>
      <c r="G25" s="79">
        <v>1.8269413338708E-3</v>
      </c>
      <c r="H25" s="80">
        <v>8.1501870752175396</v>
      </c>
    </row>
    <row r="26" spans="1:8" ht="26.45" thickBot="1">
      <c r="A26" s="65" t="s">
        <v>133</v>
      </c>
      <c r="B26" s="66" t="s">
        <v>134</v>
      </c>
      <c r="C26" s="81">
        <v>1.9616590088395E-11</v>
      </c>
      <c r="D26" s="82">
        <v>3.07064513673496E-4</v>
      </c>
      <c r="E26" s="82">
        <v>1.5806964765960599E-5</v>
      </c>
      <c r="F26" s="82">
        <v>1.5457272764793501E-6</v>
      </c>
      <c r="G26" s="82">
        <v>1.2814988800086801E-6</v>
      </c>
      <c r="H26" s="83">
        <v>2.0361228289122199E-4</v>
      </c>
    </row>
    <row r="27" spans="1:8" ht="15">
      <c r="A27" s="45" t="s">
        <v>31</v>
      </c>
      <c r="B27" s="46" t="s">
        <v>104</v>
      </c>
      <c r="C27" s="50" t="s">
        <v>105</v>
      </c>
      <c r="D27" s="67" t="s">
        <v>106</v>
      </c>
      <c r="E27" s="51" t="s">
        <v>107</v>
      </c>
      <c r="F27" s="51" t="s">
        <v>108</v>
      </c>
      <c r="G27" s="51" t="s">
        <v>109</v>
      </c>
      <c r="H27" s="49" t="s">
        <v>110</v>
      </c>
    </row>
    <row r="28" spans="1:8" ht="26.1">
      <c r="A28" s="62" t="s">
        <v>140</v>
      </c>
      <c r="B28" s="64" t="s">
        <v>141</v>
      </c>
      <c r="C28" s="76">
        <v>1.111825E-7</v>
      </c>
      <c r="D28" s="79">
        <v>0.78889026036323495</v>
      </c>
      <c r="E28" s="79">
        <v>3.8931960980535502E-2</v>
      </c>
      <c r="F28" s="79">
        <v>3.59623305496E-3</v>
      </c>
      <c r="G28" s="79">
        <v>2.4104820316604001E-4</v>
      </c>
      <c r="H28" s="80">
        <v>0.74764275398746904</v>
      </c>
    </row>
    <row r="29" spans="1:8">
      <c r="A29" s="62" t="s">
        <v>41</v>
      </c>
      <c r="B29" s="64" t="s">
        <v>142</v>
      </c>
      <c r="C29" s="76">
        <v>1.11732623198498E-7</v>
      </c>
      <c r="D29" s="79">
        <v>1.6417360339509199</v>
      </c>
      <c r="E29" s="79">
        <v>0.101511600233731</v>
      </c>
      <c r="F29" s="79">
        <v>8.0768376096753206E-3</v>
      </c>
      <c r="G29" s="79">
        <v>1.2334518404875899E-2</v>
      </c>
      <c r="H29" s="80">
        <v>1.0402463178628101</v>
      </c>
    </row>
    <row r="30" spans="1:8">
      <c r="A30" s="62" t="s">
        <v>44</v>
      </c>
      <c r="B30" s="64" t="s">
        <v>143</v>
      </c>
      <c r="C30" s="76">
        <v>1.27011784880374E-7</v>
      </c>
      <c r="D30" s="79">
        <v>1.35737113894372</v>
      </c>
      <c r="E30" s="79">
        <v>0.137658615708421</v>
      </c>
      <c r="F30" s="79">
        <v>1.9016148089234401E-2</v>
      </c>
      <c r="G30" s="79">
        <v>1.3021840264174E-2</v>
      </c>
      <c r="H30" s="80">
        <v>1.4010795175422399</v>
      </c>
    </row>
    <row r="31" spans="1:8" ht="15" thickBot="1">
      <c r="A31" s="70" t="s">
        <v>144</v>
      </c>
      <c r="B31" s="66" t="s">
        <v>145</v>
      </c>
      <c r="C31" s="81">
        <v>1.26098529848701E-6</v>
      </c>
      <c r="D31" s="82">
        <v>1.0018383934169801</v>
      </c>
      <c r="E31" s="82">
        <v>6.9805768159192594E-2</v>
      </c>
      <c r="F31" s="82">
        <v>8.2701846601353803E-3</v>
      </c>
      <c r="G31" s="82">
        <v>4.0876040471442797E-3</v>
      </c>
      <c r="H31" s="83">
        <v>11.077211451095099</v>
      </c>
    </row>
    <row r="32" spans="1:8" ht="15">
      <c r="A32" s="48" t="s">
        <v>146</v>
      </c>
      <c r="B32" s="49" t="s">
        <v>104</v>
      </c>
      <c r="C32" s="50" t="s">
        <v>105</v>
      </c>
      <c r="D32" s="67" t="s">
        <v>106</v>
      </c>
      <c r="E32" s="51" t="s">
        <v>107</v>
      </c>
      <c r="F32" s="51" t="s">
        <v>108</v>
      </c>
      <c r="G32" s="51" t="s">
        <v>109</v>
      </c>
      <c r="H32" s="49" t="s">
        <v>110</v>
      </c>
    </row>
    <row r="33" spans="1:8">
      <c r="A33" s="15" t="s">
        <v>88</v>
      </c>
      <c r="B33" s="64" t="s">
        <v>147</v>
      </c>
      <c r="C33" s="76">
        <v>1.03831934592413E-2</v>
      </c>
      <c r="D33" s="79">
        <v>103.392741011952</v>
      </c>
      <c r="E33" s="79">
        <v>0.78702842529482397</v>
      </c>
      <c r="F33" s="79">
        <v>8.9809620739808596E-2</v>
      </c>
      <c r="G33" s="79">
        <v>2.4418929264721102E-2</v>
      </c>
      <c r="H33" s="80">
        <v>15.254280433282201</v>
      </c>
    </row>
    <row r="34" spans="1:8">
      <c r="A34" s="15" t="s">
        <v>41</v>
      </c>
      <c r="B34" s="64" t="s">
        <v>142</v>
      </c>
      <c r="C34" s="76">
        <v>1.11732623198498E-7</v>
      </c>
      <c r="D34" s="79">
        <v>1.6417360339509199</v>
      </c>
      <c r="E34" s="79">
        <v>0.101511600233731</v>
      </c>
      <c r="F34" s="79">
        <v>8.0768376096753206E-3</v>
      </c>
      <c r="G34" s="79">
        <v>1.2334518404875899E-2</v>
      </c>
      <c r="H34" s="80">
        <v>1.0402463178628101</v>
      </c>
    </row>
    <row r="35" spans="1:8">
      <c r="A35" s="17" t="s">
        <v>86</v>
      </c>
      <c r="B35" s="64"/>
      <c r="C35" s="245"/>
      <c r="D35" s="246"/>
      <c r="E35" s="246"/>
      <c r="F35" s="246"/>
      <c r="G35" s="246"/>
      <c r="H35" s="247"/>
    </row>
    <row r="36" spans="1:8" ht="26.45" thickBot="1">
      <c r="A36" s="177" t="s">
        <v>84</v>
      </c>
      <c r="B36" s="64" t="s">
        <v>141</v>
      </c>
      <c r="C36" s="81">
        <v>1.111825E-7</v>
      </c>
      <c r="D36" s="82">
        <v>0.78889026036323495</v>
      </c>
      <c r="E36" s="82">
        <v>3.8931960980535502E-2</v>
      </c>
      <c r="F36" s="82">
        <v>3.59623305496E-3</v>
      </c>
      <c r="G36" s="82">
        <v>2.4104820316604001E-4</v>
      </c>
      <c r="H36" s="83">
        <v>0.74764275398746904</v>
      </c>
    </row>
    <row r="37" spans="1:8" ht="15">
      <c r="A37" s="48" t="s">
        <v>148</v>
      </c>
      <c r="B37" s="49" t="s">
        <v>104</v>
      </c>
      <c r="C37" s="50" t="s">
        <v>105</v>
      </c>
      <c r="D37" s="67" t="s">
        <v>106</v>
      </c>
      <c r="E37" s="51" t="s">
        <v>107</v>
      </c>
      <c r="F37" s="51" t="s">
        <v>108</v>
      </c>
      <c r="G37" s="51" t="s">
        <v>109</v>
      </c>
      <c r="H37" s="49" t="s">
        <v>110</v>
      </c>
    </row>
    <row r="38" spans="1:8" ht="26.1">
      <c r="A38" s="254" t="s">
        <v>58</v>
      </c>
      <c r="B38" s="72" t="s">
        <v>112</v>
      </c>
      <c r="C38" s="76">
        <v>9.7550165977590503E-8</v>
      </c>
      <c r="D38" s="79">
        <v>1.82345857779673</v>
      </c>
      <c r="E38" s="79">
        <v>8.9922037787769304E-2</v>
      </c>
      <c r="F38" s="79">
        <v>7.3597193002834698E-3</v>
      </c>
      <c r="G38" s="79">
        <v>6.2279155736918203E-3</v>
      </c>
      <c r="H38" s="80">
        <v>0.74525050561078698</v>
      </c>
    </row>
    <row r="39" spans="1:8" ht="15" thickBot="1">
      <c r="A39" s="16" t="s">
        <v>51</v>
      </c>
      <c r="B39" s="66" t="s">
        <v>149</v>
      </c>
      <c r="C39" s="81">
        <v>0</v>
      </c>
      <c r="D39" s="82">
        <v>2.4815525018034701</v>
      </c>
      <c r="E39" s="82">
        <v>0.112389603529475</v>
      </c>
      <c r="F39" s="82">
        <v>9.4626616233350596E-3</v>
      </c>
      <c r="G39" s="82">
        <v>2.1561569677165199E-4</v>
      </c>
      <c r="H39" s="83">
        <v>11.1456553603422</v>
      </c>
    </row>
    <row r="40" spans="1:8" ht="15" thickBot="1">
      <c r="A40" s="289" t="s">
        <v>150</v>
      </c>
      <c r="B40" s="290"/>
      <c r="C40" s="289"/>
      <c r="D40" s="291"/>
      <c r="E40" s="291"/>
      <c r="F40" s="291"/>
      <c r="G40" s="291"/>
      <c r="H40" s="290"/>
    </row>
    <row r="41" spans="1:8" ht="15">
      <c r="A41" s="48" t="s">
        <v>151</v>
      </c>
      <c r="B41" s="49" t="s">
        <v>104</v>
      </c>
      <c r="C41" s="50" t="s">
        <v>105</v>
      </c>
      <c r="D41" s="67" t="s">
        <v>106</v>
      </c>
      <c r="E41" s="51" t="s">
        <v>107</v>
      </c>
      <c r="F41" s="51" t="s">
        <v>108</v>
      </c>
      <c r="G41" s="51" t="s">
        <v>109</v>
      </c>
      <c r="H41" s="49" t="s">
        <v>110</v>
      </c>
    </row>
    <row r="42" spans="1:8" ht="26.1">
      <c r="A42" s="62" t="s">
        <v>152</v>
      </c>
      <c r="B42" s="64" t="s">
        <v>153</v>
      </c>
      <c r="C42" s="76">
        <v>2.30276538376515E-8</v>
      </c>
      <c r="D42" s="79">
        <v>9.1303229504241606E-2</v>
      </c>
      <c r="E42" s="79">
        <v>7.1379708391188304E-3</v>
      </c>
      <c r="F42" s="79">
        <v>3.4310597889602702E-4</v>
      </c>
      <c r="G42" s="79">
        <v>9.7387747442223899E-5</v>
      </c>
      <c r="H42" s="80">
        <v>0.204402418661871</v>
      </c>
    </row>
    <row r="43" spans="1:8" ht="26.1">
      <c r="A43" s="62" t="s">
        <v>154</v>
      </c>
      <c r="B43" s="64" t="s">
        <v>153</v>
      </c>
      <c r="C43" s="76">
        <v>2.30276538376515E-8</v>
      </c>
      <c r="D43" s="79">
        <v>9.1303229504241606E-2</v>
      </c>
      <c r="E43" s="79">
        <v>7.1379708391188304E-3</v>
      </c>
      <c r="F43" s="79">
        <v>3.4310597889602702E-4</v>
      </c>
      <c r="G43" s="79">
        <v>9.7387747442223899E-5</v>
      </c>
      <c r="H43" s="80">
        <v>0.204402418661871</v>
      </c>
    </row>
    <row r="44" spans="1:8" ht="26.45" thickBot="1">
      <c r="A44" s="70" t="s">
        <v>155</v>
      </c>
      <c r="B44" s="84" t="s">
        <v>153</v>
      </c>
      <c r="C44" s="81">
        <v>2.30276538376515E-8</v>
      </c>
      <c r="D44" s="82">
        <v>9.1303229504241606E-2</v>
      </c>
      <c r="E44" s="82">
        <v>7.1379708391188304E-3</v>
      </c>
      <c r="F44" s="82">
        <v>3.4310597889602702E-4</v>
      </c>
      <c r="G44" s="82">
        <v>9.7387747442223899E-5</v>
      </c>
      <c r="H44" s="83">
        <v>0.204402418661871</v>
      </c>
    </row>
    <row r="45" spans="1:8" ht="15">
      <c r="A45" s="48" t="s">
        <v>156</v>
      </c>
      <c r="B45" s="49" t="s">
        <v>104</v>
      </c>
      <c r="C45" s="74" t="s">
        <v>105</v>
      </c>
      <c r="D45" s="74" t="s">
        <v>106</v>
      </c>
      <c r="E45" s="75" t="s">
        <v>107</v>
      </c>
      <c r="F45" s="75" t="s">
        <v>108</v>
      </c>
      <c r="G45" s="75" t="s">
        <v>109</v>
      </c>
      <c r="H45" s="69" t="s">
        <v>110</v>
      </c>
    </row>
    <row r="46" spans="1:8" ht="26.1">
      <c r="A46" s="85" t="s">
        <v>157</v>
      </c>
      <c r="B46" s="64" t="s">
        <v>158</v>
      </c>
      <c r="C46" s="76">
        <v>2.5138852040991499E-4</v>
      </c>
      <c r="D46" s="79">
        <v>3923.7042345922</v>
      </c>
      <c r="E46" s="79">
        <v>203.89050467450301</v>
      </c>
      <c r="F46" s="79">
        <v>18.875549810051801</v>
      </c>
      <c r="G46" s="79">
        <v>16.6552264373152</v>
      </c>
      <c r="H46" s="80">
        <v>2666.1862722260398</v>
      </c>
    </row>
    <row r="47" spans="1:8" ht="39">
      <c r="A47" s="62" t="s">
        <v>159</v>
      </c>
      <c r="B47" s="64" t="s">
        <v>160</v>
      </c>
      <c r="C47" s="86">
        <v>1.0576496048228201E-6</v>
      </c>
      <c r="D47" s="79">
        <v>4.3709147100400498</v>
      </c>
      <c r="E47" s="79">
        <v>0.72516475630174404</v>
      </c>
      <c r="F47" s="79">
        <v>2.5651814492569501E-2</v>
      </c>
      <c r="G47" s="79">
        <v>4.1275416593147896E-3</v>
      </c>
      <c r="H47" s="80">
        <v>9.3512706657514695</v>
      </c>
    </row>
    <row r="48" spans="1:8" ht="39">
      <c r="A48" s="70" t="s">
        <v>161</v>
      </c>
      <c r="B48" s="64" t="s">
        <v>160</v>
      </c>
      <c r="C48" s="86">
        <v>1.0576496048228201E-6</v>
      </c>
      <c r="D48" s="79">
        <v>4.3709147100400498</v>
      </c>
      <c r="E48" s="79">
        <v>0.72516475630174404</v>
      </c>
      <c r="F48" s="79">
        <v>2.5651814492569501E-2</v>
      </c>
      <c r="G48" s="79">
        <v>4.1275416593147896E-3</v>
      </c>
      <c r="H48" s="80">
        <v>9.3512706657514695</v>
      </c>
    </row>
    <row r="49" spans="1:8" ht="26.1">
      <c r="A49" s="62" t="s">
        <v>162</v>
      </c>
      <c r="B49" s="64" t="s">
        <v>158</v>
      </c>
      <c r="C49" s="76">
        <v>2.5138852040991499E-4</v>
      </c>
      <c r="D49" s="79">
        <v>3923.7042345922</v>
      </c>
      <c r="E49" s="79">
        <v>203.89050467450301</v>
      </c>
      <c r="F49" s="79">
        <v>18.875549810051801</v>
      </c>
      <c r="G49" s="79">
        <v>16.6552264373152</v>
      </c>
      <c r="H49" s="80">
        <v>2666.1862722260398</v>
      </c>
    </row>
    <row r="50" spans="1:8" ht="39">
      <c r="A50" s="62" t="s">
        <v>163</v>
      </c>
      <c r="B50" s="64" t="s">
        <v>160</v>
      </c>
      <c r="C50" s="86">
        <v>1.0576496048228201E-6</v>
      </c>
      <c r="D50" s="79">
        <v>4.3709147100400498</v>
      </c>
      <c r="E50" s="79">
        <v>0.72516475630174404</v>
      </c>
      <c r="F50" s="79">
        <v>2.5651814492569501E-2</v>
      </c>
      <c r="G50" s="79">
        <v>4.1275416593147896E-3</v>
      </c>
      <c r="H50" s="80">
        <v>9.3512706657514695</v>
      </c>
    </row>
    <row r="51" spans="1:8" ht="39.6" thickBot="1">
      <c r="A51" s="65" t="s">
        <v>164</v>
      </c>
      <c r="B51" s="66" t="s">
        <v>160</v>
      </c>
      <c r="C51" s="87">
        <v>1.0576496048228201E-6</v>
      </c>
      <c r="D51" s="82">
        <v>4.3709147100400498</v>
      </c>
      <c r="E51" s="82">
        <v>0.72516475630174404</v>
      </c>
      <c r="F51" s="82">
        <v>2.5651814492569501E-2</v>
      </c>
      <c r="G51" s="82">
        <v>4.1275416593147896E-3</v>
      </c>
      <c r="H51" s="83">
        <v>9.3512706657514695</v>
      </c>
    </row>
    <row r="52" spans="1:8" ht="15">
      <c r="A52" s="48" t="s">
        <v>36</v>
      </c>
      <c r="B52" s="49" t="s">
        <v>104</v>
      </c>
      <c r="C52" s="50" t="s">
        <v>105</v>
      </c>
      <c r="D52" s="67" t="s">
        <v>106</v>
      </c>
      <c r="E52" s="51" t="s">
        <v>107</v>
      </c>
      <c r="F52" s="51" t="s">
        <v>108</v>
      </c>
      <c r="G52" s="51" t="s">
        <v>109</v>
      </c>
      <c r="H52" s="49" t="s">
        <v>110</v>
      </c>
    </row>
    <row r="53" spans="1:8" ht="15" thickBot="1">
      <c r="A53" s="65" t="s">
        <v>165</v>
      </c>
      <c r="B53" s="66" t="s">
        <v>166</v>
      </c>
      <c r="C53" s="81">
        <v>4.3869925063636397E-12</v>
      </c>
      <c r="D53" s="82">
        <v>2.0022594455594601E-3</v>
      </c>
      <c r="E53" s="82">
        <v>1.9980533326427401E-4</v>
      </c>
      <c r="F53" s="82">
        <v>9.4948240045001996E-6</v>
      </c>
      <c r="G53" s="82">
        <v>5.4004187806992405E-7</v>
      </c>
      <c r="H53" s="83">
        <v>4.0162284128399898E-3</v>
      </c>
    </row>
    <row r="54" spans="1:8" ht="15" thickBot="1">
      <c r="A54" s="289" t="s">
        <v>167</v>
      </c>
      <c r="B54" s="290"/>
      <c r="C54" s="289"/>
      <c r="D54" s="291"/>
      <c r="E54" s="291"/>
      <c r="F54" s="291"/>
      <c r="G54" s="291"/>
      <c r="H54" s="290"/>
    </row>
    <row r="55" spans="1:8" ht="15">
      <c r="A55" s="48" t="s">
        <v>168</v>
      </c>
      <c r="B55" s="49" t="s">
        <v>104</v>
      </c>
      <c r="C55" s="50" t="s">
        <v>105</v>
      </c>
      <c r="D55" s="67" t="s">
        <v>106</v>
      </c>
      <c r="E55" s="51" t="s">
        <v>107</v>
      </c>
      <c r="F55" s="51" t="s">
        <v>108</v>
      </c>
      <c r="G55" s="51" t="s">
        <v>109</v>
      </c>
      <c r="H55" s="49" t="s">
        <v>110</v>
      </c>
    </row>
    <row r="56" spans="1:8">
      <c r="A56" s="15" t="s">
        <v>169</v>
      </c>
      <c r="B56" s="148" t="s">
        <v>170</v>
      </c>
      <c r="C56" s="76"/>
      <c r="D56" s="79">
        <f>(1374*0.453592)/1000</f>
        <v>0.62323540799999999</v>
      </c>
      <c r="E56" s="79"/>
      <c r="F56" s="79"/>
      <c r="G56" s="79"/>
      <c r="H56" s="80"/>
    </row>
    <row r="57" spans="1:8">
      <c r="A57" s="15" t="s">
        <v>171</v>
      </c>
      <c r="B57" s="148" t="s">
        <v>170</v>
      </c>
      <c r="C57" s="76"/>
      <c r="D57" s="79">
        <f>(1374*0.453592)/1000</f>
        <v>0.62323540799999999</v>
      </c>
      <c r="E57" s="79"/>
      <c r="F57" s="79"/>
      <c r="G57" s="79"/>
      <c r="H57" s="80"/>
    </row>
    <row r="58" spans="1:8">
      <c r="A58" s="17" t="s">
        <v>172</v>
      </c>
      <c r="B58" s="148" t="s">
        <v>170</v>
      </c>
      <c r="C58" s="253"/>
      <c r="D58" s="79">
        <f>(1374*0.453592)/1000</f>
        <v>0.62323540799999999</v>
      </c>
      <c r="E58" s="246"/>
      <c r="F58" s="246"/>
      <c r="G58" s="246"/>
      <c r="H58" s="247"/>
    </row>
    <row r="59" spans="1:8" ht="26.45" thickBot="1">
      <c r="A59" s="65" t="s">
        <v>173</v>
      </c>
      <c r="B59" s="66" t="s">
        <v>174</v>
      </c>
      <c r="C59" s="87">
        <v>2.6883401216699302E-3</v>
      </c>
      <c r="D59" s="82">
        <v>3982.1238918172598</v>
      </c>
      <c r="E59" s="82">
        <v>2072.9400121654398</v>
      </c>
      <c r="F59" s="82">
        <v>228.459502481545</v>
      </c>
      <c r="G59" s="82">
        <v>132.69649168866101</v>
      </c>
      <c r="H59" s="83">
        <v>22171.0860468262</v>
      </c>
    </row>
    <row r="60" spans="1:8" ht="15" thickBot="1">
      <c r="A60" s="292" t="s">
        <v>175</v>
      </c>
      <c r="B60" s="293"/>
      <c r="C60" s="292"/>
      <c r="D60" s="294"/>
      <c r="E60" s="294"/>
      <c r="F60" s="294"/>
      <c r="G60" s="294"/>
      <c r="H60" s="293"/>
    </row>
    <row r="61" spans="1:8" ht="15">
      <c r="A61" s="48" t="s">
        <v>176</v>
      </c>
      <c r="B61" s="49" t="s">
        <v>104</v>
      </c>
      <c r="C61" s="50" t="s">
        <v>105</v>
      </c>
      <c r="D61" s="67" t="s">
        <v>106</v>
      </c>
      <c r="E61" s="51" t="s">
        <v>107</v>
      </c>
      <c r="F61" s="51" t="s">
        <v>108</v>
      </c>
      <c r="G61" s="51" t="s">
        <v>109</v>
      </c>
      <c r="H61" s="49" t="s">
        <v>110</v>
      </c>
    </row>
    <row r="62" spans="1:8" ht="39">
      <c r="A62" s="62" t="s">
        <v>177</v>
      </c>
      <c r="B62" s="64" t="s">
        <v>160</v>
      </c>
      <c r="C62" s="76">
        <v>1.0576496048228201E-6</v>
      </c>
      <c r="D62" s="79">
        <v>4.3709147100400498</v>
      </c>
      <c r="E62" s="79">
        <v>0.72516475630174404</v>
      </c>
      <c r="F62" s="79">
        <v>2.5651814492569501E-2</v>
      </c>
      <c r="G62" s="79">
        <v>4.1275416593147896E-3</v>
      </c>
      <c r="H62" s="80">
        <v>9.3512706657514695</v>
      </c>
    </row>
    <row r="63" spans="1:8" ht="39">
      <c r="A63" s="62" t="s">
        <v>178</v>
      </c>
      <c r="B63" s="64" t="s">
        <v>160</v>
      </c>
      <c r="C63" s="76">
        <v>1.0576496048228201E-6</v>
      </c>
      <c r="D63" s="79">
        <v>4.3709147100400498</v>
      </c>
      <c r="E63" s="79">
        <v>0.72516475630174404</v>
      </c>
      <c r="F63" s="79">
        <v>2.5651814492569501E-2</v>
      </c>
      <c r="G63" s="79">
        <v>4.1275416593147896E-3</v>
      </c>
      <c r="H63" s="80">
        <v>9.3512706657514695</v>
      </c>
    </row>
    <row r="64" spans="1:8" ht="40.5">
      <c r="A64" s="62" t="s">
        <v>179</v>
      </c>
      <c r="B64" s="64" t="s">
        <v>180</v>
      </c>
      <c r="C64" s="76">
        <v>1.7990417753738698E-5</v>
      </c>
      <c r="D64" s="79">
        <v>355.40497558550197</v>
      </c>
      <c r="E64" s="79">
        <v>16.3264692955381</v>
      </c>
      <c r="F64" s="79">
        <v>0.91490812981387304</v>
      </c>
      <c r="G64" s="79">
        <v>0.36648895369951401</v>
      </c>
      <c r="H64" s="80">
        <v>167.95020176371801</v>
      </c>
    </row>
    <row r="65" spans="1:8" ht="40.5">
      <c r="A65" s="62" t="s">
        <v>181</v>
      </c>
      <c r="B65" s="64" t="s">
        <v>180</v>
      </c>
      <c r="C65" s="76">
        <v>1.7990417753738698E-5</v>
      </c>
      <c r="D65" s="79">
        <v>355.40497558550197</v>
      </c>
      <c r="E65" s="79">
        <v>16.3264692955381</v>
      </c>
      <c r="F65" s="79">
        <v>0.91490812981387304</v>
      </c>
      <c r="G65" s="79">
        <v>0.36648895369951401</v>
      </c>
      <c r="H65" s="80">
        <v>167.95020176371801</v>
      </c>
    </row>
    <row r="66" spans="1:8" ht="26.1">
      <c r="A66" s="62" t="s">
        <v>182</v>
      </c>
      <c r="B66" s="64" t="s">
        <v>183</v>
      </c>
      <c r="C66" s="76">
        <v>0</v>
      </c>
      <c r="D66" s="79">
        <v>4.8106346184794398E-3</v>
      </c>
      <c r="E66" s="79">
        <v>2.3728394460798401E-4</v>
      </c>
      <c r="F66" s="79">
        <v>2.5361230823459701E-5</v>
      </c>
      <c r="G66" s="79">
        <v>7.4150281063740398E-7</v>
      </c>
      <c r="H66" s="80">
        <v>7.9847605612102905E-3</v>
      </c>
    </row>
    <row r="67" spans="1:8" ht="26.45" thickBot="1">
      <c r="A67" s="65" t="s">
        <v>184</v>
      </c>
      <c r="B67" s="66" t="s">
        <v>185</v>
      </c>
      <c r="C67" s="81">
        <v>1.1999999999999999E-7</v>
      </c>
      <c r="D67" s="82">
        <v>0.52156499999999995</v>
      </c>
      <c r="E67" s="82">
        <v>7.5539999999999996E-2</v>
      </c>
      <c r="F67" s="82">
        <v>3.0079999999999998E-3</v>
      </c>
      <c r="G67" s="82">
        <v>7.2000000000000005E-4</v>
      </c>
      <c r="H67" s="83">
        <v>1.0800217215066601</v>
      </c>
    </row>
  </sheetData>
  <mergeCells count="11">
    <mergeCell ref="C1:H1"/>
    <mergeCell ref="A1:B1"/>
    <mergeCell ref="A2:B2"/>
    <mergeCell ref="A40:B40"/>
    <mergeCell ref="C2:H2"/>
    <mergeCell ref="C40:H40"/>
    <mergeCell ref="J4:K4"/>
    <mergeCell ref="A54:B54"/>
    <mergeCell ref="C54:H54"/>
    <mergeCell ref="A60:B60"/>
    <mergeCell ref="C60:H6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8"/>
  <sheetViews>
    <sheetView topLeftCell="A51" zoomScale="80" zoomScaleNormal="80" zoomScalePageLayoutView="80" workbookViewId="0">
      <selection activeCell="B53" sqref="B53"/>
    </sheetView>
  </sheetViews>
  <sheetFormatPr defaultColWidth="8.85546875" defaultRowHeight="14.45"/>
  <cols>
    <col min="1" max="1" width="31.42578125" bestFit="1" customWidth="1"/>
    <col min="2" max="2" width="12.42578125" bestFit="1" customWidth="1"/>
    <col min="3" max="3" width="6.85546875" bestFit="1" customWidth="1"/>
    <col min="4" max="4" width="15" bestFit="1" customWidth="1"/>
    <col min="5" max="5" width="4.85546875" bestFit="1" customWidth="1"/>
    <col min="6" max="8" width="13.42578125" bestFit="1" customWidth="1"/>
    <col min="9" max="9" width="13.140625" bestFit="1" customWidth="1"/>
    <col min="10" max="10" width="12.28515625" bestFit="1" customWidth="1"/>
    <col min="11" max="11" width="14.42578125" bestFit="1" customWidth="1"/>
    <col min="12" max="12" width="67" bestFit="1" customWidth="1"/>
  </cols>
  <sheetData>
    <row r="1" spans="1:18" ht="15" thickBot="1">
      <c r="A1" s="279" t="s">
        <v>99</v>
      </c>
      <c r="B1" s="280"/>
      <c r="C1" s="280"/>
      <c r="D1" s="280"/>
      <c r="E1" s="281"/>
      <c r="F1" s="285" t="s">
        <v>100</v>
      </c>
      <c r="G1" s="286"/>
      <c r="H1" s="286"/>
      <c r="I1" s="286"/>
      <c r="J1" s="286"/>
      <c r="K1" s="287"/>
      <c r="L1" s="265"/>
    </row>
    <row r="2" spans="1:18" ht="15" thickBot="1">
      <c r="A2" s="282" t="s">
        <v>101</v>
      </c>
      <c r="B2" s="283"/>
      <c r="C2" s="283"/>
      <c r="D2" s="283"/>
      <c r="E2" s="284"/>
      <c r="F2" s="282" t="s">
        <v>186</v>
      </c>
      <c r="G2" s="283"/>
      <c r="H2" s="283"/>
      <c r="I2" s="283"/>
      <c r="J2" s="283"/>
      <c r="K2" s="284"/>
      <c r="L2" s="266"/>
    </row>
    <row r="3" spans="1:18" ht="15.6" thickBot="1">
      <c r="A3" s="98" t="s">
        <v>103</v>
      </c>
      <c r="B3" s="95" t="s">
        <v>187</v>
      </c>
      <c r="C3" s="95" t="s">
        <v>5</v>
      </c>
      <c r="D3" s="95" t="s">
        <v>188</v>
      </c>
      <c r="E3" s="134" t="s">
        <v>5</v>
      </c>
      <c r="F3" s="99" t="s">
        <v>189</v>
      </c>
      <c r="G3" s="100" t="s">
        <v>190</v>
      </c>
      <c r="H3" s="101" t="s">
        <v>191</v>
      </c>
      <c r="I3" s="101" t="s">
        <v>192</v>
      </c>
      <c r="J3" s="101" t="s">
        <v>193</v>
      </c>
      <c r="K3" s="102" t="s">
        <v>194</v>
      </c>
      <c r="L3" s="262" t="s">
        <v>195</v>
      </c>
    </row>
    <row r="4" spans="1:18">
      <c r="A4" s="62" t="s">
        <v>111</v>
      </c>
      <c r="B4" s="112">
        <f>'Design Inputs'!E53</f>
        <v>1.1235419503983746</v>
      </c>
      <c r="C4" s="5" t="str">
        <f>'Design Inputs'!F53</f>
        <v>m3</v>
      </c>
      <c r="D4" s="131">
        <f>B4*8000</f>
        <v>8988.3356031869971</v>
      </c>
      <c r="E4" s="132" t="s">
        <v>38</v>
      </c>
      <c r="F4" s="89">
        <f>$D$4*Inventory!C4</f>
        <v>8.7681362995317756E-4</v>
      </c>
      <c r="G4" s="90">
        <f>$D$4*Inventory!D4</f>
        <v>16389.857655747077</v>
      </c>
      <c r="H4" s="90">
        <f>$D$4*Inventory!E4</f>
        <v>808.24945375893333</v>
      </c>
      <c r="I4" s="90">
        <f>$D$4*Inventory!F4</f>
        <v>66.151627016200408</v>
      </c>
      <c r="J4" s="90">
        <f>$D$4*Inventory!G4</f>
        <v>55.978595284656961</v>
      </c>
      <c r="K4" s="91">
        <f>$D$4*Inventory!H4</f>
        <v>6698.5616528745477</v>
      </c>
      <c r="L4" s="263" t="s">
        <v>196</v>
      </c>
    </row>
    <row r="5" spans="1:18">
      <c r="A5" s="62" t="s">
        <v>114</v>
      </c>
      <c r="B5" s="112">
        <f>'Design Inputs'!E54</f>
        <v>15.605619059080956</v>
      </c>
      <c r="C5" s="5" t="str">
        <f>'Design Inputs'!F54</f>
        <v>m3</v>
      </c>
      <c r="D5" s="131">
        <f>B5*8000</f>
        <v>124844.95247264765</v>
      </c>
      <c r="E5" s="132" t="s">
        <v>38</v>
      </c>
      <c r="F5" s="89">
        <f>$D$5*Inventory!C5</f>
        <v>1.2178645835171177E-2</v>
      </c>
      <c r="G5" s="90">
        <f>$D$5*Inventory!D5</f>
        <v>227649.59948087443</v>
      </c>
      <c r="H5" s="90">
        <f>$D$5*Inventory!E5</f>
        <v>11226.312533857685</v>
      </c>
      <c r="I5" s="90">
        <f>$D$5*Inventory!F5</f>
        <v>918.82380625591736</v>
      </c>
      <c r="J5" s="90">
        <f>$D$5*Inventory!G5</f>
        <v>777.52382380121742</v>
      </c>
      <c r="K5" s="91">
        <f>$D$5*Inventory!H5</f>
        <v>93040.763953195332</v>
      </c>
      <c r="L5" s="263" t="s">
        <v>196</v>
      </c>
    </row>
    <row r="6" spans="1:18">
      <c r="A6" s="62" t="s">
        <v>116</v>
      </c>
      <c r="B6" s="112">
        <f>'Design Inputs'!E55</f>
        <v>11.299621901149361</v>
      </c>
      <c r="C6" s="5" t="str">
        <f>'Design Inputs'!F55</f>
        <v>m3</v>
      </c>
      <c r="D6" s="131">
        <f>B6*8000</f>
        <v>90396.97520919489</v>
      </c>
      <c r="E6" s="132" t="s">
        <v>38</v>
      </c>
      <c r="F6" s="89">
        <f>$D$6*Inventory!C6</f>
        <v>8.8182399355290954E-3</v>
      </c>
      <c r="G6" s="90">
        <f>$D$6*Inventory!D6</f>
        <v>164835.13985208477</v>
      </c>
      <c r="H6" s="90">
        <f>$D$6*Inventory!E6</f>
        <v>8128.6802206612683</v>
      </c>
      <c r="I6" s="90">
        <f>$D$6*Inventory!F6</f>
        <v>665.29636313435799</v>
      </c>
      <c r="J6" s="90">
        <f>$D$6*Inventory!G6</f>
        <v>562.9847297199783</v>
      </c>
      <c r="K6" s="91">
        <f>$D$6*Inventory!H6</f>
        <v>67368.391480338265</v>
      </c>
      <c r="L6" s="263" t="s">
        <v>196</v>
      </c>
    </row>
    <row r="7" spans="1:18">
      <c r="A7" s="62" t="s">
        <v>118</v>
      </c>
      <c r="B7" s="112">
        <f>'Design Inputs'!E44</f>
        <v>16.545691672351236</v>
      </c>
      <c r="C7" s="5" t="str">
        <f>'Design Inputs'!F44</f>
        <v>m3</v>
      </c>
      <c r="D7" s="113">
        <f>B7</f>
        <v>16.545691672351236</v>
      </c>
      <c r="E7" s="132" t="s">
        <v>80</v>
      </c>
      <c r="F7" s="89">
        <f>$D$7*Inventory!C7</f>
        <v>3.0667534572080112E-4</v>
      </c>
      <c r="G7" s="90">
        <f>$D$7*Inventory!D7</f>
        <v>3704.3457145239977</v>
      </c>
      <c r="H7" s="90">
        <f>$D$7*Inventory!E7</f>
        <v>227.76217128501077</v>
      </c>
      <c r="I7" s="90">
        <f>$D$7*Inventory!F7</f>
        <v>11.952683700040824</v>
      </c>
      <c r="J7" s="90">
        <f>$D$7*Inventory!G7</f>
        <v>4.4277082928857734</v>
      </c>
      <c r="K7" s="91">
        <f>$D$7*Inventory!H7</f>
        <v>2800.375491412216</v>
      </c>
      <c r="L7" s="263"/>
    </row>
    <row r="8" spans="1:18">
      <c r="A8" s="62" t="s">
        <v>121</v>
      </c>
      <c r="B8" s="112">
        <f>'Design Inputs'!E45</f>
        <v>104.28870832967564</v>
      </c>
      <c r="C8" s="5" t="str">
        <f>'Design Inputs'!F45</f>
        <v>m3</v>
      </c>
      <c r="D8" s="113">
        <f>B8</f>
        <v>104.28870832967564</v>
      </c>
      <c r="E8" s="132" t="s">
        <v>80</v>
      </c>
      <c r="F8" s="89">
        <f>$D$8*Inventory!C8</f>
        <v>1.9329972004267465E-3</v>
      </c>
      <c r="G8" s="90">
        <f>$D$8*Inventory!D8</f>
        <v>23348.76277308138</v>
      </c>
      <c r="H8" s="90">
        <f>$D$8*Inventory!E8</f>
        <v>1435.6016732361045</v>
      </c>
      <c r="I8" s="90">
        <f>$D$8*Inventory!F8</f>
        <v>75.338642157429177</v>
      </c>
      <c r="J8" s="90">
        <f>$D$8*Inventory!G8</f>
        <v>27.908170167178739</v>
      </c>
      <c r="K8" s="91">
        <f>$D$8*Inventory!H8</f>
        <v>17650.972145545795</v>
      </c>
      <c r="L8" s="263"/>
    </row>
    <row r="9" spans="1:18">
      <c r="A9" s="62" t="s">
        <v>123</v>
      </c>
      <c r="B9" s="112">
        <f>'Design Inputs'!E46</f>
        <v>61.370771093019108</v>
      </c>
      <c r="C9" s="5" t="str">
        <f>'Design Inputs'!F46</f>
        <v>m3</v>
      </c>
      <c r="D9" s="113">
        <f>B9</f>
        <v>61.370771093019108</v>
      </c>
      <c r="E9" s="132" t="s">
        <v>80</v>
      </c>
      <c r="F9" s="89">
        <f>$D$9*Inventory!C9</f>
        <v>1.1375107680481288E-3</v>
      </c>
      <c r="G9" s="90">
        <f>$D$9*Inventory!D9</f>
        <v>13740.045287762363</v>
      </c>
      <c r="H9" s="90">
        <f>$D$9*Inventory!E9</f>
        <v>844.80844647548429</v>
      </c>
      <c r="I9" s="90">
        <f>$D$9*Inventory!F9</f>
        <v>44.33452706774785</v>
      </c>
      <c r="J9" s="90">
        <f>$D$9*Inventory!G9</f>
        <v>16.42311953409806</v>
      </c>
      <c r="K9" s="91">
        <f>$D$9*Inventory!H9</f>
        <v>10387.06671569068</v>
      </c>
      <c r="L9" s="263"/>
      <c r="P9" t="s">
        <v>197</v>
      </c>
    </row>
    <row r="10" spans="1:18">
      <c r="A10" s="62" t="s">
        <v>125</v>
      </c>
      <c r="B10" s="112">
        <f>'Design Inputs'!E61</f>
        <v>1645.92</v>
      </c>
      <c r="C10" s="5" t="str">
        <f>'Design Inputs'!F61</f>
        <v>m</v>
      </c>
      <c r="D10" s="5"/>
      <c r="E10" s="132" t="s">
        <v>38</v>
      </c>
      <c r="F10" s="89">
        <f>$D$10*Inventory!C10</f>
        <v>0</v>
      </c>
      <c r="G10" s="90">
        <f>$D$10*Inventory!D10</f>
        <v>0</v>
      </c>
      <c r="H10" s="90">
        <f>$D$10*Inventory!E10</f>
        <v>0</v>
      </c>
      <c r="I10" s="90">
        <f>$D$10*Inventory!F10</f>
        <v>0</v>
      </c>
      <c r="J10" s="90">
        <f>$D$10*Inventory!G10</f>
        <v>0</v>
      </c>
      <c r="K10" s="91">
        <f>$D$10*Inventory!H10</f>
        <v>0</v>
      </c>
      <c r="L10" s="263" t="s">
        <v>198</v>
      </c>
    </row>
    <row r="11" spans="1:18">
      <c r="A11" s="62" t="s">
        <v>127</v>
      </c>
      <c r="B11" s="112">
        <f>B10</f>
        <v>1645.92</v>
      </c>
      <c r="C11" s="5" t="s">
        <v>62</v>
      </c>
      <c r="D11" s="5"/>
      <c r="E11" s="132" t="s">
        <v>38</v>
      </c>
      <c r="F11" s="89">
        <f>$D$11*Inventory!C11</f>
        <v>0</v>
      </c>
      <c r="G11" s="90">
        <f>$D$11*Inventory!D11</f>
        <v>0</v>
      </c>
      <c r="H11" s="90">
        <f>$D$11*Inventory!E11</f>
        <v>0</v>
      </c>
      <c r="I11" s="90">
        <f>$D$11*Inventory!F11</f>
        <v>0</v>
      </c>
      <c r="J11" s="90">
        <f>$D$11*Inventory!G11</f>
        <v>0</v>
      </c>
      <c r="K11" s="91">
        <f>$D$11*Inventory!H11</f>
        <v>0</v>
      </c>
      <c r="L11" s="263" t="s">
        <v>199</v>
      </c>
    </row>
    <row r="12" spans="1:18">
      <c r="A12" s="62" t="s">
        <v>200</v>
      </c>
      <c r="B12" s="112">
        <v>0.25</v>
      </c>
      <c r="C12" s="5" t="s">
        <v>38</v>
      </c>
      <c r="D12" s="113">
        <f>B12</f>
        <v>0.25</v>
      </c>
      <c r="E12" s="132" t="s">
        <v>38</v>
      </c>
      <c r="F12" s="89">
        <f>$D$12*Inventory!C12</f>
        <v>1.1828756097069701E-8</v>
      </c>
      <c r="G12" s="90">
        <f>$D$12*Inventory!D12</f>
        <v>0.237644053292111</v>
      </c>
      <c r="H12" s="90">
        <f>$D$12*Inventory!E12</f>
        <v>1.725138605230965E-2</v>
      </c>
      <c r="I12" s="90">
        <f>$D$12*Inventory!F12</f>
        <v>1.3583816891289801E-3</v>
      </c>
      <c r="J12" s="90">
        <f>$D$12*Inventory!G12</f>
        <v>8.1816463526800749E-4</v>
      </c>
      <c r="K12" s="91">
        <f>$D$12*Inventory!H12</f>
        <v>0.12534827318265224</v>
      </c>
      <c r="L12" s="263" t="s">
        <v>201</v>
      </c>
    </row>
    <row r="13" spans="1:18">
      <c r="A13" s="62" t="s">
        <v>131</v>
      </c>
      <c r="B13" s="128">
        <f>25*D46</f>
        <v>12000</v>
      </c>
      <c r="C13" s="5" t="s">
        <v>202</v>
      </c>
      <c r="D13" s="5">
        <f>B13*3.22</f>
        <v>38640</v>
      </c>
      <c r="E13" s="132" t="s">
        <v>38</v>
      </c>
      <c r="F13" s="89">
        <f>$D$13*Inventory!C13</f>
        <v>3.553501257651466E-2</v>
      </c>
      <c r="G13" s="90">
        <f>$D$13*Inventory!D13</f>
        <v>22260.296626205687</v>
      </c>
      <c r="H13" s="90">
        <f>$D$13*Inventory!E13</f>
        <v>1776.6407631336249</v>
      </c>
      <c r="I13" s="90">
        <f>$D$13*Inventory!F13</f>
        <v>213.69428106413133</v>
      </c>
      <c r="J13" s="90">
        <f>$D$13*Inventory!G13</f>
        <v>70.59301314076771</v>
      </c>
      <c r="K13" s="91">
        <f>$D$13*Inventory!H13</f>
        <v>314923.22858640575</v>
      </c>
      <c r="L13" s="263" t="s">
        <v>203</v>
      </c>
      <c r="R13" s="7" t="s">
        <v>204</v>
      </c>
    </row>
    <row r="14" spans="1:18" ht="15" thickBot="1">
      <c r="A14" s="65" t="s">
        <v>133</v>
      </c>
      <c r="B14" s="129">
        <f>15*('Design Inputs'!C8/0.3048)</f>
        <v>221456.69291338581</v>
      </c>
      <c r="C14" s="104" t="s">
        <v>38</v>
      </c>
      <c r="D14" s="130">
        <f>B14</f>
        <v>221456.69291338581</v>
      </c>
      <c r="E14" s="133" t="s">
        <v>38</v>
      </c>
      <c r="F14" s="92">
        <f>$D$14*Inventory!C14</f>
        <v>4.3442251672134593E-6</v>
      </c>
      <c r="G14" s="93">
        <f>$D$14*Inventory!D14</f>
        <v>68.001491709189565</v>
      </c>
      <c r="H14" s="93">
        <f>$D$14*Inventory!E14</f>
        <v>3.5005581420680456</v>
      </c>
      <c r="I14" s="93">
        <f>$D$14*Inventory!F14</f>
        <v>0.34231165079513165</v>
      </c>
      <c r="J14" s="93">
        <f>$D$14*Inventory!G14</f>
        <v>0.28379650393893013</v>
      </c>
      <c r="K14" s="94">
        <f>$D$14*Inventory!H14</f>
        <v>45.09130280563479</v>
      </c>
      <c r="L14" s="263" t="s">
        <v>205</v>
      </c>
      <c r="R14" s="7"/>
    </row>
    <row r="15" spans="1:18" ht="15">
      <c r="A15" s="98" t="s">
        <v>135</v>
      </c>
      <c r="B15" s="95" t="s">
        <v>187</v>
      </c>
      <c r="C15" s="95" t="s">
        <v>5</v>
      </c>
      <c r="D15" s="95" t="s">
        <v>188</v>
      </c>
      <c r="E15" s="134" t="s">
        <v>5</v>
      </c>
      <c r="F15" s="99" t="s">
        <v>189</v>
      </c>
      <c r="G15" s="100" t="s">
        <v>190</v>
      </c>
      <c r="H15" s="101" t="s">
        <v>191</v>
      </c>
      <c r="I15" s="101" t="s">
        <v>192</v>
      </c>
      <c r="J15" s="101" t="s">
        <v>193</v>
      </c>
      <c r="K15" s="102" t="s">
        <v>194</v>
      </c>
      <c r="L15" s="263"/>
      <c r="R15" s="7"/>
    </row>
    <row r="16" spans="1:18">
      <c r="A16" s="62" t="s">
        <v>111</v>
      </c>
      <c r="B16" s="112">
        <f>'Design Inputs'!E57</f>
        <v>1.9063613360734526</v>
      </c>
      <c r="C16" s="5" t="str">
        <f>'Design Inputs'!F57</f>
        <v>m3</v>
      </c>
      <c r="D16" s="131">
        <f>B16*8000</f>
        <v>15250.89068858762</v>
      </c>
      <c r="E16" s="132" t="s">
        <v>38</v>
      </c>
      <c r="F16" s="89">
        <f>$D$16*Inventory!C16</f>
        <v>1.4877269179778118E-3</v>
      </c>
      <c r="G16" s="90">
        <f>$D$16*Inventory!D16</f>
        <v>27809.367445145373</v>
      </c>
      <c r="H16" s="90">
        <f>$D$16*Inventory!E16</f>
        <v>1371.391168796315</v>
      </c>
      <c r="I16" s="90">
        <f>$D$16*Inventory!F16</f>
        <v>112.24227454731177</v>
      </c>
      <c r="J16" s="90">
        <f>$D$16*Inventory!G16</f>
        <v>94.98125963212641</v>
      </c>
      <c r="K16" s="91">
        <f>$D$16*Inventory!H16</f>
        <v>11365.733996684767</v>
      </c>
      <c r="L16" s="263" t="s">
        <v>196</v>
      </c>
      <c r="R16" s="7"/>
    </row>
    <row r="17" spans="1:18">
      <c r="A17" s="62" t="s">
        <v>114</v>
      </c>
      <c r="B17" s="112">
        <f>'Design Inputs'!E58</f>
        <v>20.266166022488125</v>
      </c>
      <c r="C17" s="5" t="str">
        <f>'Design Inputs'!F58</f>
        <v>m3</v>
      </c>
      <c r="D17" s="131">
        <f>B17*8000</f>
        <v>162129.32817990502</v>
      </c>
      <c r="E17" s="132" t="s">
        <v>38</v>
      </c>
      <c r="F17" s="89">
        <f>$D$17*Inventory!C17</f>
        <v>1.5815742873784976E-2</v>
      </c>
      <c r="G17" s="90">
        <f>$D$17*Inventory!D17</f>
        <v>295636.11418206891</v>
      </c>
      <c r="H17" s="90">
        <f>$D$17*Inventory!E17</f>
        <v>14578.999575099069</v>
      </c>
      <c r="I17" s="90">
        <f>$D$17*Inventory!F17</f>
        <v>1193.2263457476397</v>
      </c>
      <c r="J17" s="90">
        <f>$D$17*Inventory!G17</f>
        <v>1009.7277679238225</v>
      </c>
      <c r="K17" s="91">
        <f>$D$17*Inventory!H17</f>
        <v>120826.96380041142</v>
      </c>
      <c r="L17" s="263" t="s">
        <v>196</v>
      </c>
      <c r="R17" s="7"/>
    </row>
    <row r="18" spans="1:18">
      <c r="A18" s="62" t="s">
        <v>136</v>
      </c>
      <c r="B18" s="112">
        <f>'Design Inputs'!E59</f>
        <v>18.487209792422572</v>
      </c>
      <c r="C18" s="5" t="str">
        <f>'Design Inputs'!F59</f>
        <v>m3</v>
      </c>
      <c r="D18" s="131">
        <f>B18*8000</f>
        <v>147897.67833938057</v>
      </c>
      <c r="E18" s="132" t="s">
        <v>38</v>
      </c>
      <c r="F18" s="89">
        <f>$D$18*Inventory!C18</f>
        <v>1.4427443069706867E-2</v>
      </c>
      <c r="G18" s="90">
        <f>$D$18*Inventory!D18</f>
        <v>269685.29020416515</v>
      </c>
      <c r="H18" s="90">
        <f>$D$18*Inventory!E18</f>
        <v>13299.260620357129</v>
      </c>
      <c r="I18" s="90">
        <f>$D$18*Inventory!F18</f>
        <v>1088.4853977414557</v>
      </c>
      <c r="J18" s="90">
        <f>$D$18*Inventory!G18</f>
        <v>921.09425424269159</v>
      </c>
      <c r="K18" s="91">
        <f>$D$18*Inventory!H18</f>
        <v>110220.81956108491</v>
      </c>
      <c r="L18" s="263" t="s">
        <v>196</v>
      </c>
      <c r="R18" s="7"/>
    </row>
    <row r="19" spans="1:18">
      <c r="A19" s="62" t="s">
        <v>118</v>
      </c>
      <c r="B19" s="112">
        <f>'Design Inputs'!E48</f>
        <v>21.609600726812506</v>
      </c>
      <c r="C19" s="63" t="str">
        <f>'Design Inputs'!F48</f>
        <v>m3</v>
      </c>
      <c r="D19" s="113">
        <f>B19</f>
        <v>21.609600726812506</v>
      </c>
      <c r="E19" s="132" t="s">
        <v>80</v>
      </c>
      <c r="F19" s="89">
        <f>$D$19*Inventory!C19</f>
        <v>4.005351909740953E-4</v>
      </c>
      <c r="G19" s="90">
        <f>$D$19*Inventory!D19</f>
        <v>4838.0831354853299</v>
      </c>
      <c r="H19" s="90">
        <f>$D$19*Inventory!E19</f>
        <v>297.47016199785986</v>
      </c>
      <c r="I19" s="90">
        <f>$D$19*Inventory!F19</f>
        <v>15.610874872241428</v>
      </c>
      <c r="J19" s="90">
        <f>$D$19*Inventory!G19</f>
        <v>5.7828352080285903</v>
      </c>
      <c r="K19" s="91">
        <f>$D$19*Inventory!H19</f>
        <v>3657.4473556577418</v>
      </c>
      <c r="L19" s="263"/>
      <c r="R19" s="7"/>
    </row>
    <row r="20" spans="1:18">
      <c r="A20" s="62" t="s">
        <v>121</v>
      </c>
      <c r="B20" s="112">
        <f>'Design Inputs'!E49</f>
        <v>151.20000281318408</v>
      </c>
      <c r="C20" s="63" t="str">
        <f>'Design Inputs'!F49</f>
        <v>m3</v>
      </c>
      <c r="D20" s="113">
        <f>B20</f>
        <v>151.20000281318408</v>
      </c>
      <c r="E20" s="132" t="s">
        <v>80</v>
      </c>
      <c r="F20" s="89">
        <f>$D$20*Inventory!C20</f>
        <v>2.8025007387998783E-3</v>
      </c>
      <c r="G20" s="90">
        <f>$D$20*Inventory!D20</f>
        <v>33851.536312198303</v>
      </c>
      <c r="H20" s="90">
        <f>$D$20*Inventory!E20</f>
        <v>2081.3660511139428</v>
      </c>
      <c r="I20" s="90">
        <f>$D$20*Inventory!F20</f>
        <v>109.2275768737598</v>
      </c>
      <c r="J20" s="90">
        <f>$D$20*Inventory!G20</f>
        <v>40.461862797734106</v>
      </c>
      <c r="K20" s="91">
        <f>$D$20*Inventory!H20</f>
        <v>25590.757434882678</v>
      </c>
      <c r="L20" s="263"/>
      <c r="R20" s="7"/>
    </row>
    <row r="21" spans="1:18">
      <c r="A21" s="62" t="s">
        <v>137</v>
      </c>
      <c r="B21" s="112">
        <f>'Design Inputs'!E50</f>
        <v>93.227341049970548</v>
      </c>
      <c r="C21" s="63" t="str">
        <f>'Design Inputs'!F50</f>
        <v>m3</v>
      </c>
      <c r="D21" s="113">
        <f>B21</f>
        <v>93.227341049970548</v>
      </c>
      <c r="E21" s="132" t="s">
        <v>80</v>
      </c>
      <c r="F21" s="89">
        <f>$D$21*Inventory!C21</f>
        <v>1.7279741224059616E-3</v>
      </c>
      <c r="G21" s="90">
        <f>$D$21*Inventory!D21</f>
        <v>20872.27951141011</v>
      </c>
      <c r="H21" s="90">
        <f>$D$21*Inventory!E21</f>
        <v>1283.3347823199272</v>
      </c>
      <c r="I21" s="90">
        <f>$D$21*Inventory!F21</f>
        <v>67.34785960191769</v>
      </c>
      <c r="J21" s="90">
        <f>$D$21*Inventory!G21</f>
        <v>24.948093997208279</v>
      </c>
      <c r="K21" s="91">
        <f>$D$21*Inventory!H21</f>
        <v>15778.824250794574</v>
      </c>
      <c r="L21" s="263"/>
      <c r="R21" s="7"/>
    </row>
    <row r="22" spans="1:18">
      <c r="A22" s="62" t="s">
        <v>125</v>
      </c>
      <c r="B22" s="112">
        <f>'Design Inputs'!E63</f>
        <v>1828.8000000000002</v>
      </c>
      <c r="C22" s="63" t="str">
        <f>'Design Inputs'!F63</f>
        <v>m</v>
      </c>
      <c r="D22" s="5"/>
      <c r="E22" s="132" t="s">
        <v>38</v>
      </c>
      <c r="F22" s="89">
        <f>$D$22*Inventory!C22</f>
        <v>0</v>
      </c>
      <c r="G22" s="90">
        <f>$D$22*Inventory!D22</f>
        <v>0</v>
      </c>
      <c r="H22" s="90">
        <f>$D$22*Inventory!E22</f>
        <v>0</v>
      </c>
      <c r="I22" s="90">
        <f>$D$22*Inventory!F22</f>
        <v>0</v>
      </c>
      <c r="J22" s="90">
        <f>$D$22*Inventory!G22</f>
        <v>0</v>
      </c>
      <c r="K22" s="91">
        <f>$D$22*Inventory!H22</f>
        <v>0</v>
      </c>
      <c r="L22" s="263" t="s">
        <v>198</v>
      </c>
      <c r="R22" s="7"/>
    </row>
    <row r="23" spans="1:18">
      <c r="A23" s="62" t="s">
        <v>127</v>
      </c>
      <c r="B23" s="112">
        <f>B22</f>
        <v>1828.8000000000002</v>
      </c>
      <c r="C23" s="5" t="s">
        <v>62</v>
      </c>
      <c r="D23" s="5"/>
      <c r="E23" s="132" t="s">
        <v>38</v>
      </c>
      <c r="F23" s="89">
        <f>$D$23*Inventory!C23</f>
        <v>0</v>
      </c>
      <c r="G23" s="90">
        <f>$D$23*Inventory!D23</f>
        <v>0</v>
      </c>
      <c r="H23" s="90">
        <f>$D$23*Inventory!E23</f>
        <v>0</v>
      </c>
      <c r="I23" s="90">
        <f>$D$23*Inventory!F23</f>
        <v>0</v>
      </c>
      <c r="J23" s="90">
        <f>$D$23*Inventory!G23</f>
        <v>0</v>
      </c>
      <c r="K23" s="91">
        <f>$D$23*Inventory!H23</f>
        <v>0</v>
      </c>
      <c r="L23" s="263" t="s">
        <v>199</v>
      </c>
      <c r="R23" s="7"/>
    </row>
    <row r="24" spans="1:18">
      <c r="A24" s="62" t="s">
        <v>206</v>
      </c>
      <c r="B24" s="63">
        <v>0.25</v>
      </c>
      <c r="C24" s="5" t="s">
        <v>38</v>
      </c>
      <c r="D24" s="5">
        <f>B24</f>
        <v>0.25</v>
      </c>
      <c r="E24" s="132" t="s">
        <v>38</v>
      </c>
      <c r="F24" s="149">
        <f>$D$24*Inventory!C24</f>
        <v>1.1828756097069701E-8</v>
      </c>
      <c r="G24" s="90">
        <f>$D$24*Inventory!D24</f>
        <v>0.237644053292111</v>
      </c>
      <c r="H24" s="90">
        <f>$D$24*Inventory!E24</f>
        <v>1.725138605230965E-2</v>
      </c>
      <c r="I24" s="90">
        <f>$D$24*Inventory!F24</f>
        <v>1.3583816891289801E-3</v>
      </c>
      <c r="J24" s="90">
        <f>$D$24*Inventory!G24</f>
        <v>8.1816463526800749E-4</v>
      </c>
      <c r="K24" s="150">
        <f>$D$24*Inventory!H24</f>
        <v>0.12534827318265224</v>
      </c>
      <c r="L24" s="263" t="s">
        <v>201</v>
      </c>
      <c r="R24" s="7"/>
    </row>
    <row r="25" spans="1:18">
      <c r="A25" s="62" t="s">
        <v>131</v>
      </c>
      <c r="B25" s="63">
        <f>25*D49</f>
        <v>12000</v>
      </c>
      <c r="C25" s="5" t="s">
        <v>202</v>
      </c>
      <c r="D25" s="5">
        <f>B25*3.22</f>
        <v>38640</v>
      </c>
      <c r="E25" s="132" t="s">
        <v>38</v>
      </c>
      <c r="F25" s="89">
        <f>$D$25*Inventory!C25</f>
        <v>3.553501257651466E-2</v>
      </c>
      <c r="G25" s="90">
        <f>$D$25*Inventory!D25</f>
        <v>22260.296626205687</v>
      </c>
      <c r="H25" s="90">
        <f>$D$25*Inventory!E25</f>
        <v>1776.6407631336249</v>
      </c>
      <c r="I25" s="90">
        <f>$D$25*Inventory!F25</f>
        <v>213.69428106413133</v>
      </c>
      <c r="J25" s="90">
        <f>$D$25*Inventory!G25</f>
        <v>70.59301314076771</v>
      </c>
      <c r="K25" s="91">
        <f>$D$25*Inventory!H25</f>
        <v>314923.22858640575</v>
      </c>
      <c r="L25" s="263" t="s">
        <v>203</v>
      </c>
      <c r="R25" s="7" t="s">
        <v>204</v>
      </c>
    </row>
    <row r="26" spans="1:18" ht="15" thickBot="1">
      <c r="A26" s="65" t="s">
        <v>133</v>
      </c>
      <c r="B26" s="129">
        <f>15*('Design Inputs'!C31/3.281)</f>
        <v>29030.783297775066</v>
      </c>
      <c r="C26" s="104" t="s">
        <v>38</v>
      </c>
      <c r="D26" s="130">
        <f>B26</f>
        <v>29030.783297775066</v>
      </c>
      <c r="E26" s="133" t="s">
        <v>38</v>
      </c>
      <c r="F26" s="92">
        <f>$D$26*Inventory!C26</f>
        <v>5.694849758974775E-7</v>
      </c>
      <c r="G26" s="93">
        <f>$D$26*Inventory!D26</f>
        <v>8.9143233548919518</v>
      </c>
      <c r="H26" s="93">
        <f>$D$26*Inventory!E26</f>
        <v>0.4588885687161679</v>
      </c>
      <c r="I26" s="93">
        <f>$D$26*Inventory!F26</f>
        <v>4.4873673600932057E-2</v>
      </c>
      <c r="J26" s="93">
        <f>$D$26*Inventory!G26</f>
        <v>3.7202916281873444E-2</v>
      </c>
      <c r="K26" s="94">
        <f>$D$26*Inventory!H26</f>
        <v>5.9110240613803393</v>
      </c>
      <c r="L26" s="263" t="s">
        <v>205</v>
      </c>
    </row>
    <row r="27" spans="1:18" ht="15">
      <c r="A27" s="98" t="s">
        <v>31</v>
      </c>
      <c r="B27" s="95" t="s">
        <v>187</v>
      </c>
      <c r="C27" s="95" t="s">
        <v>5</v>
      </c>
      <c r="D27" s="95" t="s">
        <v>188</v>
      </c>
      <c r="E27" s="134" t="s">
        <v>5</v>
      </c>
      <c r="F27" s="99" t="s">
        <v>189</v>
      </c>
      <c r="G27" s="100" t="s">
        <v>190</v>
      </c>
      <c r="H27" s="101" t="s">
        <v>191</v>
      </c>
      <c r="I27" s="101" t="s">
        <v>192</v>
      </c>
      <c r="J27" s="101" t="s">
        <v>193</v>
      </c>
      <c r="K27" s="102" t="s">
        <v>194</v>
      </c>
      <c r="L27" s="263"/>
    </row>
    <row r="28" spans="1:18">
      <c r="A28" s="62" t="s">
        <v>37</v>
      </c>
      <c r="B28" s="63">
        <f>'Design Inputs'!N9</f>
        <v>16</v>
      </c>
      <c r="C28" s="5" t="s">
        <v>38</v>
      </c>
      <c r="D28" s="5">
        <f>B28</f>
        <v>16</v>
      </c>
      <c r="E28" s="132" t="s">
        <v>38</v>
      </c>
      <c r="F28" s="89">
        <f>$D$28*Inventory!C28</f>
        <v>1.7789199999999999E-6</v>
      </c>
      <c r="G28" s="90">
        <f>$D$28*Inventory!D28</f>
        <v>12.622244165811759</v>
      </c>
      <c r="H28" s="90">
        <f>$D$28*Inventory!E28</f>
        <v>0.62291137568856803</v>
      </c>
      <c r="I28" s="90">
        <f>$D$28*Inventory!F28</f>
        <v>5.753972887936E-2</v>
      </c>
      <c r="J28" s="90">
        <f>$D$28*Inventory!G28</f>
        <v>3.8567712506566401E-3</v>
      </c>
      <c r="K28" s="91">
        <f>$D$28*Inventory!H28</f>
        <v>11.962284063799505</v>
      </c>
      <c r="L28" s="263" t="s">
        <v>207</v>
      </c>
    </row>
    <row r="29" spans="1:18">
      <c r="A29" s="62" t="s">
        <v>41</v>
      </c>
      <c r="B29" s="63">
        <f>'Design Inputs'!N10</f>
        <v>19.350000000000001</v>
      </c>
      <c r="C29" s="5" t="s">
        <v>38</v>
      </c>
      <c r="D29" s="5">
        <f>B29</f>
        <v>19.350000000000001</v>
      </c>
      <c r="E29" s="132" t="s">
        <v>38</v>
      </c>
      <c r="F29" s="89">
        <f>$D$29*Inventory!C29</f>
        <v>2.1620262588909363E-6</v>
      </c>
      <c r="G29" s="90">
        <f>$D$29*Inventory!D29</f>
        <v>31.767592256950302</v>
      </c>
      <c r="H29" s="90">
        <f>$D$29*Inventory!E29</f>
        <v>1.9642494645226951</v>
      </c>
      <c r="I29" s="90">
        <f>$D$29*Inventory!F29</f>
        <v>0.15628680774721745</v>
      </c>
      <c r="J29" s="90">
        <f>$D$29*Inventory!G29</f>
        <v>0.23867293113434868</v>
      </c>
      <c r="K29" s="91">
        <f>$D$29*Inventory!H29</f>
        <v>20.128766250645377</v>
      </c>
      <c r="L29" s="263" t="s">
        <v>208</v>
      </c>
    </row>
    <row r="30" spans="1:18">
      <c r="A30" s="62" t="s">
        <v>44</v>
      </c>
      <c r="B30" s="63">
        <f>'Design Inputs'!N11</f>
        <v>0.7</v>
      </c>
      <c r="C30" s="5" t="s">
        <v>38</v>
      </c>
      <c r="D30" s="5">
        <f>B30</f>
        <v>0.7</v>
      </c>
      <c r="E30" s="132" t="s">
        <v>38</v>
      </c>
      <c r="F30" s="89">
        <f>$D$30*Inventory!C30</f>
        <v>8.890824941626179E-8</v>
      </c>
      <c r="G30" s="90">
        <f>$D$30*Inventory!D30</f>
        <v>0.95015979726060396</v>
      </c>
      <c r="H30" s="90">
        <f>$D$30*Inventory!E30</f>
        <v>9.63610309958947E-2</v>
      </c>
      <c r="I30" s="90">
        <f>$D$30*Inventory!F30</f>
        <v>1.331130366246408E-2</v>
      </c>
      <c r="J30" s="90">
        <f>$D$30*Inventory!G30</f>
        <v>9.1152881849217993E-3</v>
      </c>
      <c r="K30" s="91">
        <f>$D$30*Inventory!H30</f>
        <v>0.9807556622795679</v>
      </c>
      <c r="L30" s="263" t="s">
        <v>208</v>
      </c>
    </row>
    <row r="31" spans="1:18" ht="15" thickBot="1">
      <c r="A31" s="65" t="s">
        <v>144</v>
      </c>
      <c r="B31" s="63">
        <f>'Design Inputs'!N12</f>
        <v>1</v>
      </c>
      <c r="C31" s="104" t="s">
        <v>38</v>
      </c>
      <c r="D31" s="104">
        <f>B31</f>
        <v>1</v>
      </c>
      <c r="E31" s="133" t="s">
        <v>38</v>
      </c>
      <c r="F31" s="92">
        <f>$D$31*Inventory!C31</f>
        <v>1.26098529848701E-6</v>
      </c>
      <c r="G31" s="93">
        <f>$D$31*Inventory!D31</f>
        <v>1.0018383934169801</v>
      </c>
      <c r="H31" s="93">
        <f>$D$31*Inventory!E31</f>
        <v>6.9805768159192594E-2</v>
      </c>
      <c r="I31" s="93">
        <f>$D$31*Inventory!F31</f>
        <v>8.2701846601353803E-3</v>
      </c>
      <c r="J31" s="93">
        <f>$D$31*Inventory!G31</f>
        <v>4.0876040471442797E-3</v>
      </c>
      <c r="K31" s="94">
        <f>$D$31*Inventory!H31</f>
        <v>11.077211451095099</v>
      </c>
      <c r="L31" s="263" t="s">
        <v>208</v>
      </c>
    </row>
    <row r="32" spans="1:18" ht="15">
      <c r="A32" s="98" t="s">
        <v>146</v>
      </c>
      <c r="B32" s="95" t="s">
        <v>187</v>
      </c>
      <c r="C32" s="95" t="s">
        <v>5</v>
      </c>
      <c r="D32" s="95" t="s">
        <v>188</v>
      </c>
      <c r="E32" s="134" t="s">
        <v>5</v>
      </c>
      <c r="F32" s="99" t="s">
        <v>189</v>
      </c>
      <c r="G32" s="100" t="s">
        <v>190</v>
      </c>
      <c r="H32" s="101" t="s">
        <v>191</v>
      </c>
      <c r="I32" s="101" t="s">
        <v>192</v>
      </c>
      <c r="J32" s="101" t="s">
        <v>193</v>
      </c>
      <c r="K32" s="102" t="s">
        <v>194</v>
      </c>
      <c r="L32" s="263"/>
    </row>
    <row r="33" spans="1:12">
      <c r="A33" s="62" t="s">
        <v>88</v>
      </c>
      <c r="B33" s="63">
        <f>'Design Inputs'!I47</f>
        <v>1191</v>
      </c>
      <c r="C33" s="5" t="str">
        <f>'Design Inputs'!J47</f>
        <v>kg</v>
      </c>
      <c r="D33" s="5">
        <f>B33</f>
        <v>1191</v>
      </c>
      <c r="E33" s="132" t="s">
        <v>38</v>
      </c>
      <c r="F33" s="89">
        <f>$D$33*Inventory!C33</f>
        <v>12.366383409956388</v>
      </c>
      <c r="G33" s="90">
        <f>$D$33*Inventory!D33</f>
        <v>123140.75454523483</v>
      </c>
      <c r="H33" s="90">
        <f>$D$33*Inventory!E33</f>
        <v>937.35085452613532</v>
      </c>
      <c r="I33" s="90">
        <f>$D$33*Inventory!F33</f>
        <v>106.96325830111203</v>
      </c>
      <c r="J33" s="90">
        <f>$D$33*Inventory!G33</f>
        <v>29.082944754282831</v>
      </c>
      <c r="K33" s="91">
        <f>$D$33*Inventory!H33</f>
        <v>18167.847996039101</v>
      </c>
      <c r="L33" s="263" t="s">
        <v>209</v>
      </c>
    </row>
    <row r="34" spans="1:12">
      <c r="A34" s="62" t="s">
        <v>41</v>
      </c>
      <c r="B34" s="63">
        <f>'Design Inputs'!I44</f>
        <v>24397</v>
      </c>
      <c r="C34" s="5" t="str">
        <f>'Design Inputs'!J44</f>
        <v>kg</v>
      </c>
      <c r="D34" s="5">
        <f>B34</f>
        <v>24397</v>
      </c>
      <c r="E34" s="132" t="s">
        <v>38</v>
      </c>
      <c r="F34" s="89">
        <f>$D$34*Inventory!C34</f>
        <v>2.7259408081737558E-3</v>
      </c>
      <c r="G34" s="90">
        <f>$D$34*Inventory!D34</f>
        <v>40053.434020300592</v>
      </c>
      <c r="H34" s="90">
        <f>$D$34*Inventory!E34</f>
        <v>2476.5785109023354</v>
      </c>
      <c r="I34" s="90">
        <f>$D$34*Inventory!F34</f>
        <v>197.0506071632488</v>
      </c>
      <c r="J34" s="90">
        <f>$D$34*Inventory!G34</f>
        <v>300.92524552375733</v>
      </c>
      <c r="K34" s="91">
        <f>$D$34*Inventory!H34</f>
        <v>25378.889416898979</v>
      </c>
      <c r="L34" s="263" t="s">
        <v>209</v>
      </c>
    </row>
    <row r="35" spans="1:12">
      <c r="A35" s="70" t="s">
        <v>86</v>
      </c>
      <c r="B35" s="175">
        <f>'Design Inputs'!I46</f>
        <v>435</v>
      </c>
      <c r="C35" s="176" t="str">
        <f>'Design Inputs'!J46</f>
        <v>kg</v>
      </c>
      <c r="D35" s="176">
        <f>B35</f>
        <v>435</v>
      </c>
      <c r="E35" s="178" t="s">
        <v>38</v>
      </c>
      <c r="F35" s="89">
        <f>$D$35*Inventory!C35</f>
        <v>0</v>
      </c>
      <c r="G35" s="90">
        <f>$D$35*Inventory!D35</f>
        <v>0</v>
      </c>
      <c r="H35" s="90">
        <f>$D$35*Inventory!E35</f>
        <v>0</v>
      </c>
      <c r="I35" s="90">
        <f>$D$35*Inventory!F35</f>
        <v>0</v>
      </c>
      <c r="J35" s="90">
        <f>$D$35*Inventory!G35</f>
        <v>0</v>
      </c>
      <c r="K35" s="91">
        <f>$D$35*Inventory!H35</f>
        <v>0</v>
      </c>
      <c r="L35" s="263" t="s">
        <v>209</v>
      </c>
    </row>
    <row r="36" spans="1:12" ht="15" thickBot="1">
      <c r="A36" s="65" t="s">
        <v>84</v>
      </c>
      <c r="B36" s="103">
        <f>'Design Inputs'!I45</f>
        <v>6506</v>
      </c>
      <c r="C36" s="104" t="str">
        <f>'Design Inputs'!J45</f>
        <v>kg</v>
      </c>
      <c r="D36" s="104">
        <f>B36</f>
        <v>6506</v>
      </c>
      <c r="E36" s="133" t="s">
        <v>38</v>
      </c>
      <c r="F36" s="92">
        <f>$D$36*Inventory!C36</f>
        <v>7.2335334499999996E-4</v>
      </c>
      <c r="G36" s="93">
        <f>$D$36*Inventory!D36</f>
        <v>5132.5200339232069</v>
      </c>
      <c r="H36" s="93">
        <f>$D$36*Inventory!E36</f>
        <v>253.29133813936397</v>
      </c>
      <c r="I36" s="93">
        <f>$D$36*Inventory!F36</f>
        <v>23.39709225556976</v>
      </c>
      <c r="J36" s="93">
        <f>$D$36*Inventory!G36</f>
        <v>1.5682596097982564</v>
      </c>
      <c r="K36" s="94">
        <f>$D$36*Inventory!H36</f>
        <v>4864.163757442474</v>
      </c>
      <c r="L36" s="263" t="s">
        <v>209</v>
      </c>
    </row>
    <row r="37" spans="1:12" ht="15">
      <c r="A37" s="98" t="s">
        <v>148</v>
      </c>
      <c r="B37" s="95" t="s">
        <v>187</v>
      </c>
      <c r="C37" s="95" t="s">
        <v>5</v>
      </c>
      <c r="D37" s="95" t="s">
        <v>188</v>
      </c>
      <c r="E37" s="134" t="s">
        <v>5</v>
      </c>
      <c r="F37" s="99" t="s">
        <v>189</v>
      </c>
      <c r="G37" s="100" t="s">
        <v>190</v>
      </c>
      <c r="H37" s="101" t="s">
        <v>191</v>
      </c>
      <c r="I37" s="101" t="s">
        <v>192</v>
      </c>
      <c r="J37" s="101" t="s">
        <v>193</v>
      </c>
      <c r="K37" s="102" t="s">
        <v>194</v>
      </c>
      <c r="L37" s="263"/>
    </row>
    <row r="38" spans="1:12">
      <c r="A38" s="70" t="s">
        <v>58</v>
      </c>
      <c r="B38" s="175">
        <v>8810</v>
      </c>
      <c r="C38" s="176" t="s">
        <v>38</v>
      </c>
      <c r="D38" s="176">
        <f>B38</f>
        <v>8810</v>
      </c>
      <c r="E38" s="178" t="s">
        <v>38</v>
      </c>
      <c r="F38" s="89">
        <f>Inventory!C38*$D$38</f>
        <v>8.5941696226257236E-4</v>
      </c>
      <c r="G38" s="90">
        <f>Inventory!D38*$D$38</f>
        <v>16064.670070389191</v>
      </c>
      <c r="H38" s="90">
        <f>Inventory!E38*$D$38</f>
        <v>792.21315291024757</v>
      </c>
      <c r="I38" s="90">
        <f>Inventory!F38*$D$38</f>
        <v>64.83912703549737</v>
      </c>
      <c r="J38" s="90">
        <f>Inventory!G38*$D$38</f>
        <v>54.867936204224939</v>
      </c>
      <c r="K38" s="91">
        <f>Inventory!H38*$D$38</f>
        <v>6565.6569544310332</v>
      </c>
      <c r="L38" s="263" t="s">
        <v>210</v>
      </c>
    </row>
    <row r="39" spans="1:12" ht="15" thickBot="1">
      <c r="A39" s="65" t="s">
        <v>51</v>
      </c>
      <c r="B39" s="103">
        <v>40</v>
      </c>
      <c r="C39" s="104" t="s">
        <v>62</v>
      </c>
      <c r="D39" s="104">
        <f>2*10.1</f>
        <v>20.2</v>
      </c>
      <c r="E39" s="133" t="s">
        <v>38</v>
      </c>
      <c r="F39" s="92">
        <f>$D$39*Inventory!C39</f>
        <v>0</v>
      </c>
      <c r="G39" s="93">
        <f>$D$39*Inventory!D39</f>
        <v>50.127360536430096</v>
      </c>
      <c r="H39" s="93">
        <f>$D$39*Inventory!E39</f>
        <v>2.270269991295395</v>
      </c>
      <c r="I39" s="93">
        <f>$D$39*Inventory!F39</f>
        <v>0.19114576479136819</v>
      </c>
      <c r="J39" s="93">
        <f>$D$39*Inventory!G39</f>
        <v>4.3554370747873701E-3</v>
      </c>
      <c r="K39" s="94">
        <f>$D$39*Inventory!H39</f>
        <v>225.14223827891243</v>
      </c>
      <c r="L39" s="263" t="s">
        <v>211</v>
      </c>
    </row>
    <row r="40" spans="1:12" ht="15" thickBot="1">
      <c r="A40" s="298" t="s">
        <v>150</v>
      </c>
      <c r="B40" s="294"/>
      <c r="C40" s="294"/>
      <c r="D40" s="294"/>
      <c r="E40" s="299"/>
      <c r="F40" s="289"/>
      <c r="G40" s="291"/>
      <c r="H40" s="291"/>
      <c r="I40" s="291"/>
      <c r="J40" s="291"/>
      <c r="K40" s="290"/>
      <c r="L40" s="263"/>
    </row>
    <row r="41" spans="1:12" ht="15">
      <c r="A41" s="98" t="s">
        <v>151</v>
      </c>
      <c r="B41" s="95" t="s">
        <v>187</v>
      </c>
      <c r="C41" s="95" t="s">
        <v>5</v>
      </c>
      <c r="D41" s="95" t="s">
        <v>188</v>
      </c>
      <c r="E41" s="134" t="s">
        <v>5</v>
      </c>
      <c r="F41" s="99" t="s">
        <v>189</v>
      </c>
      <c r="G41" s="100" t="s">
        <v>190</v>
      </c>
      <c r="H41" s="101" t="s">
        <v>191</v>
      </c>
      <c r="I41" s="101" t="s">
        <v>192</v>
      </c>
      <c r="J41" s="101" t="s">
        <v>193</v>
      </c>
      <c r="K41" s="102" t="s">
        <v>194</v>
      </c>
      <c r="L41" s="263"/>
    </row>
    <row r="42" spans="1:12">
      <c r="A42" s="62" t="s">
        <v>212</v>
      </c>
      <c r="B42" s="63">
        <f>3*15</f>
        <v>45</v>
      </c>
      <c r="C42" s="5" t="s">
        <v>213</v>
      </c>
      <c r="D42" s="138">
        <f>16*30*(B42*1.60934)</f>
        <v>34761.743999999999</v>
      </c>
      <c r="E42" s="132" t="s">
        <v>214</v>
      </c>
      <c r="F42" s="89">
        <f>$D$42*Inventory!C42</f>
        <v>8.0048140762505895E-4</v>
      </c>
      <c r="G42" s="90">
        <f>$D$42*Inventory!D42</f>
        <v>3173.8594903996936</v>
      </c>
      <c r="H42" s="90">
        <f>$D$42*Inventory!E42</f>
        <v>248.12831498891396</v>
      </c>
      <c r="I42" s="90">
        <f>$D$42*Inventory!F42</f>
        <v>11.926962203253094</v>
      </c>
      <c r="J42" s="90">
        <f>$D$42*Inventory!G42</f>
        <v>3.3853679453232419</v>
      </c>
      <c r="K42" s="91">
        <f>$D$42*Inventory!H42</f>
        <v>7105.3845505047821</v>
      </c>
      <c r="L42" s="263" t="s">
        <v>215</v>
      </c>
    </row>
    <row r="43" spans="1:12">
      <c r="A43" s="62" t="s">
        <v>216</v>
      </c>
      <c r="B43" s="63">
        <f>5*40</f>
        <v>200</v>
      </c>
      <c r="C43" s="5" t="s">
        <v>213</v>
      </c>
      <c r="D43" s="5">
        <f>35*4*(B43*1.60934)</f>
        <v>45061.52</v>
      </c>
      <c r="E43" s="132" t="s">
        <v>214</v>
      </c>
      <c r="F43" s="89">
        <f>$D$43*Inventory!C43</f>
        <v>1.0376610839584097E-3</v>
      </c>
      <c r="G43" s="90">
        <f>$D$43*Inventory!D43</f>
        <v>4114.2623023699725</v>
      </c>
      <c r="H43" s="90">
        <f>$D$43*Inventory!E43</f>
        <v>321.64781572636991</v>
      </c>
      <c r="I43" s="90">
        <f>$D$43*Inventory!F43</f>
        <v>15.460876930142899</v>
      </c>
      <c r="J43" s="90">
        <f>$D$43*Inventory!G43</f>
        <v>4.388439929122721</v>
      </c>
      <c r="K43" s="91">
        <f>$D$43*Inventory!H43</f>
        <v>9210.6836765802727</v>
      </c>
      <c r="L43" s="263" t="s">
        <v>217</v>
      </c>
    </row>
    <row r="44" spans="1:12" ht="15" thickBot="1">
      <c r="A44" s="65" t="s">
        <v>155</v>
      </c>
      <c r="B44" s="103">
        <v>45</v>
      </c>
      <c r="C44" s="104" t="s">
        <v>213</v>
      </c>
      <c r="D44" s="104">
        <f>45*4*(B44*1.60934)</f>
        <v>13035.653999999999</v>
      </c>
      <c r="E44" s="133" t="s">
        <v>214</v>
      </c>
      <c r="F44" s="92">
        <f>$D$44*Inventory!C44</f>
        <v>3.0018052785939708E-4</v>
      </c>
      <c r="G44" s="93">
        <f>$D$44*Inventory!D44</f>
        <v>1190.197308899885</v>
      </c>
      <c r="H44" s="93">
        <f>$D$44*Inventory!E44</f>
        <v>93.04811812084273</v>
      </c>
      <c r="I44" s="93">
        <f>$D$44*Inventory!F44</f>
        <v>4.4726108262199098</v>
      </c>
      <c r="J44" s="93">
        <f>$D$44*Inventory!G44</f>
        <v>1.2695129794962157</v>
      </c>
      <c r="K44" s="94">
        <f>$D$44*Inventory!H44</f>
        <v>2664.5192064392932</v>
      </c>
      <c r="L44" s="263" t="s">
        <v>218</v>
      </c>
    </row>
    <row r="45" spans="1:12" ht="15">
      <c r="A45" s="96" t="s">
        <v>156</v>
      </c>
      <c r="B45" s="95" t="s">
        <v>187</v>
      </c>
      <c r="C45" s="97" t="s">
        <v>5</v>
      </c>
      <c r="D45" s="97" t="s">
        <v>188</v>
      </c>
      <c r="E45" s="135" t="s">
        <v>5</v>
      </c>
      <c r="F45" s="99" t="s">
        <v>189</v>
      </c>
      <c r="G45" s="100" t="s">
        <v>190</v>
      </c>
      <c r="H45" s="101" t="s">
        <v>191</v>
      </c>
      <c r="I45" s="101" t="s">
        <v>192</v>
      </c>
      <c r="J45" s="101" t="s">
        <v>193</v>
      </c>
      <c r="K45" s="102" t="s">
        <v>194</v>
      </c>
      <c r="L45" s="263"/>
    </row>
    <row r="46" spans="1:12">
      <c r="A46" s="62" t="s">
        <v>157</v>
      </c>
      <c r="B46" s="63">
        <f>'Design Inputs'!$I$6</f>
        <v>20</v>
      </c>
      <c r="C46" s="5" t="s">
        <v>219</v>
      </c>
      <c r="D46" s="5">
        <f t="shared" ref="D46:D51" si="0">B46*24</f>
        <v>480</v>
      </c>
      <c r="E46" s="132" t="s">
        <v>220</v>
      </c>
      <c r="F46" s="89">
        <f>$D$46*Inventory!C46</f>
        <v>0.1206664897967592</v>
      </c>
      <c r="G46" s="90">
        <f>$D$46*Inventory!D46</f>
        <v>1883378.0326042559</v>
      </c>
      <c r="H46" s="90">
        <f>$D$46*Inventory!E46</f>
        <v>97867.442243761441</v>
      </c>
      <c r="I46" s="90">
        <f>$D$46*Inventory!F46</f>
        <v>9060.2639088248652</v>
      </c>
      <c r="J46" s="90">
        <f>$D$46*Inventory!G46</f>
        <v>7994.5086899112957</v>
      </c>
      <c r="K46" s="91">
        <f>$D$46*Inventory!H46</f>
        <v>1279769.4106684991</v>
      </c>
      <c r="L46" s="263" t="s">
        <v>221</v>
      </c>
    </row>
    <row r="47" spans="1:12">
      <c r="A47" s="62" t="s">
        <v>159</v>
      </c>
      <c r="B47" s="63">
        <f>'Design Inputs'!$I$6</f>
        <v>20</v>
      </c>
      <c r="C47" s="5" t="s">
        <v>219</v>
      </c>
      <c r="D47" s="5">
        <f t="shared" si="0"/>
        <v>480</v>
      </c>
      <c r="E47" s="132" t="s">
        <v>220</v>
      </c>
      <c r="F47" s="89">
        <f>$D$47*Inventory!C47</f>
        <v>5.076718103149536E-4</v>
      </c>
      <c r="G47" s="90">
        <f>$D$47*Inventory!D47</f>
        <v>2098.0390608192238</v>
      </c>
      <c r="H47" s="90">
        <f>$D$47*Inventory!E47</f>
        <v>348.07908302483713</v>
      </c>
      <c r="I47" s="90">
        <f>$D$47*Inventory!F47</f>
        <v>12.312870956433361</v>
      </c>
      <c r="J47" s="90">
        <f>$D$47*Inventory!G47</f>
        <v>1.981219996471099</v>
      </c>
      <c r="K47" s="91">
        <f>$D$47*Inventory!H47</f>
        <v>4488.6099195607057</v>
      </c>
      <c r="L47" s="263"/>
    </row>
    <row r="48" spans="1:12">
      <c r="A48" s="62" t="s">
        <v>161</v>
      </c>
      <c r="B48" s="63">
        <f>'Design Inputs'!$I$6</f>
        <v>20</v>
      </c>
      <c r="C48" s="5" t="s">
        <v>219</v>
      </c>
      <c r="D48" s="5">
        <f t="shared" si="0"/>
        <v>480</v>
      </c>
      <c r="E48" s="132" t="s">
        <v>220</v>
      </c>
      <c r="F48" s="89">
        <f>$D$48*Inventory!C48</f>
        <v>5.076718103149536E-4</v>
      </c>
      <c r="G48" s="90">
        <f>$D$48*Inventory!D48</f>
        <v>2098.0390608192238</v>
      </c>
      <c r="H48" s="90">
        <f>$D$48*Inventory!E48</f>
        <v>348.07908302483713</v>
      </c>
      <c r="I48" s="90">
        <f>$D$48*Inventory!F48</f>
        <v>12.312870956433361</v>
      </c>
      <c r="J48" s="90">
        <f>$D$48*Inventory!G48</f>
        <v>1.981219996471099</v>
      </c>
      <c r="K48" s="91">
        <f>$D$48*Inventory!H48</f>
        <v>4488.6099195607057</v>
      </c>
      <c r="L48" s="263"/>
    </row>
    <row r="49" spans="1:12">
      <c r="A49" s="62" t="s">
        <v>162</v>
      </c>
      <c r="B49" s="63">
        <f>'Design Inputs'!$I$6</f>
        <v>20</v>
      </c>
      <c r="C49" s="5" t="s">
        <v>219</v>
      </c>
      <c r="D49" s="5">
        <f t="shared" si="0"/>
        <v>480</v>
      </c>
      <c r="E49" s="132" t="s">
        <v>220</v>
      </c>
      <c r="F49" s="89">
        <f>$D$49*Inventory!C49</f>
        <v>0.1206664897967592</v>
      </c>
      <c r="G49" s="90">
        <f>$D$49*Inventory!D49</f>
        <v>1883378.0326042559</v>
      </c>
      <c r="H49" s="90">
        <f>$D$49*Inventory!E49</f>
        <v>97867.442243761441</v>
      </c>
      <c r="I49" s="90">
        <f>$D$49*Inventory!F49</f>
        <v>9060.2639088248652</v>
      </c>
      <c r="J49" s="90">
        <f>$D$49*Inventory!G49</f>
        <v>7994.5086899112957</v>
      </c>
      <c r="K49" s="91">
        <f>$D$49*Inventory!H49</f>
        <v>1279769.4106684991</v>
      </c>
      <c r="L49" s="263"/>
    </row>
    <row r="50" spans="1:12">
      <c r="A50" s="62" t="s">
        <v>163</v>
      </c>
      <c r="B50" s="63">
        <f>'Design Inputs'!$I$6</f>
        <v>20</v>
      </c>
      <c r="C50" s="5" t="s">
        <v>219</v>
      </c>
      <c r="D50" s="5">
        <f t="shared" si="0"/>
        <v>480</v>
      </c>
      <c r="E50" s="132" t="s">
        <v>220</v>
      </c>
      <c r="F50" s="89">
        <f>$D$50*Inventory!C50</f>
        <v>5.076718103149536E-4</v>
      </c>
      <c r="G50" s="90">
        <f>$D$50*Inventory!D50</f>
        <v>2098.0390608192238</v>
      </c>
      <c r="H50" s="90">
        <f>$D$50*Inventory!E50</f>
        <v>348.07908302483713</v>
      </c>
      <c r="I50" s="90">
        <f>$D$50*Inventory!F50</f>
        <v>12.312870956433361</v>
      </c>
      <c r="J50" s="90">
        <f>$D$50*Inventory!G50</f>
        <v>1.981219996471099</v>
      </c>
      <c r="K50" s="91">
        <f>$D$50*Inventory!H50</f>
        <v>4488.6099195607057</v>
      </c>
      <c r="L50" s="263"/>
    </row>
    <row r="51" spans="1:12" ht="15" thickBot="1">
      <c r="A51" s="65" t="s">
        <v>164</v>
      </c>
      <c r="B51" s="63">
        <f>'Design Inputs'!$I$6</f>
        <v>20</v>
      </c>
      <c r="C51" s="104" t="s">
        <v>219</v>
      </c>
      <c r="D51" s="104">
        <f t="shared" si="0"/>
        <v>480</v>
      </c>
      <c r="E51" s="133" t="s">
        <v>220</v>
      </c>
      <c r="F51" s="92">
        <f>$D$51*Inventory!C51</f>
        <v>5.076718103149536E-4</v>
      </c>
      <c r="G51" s="93">
        <f>$D$51*Inventory!D51</f>
        <v>2098.0390608192238</v>
      </c>
      <c r="H51" s="93">
        <f>$D$51*Inventory!E51</f>
        <v>348.07908302483713</v>
      </c>
      <c r="I51" s="93">
        <f>$D$51*Inventory!F51</f>
        <v>12.312870956433361</v>
      </c>
      <c r="J51" s="93">
        <f>$D$51*Inventory!G51</f>
        <v>1.981219996471099</v>
      </c>
      <c r="K51" s="94">
        <f>$D$51*Inventory!H51</f>
        <v>4488.6099195607057</v>
      </c>
      <c r="L51" s="263"/>
    </row>
    <row r="52" spans="1:12" ht="15">
      <c r="A52" s="98" t="s">
        <v>36</v>
      </c>
      <c r="B52" s="95" t="s">
        <v>187</v>
      </c>
      <c r="C52" s="95" t="s">
        <v>5</v>
      </c>
      <c r="D52" s="95" t="s">
        <v>188</v>
      </c>
      <c r="E52" s="134" t="s">
        <v>5</v>
      </c>
      <c r="F52" s="99" t="s">
        <v>189</v>
      </c>
      <c r="G52" s="100" t="s">
        <v>190</v>
      </c>
      <c r="H52" s="101" t="s">
        <v>191</v>
      </c>
      <c r="I52" s="101" t="s">
        <v>192</v>
      </c>
      <c r="J52" s="101" t="s">
        <v>193</v>
      </c>
      <c r="K52" s="102" t="s">
        <v>194</v>
      </c>
      <c r="L52" s="263"/>
    </row>
    <row r="53" spans="1:12" ht="15" thickBot="1">
      <c r="A53" s="65" t="s">
        <v>222</v>
      </c>
      <c r="B53" s="104">
        <v>20</v>
      </c>
      <c r="C53" s="104" t="s">
        <v>219</v>
      </c>
      <c r="D53" s="104">
        <f>B53*24</f>
        <v>480</v>
      </c>
      <c r="E53" s="133" t="s">
        <v>220</v>
      </c>
      <c r="F53" s="139">
        <f>$D$53*Inventory!C53</f>
        <v>2.1057564030545469E-9</v>
      </c>
      <c r="G53" s="140">
        <f>$D$53*Inventory!D53</f>
        <v>0.96108453386854087</v>
      </c>
      <c r="H53" s="140">
        <f>$D$53*Inventory!E53</f>
        <v>9.5906559966851518E-2</v>
      </c>
      <c r="I53" s="140">
        <f>$D$53*Inventory!F53</f>
        <v>4.5575155221600962E-3</v>
      </c>
      <c r="J53" s="140">
        <f>$D$53*Inventory!G53</f>
        <v>2.5922010147356355E-4</v>
      </c>
      <c r="K53" s="141">
        <f>$D$53*Inventory!H53</f>
        <v>1.9277896381631952</v>
      </c>
      <c r="L53" s="263" t="s">
        <v>221</v>
      </c>
    </row>
    <row r="54" spans="1:12" ht="15" thickBot="1">
      <c r="A54" s="298" t="s">
        <v>167</v>
      </c>
      <c r="B54" s="294"/>
      <c r="C54" s="294"/>
      <c r="D54" s="294"/>
      <c r="E54" s="299"/>
      <c r="F54" s="289"/>
      <c r="G54" s="291"/>
      <c r="H54" s="291"/>
      <c r="I54" s="291"/>
      <c r="J54" s="291"/>
      <c r="K54" s="290"/>
      <c r="L54" s="263" t="s">
        <v>223</v>
      </c>
    </row>
    <row r="55" spans="1:12" ht="15">
      <c r="A55" s="98" t="s">
        <v>168</v>
      </c>
      <c r="B55" s="95" t="s">
        <v>187</v>
      </c>
      <c r="C55" s="95" t="s">
        <v>5</v>
      </c>
      <c r="D55" s="95" t="s">
        <v>188</v>
      </c>
      <c r="E55" s="134" t="s">
        <v>5</v>
      </c>
      <c r="F55" s="99" t="s">
        <v>189</v>
      </c>
      <c r="G55" s="100" t="s">
        <v>190</v>
      </c>
      <c r="H55" s="101" t="s">
        <v>191</v>
      </c>
      <c r="I55" s="101" t="s">
        <v>192</v>
      </c>
      <c r="J55" s="101" t="s">
        <v>193</v>
      </c>
      <c r="K55" s="102" t="s">
        <v>194</v>
      </c>
      <c r="L55" s="263"/>
    </row>
    <row r="56" spans="1:12">
      <c r="A56" s="62" t="s">
        <v>169</v>
      </c>
      <c r="B56" s="63">
        <f>450*2.5*(365*5)</f>
        <v>2053125</v>
      </c>
      <c r="C56" s="5" t="s">
        <v>224</v>
      </c>
      <c r="D56" s="238">
        <f>B56</f>
        <v>2053125</v>
      </c>
      <c r="E56" s="132" t="s">
        <v>224</v>
      </c>
      <c r="F56" s="142"/>
      <c r="G56" s="144">
        <f>$D$56*Inventory!D56</f>
        <v>1279580.1970500001</v>
      </c>
      <c r="H56" s="4"/>
      <c r="I56" s="4"/>
      <c r="J56" s="4"/>
      <c r="K56" s="143"/>
      <c r="L56" s="263" t="s">
        <v>225</v>
      </c>
    </row>
    <row r="57" spans="1:12">
      <c r="A57" s="62" t="s">
        <v>171</v>
      </c>
      <c r="B57" s="63">
        <f>'Design Inputs'!I49</f>
        <v>2285</v>
      </c>
      <c r="C57" s="5" t="s">
        <v>65</v>
      </c>
      <c r="D57" s="238">
        <f>(B57*24*365*5)/Impacts!I49</f>
        <v>11046.366971994856</v>
      </c>
      <c r="E57" s="132" t="s">
        <v>224</v>
      </c>
      <c r="F57" s="142"/>
      <c r="G57" s="144"/>
      <c r="H57" s="4"/>
      <c r="I57" s="4"/>
      <c r="J57" s="4"/>
      <c r="K57" s="143"/>
      <c r="L57" s="263"/>
    </row>
    <row r="58" spans="1:12">
      <c r="A58" s="70" t="s">
        <v>172</v>
      </c>
      <c r="B58" s="175">
        <f>'Design Inputs'!N16</f>
        <v>504</v>
      </c>
      <c r="C58" s="176" t="s">
        <v>226</v>
      </c>
      <c r="D58" s="248">
        <f>B58*2628*5</f>
        <v>6622560</v>
      </c>
      <c r="E58" s="178" t="s">
        <v>224</v>
      </c>
      <c r="F58" s="249"/>
      <c r="G58" s="250">
        <f>D58*Inventory!D58</f>
        <v>4127413.88360448</v>
      </c>
      <c r="H58" s="251"/>
      <c r="I58" s="251"/>
      <c r="J58" s="251"/>
      <c r="K58" s="252"/>
      <c r="L58" s="263" t="s">
        <v>227</v>
      </c>
    </row>
    <row r="59" spans="1:12" ht="15" thickBot="1">
      <c r="A59" s="65" t="s">
        <v>173</v>
      </c>
      <c r="B59" s="104">
        <v>1</v>
      </c>
      <c r="C59" s="104" t="s">
        <v>228</v>
      </c>
      <c r="D59" s="104">
        <v>1</v>
      </c>
      <c r="E59" s="133" t="s">
        <v>228</v>
      </c>
      <c r="F59" s="139"/>
      <c r="G59" s="140"/>
      <c r="H59" s="140"/>
      <c r="I59" s="140"/>
      <c r="J59" s="140"/>
      <c r="K59" s="141"/>
      <c r="L59" s="263"/>
    </row>
    <row r="60" spans="1:12" ht="15" thickBot="1">
      <c r="A60" s="282" t="s">
        <v>175</v>
      </c>
      <c r="B60" s="283"/>
      <c r="C60" s="283"/>
      <c r="D60" s="283"/>
      <c r="E60" s="284"/>
      <c r="F60" s="289"/>
      <c r="G60" s="291"/>
      <c r="H60" s="291"/>
      <c r="I60" s="291"/>
      <c r="J60" s="291"/>
      <c r="K60" s="290"/>
      <c r="L60" s="263"/>
    </row>
    <row r="61" spans="1:12" ht="15">
      <c r="A61" s="98" t="s">
        <v>176</v>
      </c>
      <c r="B61" s="95" t="s">
        <v>187</v>
      </c>
      <c r="C61" s="95" t="s">
        <v>5</v>
      </c>
      <c r="D61" s="95" t="s">
        <v>188</v>
      </c>
      <c r="E61" s="134" t="s">
        <v>5</v>
      </c>
      <c r="F61" s="99" t="s">
        <v>189</v>
      </c>
      <c r="G61" s="100" t="s">
        <v>190</v>
      </c>
      <c r="H61" s="101" t="s">
        <v>191</v>
      </c>
      <c r="I61" s="101" t="s">
        <v>192</v>
      </c>
      <c r="J61" s="101" t="s">
        <v>193</v>
      </c>
      <c r="K61" s="102" t="s">
        <v>194</v>
      </c>
      <c r="L61" s="263"/>
    </row>
    <row r="62" spans="1:12">
      <c r="A62" s="62" t="s">
        <v>177</v>
      </c>
      <c r="B62" s="5">
        <v>24</v>
      </c>
      <c r="C62" s="5" t="s">
        <v>220</v>
      </c>
      <c r="D62" s="5">
        <v>24</v>
      </c>
      <c r="E62" s="132" t="s">
        <v>220</v>
      </c>
      <c r="F62" s="145">
        <f>$D$62*Inventory!C62</f>
        <v>2.538359051574768E-5</v>
      </c>
      <c r="G62" s="144">
        <f>$D$62*Inventory!D62</f>
        <v>104.90195304096119</v>
      </c>
      <c r="H62" s="144">
        <f>$D$62*Inventory!E62</f>
        <v>17.403954151241855</v>
      </c>
      <c r="I62" s="144">
        <f>$D$62*Inventory!F62</f>
        <v>0.61564354782166797</v>
      </c>
      <c r="J62" s="144">
        <f>$D$62*Inventory!G62</f>
        <v>9.9060999823554957E-2</v>
      </c>
      <c r="K62" s="146">
        <f>$D$62*Inventory!H62</f>
        <v>224.43049597803525</v>
      </c>
      <c r="L62" s="263"/>
    </row>
    <row r="63" spans="1:12">
      <c r="A63" s="62" t="s">
        <v>178</v>
      </c>
      <c r="B63" s="5">
        <v>24</v>
      </c>
      <c r="C63" s="5" t="s">
        <v>220</v>
      </c>
      <c r="D63" s="5">
        <v>24</v>
      </c>
      <c r="E63" s="132" t="s">
        <v>220</v>
      </c>
      <c r="F63" s="145">
        <f>$D$63*Inventory!C63</f>
        <v>2.538359051574768E-5</v>
      </c>
      <c r="G63" s="144">
        <f>$D$63*Inventory!D63</f>
        <v>104.90195304096119</v>
      </c>
      <c r="H63" s="144">
        <f>$D$63*Inventory!E63</f>
        <v>17.403954151241855</v>
      </c>
      <c r="I63" s="144">
        <f>$D$63*Inventory!F63</f>
        <v>0.61564354782166797</v>
      </c>
      <c r="J63" s="144">
        <f>$D$63*Inventory!G63</f>
        <v>9.9060999823554957E-2</v>
      </c>
      <c r="K63" s="146">
        <f>$D$63*Inventory!H63</f>
        <v>224.43049597803525</v>
      </c>
      <c r="L63" s="263"/>
    </row>
    <row r="64" spans="1:12">
      <c r="A64" s="62" t="s">
        <v>179</v>
      </c>
      <c r="B64" s="5">
        <v>15</v>
      </c>
      <c r="C64" s="5" t="s">
        <v>62</v>
      </c>
      <c r="D64" s="113">
        <f>(((('Design Inputs'!C15*0.3048)/2)^2)*PI())*Impacts!B64</f>
        <v>79.07676918795552</v>
      </c>
      <c r="E64" s="132" t="s">
        <v>80</v>
      </c>
      <c r="F64" s="145">
        <f>$D$64*Inventory!C64</f>
        <v>1.4226241123072923E-3</v>
      </c>
      <c r="G64" s="144">
        <f>$D$64*Inventory!D64</f>
        <v>28104.277222625708</v>
      </c>
      <c r="H64" s="144">
        <f>$D$64*Inventory!E64</f>
        <v>1291.0444441375091</v>
      </c>
      <c r="I64" s="144">
        <f>$D$64*Inventory!F64</f>
        <v>72.347979009475679</v>
      </c>
      <c r="J64" s="144">
        <f>$D$64*Inventory!G64</f>
        <v>28.980762401631786</v>
      </c>
      <c r="K64" s="146">
        <f>$D$64*Inventory!H64</f>
        <v>13280.959339940089</v>
      </c>
      <c r="L64" s="263" t="s">
        <v>229</v>
      </c>
    </row>
    <row r="65" spans="1:12">
      <c r="A65" s="62" t="s">
        <v>181</v>
      </c>
      <c r="B65" s="5">
        <v>15</v>
      </c>
      <c r="C65" s="5" t="s">
        <v>62</v>
      </c>
      <c r="D65" s="113">
        <f>(((('Design Inputs'!C33*0.3048)/2)^2)*PI())*Impacts!B65</f>
        <v>104.0447802204847</v>
      </c>
      <c r="E65" s="132" t="s">
        <v>80</v>
      </c>
      <c r="F65" s="145">
        <f>$D$65*Inventory!C65</f>
        <v>1.8718090612624488E-3</v>
      </c>
      <c r="G65" s="144">
        <f>$D$65*Inventory!D65</f>
        <v>36978.032574060286</v>
      </c>
      <c r="H65" s="144">
        <f>$D$65*Inventory!E65</f>
        <v>1698.6839096307533</v>
      </c>
      <c r="I65" s="144">
        <f>$D$65*Inventory!F65</f>
        <v>95.191415288419108</v>
      </c>
      <c r="J65" s="144">
        <f>$D$65*Inventory!G65</f>
        <v>38.131262640901326</v>
      </c>
      <c r="K65" s="146">
        <f>$D$65*Inventory!H65</f>
        <v>17474.341830492103</v>
      </c>
      <c r="L65" s="263" t="s">
        <v>229</v>
      </c>
    </row>
    <row r="66" spans="1:12">
      <c r="A66" s="62" t="s">
        <v>182</v>
      </c>
      <c r="B66" s="131">
        <v>900</v>
      </c>
      <c r="C66" s="5" t="s">
        <v>38</v>
      </c>
      <c r="D66" s="131">
        <f>B66</f>
        <v>900</v>
      </c>
      <c r="E66" s="132" t="s">
        <v>38</v>
      </c>
      <c r="F66" s="145">
        <f>$D$66*Inventory!C66</f>
        <v>0</v>
      </c>
      <c r="G66" s="144">
        <f>$D$66*Inventory!D66</f>
        <v>4.3295711566314958</v>
      </c>
      <c r="H66" s="144">
        <f>$D$66*Inventory!E66</f>
        <v>0.21355555014718561</v>
      </c>
      <c r="I66" s="144">
        <f>$D$66*Inventory!F66</f>
        <v>2.282510774111373E-2</v>
      </c>
      <c r="J66" s="144">
        <f>$D$66*Inventory!G66</f>
        <v>6.6735252957366364E-4</v>
      </c>
      <c r="K66" s="146">
        <f>$D$66*Inventory!H66</f>
        <v>7.1862845050892616</v>
      </c>
      <c r="L66" s="263" t="s">
        <v>230</v>
      </c>
    </row>
    <row r="67" spans="1:12" ht="15" thickBot="1">
      <c r="A67" s="65" t="s">
        <v>231</v>
      </c>
      <c r="B67" s="104">
        <v>60</v>
      </c>
      <c r="C67" s="104" t="s">
        <v>213</v>
      </c>
      <c r="D67" s="147">
        <f>B67*1.60934</f>
        <v>96.560400000000001</v>
      </c>
      <c r="E67" s="133" t="s">
        <v>214</v>
      </c>
      <c r="F67" s="139">
        <f>$D$67*Inventory!C67</f>
        <v>1.1587247999999999E-5</v>
      </c>
      <c r="G67" s="140">
        <f>$D$67*Inventory!D67</f>
        <v>50.362525025999993</v>
      </c>
      <c r="H67" s="140">
        <f>$D$67*Inventory!E67</f>
        <v>7.294172616</v>
      </c>
      <c r="I67" s="140">
        <f>$D$67*Inventory!F67</f>
        <v>0.29045368319999998</v>
      </c>
      <c r="J67" s="140">
        <f>$D$67*Inventory!G67</f>
        <v>6.9523488000000008E-2</v>
      </c>
      <c r="K67" s="141">
        <f>$D$67*Inventory!H67</f>
        <v>104.2873294373717</v>
      </c>
      <c r="L67" s="264" t="s">
        <v>232</v>
      </c>
    </row>
    <row r="68" spans="1:12" ht="15" thickBot="1"/>
    <row r="69" spans="1:12" ht="15">
      <c r="F69" s="99" t="s">
        <v>105</v>
      </c>
      <c r="G69" s="100" t="s">
        <v>106</v>
      </c>
      <c r="H69" s="101" t="s">
        <v>107</v>
      </c>
      <c r="I69" s="101" t="s">
        <v>108</v>
      </c>
      <c r="J69" s="101" t="s">
        <v>109</v>
      </c>
      <c r="K69" s="102" t="s">
        <v>110</v>
      </c>
    </row>
    <row r="70" spans="1:12" ht="15" thickBot="1">
      <c r="F70" s="235">
        <f>SUM(F4:F14,F16:F26,F28:F31,F33:F36,F38:F39,F42:F44,F46:F51,F53,F56:F59,F62:F67)</f>
        <v>12.752543959623392</v>
      </c>
      <c r="G70" s="236">
        <f>SUM(G4:G14,G16:G26,G28:G31,G33:G36,G38:G39,G42:G44,G46:G51,G53,G56:G59,G62:G67)</f>
        <v>10587414.641866548</v>
      </c>
      <c r="H70" s="236">
        <f>SUM(H4:H14,H16:H26,H28:H31,H33:H36,H38:H39,H42:H44,H46:H51,H53,H56:H59,H62:H67)</f>
        <v>264427.13475407282</v>
      </c>
      <c r="I70" s="236">
        <f>SUM(I4:I14,I16:I26,I28:I31,I33:I36,I39,I42:I44,I46:I51,I53,I56:I59,I62:I67)</f>
        <v>23494.382223576813</v>
      </c>
      <c r="J70" s="236">
        <f>SUM(J4:J14,J16:J26,J28:J31,J33:J36,J38:J39,J42:J44,J46:J51,J53,J56:J59,J62:J67)</f>
        <v>20143.821534521641</v>
      </c>
      <c r="K70" s="237">
        <f>SUM(K4:K14,K16:K26,K28:K31,K33:K36,K38:K39,K42:K44,K46:K51,K53,K56:K59,K62:K67)</f>
        <v>3798321.6494300496</v>
      </c>
    </row>
    <row r="71" spans="1:1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1:12">
      <c r="A72" s="55"/>
      <c r="B72" s="55"/>
      <c r="C72" s="55"/>
      <c r="D72" s="55"/>
      <c r="E72" s="55"/>
      <c r="F72" s="55"/>
      <c r="G72" s="255">
        <f>SUM(G56:G59)</f>
        <v>5406994.0806544796</v>
      </c>
      <c r="H72" s="55"/>
      <c r="I72" s="55"/>
      <c r="J72" s="55"/>
      <c r="K72" s="55"/>
    </row>
    <row r="73" spans="1:1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spans="1:12">
      <c r="A74" s="56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2">
      <c r="A75" s="56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2">
      <c r="A76" s="56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2">
      <c r="A77" s="56"/>
      <c r="B77" s="58"/>
      <c r="C77" s="58"/>
      <c r="D77" s="259"/>
      <c r="E77" s="58"/>
      <c r="F77" s="58"/>
      <c r="G77" s="58"/>
      <c r="H77" s="58"/>
      <c r="I77" s="58"/>
      <c r="J77" s="58"/>
      <c r="K77" s="58"/>
    </row>
    <row r="78" spans="1:12">
      <c r="A78" s="56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2">
      <c r="A79" s="57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2">
      <c r="A80" s="55"/>
      <c r="B80" s="55"/>
      <c r="C80" s="55"/>
      <c r="D80" s="55"/>
      <c r="E80" s="55"/>
      <c r="F80" s="57"/>
      <c r="G80" s="57"/>
      <c r="H80" s="57"/>
      <c r="I80" s="57"/>
      <c r="J80" s="57"/>
      <c r="K80" s="57"/>
    </row>
    <row r="81" spans="1:11">
      <c r="A81" s="56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>
      <c r="A82" s="56"/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1:11">
      <c r="A83" s="57"/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>
      <c r="A84" s="60"/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1:11">
      <c r="A85" s="59"/>
      <c r="B85" s="55"/>
      <c r="C85" s="55"/>
      <c r="D85" s="55"/>
      <c r="E85" s="55"/>
      <c r="F85" s="57"/>
      <c r="G85" s="57"/>
      <c r="H85" s="57"/>
      <c r="I85" s="57"/>
      <c r="J85" s="57"/>
      <c r="K85" s="57"/>
    </row>
    <row r="86" spans="1:11">
      <c r="A86" s="56"/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1:11">
      <c r="A87" s="55"/>
      <c r="B87" s="55"/>
      <c r="C87" s="55"/>
      <c r="D87" s="55"/>
      <c r="E87" s="55"/>
      <c r="F87" s="57"/>
      <c r="G87" s="57"/>
      <c r="H87" s="57"/>
      <c r="I87" s="57"/>
      <c r="J87" s="57"/>
      <c r="K87" s="57"/>
    </row>
    <row r="88" spans="1:11">
      <c r="A88" s="56"/>
      <c r="B88" s="58"/>
      <c r="C88" s="58"/>
      <c r="D88" s="58"/>
      <c r="E88" s="58"/>
      <c r="F88" s="58"/>
      <c r="G88" s="58"/>
      <c r="H88" s="58"/>
      <c r="I88" s="58"/>
      <c r="J88" s="58"/>
      <c r="K88" s="58"/>
    </row>
  </sheetData>
  <mergeCells count="10">
    <mergeCell ref="A1:E1"/>
    <mergeCell ref="A2:E2"/>
    <mergeCell ref="A40:E40"/>
    <mergeCell ref="A54:E54"/>
    <mergeCell ref="A60:E60"/>
    <mergeCell ref="F1:K1"/>
    <mergeCell ref="F2:K2"/>
    <mergeCell ref="F40:K40"/>
    <mergeCell ref="F54:K54"/>
    <mergeCell ref="F60:K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3"/>
  <sheetViews>
    <sheetView topLeftCell="A89" workbookViewId="0">
      <selection activeCell="A34" sqref="A34"/>
    </sheetView>
  </sheetViews>
  <sheetFormatPr defaultColWidth="8.85546875" defaultRowHeight="14.45"/>
  <cols>
    <col min="1" max="1" width="27" bestFit="1" customWidth="1"/>
    <col min="2" max="2" width="12.7109375" bestFit="1" customWidth="1"/>
    <col min="3" max="3" width="12.85546875" bestFit="1" customWidth="1"/>
    <col min="4" max="4" width="11.85546875" bestFit="1" customWidth="1"/>
    <col min="5" max="5" width="12.7109375" bestFit="1" customWidth="1"/>
    <col min="6" max="6" width="11.140625" bestFit="1" customWidth="1"/>
    <col min="7" max="7" width="13.42578125" bestFit="1" customWidth="1"/>
  </cols>
  <sheetData>
    <row r="1" spans="1:7" ht="15">
      <c r="A1" s="278" t="s">
        <v>233</v>
      </c>
      <c r="B1" s="278" t="s">
        <v>105</v>
      </c>
      <c r="C1" s="278" t="s">
        <v>106</v>
      </c>
      <c r="D1" s="278" t="s">
        <v>107</v>
      </c>
      <c r="E1" s="278" t="s">
        <v>108</v>
      </c>
      <c r="F1" s="278" t="s">
        <v>109</v>
      </c>
      <c r="G1" s="278" t="s">
        <v>110</v>
      </c>
    </row>
    <row r="2" spans="1:7">
      <c r="A2" s="136" t="s">
        <v>103</v>
      </c>
      <c r="B2" s="137">
        <f>SUM(Impacts!F4:F14)</f>
        <v>6.0790251345287101E-2</v>
      </c>
      <c r="C2" s="137">
        <f>SUM(Impacts!G4:G14)</f>
        <v>471996.28652604215</v>
      </c>
      <c r="D2" s="137">
        <f>SUM(Impacts!H4:H14)</f>
        <v>24451.573071936233</v>
      </c>
      <c r="E2" s="137">
        <f>SUM(Impacts!I4:I14)</f>
        <v>1995.9356004283093</v>
      </c>
      <c r="F2" s="137">
        <f>SUM(Impacts!J4:J14)</f>
        <v>1516.1237746093573</v>
      </c>
      <c r="G2" s="137">
        <f>SUM(Impacts!K4:K14)</f>
        <v>512914.57667654142</v>
      </c>
    </row>
    <row r="3" spans="1:7">
      <c r="A3" s="136" t="s">
        <v>135</v>
      </c>
      <c r="B3" s="137">
        <f>SUM(Impacts!F16:F26)</f>
        <v>7.2197516803896244E-2</v>
      </c>
      <c r="C3" s="137">
        <f>SUM(Impacts!G16:G26)</f>
        <v>674962.11938408704</v>
      </c>
      <c r="D3" s="137">
        <f>SUM(Impacts!H16:H26)</f>
        <v>34688.939262772641</v>
      </c>
      <c r="E3" s="137">
        <f>SUM(Impacts!I16:I26)</f>
        <v>2799.8808425037473</v>
      </c>
      <c r="F3" s="137">
        <f>SUM(Impacts!J16:J26)</f>
        <v>2167.6271080232964</v>
      </c>
      <c r="G3" s="137">
        <f>SUM(Impacts!K16:K26)</f>
        <v>602369.81135825638</v>
      </c>
    </row>
    <row r="4" spans="1:7">
      <c r="A4" s="136" t="s">
        <v>31</v>
      </c>
      <c r="B4" s="137">
        <f>SUM(Impacts!F28:F31)</f>
        <v>5.2908398067942077E-6</v>
      </c>
      <c r="C4" s="137">
        <f>SUM(Impacts!G28:G31)</f>
        <v>46.341834613439644</v>
      </c>
      <c r="D4" s="137">
        <f>SUM(Impacts!H28:H31)</f>
        <v>2.7533276393663506</v>
      </c>
      <c r="E4" s="137">
        <f>SUM(Impacts!I28:I31)</f>
        <v>0.23540802494917693</v>
      </c>
      <c r="F4" s="137">
        <f>SUM(Impacts!J28:J31)</f>
        <v>0.25573259461707137</v>
      </c>
      <c r="G4" s="137">
        <f>SUM(Impacts!K28:K31)</f>
        <v>44.149017427819558</v>
      </c>
    </row>
    <row r="5" spans="1:7">
      <c r="A5" s="136" t="s">
        <v>151</v>
      </c>
      <c r="B5" s="137">
        <f>SUM(Impacts!F42:F44)</f>
        <v>2.1383230194428659E-3</v>
      </c>
      <c r="C5" s="137">
        <f>SUM(Impacts!G42:G44)</f>
        <v>8478.3191016695509</v>
      </c>
      <c r="D5" s="137">
        <f>SUM(Impacts!H42:H44)</f>
        <v>662.82424883612657</v>
      </c>
      <c r="E5" s="137">
        <f>SUM(Impacts!I42:I44)</f>
        <v>31.860449959615902</v>
      </c>
      <c r="F5" s="137">
        <f>SUM(Impacts!J42:J44)</f>
        <v>9.0433208539421788</v>
      </c>
      <c r="G5" s="137">
        <f>SUM(Impacts!K42:K44)</f>
        <v>18980.58743352435</v>
      </c>
    </row>
    <row r="6" spans="1:7">
      <c r="A6" s="136" t="s">
        <v>156</v>
      </c>
      <c r="B6" s="137">
        <f>SUM(Impacts!F46:F51)</f>
        <v>0.2433636668347782</v>
      </c>
      <c r="C6" s="137">
        <f>SUM(Impacts!G46:G51)</f>
        <v>3775148.2214517891</v>
      </c>
      <c r="D6" s="137">
        <f>SUM(Impacts!H46:H51)</f>
        <v>197127.20081962226</v>
      </c>
      <c r="E6" s="137">
        <f>SUM(Impacts!I46:I51)</f>
        <v>18169.779301475464</v>
      </c>
      <c r="F6" s="137">
        <f>SUM(Impacts!J46:J51)</f>
        <v>15996.942259808475</v>
      </c>
      <c r="G6" s="137">
        <f>SUM(Impacts!K46:K51)</f>
        <v>2577493.2610152406</v>
      </c>
    </row>
    <row r="7" spans="1:7">
      <c r="A7" s="136" t="s">
        <v>36</v>
      </c>
      <c r="B7" s="137">
        <f>SUM(Impacts!F53)</f>
        <v>2.1057564030545469E-9</v>
      </c>
      <c r="C7" s="137">
        <f>SUM(Impacts!G53)</f>
        <v>0.96108453386854087</v>
      </c>
      <c r="D7" s="137">
        <f>SUM(Impacts!H53)</f>
        <v>9.5906559966851518E-2</v>
      </c>
      <c r="E7" s="137">
        <f>SUM(Impacts!I53)</f>
        <v>4.5575155221600962E-3</v>
      </c>
      <c r="F7" s="137">
        <f>SUM(Impacts!J53)</f>
        <v>2.5922010147356355E-4</v>
      </c>
      <c r="G7" s="137">
        <f>SUM(Impacts!K53)</f>
        <v>1.9277896381631952</v>
      </c>
    </row>
    <row r="8" spans="1:7">
      <c r="A8" s="59"/>
      <c r="B8" s="179"/>
      <c r="C8" s="179"/>
      <c r="D8" s="179"/>
      <c r="E8" s="179"/>
      <c r="F8" s="179"/>
      <c r="G8" s="179"/>
    </row>
    <row r="31" spans="1:7" ht="15">
      <c r="A31" s="278" t="s">
        <v>233</v>
      </c>
      <c r="B31" s="278" t="s">
        <v>105</v>
      </c>
      <c r="C31" s="278" t="s">
        <v>106</v>
      </c>
      <c r="D31" s="278" t="s">
        <v>107</v>
      </c>
      <c r="E31" s="278" t="s">
        <v>108</v>
      </c>
      <c r="F31" s="278" t="s">
        <v>109</v>
      </c>
      <c r="G31" s="278" t="s">
        <v>110</v>
      </c>
    </row>
    <row r="32" spans="1:7">
      <c r="A32" s="30" t="s">
        <v>101</v>
      </c>
      <c r="B32" s="37">
        <f>SUM(Impacts!F4:F14,Impacts!F16:F26,Impacts!F28:F31,Impacts!F33:F36,Impacts!F39)</f>
        <v>12.502825763098553</v>
      </c>
      <c r="C32" s="37">
        <f>SUM(Impacts!G4:G14,Impacts!G16:G26,Impacts!G28:G31,Impacts!G33:G36,Impacts!G39)</f>
        <v>1315381.5837047379</v>
      </c>
      <c r="D32" s="37">
        <f>SUM(Impacts!H4:H14,Impacts!H16:H26,Impacts!H28:H31,Impacts!H33:H36,Impacts!H39)</f>
        <v>62812.756635907375</v>
      </c>
      <c r="E32" s="37">
        <f>SUM(Impacts!I4:I14,Impacts!I16:I26,Impacts!I28:I31,Impacts!I33:I36,Impacts!I39)</f>
        <v>5123.6539544417283</v>
      </c>
      <c r="F32" s="37">
        <f>SUM(Impacts!J4:J14,Impacts!J16:J26,Impacts!J28:J31,Impacts!J33:J36,Impacts!J39)</f>
        <v>4015.5874205521841</v>
      </c>
      <c r="G32" s="37">
        <f>SUM(Impacts!K4:K14,Impacts!K16:K26,Impacts!K28:K31,Impacts!K33:K36,Impacts!K39)</f>
        <v>1163964.5804608848</v>
      </c>
    </row>
    <row r="33" spans="1:7">
      <c r="A33" s="30" t="s">
        <v>234</v>
      </c>
      <c r="B33" s="37">
        <f>SUM(Impacts!F42:F44,Impacts!F46:F51,Impacts!F53)</f>
        <v>0.24550199195997746</v>
      </c>
      <c r="C33" s="37">
        <f>SUM(Impacts!G42:G44,Impacts!G46:G51,Impacts!G53)</f>
        <v>3783627.5016379929</v>
      </c>
      <c r="D33" s="37">
        <f>SUM(Impacts!H42:H44,Impacts!H46:H51,Impacts!H53)</f>
        <v>197790.12097501836</v>
      </c>
      <c r="E33" s="37">
        <f>SUM(Impacts!I42:I44,Impacts!I46:I51,Impacts!I53)</f>
        <v>18201.644308950607</v>
      </c>
      <c r="F33" s="37">
        <f>SUM(Impacts!J42:J44,Impacts!J46:J51,Impacts!J53)</f>
        <v>16005.98583988252</v>
      </c>
      <c r="G33" s="37">
        <f>SUM(Impacts!K42:K44,Impacts!K46:K51,Impacts!K53)</f>
        <v>2596475.7762384033</v>
      </c>
    </row>
    <row r="34" spans="1:7">
      <c r="A34" s="30" t="s">
        <v>235</v>
      </c>
      <c r="B34" s="37">
        <f>SUM(Impacts!F56:F59)</f>
        <v>0</v>
      </c>
      <c r="C34" s="37">
        <f>SUM(Impacts!G56:G59)</f>
        <v>5406994.0806544796</v>
      </c>
      <c r="D34" s="37">
        <f>SUM(Impacts!H56:H59)</f>
        <v>0</v>
      </c>
      <c r="E34" s="37">
        <f>SUM(Impacts!I56:I59)</f>
        <v>0</v>
      </c>
      <c r="F34" s="37">
        <f>SUM(Impacts!J56:J59)</f>
        <v>0</v>
      </c>
      <c r="G34" s="37">
        <f>SUM(Impacts!K56:K59)</f>
        <v>0</v>
      </c>
    </row>
    <row r="35" spans="1:7">
      <c r="A35" s="30" t="s">
        <v>175</v>
      </c>
      <c r="B35" s="37">
        <f>SUM(Impacts!F62:F67)</f>
        <v>3.3567876026012362E-3</v>
      </c>
      <c r="C35" s="37">
        <f>SUM(Impacts!G62:G67)</f>
        <v>65346.805798950547</v>
      </c>
      <c r="D35" s="37">
        <f>SUM(Impacts!H62:H67)</f>
        <v>3032.0439902368935</v>
      </c>
      <c r="E35" s="37">
        <f>SUM(Impacts!I62:I67)</f>
        <v>169.08396018447925</v>
      </c>
      <c r="F35" s="37">
        <f>SUM(Impacts!J62:J67)</f>
        <v>67.380337882709796</v>
      </c>
      <c r="G35" s="37">
        <f>SUM(Impacts!K62:K67)</f>
        <v>31315.635776330724</v>
      </c>
    </row>
    <row r="36" spans="1:7">
      <c r="A36" s="20" t="s">
        <v>236</v>
      </c>
      <c r="B36" s="37">
        <f t="shared" ref="B36:G36" si="0">SUM(B32:B35)</f>
        <v>12.751684542661133</v>
      </c>
      <c r="C36" s="37">
        <f t="shared" si="0"/>
        <v>10571349.971796161</v>
      </c>
      <c r="D36" s="37">
        <f t="shared" si="0"/>
        <v>263634.92160116264</v>
      </c>
      <c r="E36" s="37">
        <f t="shared" si="0"/>
        <v>23494.382223576813</v>
      </c>
      <c r="F36" s="37">
        <f t="shared" si="0"/>
        <v>20088.953598317414</v>
      </c>
      <c r="G36" s="37">
        <f t="shared" si="0"/>
        <v>3791755.9924756186</v>
      </c>
    </row>
    <row r="59" spans="1:7" ht="15">
      <c r="A59" s="278" t="s">
        <v>53</v>
      </c>
      <c r="B59" s="278" t="s">
        <v>105</v>
      </c>
      <c r="C59" s="278" t="s">
        <v>106</v>
      </c>
      <c r="D59" s="278" t="s">
        <v>107</v>
      </c>
      <c r="E59" s="278" t="s">
        <v>108</v>
      </c>
      <c r="F59" s="278" t="s">
        <v>109</v>
      </c>
      <c r="G59" s="278" t="s">
        <v>110</v>
      </c>
    </row>
    <row r="60" spans="1:7">
      <c r="A60" s="152" t="s">
        <v>77</v>
      </c>
      <c r="B60" s="151">
        <f>SUM(Impacts!F7:F9,Impacts!F19:F21)</f>
        <v>8.3081933663756123E-3</v>
      </c>
      <c r="C60" s="151">
        <f>SUM(Impacts!G7:G9,Impacts!G19:G21)</f>
        <v>100355.05273446147</v>
      </c>
      <c r="D60" s="151">
        <f>SUM(Impacts!H7:H9,Impacts!H19:H21)</f>
        <v>6170.3432864283295</v>
      </c>
      <c r="E60" s="151">
        <f>SUM(Impacts!I7:I9,Impacts!I19:I21)</f>
        <v>323.81216427313677</v>
      </c>
      <c r="F60" s="151">
        <f>SUM(Impacts!J7:J9,Impacts!J19:J21)</f>
        <v>119.95178999713355</v>
      </c>
      <c r="G60" s="151">
        <f>SUM(Impacts!K7:K9,Impacts!K19:K21)</f>
        <v>75865.443393983674</v>
      </c>
    </row>
    <row r="61" spans="1:7">
      <c r="A61" s="152" t="s">
        <v>41</v>
      </c>
      <c r="B61" s="151">
        <f>SUM(Impacts!F4:F6,Impacts!F10,Impacts!F16:F18,Impacts!F22,Impacts!F29,Impacts!F34)</f>
        <v>5.6332715096555755E-2</v>
      </c>
      <c r="C61" s="151">
        <f>SUM(Impacts!G4:G6,Impacts!G10,Impacts!G16:G18,Impacts!G22,Impacts!G29,Impacts!G34)</f>
        <v>1042090.5704326434</v>
      </c>
      <c r="D61" s="151">
        <f>SUM(Impacts!H4:H6,Impacts!H10,Impacts!H16:H18,Impacts!H22,Impacts!H29,Impacts!H34)</f>
        <v>51891.436332897254</v>
      </c>
      <c r="E61" s="151">
        <f>SUM(Impacts!I4:I6,Impacts!I10,Impacts!I16:I18,Impacts!I22,Impacts!I29,Impacts!I34)</f>
        <v>4241.4327084138795</v>
      </c>
      <c r="F61" s="151">
        <f>SUM(Impacts!J4:J6,Impacts!J10,Impacts!J16:J18,Impacts!J22,Impacts!J29,Impacts!J34)</f>
        <v>3723.4543490593851</v>
      </c>
      <c r="G61" s="151">
        <f>SUM(Impacts!K4:K6,Impacts!K10,Impacts!K16:K18,Impacts!K22,Impacts!K29,Impacts!K34)</f>
        <v>434920.25262773887</v>
      </c>
    </row>
    <row r="62" spans="1:7">
      <c r="A62" s="152" t="s">
        <v>237</v>
      </c>
      <c r="B62" s="151">
        <f>SUM(Impacts!F13,Impacts!F25)</f>
        <v>7.107002515302932E-2</v>
      </c>
      <c r="C62" s="151">
        <f>SUM(Impacts!G13,Impacts!G25)</f>
        <v>44520.593252411374</v>
      </c>
      <c r="D62" s="151">
        <f>SUM(Impacts!H13,Impacts!H25)</f>
        <v>3553.2815262672498</v>
      </c>
      <c r="E62" s="151">
        <f>SUM(Impacts!I13,Impacts!I25)</f>
        <v>427.38856212826266</v>
      </c>
      <c r="F62" s="151">
        <f>SUM(Impacts!J13,Impacts!J25)</f>
        <v>141.18602628153542</v>
      </c>
      <c r="G62" s="151">
        <f>SUM(Impacts!K13,Impacts!K25)</f>
        <v>629846.4571728115</v>
      </c>
    </row>
    <row r="63" spans="1:7">
      <c r="A63" s="180" t="s">
        <v>238</v>
      </c>
      <c r="B63" s="151">
        <f>SUM(Impacts!F14,Impacts!F26)</f>
        <v>4.9137101431109369E-6</v>
      </c>
      <c r="C63" s="151">
        <f>SUM(Impacts!G14,Impacts!G26)</f>
        <v>76.915815064081514</v>
      </c>
      <c r="D63" s="151">
        <f>SUM(Impacts!H14,Impacts!H26)</f>
        <v>3.9594467107842135</v>
      </c>
      <c r="E63" s="151">
        <f>SUM(Impacts!I14,Impacts!I26)</f>
        <v>0.38718532439606368</v>
      </c>
      <c r="F63" s="151">
        <f>SUM(Impacts!J14,Impacts!J26)</f>
        <v>0.32099942022080358</v>
      </c>
      <c r="G63" s="151">
        <f>SUM(Impacts!K14,Impacts!K26)</f>
        <v>51.002326867015128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"/>
  <sheetViews>
    <sheetView workbookViewId="0">
      <selection activeCell="G21" sqref="G21"/>
    </sheetView>
  </sheetViews>
  <sheetFormatPr defaultRowHeight="14.45"/>
  <cols>
    <col min="1" max="1" width="15.7109375" bestFit="1" customWidth="1"/>
    <col min="2" max="2" width="20.28515625" bestFit="1" customWidth="1"/>
    <col min="3" max="3" width="22.42578125" bestFit="1" customWidth="1"/>
    <col min="4" max="4" width="16.42578125" bestFit="1" customWidth="1"/>
  </cols>
  <sheetData>
    <row r="1" spans="1:14">
      <c r="A1" s="300" t="s">
        <v>239</v>
      </c>
      <c r="B1" s="300"/>
      <c r="C1" s="300"/>
    </row>
    <row r="2" spans="1:14">
      <c r="A2" s="30" t="s">
        <v>240</v>
      </c>
      <c r="B2" s="30" t="s">
        <v>241</v>
      </c>
      <c r="C2" s="30" t="s">
        <v>242</v>
      </c>
      <c r="N2" s="267" t="s">
        <v>243</v>
      </c>
    </row>
    <row r="3" spans="1:14">
      <c r="A3" s="30" t="s">
        <v>3</v>
      </c>
      <c r="B3" s="272">
        <f>SUM(Impacts!D4:D6)</f>
        <v>224230.26328502956</v>
      </c>
      <c r="C3" s="272">
        <f>B3*7.6</f>
        <v>1704150.0009662246</v>
      </c>
    </row>
    <row r="4" spans="1:14">
      <c r="A4" s="30" t="s">
        <v>67</v>
      </c>
      <c r="B4" s="272">
        <f>SUM(Impacts!D16:D18)</f>
        <v>325277.89720787317</v>
      </c>
      <c r="C4" s="272">
        <f t="shared" ref="C4:C9" si="0">B4*7.6</f>
        <v>2472112.0187798361</v>
      </c>
    </row>
    <row r="5" spans="1:14">
      <c r="A5" s="30" t="s">
        <v>244</v>
      </c>
      <c r="B5" s="272">
        <f>SUM(B3:B4)</f>
        <v>549508.16049290274</v>
      </c>
      <c r="C5" s="272">
        <f t="shared" si="0"/>
        <v>4176262.0197460605</v>
      </c>
    </row>
    <row r="6" spans="1:14">
      <c r="A6" s="30" t="s">
        <v>245</v>
      </c>
      <c r="B6" s="272">
        <f>SUM(Impacts!D29)</f>
        <v>19.350000000000001</v>
      </c>
      <c r="C6" s="272">
        <f t="shared" si="0"/>
        <v>147.06</v>
      </c>
    </row>
    <row r="7" spans="1:14">
      <c r="A7" s="30" t="s">
        <v>146</v>
      </c>
      <c r="B7" s="30">
        <f>SUM(Impacts!D34)</f>
        <v>24397</v>
      </c>
      <c r="C7" s="272">
        <f t="shared" si="0"/>
        <v>185417.19999999998</v>
      </c>
    </row>
    <row r="8" spans="1:14">
      <c r="A8" s="30" t="s">
        <v>58</v>
      </c>
      <c r="B8" s="30">
        <f>SUM(Impacts!D38)</f>
        <v>8810</v>
      </c>
      <c r="C8" s="272">
        <f t="shared" si="0"/>
        <v>66956</v>
      </c>
    </row>
    <row r="9" spans="1:14">
      <c r="A9" s="30" t="s">
        <v>246</v>
      </c>
      <c r="B9" s="272">
        <f>SUM(B3:B8)</f>
        <v>1132242.6709858056</v>
      </c>
      <c r="C9" s="272">
        <f t="shared" si="0"/>
        <v>8605044.2994921226</v>
      </c>
    </row>
    <row r="11" spans="1:14">
      <c r="A11" s="300" t="s">
        <v>247</v>
      </c>
      <c r="B11" s="300"/>
      <c r="C11" s="300"/>
      <c r="D11" s="300"/>
    </row>
    <row r="12" spans="1:14" ht="15">
      <c r="A12" s="30" t="s">
        <v>240</v>
      </c>
      <c r="B12" s="30" t="s">
        <v>248</v>
      </c>
      <c r="C12" s="30" t="s">
        <v>249</v>
      </c>
      <c r="D12" s="30" t="s">
        <v>242</v>
      </c>
    </row>
    <row r="13" spans="1:14">
      <c r="A13" s="30" t="s">
        <v>3</v>
      </c>
      <c r="B13" s="273">
        <f>SUM(Impacts!D7:D9)</f>
        <v>182.20517109504598</v>
      </c>
      <c r="C13" s="272">
        <f>2400*B13</f>
        <v>437292.41062811034</v>
      </c>
      <c r="D13" s="272">
        <f>(C13*0.001)*987</f>
        <v>431607.60928994493</v>
      </c>
      <c r="N13" s="267" t="s">
        <v>250</v>
      </c>
    </row>
    <row r="14" spans="1:14">
      <c r="A14" s="30" t="s">
        <v>67</v>
      </c>
      <c r="B14" s="273">
        <f>SUM(Impacts!D19:D21)</f>
        <v>266.03694458996716</v>
      </c>
      <c r="C14" s="272">
        <f t="shared" ref="C14:C15" si="1">2400*B14</f>
        <v>638488.66701592121</v>
      </c>
      <c r="D14" s="272">
        <f t="shared" ref="D14:D15" si="2">(C14*0.001)*987</f>
        <v>630188.31434471428</v>
      </c>
    </row>
    <row r="15" spans="1:14">
      <c r="A15" s="30" t="s">
        <v>244</v>
      </c>
      <c r="B15" s="273">
        <f>SUM(B13:B14)</f>
        <v>448.24211568501312</v>
      </c>
      <c r="C15" s="272">
        <f t="shared" si="1"/>
        <v>1075781.0776440315</v>
      </c>
      <c r="D15" s="272">
        <f t="shared" si="2"/>
        <v>1061795.923634659</v>
      </c>
    </row>
    <row r="16" spans="1:14">
      <c r="A16" s="1"/>
      <c r="B16" s="1"/>
      <c r="C16" s="274" t="s">
        <v>251</v>
      </c>
    </row>
    <row r="17" spans="1:4">
      <c r="A17" s="1"/>
      <c r="B17" s="1"/>
      <c r="C17" s="1"/>
    </row>
    <row r="18" spans="1:4">
      <c r="A18" s="1"/>
      <c r="B18" s="1"/>
      <c r="C18" s="1"/>
    </row>
    <row r="19" spans="1:4">
      <c r="A19" s="1"/>
      <c r="B19" s="1"/>
      <c r="C19" s="1"/>
    </row>
    <row r="20" spans="1:4">
      <c r="A20" s="1"/>
      <c r="B20" s="1"/>
      <c r="C20" s="1"/>
    </row>
    <row r="21" spans="1:4">
      <c r="A21" s="1"/>
      <c r="B21" s="1"/>
      <c r="C21" s="1"/>
    </row>
    <row r="22" spans="1:4">
      <c r="A22" s="1"/>
      <c r="B22" s="1"/>
      <c r="C22" s="1"/>
    </row>
    <row r="23" spans="1:4">
      <c r="A23" s="1"/>
      <c r="B23" s="1"/>
      <c r="C23" s="1"/>
    </row>
    <row r="24" spans="1:4">
      <c r="A24" s="1"/>
      <c r="B24" s="1"/>
      <c r="C24" s="1"/>
      <c r="D24" s="275">
        <f>SUM(D15,C9)</f>
        <v>9666840.2231267821</v>
      </c>
    </row>
    <row r="25" spans="1:4">
      <c r="D25">
        <f>D24/18</f>
        <v>537046.67906259897</v>
      </c>
    </row>
  </sheetData>
  <mergeCells count="2">
    <mergeCell ref="A1:C1"/>
    <mergeCell ref="A11:D11"/>
  </mergeCells>
  <hyperlinks>
    <hyperlink ref="N2" r:id="rId1" display="https://essay.utwente.nl/69751/1/MA thesis Bosman, R..pdf" xr:uid="{00000000-0004-0000-0400-000000000000}"/>
    <hyperlink ref="N13" r:id="rId2" xr:uid="{00000000-0004-0000-0400-000001000000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"/>
  <sheetViews>
    <sheetView topLeftCell="A3" workbookViewId="0">
      <selection activeCell="E13" sqref="E13"/>
    </sheetView>
  </sheetViews>
  <sheetFormatPr defaultColWidth="8.85546875" defaultRowHeight="14.45"/>
  <cols>
    <col min="1" max="1" width="39.140625" bestFit="1" customWidth="1"/>
    <col min="2" max="2" width="13.42578125" bestFit="1" customWidth="1"/>
    <col min="3" max="3" width="17.7109375" bestFit="1" customWidth="1"/>
    <col min="4" max="4" width="15.28515625" bestFit="1" customWidth="1"/>
    <col min="5" max="5" width="15.7109375" bestFit="1" customWidth="1"/>
    <col min="6" max="6" width="13.5703125" bestFit="1" customWidth="1"/>
    <col min="7" max="7" width="12.140625" bestFit="1" customWidth="1"/>
    <col min="8" max="8" width="5" bestFit="1" customWidth="1"/>
    <col min="10" max="10" width="13" customWidth="1"/>
    <col min="11" max="11" width="11.42578125" bestFit="1" customWidth="1"/>
    <col min="12" max="12" width="12.140625" customWidth="1"/>
    <col min="13" max="13" width="11.42578125" bestFit="1" customWidth="1"/>
    <col min="14" max="14" width="14.140625" customWidth="1"/>
    <col min="15" max="15" width="12.140625" bestFit="1" customWidth="1"/>
    <col min="16" max="16" width="11.28515625" bestFit="1" customWidth="1"/>
    <col min="17" max="17" width="7" bestFit="1" customWidth="1"/>
  </cols>
  <sheetData>
    <row r="1" spans="1:18" ht="15" thickBot="1">
      <c r="A1" s="207" t="s">
        <v>252</v>
      </c>
      <c r="B1" s="210" t="s">
        <v>253</v>
      </c>
      <c r="C1" s="211" t="s">
        <v>254</v>
      </c>
      <c r="D1" s="211" t="s">
        <v>255</v>
      </c>
      <c r="E1" s="211" t="s">
        <v>256</v>
      </c>
      <c r="F1" s="211" t="s">
        <v>257</v>
      </c>
      <c r="G1" s="212" t="s">
        <v>258</v>
      </c>
      <c r="H1" s="213" t="s">
        <v>246</v>
      </c>
      <c r="I1" s="229" t="s">
        <v>259</v>
      </c>
    </row>
    <row r="2" spans="1:18">
      <c r="A2" s="214" t="s">
        <v>260</v>
      </c>
      <c r="B2" s="197">
        <v>2140</v>
      </c>
      <c r="C2" s="196">
        <v>1006</v>
      </c>
      <c r="D2" s="196">
        <v>791</v>
      </c>
      <c r="E2" s="196">
        <v>3348</v>
      </c>
      <c r="F2" s="196">
        <v>1009</v>
      </c>
      <c r="G2" s="200">
        <v>1158</v>
      </c>
      <c r="H2" s="203">
        <f t="shared" ref="H2:H7" si="0">SUM(B2:G2)</f>
        <v>9452</v>
      </c>
      <c r="J2" s="153"/>
      <c r="K2" s="181"/>
      <c r="L2" s="181"/>
      <c r="M2" s="181"/>
      <c r="N2" s="181"/>
      <c r="O2" s="181"/>
      <c r="P2" s="181"/>
      <c r="Q2" s="182"/>
      <c r="R2" s="182"/>
    </row>
    <row r="3" spans="1:18">
      <c r="A3" s="215" t="s">
        <v>261</v>
      </c>
      <c r="B3" s="198">
        <v>0.24</v>
      </c>
      <c r="C3" s="30">
        <v>0.11</v>
      </c>
      <c r="D3" s="30">
        <v>0.09</v>
      </c>
      <c r="E3" s="30">
        <v>0.38</v>
      </c>
      <c r="F3" s="30">
        <v>0.12</v>
      </c>
      <c r="G3" s="201">
        <v>0.13</v>
      </c>
      <c r="H3" s="204">
        <f t="shared" si="0"/>
        <v>1.0699999999999998</v>
      </c>
      <c r="J3" s="183"/>
      <c r="K3" s="184"/>
      <c r="L3" s="184"/>
      <c r="M3" s="267" t="s">
        <v>262</v>
      </c>
      <c r="N3" s="184"/>
      <c r="O3" s="184"/>
      <c r="P3" s="184"/>
      <c r="Q3" s="185"/>
      <c r="R3" s="182"/>
    </row>
    <row r="4" spans="1:18">
      <c r="A4" s="215" t="s">
        <v>263</v>
      </c>
      <c r="B4" s="198">
        <v>1852</v>
      </c>
      <c r="C4" s="30">
        <v>959</v>
      </c>
      <c r="D4" s="30">
        <v>648</v>
      </c>
      <c r="E4" s="30">
        <v>2995</v>
      </c>
      <c r="F4" s="30">
        <v>929</v>
      </c>
      <c r="G4" s="201">
        <v>929</v>
      </c>
      <c r="H4" s="204">
        <f t="shared" si="0"/>
        <v>8312</v>
      </c>
      <c r="J4" s="181"/>
      <c r="K4" s="186"/>
      <c r="L4" s="186"/>
      <c r="M4" s="186"/>
      <c r="N4" s="107"/>
      <c r="O4" s="186"/>
      <c r="P4" s="186"/>
      <c r="Q4" s="186"/>
      <c r="R4" s="182"/>
    </row>
    <row r="5" spans="1:18">
      <c r="A5" s="215" t="s">
        <v>264</v>
      </c>
      <c r="B5" s="198">
        <v>0.42</v>
      </c>
      <c r="C5" s="30">
        <v>0.22</v>
      </c>
      <c r="D5" s="30">
        <v>0.15</v>
      </c>
      <c r="E5" s="30">
        <v>0.68</v>
      </c>
      <c r="F5" s="30">
        <v>0.21</v>
      </c>
      <c r="G5" s="201">
        <v>0.21</v>
      </c>
      <c r="H5" s="204">
        <f t="shared" si="0"/>
        <v>1.8900000000000001</v>
      </c>
      <c r="J5" s="181"/>
      <c r="K5" s="186"/>
      <c r="L5" s="186"/>
      <c r="M5" s="186"/>
      <c r="N5" s="107"/>
      <c r="O5" s="186"/>
      <c r="P5" s="186"/>
      <c r="Q5" s="186"/>
      <c r="R5" s="182"/>
    </row>
    <row r="6" spans="1:18">
      <c r="A6" s="215" t="s">
        <v>265</v>
      </c>
      <c r="B6" s="198">
        <v>365</v>
      </c>
      <c r="C6" s="30">
        <v>322</v>
      </c>
      <c r="D6" s="30">
        <v>173</v>
      </c>
      <c r="E6" s="30">
        <v>770</v>
      </c>
      <c r="F6" s="30">
        <v>197</v>
      </c>
      <c r="G6" s="201">
        <v>197</v>
      </c>
      <c r="H6" s="204">
        <f t="shared" si="0"/>
        <v>2024</v>
      </c>
      <c r="J6" s="181"/>
      <c r="K6" s="186"/>
      <c r="L6" s="186"/>
      <c r="M6" s="186"/>
      <c r="N6" s="107"/>
      <c r="O6" s="186"/>
      <c r="P6" s="186"/>
      <c r="Q6" s="186"/>
      <c r="R6" s="182"/>
    </row>
    <row r="7" spans="1:18" ht="15" thickBot="1">
      <c r="A7" s="216" t="s">
        <v>266</v>
      </c>
      <c r="B7" s="199">
        <v>0.49</v>
      </c>
      <c r="C7" s="195">
        <v>0.45</v>
      </c>
      <c r="D7" s="195">
        <v>0.23</v>
      </c>
      <c r="E7" s="195">
        <v>1.03</v>
      </c>
      <c r="F7" s="195">
        <v>0.26</v>
      </c>
      <c r="G7" s="202">
        <v>0.26</v>
      </c>
      <c r="H7" s="205">
        <f t="shared" si="0"/>
        <v>2.7199999999999998</v>
      </c>
      <c r="J7" s="181"/>
      <c r="K7" s="186"/>
      <c r="L7" s="186"/>
      <c r="M7" s="186"/>
      <c r="N7" s="107"/>
      <c r="O7" s="186"/>
      <c r="P7" s="186"/>
      <c r="Q7" s="186"/>
      <c r="R7" s="182"/>
    </row>
    <row r="8" spans="1:18" ht="4.5" customHeight="1" thickBot="1">
      <c r="J8" s="181"/>
      <c r="K8" s="186"/>
      <c r="L8" s="186"/>
      <c r="M8" s="186"/>
      <c r="N8" s="107"/>
      <c r="O8" s="186"/>
      <c r="P8" s="186"/>
      <c r="Q8" s="186"/>
      <c r="R8" s="182"/>
    </row>
    <row r="9" spans="1:18">
      <c r="A9" s="214" t="s">
        <v>267</v>
      </c>
      <c r="B9" s="209">
        <v>40</v>
      </c>
      <c r="C9" s="208">
        <v>65</v>
      </c>
      <c r="D9" s="7"/>
      <c r="E9" s="7"/>
      <c r="J9" s="181"/>
      <c r="K9" s="186"/>
      <c r="L9" s="186"/>
      <c r="M9" s="186"/>
      <c r="N9" s="107"/>
      <c r="O9" s="186"/>
      <c r="P9" s="186"/>
      <c r="Q9" s="186"/>
      <c r="R9" s="182"/>
    </row>
    <row r="10" spans="1:18">
      <c r="A10" s="215" t="s">
        <v>268</v>
      </c>
      <c r="B10" s="232">
        <f>B9*24</f>
        <v>960</v>
      </c>
      <c r="C10" s="225">
        <f>C9*24</f>
        <v>1560</v>
      </c>
      <c r="D10" s="7"/>
      <c r="E10" s="7"/>
      <c r="J10" s="181"/>
      <c r="K10" s="186"/>
      <c r="L10" s="186"/>
      <c r="M10" s="186"/>
      <c r="N10" s="107"/>
      <c r="O10" s="186"/>
      <c r="P10" s="186"/>
      <c r="Q10" s="186"/>
      <c r="R10" s="182"/>
    </row>
    <row r="11" spans="1:18">
      <c r="A11" s="215" t="s">
        <v>269</v>
      </c>
      <c r="B11" s="232">
        <f>B10*365</f>
        <v>350400</v>
      </c>
      <c r="C11" s="225">
        <f>C10*365</f>
        <v>569400</v>
      </c>
      <c r="D11" s="7"/>
      <c r="E11" s="7"/>
      <c r="J11" s="260"/>
      <c r="K11" s="186"/>
      <c r="L11" s="186"/>
      <c r="M11" s="186"/>
      <c r="N11" s="107"/>
      <c r="O11" s="186"/>
      <c r="P11" s="186"/>
      <c r="Q11" s="186"/>
      <c r="R11" s="182"/>
    </row>
    <row r="12" spans="1:18">
      <c r="A12" s="215" t="s">
        <v>270</v>
      </c>
      <c r="B12" s="232">
        <f>B11-H2</f>
        <v>340948</v>
      </c>
      <c r="C12" s="225">
        <f>C11-H2</f>
        <v>559948</v>
      </c>
      <c r="D12" s="7"/>
      <c r="E12" s="7"/>
      <c r="J12" s="181"/>
      <c r="K12" s="186"/>
      <c r="L12" s="186"/>
      <c r="M12" s="186"/>
      <c r="N12" s="107"/>
      <c r="O12" s="186"/>
      <c r="P12" s="186"/>
      <c r="Q12" s="186"/>
      <c r="R12" s="182"/>
    </row>
    <row r="13" spans="1:18" ht="15" thickBot="1">
      <c r="A13" s="216" t="s">
        <v>271</v>
      </c>
      <c r="B13" s="230">
        <f>B11/($H$6*12)</f>
        <v>14.426877470355731</v>
      </c>
      <c r="C13" s="231">
        <f>C11/($H$6*12)</f>
        <v>23.443675889328063</v>
      </c>
      <c r="D13" s="7"/>
      <c r="E13" s="7"/>
      <c r="J13" s="181"/>
      <c r="K13" s="186"/>
      <c r="L13" s="186"/>
      <c r="M13" s="186"/>
      <c r="N13" s="107"/>
      <c r="O13" s="186"/>
      <c r="P13" s="186"/>
      <c r="Q13" s="186"/>
      <c r="R13" s="182"/>
    </row>
    <row r="14" spans="1:18" ht="15" thickBot="1">
      <c r="B14" s="7"/>
      <c r="C14" s="7"/>
      <c r="D14" s="7"/>
      <c r="E14" s="7"/>
      <c r="J14" s="181"/>
      <c r="K14" s="186"/>
      <c r="L14" s="186"/>
      <c r="M14" s="186"/>
      <c r="N14" s="107"/>
      <c r="O14" s="186"/>
      <c r="P14" s="186"/>
      <c r="Q14" s="186"/>
      <c r="R14" s="182"/>
    </row>
    <row r="15" spans="1:18" ht="15" thickBot="1">
      <c r="A15" s="301" t="s">
        <v>272</v>
      </c>
      <c r="B15" s="302"/>
      <c r="C15" s="7"/>
      <c r="J15" s="181"/>
      <c r="K15" s="187"/>
      <c r="L15" s="187"/>
      <c r="M15" s="187"/>
      <c r="N15" s="187"/>
      <c r="O15" s="187"/>
      <c r="P15" s="187"/>
      <c r="Q15" s="187"/>
      <c r="R15" s="182"/>
    </row>
    <row r="16" spans="1:18">
      <c r="A16" s="268" t="s">
        <v>273</v>
      </c>
      <c r="B16" s="269">
        <f>SUM(C2,D2,(E2/2),F2,G2)</f>
        <v>5638</v>
      </c>
      <c r="C16" s="7"/>
      <c r="J16" s="187"/>
      <c r="K16" s="188"/>
      <c r="L16" s="188"/>
      <c r="M16" s="188"/>
      <c r="N16" s="188"/>
      <c r="O16" s="188"/>
      <c r="P16" s="188"/>
      <c r="Q16" s="189"/>
      <c r="R16" s="182"/>
    </row>
    <row r="17" spans="1:18">
      <c r="A17" s="219" t="s">
        <v>274</v>
      </c>
      <c r="B17" s="206">
        <v>53.07</v>
      </c>
      <c r="C17" s="7"/>
      <c r="J17" s="187"/>
      <c r="K17" s="188"/>
      <c r="L17" s="188"/>
      <c r="M17" s="188"/>
      <c r="N17" s="188"/>
      <c r="O17" s="188"/>
      <c r="P17" s="188"/>
      <c r="Q17" s="189"/>
      <c r="R17" s="182"/>
    </row>
    <row r="18" spans="1:18">
      <c r="A18" s="219" t="s">
        <v>275</v>
      </c>
      <c r="B18" s="206">
        <f>SUM(B2,(E2/2))</f>
        <v>3814</v>
      </c>
      <c r="C18" s="228"/>
      <c r="D18" s="7"/>
      <c r="J18" s="187"/>
      <c r="K18" s="188"/>
      <c r="L18" s="188"/>
      <c r="M18" s="188"/>
      <c r="N18" s="188"/>
      <c r="O18" s="188"/>
      <c r="P18" s="188"/>
      <c r="Q18" s="189"/>
      <c r="R18" s="182"/>
    </row>
    <row r="19" spans="1:18">
      <c r="A19" s="219" t="s">
        <v>276</v>
      </c>
      <c r="B19" s="206">
        <v>63.07</v>
      </c>
      <c r="C19" s="7"/>
      <c r="J19" s="190"/>
      <c r="K19" s="191"/>
      <c r="L19" s="191"/>
      <c r="M19" s="191"/>
      <c r="N19" s="191"/>
      <c r="O19" s="191"/>
      <c r="P19" s="191"/>
      <c r="Q19" s="191"/>
      <c r="R19" s="182"/>
    </row>
    <row r="20" spans="1:18">
      <c r="A20" s="219" t="s">
        <v>277</v>
      </c>
      <c r="B20" s="225">
        <f>(B16*B17)+(B18*B19)</f>
        <v>539757.64</v>
      </c>
      <c r="C20" s="7"/>
      <c r="D20" s="7"/>
      <c r="J20" s="183"/>
      <c r="K20" s="9"/>
      <c r="L20" s="9"/>
      <c r="M20" s="9"/>
      <c r="N20" s="9"/>
      <c r="O20" s="9"/>
      <c r="P20" s="9"/>
      <c r="Q20" s="9"/>
      <c r="R20" s="182"/>
    </row>
    <row r="21" spans="1:18" ht="15" thickBot="1">
      <c r="A21" s="220" t="s">
        <v>278</v>
      </c>
      <c r="B21" s="270">
        <f>Impacts!G72/'PNG Offsets'!B20</f>
        <v>10.017447980272182</v>
      </c>
      <c r="C21" s="7"/>
      <c r="D21" s="7"/>
      <c r="J21" s="183"/>
      <c r="K21" s="8"/>
      <c r="L21" s="8"/>
      <c r="M21" s="8"/>
      <c r="N21" s="8"/>
      <c r="O21" s="8"/>
      <c r="P21" s="8"/>
      <c r="Q21" s="8"/>
      <c r="R21" s="182"/>
    </row>
    <row r="22" spans="1:18">
      <c r="B22" s="7"/>
      <c r="C22" s="7"/>
      <c r="D22" s="7"/>
      <c r="E22" s="7"/>
      <c r="J22" s="183"/>
      <c r="K22" s="192"/>
      <c r="L22" s="192"/>
      <c r="M22" s="192"/>
      <c r="N22" s="192"/>
      <c r="O22" s="192"/>
      <c r="P22" s="192"/>
      <c r="Q22" s="186"/>
      <c r="R22" s="182"/>
    </row>
  </sheetData>
  <mergeCells count="1">
    <mergeCell ref="A15:B15"/>
  </mergeCells>
  <hyperlinks>
    <hyperlink ref="M3" r:id="rId1" xr:uid="{00000000-0004-0000-05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2"/>
  <sheetViews>
    <sheetView workbookViewId="0">
      <selection activeCell="C32" sqref="C32"/>
    </sheetView>
  </sheetViews>
  <sheetFormatPr defaultColWidth="8.85546875" defaultRowHeight="14.45"/>
  <cols>
    <col min="1" max="1" width="39.140625" bestFit="1" customWidth="1"/>
    <col min="2" max="2" width="13.42578125" bestFit="1" customWidth="1"/>
    <col min="3" max="3" width="19.140625" bestFit="1" customWidth="1"/>
    <col min="4" max="4" width="15.28515625" bestFit="1" customWidth="1"/>
    <col min="5" max="5" width="15.7109375" bestFit="1" customWidth="1"/>
    <col min="6" max="6" width="13.5703125" bestFit="1" customWidth="1"/>
    <col min="7" max="7" width="12.140625" bestFit="1" customWidth="1"/>
    <col min="8" max="8" width="5" bestFit="1" customWidth="1"/>
    <col min="10" max="10" width="13" customWidth="1"/>
    <col min="11" max="11" width="11.42578125" bestFit="1" customWidth="1"/>
    <col min="12" max="12" width="12.140625" customWidth="1"/>
    <col min="13" max="13" width="11.42578125" bestFit="1" customWidth="1"/>
    <col min="14" max="14" width="14.140625" customWidth="1"/>
    <col min="15" max="15" width="12.140625" bestFit="1" customWidth="1"/>
    <col min="16" max="16" width="11.28515625" bestFit="1" customWidth="1"/>
    <col min="17" max="17" width="7" bestFit="1" customWidth="1"/>
  </cols>
  <sheetData>
    <row r="1" spans="1:18" ht="15" thickBot="1">
      <c r="A1" s="207" t="s">
        <v>252</v>
      </c>
      <c r="B1" s="210" t="s">
        <v>253</v>
      </c>
      <c r="C1" s="211" t="s">
        <v>254</v>
      </c>
      <c r="D1" s="211" t="s">
        <v>255</v>
      </c>
      <c r="E1" s="211" t="s">
        <v>256</v>
      </c>
      <c r="F1" s="211" t="s">
        <v>257</v>
      </c>
      <c r="G1" s="212" t="s">
        <v>258</v>
      </c>
      <c r="H1" s="213" t="s">
        <v>246</v>
      </c>
      <c r="I1" s="229" t="s">
        <v>259</v>
      </c>
    </row>
    <row r="2" spans="1:18">
      <c r="A2" s="214" t="s">
        <v>260</v>
      </c>
      <c r="B2" s="197">
        <v>2140</v>
      </c>
      <c r="C2" s="196">
        <v>1006</v>
      </c>
      <c r="D2" s="196">
        <v>791</v>
      </c>
      <c r="E2" s="196">
        <v>3348</v>
      </c>
      <c r="F2" s="196">
        <v>1009</v>
      </c>
      <c r="G2" s="200">
        <v>1158</v>
      </c>
      <c r="H2" s="203">
        <f t="shared" ref="H2:H7" si="0">SUM(B2:G2)</f>
        <v>9452</v>
      </c>
      <c r="J2" s="153"/>
      <c r="K2" s="181"/>
      <c r="L2" s="181"/>
      <c r="M2" s="181"/>
      <c r="N2" s="181"/>
      <c r="O2" s="181"/>
      <c r="P2" s="181"/>
      <c r="Q2" s="182"/>
      <c r="R2" s="182"/>
    </row>
    <row r="3" spans="1:18">
      <c r="A3" s="215" t="s">
        <v>261</v>
      </c>
      <c r="B3" s="198">
        <v>0.24</v>
      </c>
      <c r="C3" s="30">
        <v>0.11</v>
      </c>
      <c r="D3" s="30">
        <v>0.09</v>
      </c>
      <c r="E3" s="30">
        <v>0.38</v>
      </c>
      <c r="F3" s="30">
        <v>0.12</v>
      </c>
      <c r="G3" s="201">
        <v>0.13</v>
      </c>
      <c r="H3" s="204">
        <f t="shared" si="0"/>
        <v>1.0699999999999998</v>
      </c>
      <c r="J3" s="183"/>
      <c r="K3" s="184"/>
      <c r="L3" s="184"/>
      <c r="M3" s="184"/>
      <c r="N3" s="184"/>
      <c r="O3" s="184"/>
      <c r="P3" s="184"/>
      <c r="Q3" s="185"/>
      <c r="R3" s="182"/>
    </row>
    <row r="4" spans="1:18">
      <c r="A4" s="215" t="s">
        <v>263</v>
      </c>
      <c r="B4" s="198">
        <v>1852</v>
      </c>
      <c r="C4" s="30">
        <v>959</v>
      </c>
      <c r="D4" s="30">
        <v>648</v>
      </c>
      <c r="E4" s="30">
        <v>2995</v>
      </c>
      <c r="F4" s="30">
        <v>929</v>
      </c>
      <c r="G4" s="201">
        <v>929</v>
      </c>
      <c r="H4" s="204">
        <f t="shared" si="0"/>
        <v>8312</v>
      </c>
      <c r="J4" s="181"/>
      <c r="K4" s="186"/>
      <c r="L4" s="186"/>
      <c r="M4" s="186"/>
      <c r="N4" s="107"/>
      <c r="O4" s="186"/>
      <c r="P4" s="186"/>
      <c r="Q4" s="186"/>
      <c r="R4" s="182"/>
    </row>
    <row r="5" spans="1:18">
      <c r="A5" s="215" t="s">
        <v>264</v>
      </c>
      <c r="B5" s="198">
        <v>0.42</v>
      </c>
      <c r="C5" s="30">
        <v>0.22</v>
      </c>
      <c r="D5" s="30">
        <v>0.15</v>
      </c>
      <c r="E5" s="30">
        <v>0.68</v>
      </c>
      <c r="F5" s="30">
        <v>0.21</v>
      </c>
      <c r="G5" s="201">
        <v>0.21</v>
      </c>
      <c r="H5" s="204">
        <f t="shared" si="0"/>
        <v>1.8900000000000001</v>
      </c>
      <c r="J5" s="181"/>
      <c r="K5" s="186"/>
      <c r="L5" s="186"/>
      <c r="M5" s="186"/>
      <c r="N5" s="107"/>
      <c r="O5" s="186"/>
      <c r="P5" s="186"/>
      <c r="Q5" s="186"/>
      <c r="R5" s="182"/>
    </row>
    <row r="6" spans="1:18">
      <c r="A6" s="215" t="s">
        <v>265</v>
      </c>
      <c r="B6" s="198">
        <v>365</v>
      </c>
      <c r="C6" s="30">
        <v>322</v>
      </c>
      <c r="D6" s="30">
        <v>173</v>
      </c>
      <c r="E6" s="30">
        <v>770</v>
      </c>
      <c r="F6" s="30">
        <v>197</v>
      </c>
      <c r="G6" s="201">
        <v>197</v>
      </c>
      <c r="H6" s="204">
        <f t="shared" si="0"/>
        <v>2024</v>
      </c>
      <c r="J6" s="181"/>
      <c r="K6" s="186"/>
      <c r="L6" s="186"/>
      <c r="M6" s="186"/>
      <c r="N6" s="107"/>
      <c r="O6" s="186"/>
      <c r="P6" s="186"/>
      <c r="Q6" s="186"/>
      <c r="R6" s="182"/>
    </row>
    <row r="7" spans="1:18" ht="15" thickBot="1">
      <c r="A7" s="216" t="s">
        <v>266</v>
      </c>
      <c r="B7" s="199">
        <v>0.49</v>
      </c>
      <c r="C7" s="195">
        <v>0.45</v>
      </c>
      <c r="D7" s="195">
        <v>0.23</v>
      </c>
      <c r="E7" s="195">
        <v>1.03</v>
      </c>
      <c r="F7" s="195">
        <v>0.26</v>
      </c>
      <c r="G7" s="202">
        <v>0.26</v>
      </c>
      <c r="H7" s="205">
        <f t="shared" si="0"/>
        <v>2.7199999999999998</v>
      </c>
      <c r="J7" s="181"/>
      <c r="K7" s="186"/>
      <c r="L7" s="186"/>
      <c r="M7" s="186"/>
      <c r="N7" s="107"/>
      <c r="O7" s="186"/>
      <c r="P7" s="186"/>
      <c r="Q7" s="186"/>
      <c r="R7" s="182"/>
    </row>
    <row r="8" spans="1:18" ht="4.5" customHeight="1" thickBot="1">
      <c r="J8" s="181"/>
      <c r="K8" s="186"/>
      <c r="L8" s="186"/>
      <c r="M8" s="186"/>
      <c r="N8" s="107"/>
      <c r="O8" s="186"/>
      <c r="P8" s="186"/>
      <c r="Q8" s="186"/>
      <c r="R8" s="182"/>
    </row>
    <row r="9" spans="1:18">
      <c r="A9" s="214" t="s">
        <v>267</v>
      </c>
      <c r="B9" s="209">
        <v>40</v>
      </c>
      <c r="C9" s="208">
        <v>65</v>
      </c>
      <c r="D9" s="7"/>
      <c r="E9" s="7"/>
      <c r="J9" s="181"/>
      <c r="K9" s="186"/>
      <c r="L9" s="186"/>
      <c r="M9" s="186"/>
      <c r="N9" s="107"/>
      <c r="O9" s="186"/>
      <c r="P9" s="186"/>
      <c r="Q9" s="186"/>
      <c r="R9" s="182"/>
    </row>
    <row r="10" spans="1:18">
      <c r="A10" s="215" t="s">
        <v>268</v>
      </c>
      <c r="B10" s="232">
        <f>B9*24</f>
        <v>960</v>
      </c>
      <c r="C10" s="225">
        <f>C9*24</f>
        <v>1560</v>
      </c>
      <c r="D10" s="7"/>
      <c r="E10" s="7"/>
      <c r="J10" s="181"/>
      <c r="K10" s="186"/>
      <c r="L10" s="186"/>
      <c r="M10" s="186"/>
      <c r="N10" s="107"/>
      <c r="O10" s="186"/>
      <c r="P10" s="186"/>
      <c r="Q10" s="186"/>
      <c r="R10" s="182"/>
    </row>
    <row r="11" spans="1:18">
      <c r="A11" s="215" t="s">
        <v>269</v>
      </c>
      <c r="B11" s="232">
        <f>B10*365</f>
        <v>350400</v>
      </c>
      <c r="C11" s="225">
        <f>C10*365</f>
        <v>569400</v>
      </c>
      <c r="D11" s="7"/>
      <c r="E11" s="7"/>
      <c r="J11" s="260"/>
      <c r="K11" s="186"/>
      <c r="L11" s="186"/>
      <c r="M11" s="186"/>
      <c r="N11" s="107"/>
      <c r="O11" s="186"/>
      <c r="P11" s="186"/>
      <c r="Q11" s="186"/>
      <c r="R11" s="182"/>
    </row>
    <row r="12" spans="1:18">
      <c r="A12" s="215" t="s">
        <v>270</v>
      </c>
      <c r="B12" s="232">
        <f>B11-H2</f>
        <v>340948</v>
      </c>
      <c r="C12" s="225">
        <f>C11-H2</f>
        <v>559948</v>
      </c>
      <c r="D12" s="7"/>
      <c r="E12" s="7"/>
      <c r="J12" s="181"/>
      <c r="K12" s="186"/>
      <c r="L12" s="186"/>
      <c r="M12" s="186"/>
      <c r="N12" s="107"/>
      <c r="O12" s="186"/>
      <c r="P12" s="186"/>
      <c r="Q12" s="186"/>
      <c r="R12" s="182"/>
    </row>
    <row r="13" spans="1:18" ht="15" thickBot="1">
      <c r="A13" s="216" t="s">
        <v>271</v>
      </c>
      <c r="B13" s="230">
        <f>B11/($H$6*12)</f>
        <v>14.426877470355731</v>
      </c>
      <c r="C13" s="231">
        <f>C11/($H$6*12)</f>
        <v>23.443675889328063</v>
      </c>
      <c r="D13" s="7"/>
      <c r="E13" s="7"/>
      <c r="J13" s="181"/>
      <c r="K13" s="186"/>
      <c r="L13" s="186"/>
      <c r="M13" s="186"/>
      <c r="N13" s="107"/>
      <c r="O13" s="186"/>
      <c r="P13" s="186"/>
      <c r="Q13" s="186"/>
      <c r="R13" s="182"/>
    </row>
    <row r="14" spans="1:18" ht="15" thickBot="1">
      <c r="B14" s="7"/>
      <c r="C14" s="7"/>
      <c r="D14" s="7"/>
      <c r="E14" s="7"/>
      <c r="J14" s="181"/>
      <c r="K14" s="186"/>
      <c r="L14" s="186"/>
      <c r="M14" s="186"/>
      <c r="N14" s="107"/>
      <c r="O14" s="186"/>
      <c r="P14" s="186"/>
      <c r="Q14" s="186"/>
      <c r="R14" s="182"/>
    </row>
    <row r="15" spans="1:18" ht="15" thickBot="1">
      <c r="A15" s="303" t="s">
        <v>279</v>
      </c>
      <c r="B15" s="304"/>
      <c r="C15" s="7"/>
      <c r="J15" s="181"/>
      <c r="K15" s="187"/>
      <c r="L15" s="187"/>
      <c r="M15" s="187"/>
      <c r="N15" s="187"/>
      <c r="O15" s="187"/>
      <c r="P15" s="187"/>
      <c r="Q15" s="187"/>
      <c r="R15" s="182"/>
    </row>
    <row r="16" spans="1:18">
      <c r="A16" s="218" t="s">
        <v>280</v>
      </c>
      <c r="B16" s="223">
        <v>800000</v>
      </c>
      <c r="C16" s="7"/>
      <c r="J16" s="187"/>
      <c r="K16" s="188"/>
      <c r="L16" s="188"/>
      <c r="M16" s="188"/>
      <c r="N16" s="188"/>
      <c r="O16" s="188"/>
      <c r="P16" s="188"/>
      <c r="Q16" s="189"/>
      <c r="R16" s="182"/>
    </row>
    <row r="17" spans="1:18">
      <c r="A17" s="221" t="s">
        <v>281</v>
      </c>
      <c r="B17" s="224">
        <f>B16*24*365</f>
        <v>7008000000</v>
      </c>
      <c r="C17" s="7"/>
      <c r="D17" s="7"/>
      <c r="E17" s="7"/>
      <c r="J17" s="187"/>
      <c r="K17" s="188"/>
      <c r="L17" s="188"/>
      <c r="M17" s="188"/>
      <c r="N17" s="188"/>
      <c r="O17" s="188"/>
      <c r="P17" s="188"/>
      <c r="Q17" s="189"/>
      <c r="R17" s="182"/>
    </row>
    <row r="18" spans="1:18">
      <c r="A18" s="221" t="s">
        <v>282</v>
      </c>
      <c r="B18" s="227">
        <v>0.6</v>
      </c>
      <c r="C18" s="228" t="s">
        <v>283</v>
      </c>
      <c r="D18" s="7"/>
      <c r="E18" s="7"/>
      <c r="J18" s="187"/>
      <c r="K18" s="188"/>
      <c r="L18" s="188"/>
      <c r="M18" s="188"/>
      <c r="N18" s="188"/>
      <c r="O18" s="188"/>
      <c r="P18" s="188"/>
      <c r="Q18" s="189"/>
      <c r="R18" s="182"/>
    </row>
    <row r="19" spans="1:18">
      <c r="A19" s="217" t="s">
        <v>284</v>
      </c>
      <c r="B19" s="206">
        <v>1112</v>
      </c>
      <c r="C19" s="7"/>
      <c r="D19" s="7"/>
      <c r="E19" s="7"/>
      <c r="J19" s="190"/>
      <c r="K19" s="191"/>
      <c r="L19" s="191"/>
      <c r="M19" s="191"/>
      <c r="N19" s="191"/>
      <c r="O19" s="191"/>
      <c r="P19" s="191"/>
      <c r="Q19" s="191"/>
      <c r="R19" s="182"/>
    </row>
    <row r="20" spans="1:18">
      <c r="A20" s="217" t="s">
        <v>285</v>
      </c>
      <c r="B20" s="225">
        <f>(B16*B19)/1000000</f>
        <v>889.6</v>
      </c>
      <c r="C20" s="7"/>
      <c r="D20" s="7"/>
      <c r="E20" s="7"/>
      <c r="J20" s="183"/>
      <c r="K20" s="9"/>
      <c r="L20" s="9"/>
      <c r="M20" s="9"/>
      <c r="N20" s="9"/>
      <c r="O20" s="9"/>
      <c r="P20" s="9"/>
      <c r="Q20" s="9"/>
      <c r="R20" s="182"/>
    </row>
    <row r="21" spans="1:18">
      <c r="A21" s="219" t="s">
        <v>268</v>
      </c>
      <c r="B21" s="225">
        <f>B20*24</f>
        <v>21350.400000000001</v>
      </c>
      <c r="C21" s="7"/>
      <c r="D21" s="7"/>
      <c r="E21" s="7"/>
      <c r="J21" s="183"/>
      <c r="K21" s="8"/>
      <c r="L21" s="8"/>
      <c r="M21" s="8"/>
      <c r="N21" s="8"/>
      <c r="O21" s="8"/>
      <c r="P21" s="8"/>
      <c r="Q21" s="8"/>
      <c r="R21" s="182"/>
    </row>
    <row r="22" spans="1:18" ht="15" thickBot="1">
      <c r="A22" s="220" t="s">
        <v>269</v>
      </c>
      <c r="B22" s="226">
        <f>B21*365</f>
        <v>7792896.0000000009</v>
      </c>
      <c r="C22" s="7"/>
      <c r="D22" s="7"/>
      <c r="E22" s="7"/>
      <c r="J22" s="183"/>
      <c r="K22" s="9"/>
      <c r="L22" s="9"/>
      <c r="M22" s="9"/>
      <c r="N22" s="9"/>
      <c r="O22" s="9"/>
      <c r="P22" s="9"/>
      <c r="Q22" s="9"/>
      <c r="R22" s="182"/>
    </row>
    <row r="23" spans="1:18" ht="4.5" customHeight="1" thickBot="1">
      <c r="B23" s="7"/>
      <c r="C23" s="7"/>
      <c r="D23" s="7"/>
      <c r="E23" s="7"/>
      <c r="J23" s="183"/>
      <c r="K23" s="192"/>
      <c r="L23" s="192"/>
      <c r="M23" s="192"/>
      <c r="N23" s="192"/>
      <c r="O23" s="192"/>
      <c r="P23" s="192"/>
      <c r="Q23" s="186"/>
      <c r="R23" s="182"/>
    </row>
    <row r="24" spans="1:18" ht="15" thickBot="1">
      <c r="A24" s="303" t="s">
        <v>286</v>
      </c>
      <c r="B24" s="304"/>
      <c r="C24" s="59"/>
      <c r="D24" s="59"/>
      <c r="E24" s="7"/>
      <c r="J24" s="183"/>
      <c r="K24" s="11"/>
      <c r="L24" s="11"/>
      <c r="M24" s="11"/>
      <c r="N24" s="11"/>
      <c r="O24" s="11"/>
      <c r="P24" s="11"/>
      <c r="Q24" s="11"/>
      <c r="R24" s="182"/>
    </row>
    <row r="25" spans="1:18" ht="15">
      <c r="A25" s="233" t="s">
        <v>287</v>
      </c>
      <c r="B25" s="271">
        <v>112714859.5</v>
      </c>
      <c r="C25" s="153"/>
      <c r="D25" s="153"/>
      <c r="E25" s="7"/>
      <c r="J25" s="183"/>
      <c r="K25" s="9"/>
      <c r="L25" s="9"/>
      <c r="M25" s="9"/>
      <c r="N25" s="9"/>
      <c r="O25" s="9"/>
      <c r="P25" s="9"/>
      <c r="Q25" s="9"/>
      <c r="R25" s="182"/>
    </row>
    <row r="26" spans="1:18">
      <c r="A26" s="219" t="s">
        <v>288</v>
      </c>
      <c r="B26" s="225">
        <f>B17*B18</f>
        <v>4204800000</v>
      </c>
      <c r="C26" s="7"/>
      <c r="D26" s="7"/>
      <c r="E26" s="7"/>
      <c r="J26" s="187"/>
      <c r="K26" s="192"/>
      <c r="L26" s="193"/>
      <c r="M26" s="192"/>
      <c r="N26" s="192"/>
      <c r="O26" s="192"/>
      <c r="P26" s="192"/>
      <c r="Q26" s="192"/>
      <c r="R26" s="182"/>
    </row>
    <row r="27" spans="1:18" ht="15.6" thickBot="1">
      <c r="A27" s="220" t="s">
        <v>289</v>
      </c>
      <c r="B27" s="234">
        <f>B25/B26</f>
        <v>2.6806235611681887E-2</v>
      </c>
      <c r="C27" s="7"/>
      <c r="D27" s="7"/>
      <c r="E27" s="7"/>
      <c r="J27" s="182"/>
      <c r="K27" s="182"/>
      <c r="L27" s="182"/>
      <c r="M27" s="182"/>
      <c r="N27" s="182"/>
      <c r="O27" s="182"/>
      <c r="P27" s="182"/>
      <c r="Q27" s="182"/>
      <c r="R27" s="182"/>
    </row>
    <row r="28" spans="1:18" ht="4.5" customHeight="1" thickBot="1">
      <c r="J28" s="71"/>
      <c r="K28" s="71"/>
      <c r="L28" s="71"/>
      <c r="M28" s="71"/>
      <c r="N28" s="71"/>
      <c r="O28" s="182"/>
      <c r="P28" s="182"/>
      <c r="Q28" s="182"/>
      <c r="R28" s="182"/>
    </row>
    <row r="29" spans="1:18" ht="15" thickBot="1">
      <c r="A29" s="303" t="s">
        <v>290</v>
      </c>
      <c r="B29" s="304"/>
      <c r="J29" s="71"/>
      <c r="K29" s="71"/>
      <c r="L29" s="71"/>
      <c r="M29" s="71"/>
      <c r="N29" s="71"/>
      <c r="O29" s="182"/>
      <c r="P29" s="182"/>
      <c r="Q29" s="182"/>
      <c r="R29" s="182"/>
    </row>
    <row r="30" spans="1:18">
      <c r="A30" s="233" t="s">
        <v>291</v>
      </c>
      <c r="B30" s="222">
        <f>H2/(B19/1000000)</f>
        <v>8500000</v>
      </c>
      <c r="J30" s="194"/>
      <c r="K30" s="194"/>
      <c r="L30" s="194"/>
      <c r="M30" s="194"/>
      <c r="N30" s="194"/>
    </row>
    <row r="31" spans="1:18" ht="15">
      <c r="A31" s="219" t="s">
        <v>292</v>
      </c>
      <c r="B31" s="225">
        <f>B30*B27</f>
        <v>227853.00269929605</v>
      </c>
      <c r="C31" s="257"/>
      <c r="J31" s="194"/>
      <c r="K31" s="194"/>
      <c r="L31" s="194"/>
      <c r="M31" s="194"/>
      <c r="N31" s="194"/>
    </row>
    <row r="32" spans="1:18" ht="15" thickBot="1">
      <c r="A32" s="220" t="s">
        <v>278</v>
      </c>
      <c r="B32" s="256">
        <f>Impacts!G72/'Steam Offsets'!B31</f>
        <v>23.730185762749155</v>
      </c>
      <c r="C32" t="s">
        <v>293</v>
      </c>
    </row>
  </sheetData>
  <mergeCells count="3">
    <mergeCell ref="A15:B15"/>
    <mergeCell ref="A24:B24"/>
    <mergeCell ref="A29:B2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workbookViewId="0">
      <selection activeCell="H6" sqref="H6"/>
    </sheetView>
  </sheetViews>
  <sheetFormatPr defaultColWidth="8.85546875" defaultRowHeight="14.45"/>
  <cols>
    <col min="1" max="1" width="27.42578125" bestFit="1" customWidth="1"/>
    <col min="2" max="2" width="18.7109375" bestFit="1" customWidth="1"/>
    <col min="3" max="3" width="8.42578125" bestFit="1" customWidth="1"/>
    <col min="4" max="4" width="13.42578125" bestFit="1" customWidth="1"/>
    <col min="5" max="5" width="6.85546875" bestFit="1" customWidth="1"/>
  </cols>
  <sheetData>
    <row r="1" spans="1:11">
      <c r="A1" s="38" t="s">
        <v>294</v>
      </c>
      <c r="B1" s="36" t="s">
        <v>295</v>
      </c>
    </row>
    <row r="2" spans="1:11">
      <c r="A2" s="38" t="s">
        <v>296</v>
      </c>
      <c r="B2" s="36" t="s">
        <v>297</v>
      </c>
    </row>
    <row r="4" spans="1:11">
      <c r="A4" s="39" t="s">
        <v>298</v>
      </c>
      <c r="B4" s="39" t="s">
        <v>299</v>
      </c>
      <c r="C4" s="39" t="s">
        <v>300</v>
      </c>
      <c r="D4" s="39" t="s">
        <v>301</v>
      </c>
      <c r="E4" s="40" t="s">
        <v>302</v>
      </c>
    </row>
    <row r="5" spans="1:11">
      <c r="A5" s="10" t="s">
        <v>303</v>
      </c>
      <c r="B5" s="126">
        <f>VLOOKUP($B$1,Reference!1:1048576,2,FALSE)</f>
        <v>9452</v>
      </c>
      <c r="C5" s="126">
        <f>VLOOKUP($B$2,Strategies!1:1048576,2,FALSE)</f>
        <v>7043.2416880998217</v>
      </c>
      <c r="D5" s="125">
        <f>((C5-B5)/B5)*-1</f>
        <v>0.2548411248307425</v>
      </c>
      <c r="E5" s="4">
        <f>IF(D5&gt;=B14,2,IF(D5&gt;=B13,1,0))</f>
        <v>1</v>
      </c>
    </row>
    <row r="6" spans="1:11">
      <c r="A6" s="10" t="s">
        <v>304</v>
      </c>
      <c r="B6" s="126">
        <f>VLOOKUP($B$1,Reference!1:1048576,3,FALSE)</f>
        <v>112714859.5</v>
      </c>
      <c r="C6" s="126">
        <f>VLOOKUP($B$2,Strategies!1:1048576,3,FALSE)</f>
        <v>10587414.641866548</v>
      </c>
      <c r="D6" s="41">
        <f>((C6-B6)/B6)*-1</f>
        <v>0.90606904281447864</v>
      </c>
      <c r="E6" s="4">
        <f>IF(D6&gt;=B16,2,IF(D6&gt;=B15,1,0))</f>
        <v>2</v>
      </c>
    </row>
    <row r="7" spans="1:11">
      <c r="A7" s="10" t="s">
        <v>305</v>
      </c>
      <c r="B7" s="126">
        <f>VLOOKUP($B$1,Reference!1:1048576,4,FALSE)</f>
        <v>7965174.6045685727</v>
      </c>
      <c r="C7" s="126">
        <f>VLOOKUP($B$2,Strategies!1:1048576,4,FALSE)</f>
        <v>250487.47621116089</v>
      </c>
      <c r="D7" s="41">
        <f>((C7-B7)/B7)*-1</f>
        <v>0.96855216757364127</v>
      </c>
      <c r="E7" s="4">
        <f>IF(D7&gt;=B18,2,IF(D7&gt;=B17,1,0))</f>
        <v>2</v>
      </c>
    </row>
    <row r="8" spans="1:11">
      <c r="A8" s="10" t="s">
        <v>306</v>
      </c>
      <c r="B8" s="126">
        <f>VLOOKUP($B$1,Reference!1:1048576,5,FALSE)</f>
        <v>10279.507519122935</v>
      </c>
      <c r="C8" s="126">
        <f>VLOOKUP($B$2,Strategies!1:1048576,5,FALSE)</f>
        <v>900</v>
      </c>
      <c r="D8" s="41">
        <f>((C8-B8)/B8)*-1</f>
        <v>0.91244716750041455</v>
      </c>
      <c r="E8" s="4">
        <f>IF(D8&gt;=B20,2,IF(D8&gt;=B19,1,0))</f>
        <v>1</v>
      </c>
    </row>
    <row r="9" spans="1:11">
      <c r="A9" s="10" t="s">
        <v>307</v>
      </c>
      <c r="B9" s="127">
        <f>VLOOKUP($B$1,Reference!1:1048576,6,FALSE)</f>
        <v>16274.140627789375</v>
      </c>
      <c r="C9" s="127">
        <f>VLOOKUP($B$2,Strategies!1:1048576,6,FALSE)</f>
        <v>350400</v>
      </c>
      <c r="D9" s="42">
        <f>((B9-C9)/B9)*-1</f>
        <v>20.531090827718696</v>
      </c>
      <c r="E9" s="4">
        <f>IF(D9&gt;=B22,2,IF(D9&gt;=B21,1,0))</f>
        <v>2</v>
      </c>
    </row>
    <row r="10" spans="1:11">
      <c r="B10" s="257"/>
      <c r="C10" s="257"/>
      <c r="D10" s="258"/>
    </row>
    <row r="12" spans="1:11">
      <c r="A12" s="39" t="s">
        <v>298</v>
      </c>
      <c r="B12" s="39" t="s">
        <v>308</v>
      </c>
      <c r="C12" s="39" t="s">
        <v>302</v>
      </c>
    </row>
    <row r="13" spans="1:11">
      <c r="A13" s="305" t="s">
        <v>309</v>
      </c>
      <c r="B13" s="43">
        <v>0.25</v>
      </c>
      <c r="C13" s="30">
        <v>1</v>
      </c>
      <c r="K13" s="3"/>
    </row>
    <row r="14" spans="1:11">
      <c r="A14" s="306"/>
      <c r="B14" s="43">
        <v>0.4</v>
      </c>
      <c r="C14" s="30">
        <v>2</v>
      </c>
    </row>
    <row r="15" spans="1:11">
      <c r="A15" s="305" t="s">
        <v>304</v>
      </c>
      <c r="B15" s="43">
        <v>0.3</v>
      </c>
      <c r="C15" s="30">
        <v>1</v>
      </c>
    </row>
    <row r="16" spans="1:11">
      <c r="A16" s="306"/>
      <c r="B16" s="43">
        <v>0.7</v>
      </c>
      <c r="C16" s="30">
        <v>2</v>
      </c>
    </row>
    <row r="17" spans="1:3">
      <c r="A17" s="305" t="s">
        <v>305</v>
      </c>
      <c r="B17" s="43">
        <v>0.3</v>
      </c>
      <c r="C17" s="30">
        <v>1</v>
      </c>
    </row>
    <row r="18" spans="1:3">
      <c r="A18" s="306"/>
      <c r="B18" s="43">
        <v>0.7</v>
      </c>
      <c r="C18" s="30">
        <v>2</v>
      </c>
    </row>
    <row r="19" spans="1:3">
      <c r="A19" s="305" t="s">
        <v>306</v>
      </c>
      <c r="B19" s="43">
        <v>0.7</v>
      </c>
      <c r="C19" s="30">
        <v>1</v>
      </c>
    </row>
    <row r="20" spans="1:3">
      <c r="A20" s="306"/>
      <c r="B20" s="43">
        <v>1</v>
      </c>
      <c r="C20" s="30">
        <v>2</v>
      </c>
    </row>
    <row r="21" spans="1:3">
      <c r="A21" s="305" t="s">
        <v>307</v>
      </c>
      <c r="B21" s="43">
        <v>0.5</v>
      </c>
      <c r="C21" s="30">
        <v>1</v>
      </c>
    </row>
    <row r="22" spans="1:3">
      <c r="A22" s="306"/>
      <c r="B22" s="43">
        <v>1</v>
      </c>
      <c r="C22" s="30">
        <v>2</v>
      </c>
    </row>
  </sheetData>
  <mergeCells count="5">
    <mergeCell ref="A13:A14"/>
    <mergeCell ref="A15:A16"/>
    <mergeCell ref="A17:A18"/>
    <mergeCell ref="A19:A20"/>
    <mergeCell ref="A21:A22"/>
  </mergeCells>
  <dataValidations count="2">
    <dataValidation type="list" allowBlank="1" showInputMessage="1" showErrorMessage="1" sqref="B1" xr:uid="{00000000-0002-0000-0700-000000000000}">
      <formula1>Goals</formula1>
    </dataValidation>
    <dataValidation type="list" allowBlank="1" showInputMessage="1" showErrorMessage="1" sqref="B2" xr:uid="{00000000-0002-0000-0700-000001000000}">
      <formula1>Strategies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>
      <selection activeCell="E24" sqref="E24"/>
    </sheetView>
  </sheetViews>
  <sheetFormatPr defaultColWidth="8.85546875" defaultRowHeight="14.45"/>
  <cols>
    <col min="1" max="1" width="18.42578125" bestFit="1" customWidth="1"/>
    <col min="2" max="2" width="15.85546875" bestFit="1" customWidth="1"/>
    <col min="3" max="3" width="14.42578125" bestFit="1" customWidth="1"/>
    <col min="4" max="4" width="20.42578125" bestFit="1" customWidth="1"/>
    <col min="5" max="5" width="18.42578125" bestFit="1" customWidth="1"/>
    <col min="6" max="6" width="27.42578125" bestFit="1" customWidth="1"/>
  </cols>
  <sheetData>
    <row r="1" spans="1:7">
      <c r="A1" s="39" t="s">
        <v>310</v>
      </c>
      <c r="B1" s="124" t="s">
        <v>309</v>
      </c>
      <c r="C1" s="40" t="s">
        <v>304</v>
      </c>
      <c r="D1" s="40" t="s">
        <v>305</v>
      </c>
      <c r="E1" s="40" t="s">
        <v>306</v>
      </c>
      <c r="F1" s="40" t="s">
        <v>307</v>
      </c>
      <c r="G1" s="2"/>
    </row>
    <row r="2" spans="1:7">
      <c r="A2" s="23" t="s">
        <v>295</v>
      </c>
      <c r="B2" s="37">
        <f>B3*B18</f>
        <v>9452</v>
      </c>
      <c r="C2" s="37">
        <f>'Steam Offsets'!B25</f>
        <v>112714859.5</v>
      </c>
      <c r="D2" s="37">
        <f>D3*B18</f>
        <v>7965174.6045685727</v>
      </c>
      <c r="E2" s="37">
        <f>E3*B18</f>
        <v>10279.507519122935</v>
      </c>
      <c r="F2" s="37">
        <f>F3*B18</f>
        <v>16274.140627789375</v>
      </c>
      <c r="G2" s="228"/>
    </row>
    <row r="3" spans="1:7">
      <c r="A3" s="23" t="s">
        <v>311</v>
      </c>
      <c r="B3" s="37">
        <v>4526104</v>
      </c>
      <c r="C3" s="37">
        <v>440724000</v>
      </c>
      <c r="D3" s="37">
        <v>3814135488.6199999</v>
      </c>
      <c r="E3" s="37">
        <v>4922357.1836999999</v>
      </c>
      <c r="F3" s="37">
        <f>'Steam Offsets'!B22</f>
        <v>7792896.0000000009</v>
      </c>
    </row>
    <row r="4" spans="1:7">
      <c r="A4" s="23"/>
      <c r="B4" s="30"/>
      <c r="C4" s="30"/>
      <c r="D4" s="30"/>
      <c r="E4" s="30"/>
      <c r="F4" s="30"/>
    </row>
    <row r="5" spans="1:7">
      <c r="A5" s="20"/>
      <c r="B5" s="30"/>
      <c r="C5" s="30"/>
      <c r="D5" s="30"/>
      <c r="E5" s="30"/>
      <c r="F5" s="30"/>
    </row>
    <row r="6" spans="1:7">
      <c r="A6" s="20"/>
      <c r="B6" s="30"/>
      <c r="C6" s="30"/>
      <c r="D6" s="30"/>
      <c r="E6" s="30"/>
      <c r="F6" s="30"/>
    </row>
    <row r="7" spans="1:7">
      <c r="A7" s="20"/>
      <c r="B7" s="30"/>
      <c r="C7" s="30"/>
      <c r="D7" s="30"/>
      <c r="E7" s="30"/>
      <c r="F7" s="30"/>
    </row>
    <row r="8" spans="1:7">
      <c r="A8" s="20"/>
      <c r="B8" s="30"/>
      <c r="C8" s="30"/>
      <c r="D8" s="30"/>
      <c r="E8" s="30"/>
      <c r="F8" s="30"/>
    </row>
    <row r="9" spans="1:7">
      <c r="A9" s="20"/>
      <c r="B9" s="30"/>
      <c r="C9" s="30"/>
      <c r="D9" s="30"/>
      <c r="E9" s="30"/>
      <c r="F9" s="30"/>
    </row>
    <row r="10" spans="1:7">
      <c r="A10" s="20"/>
      <c r="B10" s="30"/>
      <c r="C10" s="30"/>
      <c r="D10" s="30"/>
      <c r="E10" s="30"/>
      <c r="F10" s="30"/>
    </row>
    <row r="11" spans="1:7">
      <c r="A11" s="20"/>
      <c r="B11" s="30"/>
      <c r="C11" s="30"/>
      <c r="D11" s="30"/>
      <c r="E11" s="30"/>
      <c r="F11" s="30"/>
    </row>
    <row r="12" spans="1:7">
      <c r="A12" s="20"/>
      <c r="B12" s="30"/>
      <c r="C12" s="30"/>
      <c r="D12" s="30"/>
      <c r="E12" s="30"/>
      <c r="F12" s="30"/>
    </row>
    <row r="13" spans="1:7">
      <c r="A13" s="20"/>
      <c r="B13" s="30"/>
      <c r="C13" s="30"/>
      <c r="D13" s="30"/>
      <c r="E13" s="30"/>
      <c r="F13" s="30"/>
    </row>
    <row r="14" spans="1:7">
      <c r="A14" s="20"/>
      <c r="B14" s="30"/>
      <c r="C14" s="30"/>
      <c r="D14" s="30"/>
      <c r="E14" s="30"/>
      <c r="F14" s="30"/>
    </row>
    <row r="15" spans="1:7">
      <c r="A15" s="20"/>
      <c r="B15" s="30"/>
      <c r="C15" s="30"/>
      <c r="D15" s="30"/>
      <c r="E15" s="30"/>
      <c r="F15" s="30"/>
    </row>
    <row r="18" spans="1:2">
      <c r="A18" s="1" t="s">
        <v>312</v>
      </c>
      <c r="B18" s="1">
        <v>2.0883302725699629E-3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677BA423DEF408CDE6605B394F5D4" ma:contentTypeVersion="13" ma:contentTypeDescription="Create a new document." ma:contentTypeScope="" ma:versionID="7d776678704ba8b9d8044b7fd20ea974">
  <xsd:schema xmlns:xsd="http://www.w3.org/2001/XMLSchema" xmlns:xs="http://www.w3.org/2001/XMLSchema" xmlns:p="http://schemas.microsoft.com/office/2006/metadata/properties" xmlns:ns3="1bafefdc-64b6-4e23-8221-5da2e0085421" xmlns:ns4="93998ab9-2888-4a73-abec-a765cabbb2b1" targetNamespace="http://schemas.microsoft.com/office/2006/metadata/properties" ma:root="true" ma:fieldsID="77ca6dec4412dca2d72b8717f35407cf" ns3:_="" ns4:_="">
    <xsd:import namespace="1bafefdc-64b6-4e23-8221-5da2e0085421"/>
    <xsd:import namespace="93998ab9-2888-4a73-abec-a765cabbb2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fefdc-64b6-4e23-8221-5da2e00854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98ab9-2888-4a73-abec-a765cabbb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50D348-21AD-4AE4-BAD4-8F388CC828CA}"/>
</file>

<file path=customXml/itemProps2.xml><?xml version="1.0" encoding="utf-8"?>
<ds:datastoreItem xmlns:ds="http://schemas.openxmlformats.org/officeDocument/2006/customXml" ds:itemID="{5B8FE179-FE0C-4847-9C72-61AE11B84166}"/>
</file>

<file path=customXml/itemProps3.xml><?xml version="1.0" encoding="utf-8"?>
<ds:datastoreItem xmlns:ds="http://schemas.openxmlformats.org/officeDocument/2006/customXml" ds:itemID="{3545BD2A-2B75-447E-AA50-AE0CE7CA6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lkthomas</dc:creator>
  <cp:keywords/>
  <dc:description/>
  <cp:lastModifiedBy/>
  <cp:revision/>
  <dcterms:created xsi:type="dcterms:W3CDTF">2018-11-30T17:49:52Z</dcterms:created>
  <dcterms:modified xsi:type="dcterms:W3CDTF">2025-06-11T06:27:26Z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0x0101006FA677BA423DEF408CDE6605B394F5D4</vt:lpwstr>
  </property>
</Properties>
</file>