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uab-my.sharepoint.com/personal/1494409_uab_cat/Documents/Reactors/"/>
    </mc:Choice>
  </mc:AlternateContent>
  <xr:revisionPtr revIDLastSave="75" documentId="14_{DDC45FEA-D5F9-4DB9-9DD8-B99B9AD245A7}" xr6:coauthVersionLast="47" xr6:coauthVersionMax="47" xr10:uidLastSave="{FA54A181-7E90-404C-BD4A-A95F7461A296}"/>
  <bookViews>
    <workbookView xWindow="-110" yWindow="-110" windowWidth="19420" windowHeight="10420" activeTab="2" xr2:uid="{00000000-000D-0000-FFFF-FFFF00000000}"/>
  </bookViews>
  <sheets>
    <sheet name="a)" sheetId="5" r:id="rId1"/>
    <sheet name="b i c)" sheetId="4" r:id="rId2"/>
    <sheet name="d)" sheetId="9" r:id="rId3"/>
  </sheets>
  <definedNames>
    <definedName name="solver_adj" localSheetId="1" hidden="1">'b i c)'!$F$48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'b i c)'!$G$48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94.5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9" l="1"/>
  <c r="D65" i="9" s="1"/>
  <c r="C56" i="9"/>
  <c r="C55" i="9"/>
  <c r="C54" i="9"/>
  <c r="C53" i="9"/>
  <c r="C52" i="9"/>
  <c r="C51" i="9"/>
  <c r="G49" i="9" s="1"/>
  <c r="H50" i="9"/>
  <c r="O49" i="9"/>
  <c r="N52" i="9" s="1"/>
  <c r="B3" i="9"/>
  <c r="B12" i="9" s="1"/>
  <c r="B4" i="9"/>
  <c r="B5" i="9"/>
  <c r="B8" i="9"/>
  <c r="B9" i="9"/>
  <c r="A13" i="9"/>
  <c r="A14" i="9" s="1"/>
  <c r="D39" i="4"/>
  <c r="H51" i="9" l="1"/>
  <c r="C65" i="9"/>
  <c r="I50" i="9" s="1"/>
  <c r="K50" i="9" s="1"/>
  <c r="B66" i="9"/>
  <c r="B13" i="9"/>
  <c r="C14" i="9"/>
  <c r="A15" i="9"/>
  <c r="B14" i="9"/>
  <c r="C12" i="9"/>
  <c r="D12" i="9" s="1"/>
  <c r="F12" i="9" s="1"/>
  <c r="C13" i="9"/>
  <c r="B104" i="4"/>
  <c r="D104" i="4" s="1"/>
  <c r="C90" i="4"/>
  <c r="G88" i="4" s="1"/>
  <c r="B105" i="4" s="1"/>
  <c r="C104" i="4"/>
  <c r="C95" i="4"/>
  <c r="C94" i="4"/>
  <c r="C93" i="4"/>
  <c r="C92" i="4"/>
  <c r="C91" i="4"/>
  <c r="H89" i="4"/>
  <c r="O88" i="4"/>
  <c r="N91" i="4" s="1"/>
  <c r="N32" i="4"/>
  <c r="M32" i="4" s="1"/>
  <c r="I15" i="5"/>
  <c r="H18" i="5" s="1"/>
  <c r="C18" i="5"/>
  <c r="C17" i="5"/>
  <c r="C16" i="5"/>
  <c r="C15" i="5"/>
  <c r="C14" i="5"/>
  <c r="C13" i="5"/>
  <c r="D6" i="5"/>
  <c r="E38" i="4"/>
  <c r="G38" i="4"/>
  <c r="E39" i="4"/>
  <c r="G39" i="4"/>
  <c r="G40" i="4"/>
  <c r="G41" i="4"/>
  <c r="G42" i="4"/>
  <c r="G43" i="4"/>
  <c r="G44" i="4"/>
  <c r="G45" i="4"/>
  <c r="G46" i="4"/>
  <c r="G47" i="4"/>
  <c r="D48" i="4"/>
  <c r="E48" i="4" s="1"/>
  <c r="G48" i="4"/>
  <c r="J48" i="4"/>
  <c r="J39" i="4"/>
  <c r="J40" i="4" s="1"/>
  <c r="J41" i="4" s="1"/>
  <c r="J42" i="4" s="1"/>
  <c r="J43" i="4" s="1"/>
  <c r="J44" i="4" s="1"/>
  <c r="J45" i="4" s="1"/>
  <c r="J46" i="4" s="1"/>
  <c r="J47" i="4" s="1"/>
  <c r="O11" i="4"/>
  <c r="N14" i="4" s="1"/>
  <c r="C13" i="4"/>
  <c r="I24" i="4" s="1"/>
  <c r="C16" i="4"/>
  <c r="C15" i="4"/>
  <c r="C14" i="4"/>
  <c r="H12" i="4"/>
  <c r="C18" i="4"/>
  <c r="C17" i="4"/>
  <c r="D6" i="4"/>
  <c r="H52" i="9" l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C66" i="9"/>
  <c r="D66" i="9"/>
  <c r="B67" i="9"/>
  <c r="D13" i="9"/>
  <c r="F13" i="9" s="1"/>
  <c r="D14" i="9"/>
  <c r="F14" i="9" s="1"/>
  <c r="A16" i="9"/>
  <c r="C15" i="9"/>
  <c r="B15" i="9"/>
  <c r="H15" i="5"/>
  <c r="G16" i="5" s="1"/>
  <c r="G15" i="5" s="1"/>
  <c r="G18" i="5" s="1"/>
  <c r="I12" i="4"/>
  <c r="K12" i="4" s="1"/>
  <c r="H13" i="4"/>
  <c r="H90" i="4"/>
  <c r="H91" i="4" s="1"/>
  <c r="H92" i="4" s="1"/>
  <c r="H93" i="4" s="1"/>
  <c r="H94" i="4" s="1"/>
  <c r="H95" i="4" s="1"/>
  <c r="H96" i="4" s="1"/>
  <c r="H97" i="4" s="1"/>
  <c r="H98" i="4" s="1"/>
  <c r="H99" i="4" s="1"/>
  <c r="D105" i="4"/>
  <c r="C105" i="4"/>
  <c r="I90" i="4" s="1"/>
  <c r="K90" i="4" s="1"/>
  <c r="I89" i="4"/>
  <c r="K89" i="4" s="1"/>
  <c r="B106" i="4"/>
  <c r="N33" i="4"/>
  <c r="I13" i="4"/>
  <c r="K13" i="4" s="1"/>
  <c r="D40" i="4"/>
  <c r="I51" i="9" l="1"/>
  <c r="K51" i="9" s="1"/>
  <c r="C67" i="9"/>
  <c r="I52" i="9" s="1"/>
  <c r="K52" i="9" s="1"/>
  <c r="B68" i="9"/>
  <c r="D67" i="9"/>
  <c r="D15" i="9"/>
  <c r="F15" i="9" s="1"/>
  <c r="A17" i="9"/>
  <c r="B16" i="9"/>
  <c r="C16" i="9"/>
  <c r="C106" i="4"/>
  <c r="D106" i="4"/>
  <c r="B107" i="4"/>
  <c r="N34" i="4"/>
  <c r="M33" i="4"/>
  <c r="H14" i="4"/>
  <c r="I14" i="4" s="1"/>
  <c r="K14" i="4" s="1"/>
  <c r="E40" i="4"/>
  <c r="D41" i="4"/>
  <c r="B69" i="9" l="1"/>
  <c r="D68" i="9"/>
  <c r="C68" i="9"/>
  <c r="I53" i="9" s="1"/>
  <c r="K53" i="9" s="1"/>
  <c r="D16" i="9"/>
  <c r="F16" i="9" s="1"/>
  <c r="A18" i="9"/>
  <c r="C17" i="9"/>
  <c r="B17" i="9"/>
  <c r="C107" i="4"/>
  <c r="B108" i="4"/>
  <c r="D107" i="4"/>
  <c r="I91" i="4"/>
  <c r="K91" i="4" s="1"/>
  <c r="N35" i="4"/>
  <c r="M34" i="4"/>
  <c r="H15" i="4"/>
  <c r="I15" i="4" s="1"/>
  <c r="K15" i="4" s="1"/>
  <c r="E41" i="4"/>
  <c r="D42" i="4"/>
  <c r="C69" i="9" l="1"/>
  <c r="B70" i="9"/>
  <c r="D69" i="9"/>
  <c r="D17" i="9"/>
  <c r="F17" i="9" s="1"/>
  <c r="C18" i="9"/>
  <c r="A19" i="9"/>
  <c r="B18" i="9"/>
  <c r="C108" i="4"/>
  <c r="B109" i="4"/>
  <c r="D108" i="4"/>
  <c r="I92" i="4"/>
  <c r="K92" i="4" s="1"/>
  <c r="N36" i="4"/>
  <c r="M35" i="4"/>
  <c r="H16" i="4"/>
  <c r="I16" i="4" s="1"/>
  <c r="K16" i="4" s="1"/>
  <c r="E42" i="4"/>
  <c r="D43" i="4"/>
  <c r="C70" i="9" l="1"/>
  <c r="B71" i="9"/>
  <c r="D70" i="9"/>
  <c r="I54" i="9"/>
  <c r="K54" i="9" s="1"/>
  <c r="D18" i="9"/>
  <c r="F18" i="9" s="1"/>
  <c r="B19" i="9"/>
  <c r="C19" i="9"/>
  <c r="A20" i="9"/>
  <c r="I93" i="4"/>
  <c r="K93" i="4" s="1"/>
  <c r="C109" i="4"/>
  <c r="B110" i="4"/>
  <c r="D109" i="4"/>
  <c r="N37" i="4"/>
  <c r="M36" i="4"/>
  <c r="H17" i="4"/>
  <c r="I17" i="4" s="1"/>
  <c r="K17" i="4" s="1"/>
  <c r="D44" i="4"/>
  <c r="E43" i="4"/>
  <c r="I55" i="9" l="1"/>
  <c r="K55" i="9" s="1"/>
  <c r="C71" i="9"/>
  <c r="I56" i="9" s="1"/>
  <c r="K56" i="9" s="1"/>
  <c r="B72" i="9"/>
  <c r="D71" i="9"/>
  <c r="D19" i="9"/>
  <c r="F19" i="9" s="1"/>
  <c r="B20" i="9"/>
  <c r="A21" i="9"/>
  <c r="C20" i="9"/>
  <c r="B111" i="4"/>
  <c r="C110" i="4"/>
  <c r="D110" i="4"/>
  <c r="I94" i="4"/>
  <c r="K94" i="4" s="1"/>
  <c r="N38" i="4"/>
  <c r="M37" i="4"/>
  <c r="H18" i="4"/>
  <c r="I18" i="4" s="1"/>
  <c r="K18" i="4" s="1"/>
  <c r="E44" i="4"/>
  <c r="D45" i="4"/>
  <c r="C72" i="9" l="1"/>
  <c r="D72" i="9"/>
  <c r="B73" i="9"/>
  <c r="D20" i="9"/>
  <c r="F20" i="9" s="1"/>
  <c r="A22" i="9"/>
  <c r="C21" i="9"/>
  <c r="B21" i="9"/>
  <c r="I95" i="4"/>
  <c r="K95" i="4" s="1"/>
  <c r="B112" i="4"/>
  <c r="C111" i="4"/>
  <c r="D111" i="4"/>
  <c r="N39" i="4"/>
  <c r="M38" i="4"/>
  <c r="H19" i="4"/>
  <c r="I19" i="4" s="1"/>
  <c r="K19" i="4" s="1"/>
  <c r="E45" i="4"/>
  <c r="D46" i="4"/>
  <c r="B74" i="9" l="1"/>
  <c r="C73" i="9"/>
  <c r="D73" i="9"/>
  <c r="I57" i="9"/>
  <c r="K57" i="9" s="1"/>
  <c r="D21" i="9"/>
  <c r="F21" i="9" s="1"/>
  <c r="C22" i="9"/>
  <c r="A23" i="9"/>
  <c r="B22" i="9"/>
  <c r="I96" i="4"/>
  <c r="K96" i="4" s="1"/>
  <c r="B113" i="4"/>
  <c r="C112" i="4"/>
  <c r="D112" i="4"/>
  <c r="N40" i="4"/>
  <c r="M39" i="4"/>
  <c r="H20" i="4"/>
  <c r="D47" i="4"/>
  <c r="E47" i="4" s="1"/>
  <c r="E46" i="4"/>
  <c r="I58" i="9" l="1"/>
  <c r="K58" i="9" s="1"/>
  <c r="B75" i="9"/>
  <c r="D74" i="9"/>
  <c r="C74" i="9"/>
  <c r="D22" i="9"/>
  <c r="F22" i="9" s="1"/>
  <c r="A24" i="9"/>
  <c r="C23" i="9"/>
  <c r="B23" i="9"/>
  <c r="I97" i="4"/>
  <c r="K97" i="4" s="1"/>
  <c r="B114" i="4"/>
  <c r="C113" i="4"/>
  <c r="D113" i="4"/>
  <c r="N41" i="4"/>
  <c r="M40" i="4"/>
  <c r="I20" i="4"/>
  <c r="K20" i="4" s="1"/>
  <c r="H21" i="4"/>
  <c r="I59" i="9" l="1"/>
  <c r="K59" i="9" s="1"/>
  <c r="B76" i="9"/>
  <c r="D75" i="9"/>
  <c r="C75" i="9"/>
  <c r="D23" i="9"/>
  <c r="F23" i="9" s="1"/>
  <c r="B24" i="9"/>
  <c r="A25" i="9"/>
  <c r="C24" i="9"/>
  <c r="I98" i="4"/>
  <c r="K98" i="4" s="1"/>
  <c r="C114" i="4"/>
  <c r="D114" i="4"/>
  <c r="I99" i="4" s="1"/>
  <c r="K99" i="4" s="1"/>
  <c r="K100" i="4" s="1"/>
  <c r="K101" i="4" s="1"/>
  <c r="M88" i="4" s="1"/>
  <c r="N42" i="4"/>
  <c r="M41" i="4"/>
  <c r="I21" i="4"/>
  <c r="K21" i="4" s="1"/>
  <c r="H22" i="4"/>
  <c r="I22" i="4" s="1"/>
  <c r="K22" i="4" s="1"/>
  <c r="I60" i="9" l="1"/>
  <c r="K60" i="9" s="1"/>
  <c r="D76" i="9"/>
  <c r="B77" i="9"/>
  <c r="C76" i="9"/>
  <c r="A26" i="9"/>
  <c r="B25" i="9"/>
  <c r="C25" i="9"/>
  <c r="D24" i="9"/>
  <c r="F24" i="9" s="1"/>
  <c r="M91" i="4"/>
  <c r="N88" i="4"/>
  <c r="N43" i="4"/>
  <c r="M42" i="4"/>
  <c r="K23" i="4"/>
  <c r="I61" i="9" l="1"/>
  <c r="K61" i="9" s="1"/>
  <c r="D77" i="9"/>
  <c r="C77" i="9"/>
  <c r="B78" i="9"/>
  <c r="D25" i="9"/>
  <c r="F25" i="9" s="1"/>
  <c r="C26" i="9"/>
  <c r="B26" i="9"/>
  <c r="A27" i="9"/>
  <c r="K24" i="4"/>
  <c r="M11" i="4" s="1"/>
  <c r="N11" i="4" s="1"/>
  <c r="N44" i="4"/>
  <c r="M43" i="4"/>
  <c r="I62" i="9" l="1"/>
  <c r="K62" i="9" s="1"/>
  <c r="B79" i="9"/>
  <c r="D78" i="9"/>
  <c r="C78" i="9"/>
  <c r="B27" i="9"/>
  <c r="C27" i="9"/>
  <c r="A28" i="9"/>
  <c r="D26" i="9"/>
  <c r="F26" i="9" s="1"/>
  <c r="M14" i="4"/>
  <c r="N45" i="4"/>
  <c r="M44" i="4"/>
  <c r="I63" i="9" l="1"/>
  <c r="K63" i="9" s="1"/>
  <c r="C79" i="9"/>
  <c r="I64" i="9" s="1"/>
  <c r="K64" i="9" s="1"/>
  <c r="D79" i="9"/>
  <c r="B80" i="9"/>
  <c r="A29" i="9"/>
  <c r="B28" i="9"/>
  <c r="C28" i="9"/>
  <c r="D27" i="9"/>
  <c r="F27" i="9" s="1"/>
  <c r="N46" i="4"/>
  <c r="M45" i="4"/>
  <c r="B81" i="9" l="1"/>
  <c r="D80" i="9"/>
  <c r="C80" i="9"/>
  <c r="I65" i="9" s="1"/>
  <c r="K65" i="9" s="1"/>
  <c r="D28" i="9"/>
  <c r="F28" i="9" s="1"/>
  <c r="B29" i="9"/>
  <c r="C29" i="9"/>
  <c r="A30" i="9"/>
  <c r="N47" i="4"/>
  <c r="M46" i="4"/>
  <c r="B82" i="9" l="1"/>
  <c r="C81" i="9"/>
  <c r="I66" i="9" s="1"/>
  <c r="K66" i="9" s="1"/>
  <c r="D81" i="9"/>
  <c r="C30" i="9"/>
  <c r="A31" i="9"/>
  <c r="B30" i="9"/>
  <c r="D29" i="9"/>
  <c r="F29" i="9" s="1"/>
  <c r="N48" i="4"/>
  <c r="M47" i="4"/>
  <c r="C82" i="9" l="1"/>
  <c r="B83" i="9"/>
  <c r="D82" i="9"/>
  <c r="D30" i="9"/>
  <c r="F30" i="9" s="1"/>
  <c r="A32" i="9"/>
  <c r="C31" i="9"/>
  <c r="B31" i="9"/>
  <c r="N49" i="4"/>
  <c r="M48" i="4"/>
  <c r="I67" i="9" l="1"/>
  <c r="K67" i="9" s="1"/>
  <c r="B84" i="9"/>
  <c r="D83" i="9"/>
  <c r="C83" i="9"/>
  <c r="D31" i="9"/>
  <c r="F31" i="9" s="1"/>
  <c r="B32" i="9"/>
  <c r="A33" i="9"/>
  <c r="C32" i="9"/>
  <c r="N50" i="4"/>
  <c r="M49" i="4"/>
  <c r="I68" i="9" l="1"/>
  <c r="K68" i="9" s="1"/>
  <c r="D84" i="9"/>
  <c r="C84" i="9"/>
  <c r="I69" i="9" s="1"/>
  <c r="K69" i="9" s="1"/>
  <c r="B85" i="9"/>
  <c r="D32" i="9"/>
  <c r="F32" i="9" s="1"/>
  <c r="A34" i="9"/>
  <c r="C33" i="9"/>
  <c r="B33" i="9"/>
  <c r="N51" i="4"/>
  <c r="M50" i="4"/>
  <c r="D85" i="9" l="1"/>
  <c r="C85" i="9"/>
  <c r="I70" i="9" s="1"/>
  <c r="K70" i="9" s="1"/>
  <c r="K71" i="9" s="1"/>
  <c r="K72" i="9" s="1"/>
  <c r="M49" i="9" s="1"/>
  <c r="D33" i="9"/>
  <c r="F33" i="9" s="1"/>
  <c r="C34" i="9"/>
  <c r="A35" i="9"/>
  <c r="B34" i="9"/>
  <c r="N52" i="4"/>
  <c r="M51" i="4"/>
  <c r="N49" i="9" l="1"/>
  <c r="M52" i="9"/>
  <c r="D34" i="9"/>
  <c r="F34" i="9" s="1"/>
  <c r="B35" i="9"/>
  <c r="C35" i="9"/>
  <c r="A36" i="9"/>
  <c r="N53" i="4"/>
  <c r="M52" i="4"/>
  <c r="A37" i="9" l="1"/>
  <c r="B36" i="9"/>
  <c r="C36" i="9"/>
  <c r="D35" i="9"/>
  <c r="F35" i="9" s="1"/>
  <c r="N54" i="4"/>
  <c r="M53" i="4"/>
  <c r="D36" i="9" l="1"/>
  <c r="F36" i="9" s="1"/>
  <c r="B37" i="9"/>
  <c r="A38" i="9"/>
  <c r="C37" i="9"/>
  <c r="N55" i="4"/>
  <c r="M54" i="4"/>
  <c r="B38" i="9" l="1"/>
  <c r="C38" i="9"/>
  <c r="A39" i="9"/>
  <c r="D37" i="9"/>
  <c r="F37" i="9" s="1"/>
  <c r="N56" i="4"/>
  <c r="M55" i="4"/>
  <c r="C39" i="9" l="1"/>
  <c r="A40" i="9"/>
  <c r="B39" i="9"/>
  <c r="D39" i="9" s="1"/>
  <c r="F39" i="9" s="1"/>
  <c r="D38" i="9"/>
  <c r="F38" i="9" s="1"/>
  <c r="N57" i="4"/>
  <c r="M56" i="4"/>
  <c r="A41" i="9" l="1"/>
  <c r="B40" i="9"/>
  <c r="C40" i="9"/>
  <c r="N58" i="4"/>
  <c r="M57" i="4"/>
  <c r="D40" i="9" l="1"/>
  <c r="F40" i="9" s="1"/>
  <c r="B41" i="9"/>
  <c r="C41" i="9"/>
  <c r="N59" i="4"/>
  <c r="M58" i="4"/>
  <c r="D41" i="9" l="1"/>
  <c r="F41" i="9" s="1"/>
  <c r="F42" i="9" s="1"/>
  <c r="F43" i="9" s="1"/>
  <c r="I29" i="9" s="1"/>
  <c r="N60" i="4"/>
  <c r="M59" i="4"/>
  <c r="I30" i="9" l="1"/>
  <c r="K29" i="9"/>
  <c r="N61" i="4"/>
  <c r="M60" i="4"/>
  <c r="N62" i="4" l="1"/>
  <c r="M61" i="4"/>
  <c r="N63" i="4" l="1"/>
  <c r="M62" i="4"/>
  <c r="N64" i="4" l="1"/>
  <c r="M63" i="4"/>
  <c r="N65" i="4" l="1"/>
  <c r="M64" i="4"/>
  <c r="N66" i="4" l="1"/>
  <c r="M65" i="4"/>
  <c r="N67" i="4" l="1"/>
  <c r="M66" i="4"/>
  <c r="N68" i="4" l="1"/>
  <c r="M67" i="4"/>
  <c r="N69" i="4" l="1"/>
  <c r="M68" i="4"/>
  <c r="N70" i="4" l="1"/>
  <c r="M69" i="4"/>
  <c r="N71" i="4" l="1"/>
  <c r="M70" i="4"/>
  <c r="N72" i="4" l="1"/>
  <c r="M71" i="4"/>
  <c r="N73" i="4" l="1"/>
  <c r="M72" i="4"/>
  <c r="N74" i="4" l="1"/>
  <c r="M73" i="4"/>
  <c r="N75" i="4" l="1"/>
  <c r="M74" i="4"/>
  <c r="N76" i="4" l="1"/>
  <c r="M75" i="4"/>
  <c r="N77" i="4" l="1"/>
  <c r="M77" i="4" s="1"/>
  <c r="M76" i="4"/>
</calcChain>
</file>

<file path=xl/sharedStrings.xml><?xml version="1.0" encoding="utf-8"?>
<sst xmlns="http://schemas.openxmlformats.org/spreadsheetml/2006/main" count="154" uniqueCount="76">
  <si>
    <t>kd</t>
  </si>
  <si>
    <t>ki</t>
  </si>
  <si>
    <t>h</t>
  </si>
  <si>
    <t>f(X)</t>
  </si>
  <si>
    <t>X</t>
  </si>
  <si>
    <t>Xeq</t>
  </si>
  <si>
    <t>keq</t>
  </si>
  <si>
    <t>1'63</t>
  </si>
  <si>
    <t>b1)</t>
  </si>
  <si>
    <t>b2)</t>
  </si>
  <si>
    <t>T</t>
  </si>
  <si>
    <t>cbe</t>
  </si>
  <si>
    <t>cde</t>
  </si>
  <si>
    <t>Cae (kmols/m3)</t>
  </si>
  <si>
    <t>mcat</t>
  </si>
  <si>
    <t>suma</t>
  </si>
  <si>
    <t>V (m3)</t>
  </si>
  <si>
    <t>Q(m3/s)</t>
  </si>
  <si>
    <t>const(solver)</t>
  </si>
  <si>
    <t>Data</t>
  </si>
  <si>
    <t>T(K)</t>
  </si>
  <si>
    <t>Xwork</t>
  </si>
  <si>
    <t>Simpson mehtod</t>
  </si>
  <si>
    <t>Interval</t>
  </si>
  <si>
    <t>RCFP Design</t>
  </si>
  <si>
    <t>τ (s)</t>
  </si>
  <si>
    <t>τ (h)</t>
  </si>
  <si>
    <t>Total</t>
  </si>
  <si>
    <t>Q(l/s)</t>
  </si>
  <si>
    <t xml:space="preserve">Adiabatic </t>
  </si>
  <si>
    <t xml:space="preserve"> X-T Figure</t>
  </si>
  <si>
    <t>SOLVER APPLIED</t>
  </si>
  <si>
    <t>left value</t>
  </si>
  <si>
    <t>right value (solver applied)</t>
  </si>
  <si>
    <t>Figure</t>
  </si>
  <si>
    <t>Cde</t>
  </si>
  <si>
    <t>Cae</t>
  </si>
  <si>
    <t>Cbe</t>
  </si>
  <si>
    <t>a1)</t>
  </si>
  <si>
    <t>a2)</t>
  </si>
  <si>
    <r>
      <t>C</t>
    </r>
    <r>
      <rPr>
        <i/>
        <sz val="10"/>
        <color theme="1"/>
        <rFont val="Times New Roman"/>
        <family val="1"/>
      </rPr>
      <t>A</t>
    </r>
    <r>
      <rPr>
        <i/>
        <sz val="8"/>
        <color theme="1"/>
        <rFont val="Times New Roman"/>
        <family val="1"/>
      </rPr>
      <t>E</t>
    </r>
    <r>
      <rPr>
        <i/>
        <sz val="11"/>
        <color theme="1"/>
        <rFont val="Times New Roman"/>
        <family val="1"/>
      </rPr>
      <t>(kmols/m3)</t>
    </r>
  </si>
  <si>
    <t>CBE(kmols/m3)</t>
  </si>
  <si>
    <t>CDE(kmols/m3)</t>
  </si>
  <si>
    <t>kd (m3/kmol·s·kgcat)</t>
  </si>
  <si>
    <t>ki (m3/kmol·s·kgcat)</t>
  </si>
  <si>
    <t>mcat (kg)</t>
  </si>
  <si>
    <t>Q (m3/s)</t>
  </si>
  <si>
    <t>R (kJ/kmol·K)</t>
  </si>
  <si>
    <t>CSTR Design</t>
  </si>
  <si>
    <t>CSTR design equation</t>
  </si>
  <si>
    <t>V</t>
  </si>
  <si>
    <t>b)</t>
  </si>
  <si>
    <t>Te</t>
  </si>
  <si>
    <t xml:space="preserve">Isoterm </t>
  </si>
  <si>
    <t xml:space="preserve">Fa0= </t>
  </si>
  <si>
    <t>(-)ra=</t>
  </si>
  <si>
    <t>20·(31.1667·exp-517408.314·(-290.72·X+363 ) ⋅1.7⋅1-x⋅[2- 1.7·X]-2.2533·exp-452808.314(-290.72·X+363) ⋅[1.7·X]⋅[0.3+1.7·X])</t>
  </si>
  <si>
    <t>Fa0/-ra</t>
  </si>
  <si>
    <t>simpsons</t>
  </si>
  <si>
    <r>
      <t xml:space="preserve">Q </t>
    </r>
    <r>
      <rPr>
        <sz val="8"/>
        <color theme="1"/>
        <rFont val="Calibri"/>
        <family val="2"/>
      </rPr>
      <t>RCTA</t>
    </r>
    <r>
      <rPr>
        <sz val="11"/>
        <color theme="1"/>
        <rFont val="Calibri"/>
        <family val="2"/>
      </rPr>
      <t xml:space="preserve"> (m3/s)</t>
    </r>
  </si>
  <si>
    <r>
      <t xml:space="preserve">V </t>
    </r>
    <r>
      <rPr>
        <sz val="8"/>
        <color theme="1"/>
        <rFont val="Calibri"/>
        <family val="2"/>
      </rPr>
      <t xml:space="preserve">RCTA </t>
    </r>
    <r>
      <rPr>
        <sz val="11"/>
        <color theme="1"/>
        <rFont val="Calibri"/>
        <family val="2"/>
      </rPr>
      <t>(m3)</t>
    </r>
  </si>
  <si>
    <r>
      <t xml:space="preserve">π </t>
    </r>
    <r>
      <rPr>
        <sz val="8"/>
        <color theme="1"/>
        <rFont val="Calibri"/>
        <family val="2"/>
      </rPr>
      <t>RCTA</t>
    </r>
    <r>
      <rPr>
        <sz val="11"/>
        <color theme="1"/>
        <rFont val="Calibri"/>
        <family val="2"/>
      </rPr>
      <t xml:space="preserve"> (h)</t>
    </r>
  </si>
  <si>
    <r>
      <t xml:space="preserve">π </t>
    </r>
    <r>
      <rPr>
        <sz val="8"/>
        <color theme="1"/>
        <rFont val="Calibri"/>
        <family val="2"/>
      </rPr>
      <t>RCTA</t>
    </r>
    <r>
      <rPr>
        <sz val="11"/>
        <color theme="1"/>
        <rFont val="Calibri"/>
        <family val="2"/>
      </rPr>
      <t xml:space="preserve"> (s)</t>
    </r>
  </si>
  <si>
    <t>P/I</t>
  </si>
  <si>
    <t>1/rA</t>
  </si>
  <si>
    <t>ri</t>
  </si>
  <si>
    <t>rd</t>
  </si>
  <si>
    <t>CDE (kmol/m3)</t>
  </si>
  <si>
    <t>CBE (kmol/m3)</t>
  </si>
  <si>
    <t>CAE (kmol/m3)</t>
  </si>
  <si>
    <t>ki [m3/(kmol·s·kgcat)]</t>
  </si>
  <si>
    <t>kd [m3/(kmol·s·kgcat)]</t>
  </si>
  <si>
    <t>DATA</t>
  </si>
  <si>
    <t>d.1)</t>
  </si>
  <si>
    <t>d.3)</t>
  </si>
  <si>
    <t>d.4)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</si>
</sst>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</font>
    <font>
      <b/>
      <sz val="12"/>
      <color theme="1"/>
      <name val="Times New Roman"/>
      <family val="1"/>
    </font>
    <font>
      <b/>
      <i/>
      <sz val="16"/>
      <color theme="1"/>
      <name val="Times New Roman"/>
      <family val="1"/>
    </font>
    <font>
      <i/>
      <sz val="10"/>
      <color theme="1"/>
      <name val="Times New Roman"/>
      <family val="1"/>
    </font>
    <font>
      <i/>
      <sz val="8"/>
      <color theme="1"/>
      <name val="Times New Roman"/>
      <family val="1"/>
    </font>
    <font>
      <sz val="11"/>
      <color theme="0"/>
      <name val="Times New Roman"/>
      <family val="1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7" fillId="5" borderId="1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6" borderId="0" xfId="0" applyFont="1" applyFill="1"/>
    <xf numFmtId="0" fontId="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0" borderId="0" xfId="0" applyFont="1" applyFill="1" applyBorder="1"/>
    <xf numFmtId="0" fontId="4" fillId="4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1" fillId="0" borderId="0" xfId="0" applyFont="1"/>
    <xf numFmtId="0" fontId="0" fillId="8" borderId="0" xfId="0" applyFont="1" applyFill="1"/>
    <xf numFmtId="0" fontId="13" fillId="8" borderId="0" xfId="0" applyFont="1" applyFill="1"/>
    <xf numFmtId="0" fontId="2" fillId="8" borderId="0" xfId="0" applyFont="1" applyFill="1"/>
    <xf numFmtId="0" fontId="14" fillId="8" borderId="0" xfId="0" applyFont="1" applyFill="1"/>
    <xf numFmtId="0" fontId="2" fillId="8" borderId="0" xfId="0" applyFont="1" applyFill="1" applyBorder="1"/>
    <xf numFmtId="0" fontId="0" fillId="8" borderId="0" xfId="0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8" borderId="0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4" borderId="13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Adiabatic</a:t>
            </a:r>
            <a:r>
              <a:rPr lang="es-ES" baseline="0"/>
              <a:t> equilibrium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 i c)'!$I$39:$I$48</c:f>
              <c:numCache>
                <c:formatCode>General</c:formatCode>
                <c:ptCount val="10"/>
                <c:pt idx="0">
                  <c:v>276.85121410161673</c:v>
                </c:pt>
                <c:pt idx="1">
                  <c:v>283.70449202561923</c:v>
                </c:pt>
                <c:pt idx="2">
                  <c:v>288.88907301516906</c:v>
                </c:pt>
                <c:pt idx="3">
                  <c:v>293.46759519488404</c:v>
                </c:pt>
                <c:pt idx="4">
                  <c:v>297.87401338131502</c:v>
                </c:pt>
                <c:pt idx="5">
                  <c:v>302.4134434124864</c:v>
                </c:pt>
                <c:pt idx="6">
                  <c:v>307.43563787853947</c:v>
                </c:pt>
                <c:pt idx="7">
                  <c:v>313.53332529356828</c:v>
                </c:pt>
                <c:pt idx="8">
                  <c:v>322.34961843339278</c:v>
                </c:pt>
                <c:pt idx="9">
                  <c:v>329.91161427439056</c:v>
                </c:pt>
              </c:numCache>
            </c:numRef>
          </c:xVal>
          <c:yVal>
            <c:numRef>
              <c:f>'b i c)'!$J$39:$J$48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A-4870-94E2-9379F97EBEB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 i c)'!$N$32:$N$77</c:f>
              <c:numCache>
                <c:formatCode>General</c:formatCode>
                <c:ptCount val="46"/>
                <c:pt idx="0">
                  <c:v>363</c:v>
                </c:pt>
                <c:pt idx="1">
                  <c:v>358</c:v>
                </c:pt>
                <c:pt idx="2">
                  <c:v>353</c:v>
                </c:pt>
                <c:pt idx="3">
                  <c:v>348</c:v>
                </c:pt>
                <c:pt idx="4">
                  <c:v>343</c:v>
                </c:pt>
                <c:pt idx="5">
                  <c:v>338</c:v>
                </c:pt>
                <c:pt idx="6">
                  <c:v>333</c:v>
                </c:pt>
                <c:pt idx="7">
                  <c:v>328</c:v>
                </c:pt>
                <c:pt idx="8">
                  <c:v>323</c:v>
                </c:pt>
                <c:pt idx="9">
                  <c:v>318</c:v>
                </c:pt>
                <c:pt idx="10">
                  <c:v>313</c:v>
                </c:pt>
                <c:pt idx="11">
                  <c:v>308</c:v>
                </c:pt>
                <c:pt idx="12">
                  <c:v>303</c:v>
                </c:pt>
                <c:pt idx="13">
                  <c:v>298</c:v>
                </c:pt>
                <c:pt idx="14">
                  <c:v>293</c:v>
                </c:pt>
                <c:pt idx="15">
                  <c:v>288</c:v>
                </c:pt>
                <c:pt idx="16">
                  <c:v>283</c:v>
                </c:pt>
                <c:pt idx="17">
                  <c:v>278</c:v>
                </c:pt>
                <c:pt idx="18">
                  <c:v>273</c:v>
                </c:pt>
                <c:pt idx="19">
                  <c:v>268</c:v>
                </c:pt>
                <c:pt idx="20">
                  <c:v>263</c:v>
                </c:pt>
                <c:pt idx="21">
                  <c:v>258</c:v>
                </c:pt>
                <c:pt idx="22">
                  <c:v>253</c:v>
                </c:pt>
                <c:pt idx="23">
                  <c:v>248</c:v>
                </c:pt>
                <c:pt idx="24">
                  <c:v>243</c:v>
                </c:pt>
                <c:pt idx="25">
                  <c:v>238</c:v>
                </c:pt>
                <c:pt idx="26">
                  <c:v>233</c:v>
                </c:pt>
                <c:pt idx="27">
                  <c:v>228</c:v>
                </c:pt>
                <c:pt idx="28">
                  <c:v>223</c:v>
                </c:pt>
                <c:pt idx="29">
                  <c:v>218</c:v>
                </c:pt>
                <c:pt idx="30">
                  <c:v>213</c:v>
                </c:pt>
                <c:pt idx="31">
                  <c:v>208</c:v>
                </c:pt>
                <c:pt idx="32">
                  <c:v>203</c:v>
                </c:pt>
                <c:pt idx="33">
                  <c:v>198</c:v>
                </c:pt>
                <c:pt idx="34">
                  <c:v>193</c:v>
                </c:pt>
                <c:pt idx="35">
                  <c:v>188</c:v>
                </c:pt>
                <c:pt idx="36">
                  <c:v>183</c:v>
                </c:pt>
                <c:pt idx="37">
                  <c:v>178</c:v>
                </c:pt>
                <c:pt idx="38">
                  <c:v>173</c:v>
                </c:pt>
                <c:pt idx="39">
                  <c:v>168</c:v>
                </c:pt>
                <c:pt idx="40">
                  <c:v>163</c:v>
                </c:pt>
                <c:pt idx="41">
                  <c:v>158</c:v>
                </c:pt>
                <c:pt idx="42">
                  <c:v>153</c:v>
                </c:pt>
                <c:pt idx="43">
                  <c:v>148</c:v>
                </c:pt>
                <c:pt idx="44">
                  <c:v>143</c:v>
                </c:pt>
                <c:pt idx="45">
                  <c:v>138</c:v>
                </c:pt>
              </c:numCache>
            </c:numRef>
          </c:xVal>
          <c:yVal>
            <c:numRef>
              <c:f>'b i c)'!$M$32:$M$77</c:f>
              <c:numCache>
                <c:formatCode>General</c:formatCode>
                <c:ptCount val="46"/>
                <c:pt idx="0">
                  <c:v>3.4380000000000001E-2</c:v>
                </c:pt>
                <c:pt idx="1">
                  <c:v>5.1570000000000005E-2</c:v>
                </c:pt>
                <c:pt idx="2">
                  <c:v>6.8760000000000002E-2</c:v>
                </c:pt>
                <c:pt idx="3">
                  <c:v>8.5949999999999999E-2</c:v>
                </c:pt>
                <c:pt idx="4">
                  <c:v>0.10314000000000001</c:v>
                </c:pt>
                <c:pt idx="5">
                  <c:v>0.12033000000000001</c:v>
                </c:pt>
                <c:pt idx="6">
                  <c:v>0.13752</c:v>
                </c:pt>
                <c:pt idx="7">
                  <c:v>0.15471000000000001</c:v>
                </c:pt>
                <c:pt idx="8">
                  <c:v>0.1719</c:v>
                </c:pt>
                <c:pt idx="9">
                  <c:v>0.18909000000000001</c:v>
                </c:pt>
                <c:pt idx="10">
                  <c:v>0.20628000000000002</c:v>
                </c:pt>
                <c:pt idx="11">
                  <c:v>0.22347</c:v>
                </c:pt>
                <c:pt idx="12">
                  <c:v>0.24066000000000001</c:v>
                </c:pt>
                <c:pt idx="13">
                  <c:v>0.25785000000000002</c:v>
                </c:pt>
                <c:pt idx="14">
                  <c:v>0.27504000000000001</c:v>
                </c:pt>
                <c:pt idx="15">
                  <c:v>0.29222999999999999</c:v>
                </c:pt>
                <c:pt idx="16">
                  <c:v>0.30942000000000003</c:v>
                </c:pt>
                <c:pt idx="17">
                  <c:v>0.32661000000000001</c:v>
                </c:pt>
                <c:pt idx="18">
                  <c:v>0.34379999999999999</c:v>
                </c:pt>
                <c:pt idx="19">
                  <c:v>0.36099000000000003</c:v>
                </c:pt>
                <c:pt idx="20">
                  <c:v>0.37818000000000002</c:v>
                </c:pt>
                <c:pt idx="21">
                  <c:v>0.39537</c:v>
                </c:pt>
                <c:pt idx="22">
                  <c:v>0.41256000000000004</c:v>
                </c:pt>
                <c:pt idx="23">
                  <c:v>0.42975000000000002</c:v>
                </c:pt>
                <c:pt idx="24">
                  <c:v>0.44694</c:v>
                </c:pt>
                <c:pt idx="25">
                  <c:v>0.46412999999999999</c:v>
                </c:pt>
                <c:pt idx="26">
                  <c:v>0.48132000000000003</c:v>
                </c:pt>
                <c:pt idx="27">
                  <c:v>0.49851000000000001</c:v>
                </c:pt>
                <c:pt idx="28">
                  <c:v>0.51570000000000005</c:v>
                </c:pt>
                <c:pt idx="29">
                  <c:v>0.53288999999999997</c:v>
                </c:pt>
                <c:pt idx="30">
                  <c:v>0.55008000000000001</c:v>
                </c:pt>
                <c:pt idx="31">
                  <c:v>0.56727000000000005</c:v>
                </c:pt>
                <c:pt idx="32">
                  <c:v>0.58445999999999998</c:v>
                </c:pt>
                <c:pt idx="33">
                  <c:v>0.60165000000000002</c:v>
                </c:pt>
                <c:pt idx="34">
                  <c:v>0.61884000000000006</c:v>
                </c:pt>
                <c:pt idx="35">
                  <c:v>0.63602999999999998</c:v>
                </c:pt>
                <c:pt idx="36">
                  <c:v>0.65322000000000002</c:v>
                </c:pt>
                <c:pt idx="37">
                  <c:v>0.67041000000000006</c:v>
                </c:pt>
                <c:pt idx="38">
                  <c:v>0.68759999999999999</c:v>
                </c:pt>
                <c:pt idx="39">
                  <c:v>0.70479000000000003</c:v>
                </c:pt>
                <c:pt idx="40">
                  <c:v>0.72198000000000007</c:v>
                </c:pt>
                <c:pt idx="41">
                  <c:v>0.73916999999999999</c:v>
                </c:pt>
                <c:pt idx="42">
                  <c:v>0.75636000000000003</c:v>
                </c:pt>
                <c:pt idx="43">
                  <c:v>0.77355000000000007</c:v>
                </c:pt>
                <c:pt idx="44">
                  <c:v>0.79074</c:v>
                </c:pt>
                <c:pt idx="45">
                  <c:v>0.80793000000000004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A-4870-94E2-9379F97EB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76736"/>
        <c:axId val="595577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 i c)'!$F$34:$F$36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 i c)'!$E$34:$E$36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F6A-4870-94E2-9379F97EBEBD}"/>
                  </c:ext>
                </c:extLst>
              </c15:ser>
            </c15:filteredScatterSeries>
          </c:ext>
        </c:extLst>
      </c:scatterChart>
      <c:valAx>
        <c:axId val="595576736"/>
        <c:scaling>
          <c:orientation val="minMax"/>
          <c:max val="340"/>
          <c:min val="2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577064"/>
        <c:crosses val="autoZero"/>
        <c:crossBetween val="midCat"/>
      </c:valAx>
      <c:valAx>
        <c:axId val="5955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55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Levenspiel</a:t>
            </a:r>
            <a:r>
              <a:rPr lang="es-ES" baseline="0"/>
              <a:t> graph</a:t>
            </a:r>
            <a:endParaRPr lang="es-ES"/>
          </a:p>
        </c:rich>
      </c:tx>
      <c:layout>
        <c:manualLayout>
          <c:xMode val="edge"/>
          <c:yMode val="edge"/>
          <c:x val="0.356902668416447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'd)'!$D$94:$D$99</c:f>
              <c:numCache>
                <c:formatCode>General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</c:numCache>
            </c:numRef>
          </c:xVal>
          <c:yVal>
            <c:numRef>
              <c:f>'d)'!$E$94:$E$99</c:f>
              <c:numCache>
                <c:formatCode>General</c:formatCode>
                <c:ptCount val="6"/>
                <c:pt idx="0">
                  <c:v>50.649624609999996</c:v>
                </c:pt>
                <c:pt idx="1">
                  <c:v>123.4749307</c:v>
                </c:pt>
                <c:pt idx="2">
                  <c:v>328.61543740000002</c:v>
                </c:pt>
                <c:pt idx="3">
                  <c:v>973.15726500000005</c:v>
                </c:pt>
                <c:pt idx="4">
                  <c:v>3301.6356430000001</c:v>
                </c:pt>
                <c:pt idx="5">
                  <c:v>13518.11627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01-4405-80B4-37F68339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85359"/>
        <c:axId val="632483279"/>
      </c:scatterChart>
      <c:valAx>
        <c:axId val="63248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83279"/>
        <c:crosses val="autoZero"/>
        <c:crossBetween val="midCat"/>
      </c:valAx>
      <c:valAx>
        <c:axId val="6324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248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634999</xdr:colOff>
      <xdr:row>6</xdr:row>
      <xdr:rowOff>14942</xdr:rowOff>
    </xdr:from>
    <xdr:to>
      <xdr:col>11</xdr:col>
      <xdr:colOff>533158</xdr:colOff>
      <xdr:row>8</xdr:row>
      <xdr:rowOff>85719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4C2C05-48C8-413F-8C64-E1A6E019B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0352" y="1135530"/>
          <a:ext cx="4470159" cy="444307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13</xdr:col>
      <xdr:colOff>328706</xdr:colOff>
      <xdr:row>4</xdr:row>
      <xdr:rowOff>22411</xdr:rowOff>
    </xdr:from>
    <xdr:to>
      <xdr:col>14</xdr:col>
      <xdr:colOff>642470</xdr:colOff>
      <xdr:row>11</xdr:row>
      <xdr:rowOff>23289</xdr:rowOff>
    </xdr:to>
    <xdr:pic>
      <xdr:nvPicPr>
        <xdr:cNvPr id="4" name="Imagen 3" descr="Icono&#10;&#10;Descripción generada automáticamente">
          <a:extLst>
            <a:ext uri="{FF2B5EF4-FFF2-40B4-BE49-F238E27FC236}">
              <a16:creationId xmlns:a16="http://schemas.microsoft.com/office/drawing/2014/main" id="{886A56B1-FCE6-43AD-B0AC-E7D661B4E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059" y="769470"/>
          <a:ext cx="1075764" cy="1360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224082</xdr:colOff>
      <xdr:row>34</xdr:row>
      <xdr:rowOff>177275</xdr:rowOff>
    </xdr:from>
    <xdr:to>
      <xdr:col>36</xdr:col>
      <xdr:colOff>320131</xdr:colOff>
      <xdr:row>75</xdr:row>
      <xdr:rowOff>148325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8954A7-9462-406B-8E61-957D67533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660952</xdr:colOff>
      <xdr:row>5</xdr:row>
      <xdr:rowOff>152400</xdr:rowOff>
    </xdr:from>
    <xdr:to>
      <xdr:col>10</xdr:col>
      <xdr:colOff>360330</xdr:colOff>
      <xdr:row>8</xdr:row>
      <xdr:rowOff>134086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8FFCB2-9AAC-41E4-970C-53F76BC5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4977" y="1104900"/>
          <a:ext cx="3525943" cy="553186"/>
        </a:xfrm>
        <a:prstGeom prst="rect">
          <a:avLst/>
        </a:prstGeom>
      </xdr:spPr>
    </xdr:pic>
    <xdr:clientData/>
  </xdr:twoCellAnchor>
  <xdr:twoCellAnchor>
    <xdr:from>
      <xdr:col>0</xdr:col>
      <xdr:colOff>41413</xdr:colOff>
      <xdr:row>27</xdr:row>
      <xdr:rowOff>0</xdr:rowOff>
    </xdr:from>
    <xdr:to>
      <xdr:col>21</xdr:col>
      <xdr:colOff>331304</xdr:colOff>
      <xdr:row>27</xdr:row>
      <xdr:rowOff>33131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55E4A51-D4AA-47AF-BF5B-36E56FE8150F}"/>
            </a:ext>
          </a:extLst>
        </xdr:cNvPr>
        <xdr:cNvCxnSpPr/>
      </xdr:nvCxnSpPr>
      <xdr:spPr>
        <a:xfrm flipV="1">
          <a:off x="41413" y="5209761"/>
          <a:ext cx="17517717" cy="33131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281609</xdr:colOff>
      <xdr:row>30</xdr:row>
      <xdr:rowOff>1</xdr:rowOff>
    </xdr:from>
    <xdr:to>
      <xdr:col>7</xdr:col>
      <xdr:colOff>554933</xdr:colOff>
      <xdr:row>32</xdr:row>
      <xdr:rowOff>165653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479F3D8-62CC-475A-901B-91B961883622}"/>
                </a:ext>
              </a:extLst>
            </xdr:cNvPr>
            <xdr:cNvSpPr txBox="1"/>
          </xdr:nvSpPr>
          <xdr:spPr>
            <a:xfrm>
              <a:off x="3188805" y="5781262"/>
              <a:ext cx="3660911" cy="54665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a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ca-ES" sz="1100" b="0" i="1">
                            <a:latin typeface="Cambria Math" panose="02040503050406030204" pitchFamily="18" charset="0"/>
                          </a:rPr>
                          <m:t>·</m:t>
                        </m:r>
                        <m:d>
                          <m:dPr>
                            <m:ctrlPr>
                              <a:rPr lang="ca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ca-E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ca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</m:num>
                      <m:den>
                        <m:d>
                          <m:dPr>
                            <m:ctrlPr>
                              <a:rPr lang="ca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ca-E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ca-E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ca-ES" sz="1100" b="0" i="1">
                            <a:latin typeface="Cambria Math" panose="02040503050406030204" pitchFamily="18" charset="0"/>
                          </a:rPr>
                          <m:t>·</m:t>
                        </m:r>
                        <m:d>
                          <m:dPr>
                            <m:ctrlPr>
                              <a:rPr lang="ca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𝐵</m:t>
                                </m:r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ca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  <m:r>
                                  <a:rPr lang="ca-E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ca-ES" sz="11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</m:e>
                        </m:d>
                      </m:den>
                    </m:f>
                    <m:r>
                      <a:rPr lang="ca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ca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ca-ES" sz="1100" b="0" i="1">
                            <a:latin typeface="Cambria Math" panose="02040503050406030204" pitchFamily="18" charset="0"/>
                          </a:rPr>
                          <m:t>𝐾</m:t>
                        </m:r>
                      </m:e>
                      <m:sub>
                        <m:r>
                          <a:rPr lang="ca-ES" sz="1100" b="0" i="1">
                            <a:latin typeface="Cambria Math" panose="02040503050406030204" pitchFamily="18" charset="0"/>
                          </a:rPr>
                          <m:t>𝑟𝑒𝑓</m:t>
                        </m:r>
                      </m:sub>
                    </m:sSub>
                    <m:r>
                      <a:rPr lang="ca-ES" sz="1100" b="0" i="1">
                        <a:latin typeface="Cambria Math" panose="02040503050406030204" pitchFamily="18" charset="0"/>
                      </a:rPr>
                      <m:t>·</m:t>
                    </m:r>
                    <m:func>
                      <m:funcPr>
                        <m:ctrlPr>
                          <a:rPr lang="ca-E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ca-ES" sz="1100" b="0" i="0">
                            <a:latin typeface="Cambria Math" panose="02040503050406030204" pitchFamily="18" charset="0"/>
                          </a:rPr>
                          <m:t>exp</m:t>
                        </m:r>
                      </m:fName>
                      <m:e>
                        <m:d>
                          <m:dPr>
                            <m:ctrlPr>
                              <a:rPr lang="ca-E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𝐻𝑟</m:t>
                                </m:r>
                              </m:num>
                              <m:den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  <m:r>
                              <a:rPr lang="ca-ES" sz="1100" b="0" i="1">
                                <a:latin typeface="Cambria Math" panose="02040503050406030204" pitchFamily="18" charset="0"/>
                              </a:rPr>
                              <m:t>·</m:t>
                            </m:r>
                            <m:d>
                              <m:dPr>
                                <m:ctrlP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ca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ca-E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ca-E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ca-E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ca-ES" sz="11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  <m:t>𝑇</m:t>
                                        </m:r>
                                      </m:e>
                                      <m:sub>
                                        <m:r>
                                          <a:rPr lang="ca-E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d>
                      </m:e>
                    </m:func>
                  </m:oMath>
                </m:oMathPara>
              </a14:m>
              <a:endParaRPr lang="es-ES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479F3D8-62CC-475A-901B-91B961883622}"/>
                </a:ext>
              </a:extLst>
            </xdr:cNvPr>
            <xdr:cNvSpPr txBox="1"/>
          </xdr:nvSpPr>
          <xdr:spPr>
            <a:xfrm>
              <a:off x="3188805" y="5781262"/>
              <a:ext cx="3660911" cy="54665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ES" sz="1100" i="0">
                  <a:latin typeface="Cambria Math" panose="02040503050406030204" pitchFamily="18" charset="0"/>
                </a:rPr>
                <a:t>(</a:t>
              </a:r>
              <a:r>
                <a:rPr lang="ca-ES" sz="1100" b="0" i="0">
                  <a:latin typeface="Cambria Math" panose="02040503050406030204" pitchFamily="18" charset="0"/>
                </a:rPr>
                <a:t>𝑋·(𝐶_𝐷0+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𝐶_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𝑥)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ca-ES" sz="1100" b="0" i="0">
                  <a:latin typeface="Cambria Math" panose="02040503050406030204" pitchFamily="18" charset="0"/>
                </a:rPr>
                <a:t>1−𝑋)·(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𝐶_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𝐶_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ca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𝑋)</a:t>
              </a:r>
              <a:r>
                <a:rPr lang="es-E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ca-ES" sz="1100" b="0" i="0">
                  <a:latin typeface="Cambria Math" panose="02040503050406030204" pitchFamily="18" charset="0"/>
                </a:rPr>
                <a:t>=𝐾_𝑟𝑒𝑓·exp⁡(</a:t>
              </a:r>
              <a:r>
                <a:rPr lang="ca-E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∆𝐻𝑟/</a:t>
              </a:r>
              <a:r>
                <a:rPr lang="ca-ES" sz="1100" b="0" i="0">
                  <a:latin typeface="Cambria Math" panose="02040503050406030204" pitchFamily="18" charset="0"/>
                </a:rPr>
                <a:t>𝑅·(1/𝑇_1 −1/𝑇_2 ))</a:t>
              </a:r>
              <a:endParaRPr lang="es-ES" sz="1100"/>
            </a:p>
          </xdr:txBody>
        </xdr:sp>
      </mc:Fallback>
    </mc:AlternateContent>
    <xdr:clientData/>
  </xdr:twoCellAnchor>
  <xdr:twoCellAnchor editAs="oneCell">
    <xdr:from>
      <xdr:col>11</xdr:col>
      <xdr:colOff>428625</xdr:colOff>
      <xdr:row>1</xdr:row>
      <xdr:rowOff>114299</xdr:rowOff>
    </xdr:from>
    <xdr:to>
      <xdr:col>15</xdr:col>
      <xdr:colOff>442992</xdr:colOff>
      <xdr:row>6</xdr:row>
      <xdr:rowOff>47624</xdr:rowOff>
    </xdr:to>
    <xdr:pic>
      <xdr:nvPicPr>
        <xdr:cNvPr id="7" name="Imagen 6" descr="Diagrama&#10;&#10;Descripción generada automáticamente">
          <a:extLst>
            <a:ext uri="{FF2B5EF4-FFF2-40B4-BE49-F238E27FC236}">
              <a16:creationId xmlns:a16="http://schemas.microsoft.com/office/drawing/2014/main" id="{C5190696-DC4F-431D-BC69-41099B186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304799"/>
          <a:ext cx="3319542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428625</xdr:colOff>
      <xdr:row>1</xdr:row>
      <xdr:rowOff>114299</xdr:rowOff>
    </xdr:from>
    <xdr:to>
      <xdr:col>14</xdr:col>
      <xdr:colOff>336550</xdr:colOff>
      <xdr:row>4</xdr:row>
      <xdr:rowOff>153669</xdr:rowOff>
    </xdr:to>
    <xdr:pic>
      <xdr:nvPicPr>
        <xdr:cNvPr id="9" name="Imagen 8" descr="Diagrama&#10;&#10;Descripción generada automáticamente">
          <a:extLst>
            <a:ext uri="{FF2B5EF4-FFF2-40B4-BE49-F238E27FC236}">
              <a16:creationId xmlns:a16="http://schemas.microsoft.com/office/drawing/2014/main" id="{7A515531-731B-4582-A9B0-ACFD9629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7075" y="304799"/>
          <a:ext cx="2289175" cy="61087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733425</xdr:colOff>
      <xdr:row>92</xdr:row>
      <xdr:rowOff>152400</xdr:rowOff>
    </xdr:from>
    <xdr:to>
      <xdr:col>16</xdr:col>
      <xdr:colOff>92874</xdr:colOff>
      <xdr:row>97</xdr:row>
      <xdr:rowOff>104775</xdr:rowOff>
    </xdr:to>
    <xdr:pic>
      <xdr:nvPicPr>
        <xdr:cNvPr id="10" name="Imagen 9" descr="Diagrama&#10;&#10;Descripción generada automáticamente">
          <a:extLst>
            <a:ext uri="{FF2B5EF4-FFF2-40B4-BE49-F238E27FC236}">
              <a16:creationId xmlns:a16="http://schemas.microsoft.com/office/drawing/2014/main" id="{140C4F10-EC3A-4D22-A059-AD0E660BB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1875" y="17792700"/>
          <a:ext cx="3426624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733425</xdr:colOff>
      <xdr:row>53</xdr:row>
      <xdr:rowOff>152400</xdr:rowOff>
    </xdr:from>
    <xdr:to>
      <xdr:col>16</xdr:col>
      <xdr:colOff>562774</xdr:colOff>
      <xdr:row>58</xdr:row>
      <xdr:rowOff>117475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0AC25039-B21B-4EED-8374-09B017CD9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50375" y="17106900"/>
          <a:ext cx="3639349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288925</xdr:colOff>
      <xdr:row>92</xdr:row>
      <xdr:rowOff>9525</xdr:rowOff>
    </xdr:from>
    <xdr:to>
      <xdr:col>11</xdr:col>
      <xdr:colOff>225425</xdr:colOff>
      <xdr:row>106</xdr:row>
      <xdr:rowOff>174625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F340C0-4F49-4D2F-8801-623E51D5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0D31D-F229-4695-837A-595E9DB50F77}">
  <dimension ref="B3:O32"/>
  <sheetViews>
    <sheetView zoomScale="85" zoomScaleNormal="85" workbookViewId="0">
      <selection activeCell="B10" sqref="B10:C10"/>
    </sheetView>
  </sheetViews>
  <sheetFormatPr baseColWidth="10" defaultColWidth="11.54296875" defaultRowHeight="14.5" x14ac:dyDescent="0.35"/>
  <cols>
    <col min="2" max="2" width="18.90625" bestFit="1" customWidth="1"/>
  </cols>
  <sheetData>
    <row r="3" spans="2:15" x14ac:dyDescent="0.3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5" x14ac:dyDescent="0.35">
      <c r="B4" s="29" t="s">
        <v>38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2:15" ht="18.5" x14ac:dyDescent="0.45">
      <c r="B5" s="15" t="s">
        <v>5</v>
      </c>
      <c r="C5" s="6" t="s">
        <v>18</v>
      </c>
      <c r="D5" s="6" t="s">
        <v>6</v>
      </c>
      <c r="E5" s="29"/>
      <c r="F5" s="46"/>
      <c r="G5" s="73" t="s">
        <v>49</v>
      </c>
      <c r="H5" s="73"/>
      <c r="I5" s="73"/>
      <c r="J5" s="73"/>
      <c r="K5" s="73"/>
      <c r="L5" s="73"/>
      <c r="M5" s="46"/>
      <c r="N5" s="46"/>
      <c r="O5" s="46"/>
    </row>
    <row r="6" spans="2:15" x14ac:dyDescent="0.35">
      <c r="B6" s="4">
        <v>0.56986266616153736</v>
      </c>
      <c r="C6" s="6" t="s">
        <v>7</v>
      </c>
      <c r="D6" s="6">
        <f>(B6*(15+85*B6))/((1-B6)*(100-85*B6))</f>
        <v>1.6300006665112574</v>
      </c>
      <c r="E6" s="29"/>
      <c r="F6" s="46"/>
      <c r="G6" s="47"/>
      <c r="H6" s="47"/>
      <c r="I6" s="47"/>
      <c r="J6" s="47"/>
      <c r="K6" s="47"/>
      <c r="L6" s="47"/>
      <c r="M6" s="46"/>
      <c r="N6" s="46"/>
      <c r="O6" s="46"/>
    </row>
    <row r="7" spans="2:15" x14ac:dyDescent="0.35">
      <c r="B7" s="29"/>
      <c r="C7" s="29"/>
      <c r="D7" s="29"/>
      <c r="E7" s="29"/>
      <c r="F7" s="51" t="s">
        <v>50</v>
      </c>
      <c r="G7" s="47"/>
      <c r="H7" s="47"/>
      <c r="I7" s="47"/>
      <c r="J7" s="47"/>
      <c r="K7" s="47"/>
      <c r="L7" s="47"/>
      <c r="M7" s="46"/>
      <c r="N7" s="46"/>
      <c r="O7" s="46"/>
    </row>
    <row r="8" spans="2:15" x14ac:dyDescent="0.35">
      <c r="B8" s="29"/>
      <c r="C8" s="29"/>
      <c r="D8" s="29"/>
      <c r="E8" s="29"/>
      <c r="F8" s="46"/>
      <c r="G8" s="47"/>
      <c r="H8" s="47"/>
      <c r="I8" s="47"/>
      <c r="J8" s="47"/>
      <c r="K8" s="47"/>
      <c r="L8" s="47"/>
      <c r="M8" s="46"/>
      <c r="N8" s="46"/>
      <c r="O8" s="46"/>
    </row>
    <row r="9" spans="2:15" x14ac:dyDescent="0.35">
      <c r="B9" s="3" t="s">
        <v>39</v>
      </c>
      <c r="C9" s="3"/>
      <c r="D9" s="3"/>
      <c r="E9" s="3"/>
      <c r="F9" s="48"/>
      <c r="G9" s="49"/>
      <c r="H9" s="49"/>
      <c r="I9" s="49"/>
      <c r="J9" s="49"/>
      <c r="K9" s="49"/>
      <c r="L9" s="49"/>
      <c r="M9" s="74"/>
      <c r="N9" s="74"/>
      <c r="O9" s="74"/>
    </row>
    <row r="10" spans="2:15" ht="15" thickBot="1" x14ac:dyDescent="0.4">
      <c r="B10" s="75" t="s">
        <v>19</v>
      </c>
      <c r="C10" s="75"/>
      <c r="D10" s="3"/>
      <c r="E10" s="29"/>
      <c r="F10" s="46"/>
      <c r="G10" s="48"/>
      <c r="H10" s="76"/>
      <c r="I10" s="76"/>
      <c r="J10" s="76"/>
      <c r="K10" s="76"/>
      <c r="L10" s="50"/>
      <c r="M10" s="52"/>
      <c r="N10" s="52"/>
      <c r="O10" s="52"/>
    </row>
    <row r="11" spans="2:15" x14ac:dyDescent="0.35">
      <c r="B11" s="8" t="s">
        <v>20</v>
      </c>
      <c r="C11" s="9">
        <v>363</v>
      </c>
      <c r="D11" s="3"/>
      <c r="E11" s="29"/>
      <c r="F11" s="29"/>
      <c r="G11" s="3"/>
      <c r="H11" s="41"/>
      <c r="I11" s="41"/>
      <c r="J11" s="39"/>
      <c r="K11" s="39"/>
      <c r="L11" s="39"/>
      <c r="M11" s="53"/>
      <c r="N11" s="53"/>
      <c r="O11" s="53"/>
    </row>
    <row r="12" spans="2:15" x14ac:dyDescent="0.35">
      <c r="B12" s="10" t="s">
        <v>5</v>
      </c>
      <c r="C12" s="11">
        <v>0.56999999999999995</v>
      </c>
      <c r="D12" s="3"/>
      <c r="E12" s="3"/>
      <c r="F12" s="3"/>
      <c r="G12" s="3"/>
      <c r="H12" s="39"/>
      <c r="I12" s="39"/>
      <c r="J12" s="42"/>
      <c r="K12" s="39"/>
      <c r="L12" s="39"/>
      <c r="M12" s="50"/>
      <c r="N12" s="50"/>
      <c r="O12" s="50"/>
    </row>
    <row r="13" spans="2:15" ht="15" thickBot="1" x14ac:dyDescent="0.4">
      <c r="B13" s="10" t="s">
        <v>21</v>
      </c>
      <c r="C13" s="11">
        <f>C12*0.4</f>
        <v>0.22799999999999998</v>
      </c>
      <c r="D13" s="3"/>
      <c r="E13" s="3"/>
      <c r="F13" s="3"/>
      <c r="G13" s="78" t="s">
        <v>48</v>
      </c>
      <c r="H13" s="78"/>
      <c r="I13" s="78"/>
      <c r="J13" s="42"/>
      <c r="K13" s="39"/>
      <c r="L13" s="39"/>
      <c r="M13" s="52"/>
      <c r="N13" s="52"/>
      <c r="O13" s="54"/>
    </row>
    <row r="14" spans="2:15" ht="15" thickBot="1" x14ac:dyDescent="0.4">
      <c r="B14" s="10" t="s">
        <v>40</v>
      </c>
      <c r="C14" s="11">
        <f>85*20/1000</f>
        <v>1.7</v>
      </c>
      <c r="D14" s="3"/>
      <c r="E14" s="3"/>
      <c r="F14" s="3"/>
      <c r="G14" s="40" t="s">
        <v>25</v>
      </c>
      <c r="H14" s="23" t="s">
        <v>16</v>
      </c>
      <c r="I14" s="23" t="s">
        <v>17</v>
      </c>
      <c r="J14" s="42"/>
      <c r="K14" s="39"/>
      <c r="L14" s="39"/>
      <c r="M14" s="39"/>
      <c r="N14" s="43"/>
      <c r="O14" s="39"/>
    </row>
    <row r="15" spans="2:15" x14ac:dyDescent="0.35">
      <c r="B15" s="10" t="s">
        <v>41</v>
      </c>
      <c r="C15" s="11">
        <f>100*20/1000</f>
        <v>2</v>
      </c>
      <c r="D15" s="3"/>
      <c r="E15" s="3"/>
      <c r="F15" s="3"/>
      <c r="G15" s="6">
        <f>G16</f>
        <v>8752.4281914113417</v>
      </c>
      <c r="H15" s="6">
        <f>(C14*C20*C13)/(((C17*C14*(1-C13)*(C15-C14*C13))-(C18*C14*C13*(C16+C14*C13)))*C19)</f>
        <v>8.752428191411342</v>
      </c>
      <c r="I15" s="6">
        <f>0.001</f>
        <v>1E-3</v>
      </c>
      <c r="J15" s="42"/>
      <c r="K15" s="39"/>
      <c r="L15" s="39"/>
      <c r="M15" s="29"/>
      <c r="N15" s="29"/>
      <c r="O15" s="29"/>
    </row>
    <row r="16" spans="2:15" x14ac:dyDescent="0.35">
      <c r="B16" s="10" t="s">
        <v>42</v>
      </c>
      <c r="C16" s="11">
        <f>0.015*20</f>
        <v>0.3</v>
      </c>
      <c r="D16" s="3"/>
      <c r="E16" s="3"/>
      <c r="F16" s="3"/>
      <c r="G16" s="45">
        <f>H15/I15</f>
        <v>8752.4281914113417</v>
      </c>
      <c r="H16" s="3"/>
      <c r="I16" s="3"/>
      <c r="J16" s="42"/>
      <c r="K16" s="39"/>
      <c r="L16" s="39"/>
      <c r="M16" s="29"/>
      <c r="N16" s="29"/>
      <c r="O16" s="29"/>
    </row>
    <row r="17" spans="2:15" x14ac:dyDescent="0.35">
      <c r="B17" s="10" t="s">
        <v>43</v>
      </c>
      <c r="C17" s="11">
        <f>31.6*EXP(-51740/(8.314*363))</f>
        <v>1.1328783256980585E-6</v>
      </c>
      <c r="D17" s="3"/>
      <c r="E17" s="3"/>
      <c r="F17" s="3"/>
      <c r="G17" s="16" t="s">
        <v>26</v>
      </c>
      <c r="H17" s="16" t="s">
        <v>28</v>
      </c>
      <c r="I17" s="29"/>
      <c r="J17" s="42"/>
      <c r="K17" s="39"/>
      <c r="L17" s="39"/>
      <c r="M17" s="3"/>
      <c r="N17" s="3"/>
      <c r="O17" s="3"/>
    </row>
    <row r="18" spans="2:15" x14ac:dyDescent="0.35">
      <c r="B18" s="10" t="s">
        <v>44</v>
      </c>
      <c r="C18" s="11">
        <f>2.253*EXP(-45280/(8.314*363))</f>
        <v>6.8685661748213042E-7</v>
      </c>
      <c r="D18" s="3"/>
      <c r="E18" s="3"/>
      <c r="F18" s="3"/>
      <c r="G18" s="3">
        <f>G15/3600</f>
        <v>2.4312300531698172</v>
      </c>
      <c r="H18" s="6">
        <f>I15*1000</f>
        <v>1</v>
      </c>
      <c r="I18" s="3"/>
      <c r="J18" s="42"/>
      <c r="K18" s="39"/>
      <c r="L18" s="39"/>
      <c r="M18" s="3"/>
      <c r="N18" s="3"/>
      <c r="O18" s="3"/>
    </row>
    <row r="19" spans="2:15" x14ac:dyDescent="0.35">
      <c r="B19" s="10" t="s">
        <v>45</v>
      </c>
      <c r="C19" s="11">
        <v>20</v>
      </c>
      <c r="D19" s="3"/>
      <c r="E19" s="3"/>
      <c r="F19" s="3"/>
      <c r="G19" s="3"/>
      <c r="H19" s="39"/>
      <c r="I19" s="39"/>
      <c r="J19" s="42"/>
      <c r="K19" s="39"/>
      <c r="L19" s="39"/>
      <c r="M19" s="3"/>
      <c r="N19" s="3"/>
      <c r="O19" s="3"/>
    </row>
    <row r="20" spans="2:15" x14ac:dyDescent="0.35">
      <c r="B20" s="30" t="s">
        <v>46</v>
      </c>
      <c r="C20" s="31">
        <v>1E-3</v>
      </c>
      <c r="D20" s="3"/>
      <c r="E20" s="3"/>
      <c r="F20" s="3"/>
      <c r="G20" s="3"/>
      <c r="H20" s="39"/>
      <c r="I20" s="39"/>
      <c r="J20" s="42"/>
      <c r="K20" s="39"/>
      <c r="L20" s="39"/>
      <c r="M20" s="3"/>
      <c r="N20" s="3"/>
      <c r="O20" s="3"/>
    </row>
    <row r="21" spans="2:15" ht="15" thickBot="1" x14ac:dyDescent="0.4">
      <c r="B21" s="32" t="s">
        <v>47</v>
      </c>
      <c r="C21" s="33">
        <v>8.3140000000000001</v>
      </c>
      <c r="D21" s="3"/>
      <c r="E21" s="3"/>
      <c r="F21" s="3"/>
      <c r="G21" s="3"/>
      <c r="H21" s="39"/>
      <c r="I21" s="39"/>
      <c r="J21" s="42"/>
      <c r="K21" s="39"/>
      <c r="L21" s="39"/>
      <c r="M21" s="3"/>
      <c r="N21" s="3"/>
      <c r="O21" s="3"/>
    </row>
    <row r="22" spans="2:15" x14ac:dyDescent="0.35">
      <c r="B22" s="3"/>
      <c r="C22" s="3"/>
      <c r="D22" s="3"/>
      <c r="E22" s="3"/>
      <c r="F22" s="3"/>
      <c r="G22" s="3"/>
      <c r="H22" s="39"/>
      <c r="I22" s="39"/>
      <c r="J22" s="42"/>
      <c r="K22" s="39"/>
      <c r="L22" s="39"/>
      <c r="M22" s="3"/>
      <c r="N22" s="3"/>
      <c r="O22" s="3"/>
    </row>
    <row r="23" spans="2:15" x14ac:dyDescent="0.35">
      <c r="B23" s="34"/>
      <c r="C23" s="35"/>
      <c r="D23" s="3"/>
      <c r="E23" s="3"/>
      <c r="F23" s="3"/>
      <c r="G23" s="3"/>
      <c r="H23" s="77"/>
      <c r="I23" s="77"/>
      <c r="J23" s="39"/>
      <c r="K23" s="39"/>
      <c r="L23" s="43"/>
      <c r="M23" s="3"/>
      <c r="N23" s="3"/>
      <c r="O23" s="3"/>
    </row>
    <row r="24" spans="2:15" x14ac:dyDescent="0.35">
      <c r="B24" s="34"/>
      <c r="C24" s="35"/>
      <c r="D24" s="3"/>
      <c r="E24" s="3"/>
      <c r="F24" s="3"/>
      <c r="G24" s="3"/>
      <c r="H24" s="44"/>
      <c r="I24" s="39"/>
      <c r="J24" s="39"/>
      <c r="K24" s="39"/>
      <c r="L24" s="41"/>
      <c r="M24" s="3"/>
      <c r="N24" s="3"/>
      <c r="O24" s="3"/>
    </row>
    <row r="25" spans="2:15" x14ac:dyDescent="0.35">
      <c r="B25" s="34"/>
      <c r="C25" s="36"/>
      <c r="H25" s="38"/>
      <c r="I25" s="38"/>
      <c r="J25" s="38"/>
      <c r="K25" s="38"/>
      <c r="L25" s="38"/>
    </row>
    <row r="26" spans="2:15" x14ac:dyDescent="0.35">
      <c r="B26" s="34"/>
      <c r="C26" s="36"/>
    </row>
    <row r="27" spans="2:15" x14ac:dyDescent="0.35">
      <c r="B27" s="34"/>
      <c r="C27" s="35"/>
    </row>
    <row r="28" spans="2:15" x14ac:dyDescent="0.35">
      <c r="B28" s="34"/>
      <c r="C28" s="36"/>
    </row>
    <row r="29" spans="2:15" x14ac:dyDescent="0.35">
      <c r="B29" s="34"/>
      <c r="C29" s="37"/>
    </row>
    <row r="30" spans="2:15" x14ac:dyDescent="0.35">
      <c r="B30" s="34"/>
      <c r="C30" s="37"/>
    </row>
    <row r="31" spans="2:15" x14ac:dyDescent="0.35">
      <c r="B31" s="34"/>
      <c r="C31" s="37"/>
    </row>
    <row r="32" spans="2:15" x14ac:dyDescent="0.35">
      <c r="B32" s="38"/>
      <c r="C32" s="38"/>
    </row>
  </sheetData>
  <mergeCells count="6">
    <mergeCell ref="G5:L5"/>
    <mergeCell ref="M9:O9"/>
    <mergeCell ref="B10:C10"/>
    <mergeCell ref="H10:K10"/>
    <mergeCell ref="H23:I23"/>
    <mergeCell ref="G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A0F2-6F12-4429-95C6-D1D43B1C17A4}">
  <dimension ref="A1:S114"/>
  <sheetViews>
    <sheetView zoomScale="94" zoomScaleNormal="94" workbookViewId="0">
      <selection sqref="A1:C3"/>
    </sheetView>
  </sheetViews>
  <sheetFormatPr baseColWidth="10" defaultColWidth="11.54296875" defaultRowHeight="14.5" x14ac:dyDescent="0.35"/>
  <cols>
    <col min="1" max="1" width="16.453125" bestFit="1" customWidth="1"/>
    <col min="2" max="2" width="15.453125" customWidth="1"/>
    <col min="3" max="3" width="16.90625" customWidth="1"/>
    <col min="4" max="4" width="15.08984375" customWidth="1"/>
    <col min="5" max="5" width="12.90625" bestFit="1" customWidth="1"/>
    <col min="7" max="7" width="23.08984375" bestFit="1" customWidth="1"/>
    <col min="13" max="13" width="12.90625" bestFit="1" customWidth="1"/>
    <col min="15" max="15" width="13.90625" customWidth="1"/>
  </cols>
  <sheetData>
    <row r="1" spans="1:19" x14ac:dyDescent="0.35">
      <c r="A1" s="79" t="s">
        <v>53</v>
      </c>
      <c r="B1" s="79"/>
      <c r="C1" s="79"/>
    </row>
    <row r="2" spans="1:19" x14ac:dyDescent="0.35">
      <c r="A2" s="79"/>
      <c r="B2" s="79"/>
      <c r="C2" s="79"/>
    </row>
    <row r="3" spans="1:19" x14ac:dyDescent="0.35">
      <c r="A3" s="79"/>
      <c r="B3" s="79"/>
      <c r="C3" s="79"/>
    </row>
    <row r="4" spans="1:19" x14ac:dyDescent="0.35">
      <c r="B4" t="s">
        <v>8</v>
      </c>
    </row>
    <row r="5" spans="1:19" x14ac:dyDescent="0.35">
      <c r="B5" s="5" t="s">
        <v>5</v>
      </c>
      <c r="C5" s="2" t="s">
        <v>18</v>
      </c>
      <c r="D5" s="2" t="s">
        <v>6</v>
      </c>
      <c r="P5" s="17"/>
    </row>
    <row r="6" spans="1:19" x14ac:dyDescent="0.35">
      <c r="B6" s="4">
        <v>0.56986266616153736</v>
      </c>
      <c r="C6" s="2" t="s">
        <v>7</v>
      </c>
      <c r="D6" s="2">
        <f>(B6*(15+85*B6))/((1-B6)*(100-85*B6))</f>
        <v>1.6300006665112574</v>
      </c>
    </row>
    <row r="9" spans="1:19" ht="15" thickBot="1" x14ac:dyDescent="0.4">
      <c r="B9" s="3" t="s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78" t="s">
        <v>24</v>
      </c>
      <c r="N9" s="78"/>
      <c r="O9" s="78"/>
    </row>
    <row r="10" spans="1:19" ht="15" thickBot="1" x14ac:dyDescent="0.4">
      <c r="B10" s="75" t="s">
        <v>19</v>
      </c>
      <c r="C10" s="75"/>
      <c r="D10" s="3"/>
      <c r="G10" s="3"/>
      <c r="H10" s="80" t="s">
        <v>22</v>
      </c>
      <c r="I10" s="80"/>
      <c r="J10" s="80"/>
      <c r="K10" s="80"/>
      <c r="L10" s="3"/>
      <c r="M10" s="23" t="s">
        <v>25</v>
      </c>
      <c r="N10" s="23" t="s">
        <v>16</v>
      </c>
      <c r="O10" s="23" t="s">
        <v>17</v>
      </c>
      <c r="R10" s="3"/>
      <c r="S10" s="3"/>
    </row>
    <row r="11" spans="1:19" x14ac:dyDescent="0.35">
      <c r="B11" s="8" t="s">
        <v>20</v>
      </c>
      <c r="C11" s="9">
        <v>363</v>
      </c>
      <c r="D11" s="3"/>
      <c r="G11" s="3"/>
      <c r="H11" s="18" t="s">
        <v>4</v>
      </c>
      <c r="I11" s="18" t="s">
        <v>3</v>
      </c>
      <c r="J11" s="3"/>
      <c r="K11" s="3"/>
      <c r="L11" s="3"/>
      <c r="M11" s="2">
        <f>K24*C14</f>
        <v>6386.6992584359468</v>
      </c>
      <c r="N11" s="2">
        <f>M11*O11</f>
        <v>6.3866992584359465</v>
      </c>
      <c r="O11" s="2">
        <f>0.001</f>
        <v>1E-3</v>
      </c>
      <c r="S11" s="3"/>
    </row>
    <row r="12" spans="1:19" x14ac:dyDescent="0.35">
      <c r="B12" s="10" t="s">
        <v>5</v>
      </c>
      <c r="C12" s="11">
        <v>0.56999999999999995</v>
      </c>
      <c r="D12" s="3"/>
      <c r="E12" s="3"/>
      <c r="F12" s="3"/>
      <c r="G12" s="3"/>
      <c r="H12" s="19">
        <f>0</f>
        <v>0</v>
      </c>
      <c r="I12" s="19">
        <f>1/(20*($C$17*$C$14*(1-H12)*($C$15-$C$14*H12))-($C$18*($C$14*H12)*($C$16+$C$14*H12)))</f>
        <v>12980.99011990514</v>
      </c>
      <c r="J12" s="7">
        <v>1</v>
      </c>
      <c r="K12" s="3">
        <f>I12*J12</f>
        <v>12980.99011990514</v>
      </c>
      <c r="L12" s="3"/>
      <c r="M12" s="3"/>
      <c r="N12" s="3"/>
      <c r="O12" s="3"/>
      <c r="R12" s="3"/>
      <c r="S12" s="3"/>
    </row>
    <row r="13" spans="1:19" x14ac:dyDescent="0.35">
      <c r="B13" s="10" t="s">
        <v>21</v>
      </c>
      <c r="C13" s="11">
        <f>C12*0.4</f>
        <v>0.22799999999999998</v>
      </c>
      <c r="D13" s="3"/>
      <c r="E13" s="3"/>
      <c r="F13" s="3"/>
      <c r="G13" s="3"/>
      <c r="H13" s="19">
        <f>H12+$I$24</f>
        <v>2.2799999999999997E-2</v>
      </c>
      <c r="I13" s="19">
        <f t="shared" ref="I13:I22" si="0">1/(20*($C$17*$C$14*(1-H13)*($C$15-$C$14*H13))-($C$18*($C$14*H13)*($C$16+$C$14*H13)))</f>
        <v>13548.046408497421</v>
      </c>
      <c r="J13" s="7">
        <v>4</v>
      </c>
      <c r="K13" s="3">
        <f t="shared" ref="K13:K22" si="1">I13*J13</f>
        <v>54192.185633989684</v>
      </c>
      <c r="L13" s="3"/>
      <c r="M13" s="16" t="s">
        <v>26</v>
      </c>
      <c r="N13" s="16" t="s">
        <v>28</v>
      </c>
      <c r="R13" s="3"/>
      <c r="S13" s="3"/>
    </row>
    <row r="14" spans="1:19" x14ac:dyDescent="0.35">
      <c r="B14" s="10" t="s">
        <v>13</v>
      </c>
      <c r="C14" s="11">
        <f>85*20/1000</f>
        <v>1.7</v>
      </c>
      <c r="D14" s="3"/>
      <c r="E14" s="3"/>
      <c r="F14" s="3"/>
      <c r="G14" s="3"/>
      <c r="H14" s="19">
        <f t="shared" ref="H14:H22" si="2">H13+$I$24</f>
        <v>4.5599999999999995E-2</v>
      </c>
      <c r="I14" s="19">
        <f t="shared" si="0"/>
        <v>14153.670959541958</v>
      </c>
      <c r="J14" s="7">
        <v>2</v>
      </c>
      <c r="K14" s="3">
        <f t="shared" si="1"/>
        <v>28307.341919083916</v>
      </c>
      <c r="L14" s="3"/>
      <c r="M14" s="3">
        <f>M11/3600</f>
        <v>1.7740831273433186</v>
      </c>
      <c r="N14" s="2">
        <f>O11*1000</f>
        <v>1</v>
      </c>
      <c r="O14" s="3"/>
      <c r="R14" s="3"/>
      <c r="S14" s="3"/>
    </row>
    <row r="15" spans="1:19" x14ac:dyDescent="0.35">
      <c r="B15" s="10" t="s">
        <v>11</v>
      </c>
      <c r="C15" s="11">
        <f>100*20/1000</f>
        <v>2</v>
      </c>
      <c r="D15" s="3"/>
      <c r="E15" s="3"/>
      <c r="F15" s="3"/>
      <c r="G15" s="3"/>
      <c r="H15" s="19">
        <f t="shared" si="2"/>
        <v>6.8399999999999989E-2</v>
      </c>
      <c r="I15" s="19">
        <f t="shared" si="0"/>
        <v>14801.497443410042</v>
      </c>
      <c r="J15" s="7">
        <v>4</v>
      </c>
      <c r="K15" s="3">
        <f t="shared" si="1"/>
        <v>59205.989773640169</v>
      </c>
      <c r="L15" s="3"/>
    </row>
    <row r="16" spans="1:19" x14ac:dyDescent="0.35">
      <c r="B16" s="10" t="s">
        <v>12</v>
      </c>
      <c r="C16" s="11">
        <f>0.015*20</f>
        <v>0.3</v>
      </c>
      <c r="D16" s="3"/>
      <c r="E16" s="3"/>
      <c r="F16" s="3"/>
      <c r="G16" s="3"/>
      <c r="H16" s="19">
        <f t="shared" si="2"/>
        <v>9.1199999999999989E-2</v>
      </c>
      <c r="I16" s="19">
        <f t="shared" si="0"/>
        <v>15495.604407168985</v>
      </c>
      <c r="J16" s="7">
        <v>2</v>
      </c>
      <c r="K16" s="3">
        <f t="shared" si="1"/>
        <v>30991.20881433797</v>
      </c>
      <c r="L16" s="3"/>
    </row>
    <row r="17" spans="1:17" x14ac:dyDescent="0.35">
      <c r="B17" s="10" t="s">
        <v>0</v>
      </c>
      <c r="C17" s="11">
        <f>31.6*EXP(-51740/(8.314*363))</f>
        <v>1.1328783256980585E-6</v>
      </c>
      <c r="D17" s="3"/>
      <c r="E17" s="3"/>
      <c r="F17" s="3"/>
      <c r="G17" s="3"/>
      <c r="H17" s="19">
        <f t="shared" si="2"/>
        <v>0.11399999999999999</v>
      </c>
      <c r="I17" s="19">
        <f t="shared" si="0"/>
        <v>16240.583258496825</v>
      </c>
      <c r="J17" s="7">
        <v>4</v>
      </c>
      <c r="K17" s="3">
        <f t="shared" si="1"/>
        <v>64962.333033987299</v>
      </c>
      <c r="L17" s="3"/>
      <c r="M17" s="3"/>
      <c r="N17" s="3"/>
      <c r="O17" s="3"/>
      <c r="P17" s="3"/>
      <c r="Q17" s="3"/>
    </row>
    <row r="18" spans="1:17" x14ac:dyDescent="0.35">
      <c r="B18" s="10" t="s">
        <v>1</v>
      </c>
      <c r="C18" s="11">
        <f>2.253*EXP(-45280/(8.314*363))</f>
        <v>6.8685661748213042E-7</v>
      </c>
      <c r="D18" s="3"/>
      <c r="E18" s="3"/>
      <c r="F18" s="3"/>
      <c r="G18" s="3"/>
      <c r="H18" s="19">
        <f t="shared" si="2"/>
        <v>0.13679999999999998</v>
      </c>
      <c r="I18" s="19">
        <f t="shared" si="0"/>
        <v>17041.61886136045</v>
      </c>
      <c r="J18" s="7">
        <v>2</v>
      </c>
      <c r="K18" s="3">
        <f t="shared" si="1"/>
        <v>34083.2377227209</v>
      </c>
      <c r="L18" s="3"/>
      <c r="M18" s="3"/>
      <c r="N18" s="3"/>
      <c r="O18" s="3"/>
      <c r="P18" s="3"/>
      <c r="Q18" s="3"/>
    </row>
    <row r="19" spans="1:17" ht="15" thickBot="1" x14ac:dyDescent="0.4">
      <c r="B19" s="12" t="s">
        <v>14</v>
      </c>
      <c r="C19" s="13">
        <v>20</v>
      </c>
      <c r="D19" s="3"/>
      <c r="E19" s="3"/>
      <c r="F19" s="3"/>
      <c r="G19" s="3"/>
      <c r="H19" s="19">
        <f t="shared" si="2"/>
        <v>0.15959999999999996</v>
      </c>
      <c r="I19" s="19">
        <f t="shared" si="0"/>
        <v>17904.585526515024</v>
      </c>
      <c r="J19" s="7">
        <v>4</v>
      </c>
      <c r="K19" s="3">
        <f t="shared" si="1"/>
        <v>71618.342106060096</v>
      </c>
      <c r="L19" s="3"/>
      <c r="M19" s="3"/>
      <c r="N19" s="3"/>
      <c r="O19" s="3"/>
      <c r="P19" s="3"/>
      <c r="Q19" s="3"/>
    </row>
    <row r="20" spans="1:17" x14ac:dyDescent="0.35">
      <c r="B20" s="3"/>
      <c r="C20" s="3"/>
      <c r="D20" s="3"/>
      <c r="E20" s="3"/>
      <c r="F20" s="3"/>
      <c r="G20" s="3"/>
      <c r="H20" s="19">
        <f t="shared" si="2"/>
        <v>0.18239999999999995</v>
      </c>
      <c r="I20" s="19">
        <f t="shared" si="0"/>
        <v>18836.161899198949</v>
      </c>
      <c r="J20" s="7">
        <v>2</v>
      </c>
      <c r="K20" s="3">
        <f t="shared" si="1"/>
        <v>37672.323798397898</v>
      </c>
      <c r="L20" s="3"/>
      <c r="M20" s="3"/>
      <c r="N20" s="3"/>
      <c r="O20" s="3"/>
      <c r="P20" s="3"/>
      <c r="Q20" s="3"/>
    </row>
    <row r="21" spans="1:17" x14ac:dyDescent="0.35">
      <c r="B21" s="3"/>
      <c r="C21" s="3"/>
      <c r="D21" s="3"/>
      <c r="E21" s="3"/>
      <c r="F21" s="3"/>
      <c r="G21" s="3"/>
      <c r="H21" s="19">
        <f t="shared" si="2"/>
        <v>0.20519999999999994</v>
      </c>
      <c r="I21" s="19">
        <f t="shared" si="0"/>
        <v>19843.969180842385</v>
      </c>
      <c r="J21" s="7">
        <v>4</v>
      </c>
      <c r="K21" s="3">
        <f t="shared" si="1"/>
        <v>79375.87672336954</v>
      </c>
      <c r="L21" s="3"/>
      <c r="M21" s="3"/>
      <c r="N21" s="3"/>
      <c r="O21" s="3"/>
      <c r="P21" s="3"/>
      <c r="Q21" s="3"/>
    </row>
    <row r="22" spans="1:17" ht="15" thickBot="1" x14ac:dyDescent="0.4">
      <c r="B22" s="3"/>
      <c r="C22" s="3"/>
      <c r="D22" s="3"/>
      <c r="E22" s="3"/>
      <c r="F22" s="3"/>
      <c r="G22" s="3"/>
      <c r="H22" s="20">
        <f t="shared" si="2"/>
        <v>0.22799999999999992</v>
      </c>
      <c r="I22" s="20">
        <f t="shared" si="0"/>
        <v>20936.738344905792</v>
      </c>
      <c r="J22" s="7">
        <v>1</v>
      </c>
      <c r="K22" s="3">
        <f t="shared" si="1"/>
        <v>20936.738344905792</v>
      </c>
      <c r="L22" s="3"/>
      <c r="M22" s="3"/>
      <c r="N22" s="3"/>
      <c r="O22" s="3"/>
      <c r="P22" s="3"/>
      <c r="Q22" s="3"/>
    </row>
    <row r="23" spans="1:17" ht="15.5" thickTop="1" thickBot="1" x14ac:dyDescent="0.4">
      <c r="B23" s="3"/>
      <c r="C23" s="3"/>
      <c r="D23" s="3"/>
      <c r="E23" s="3"/>
      <c r="F23" s="3"/>
      <c r="G23" s="3"/>
      <c r="H23" s="81" t="s">
        <v>23</v>
      </c>
      <c r="I23" s="81"/>
      <c r="J23" s="3"/>
      <c r="K23" s="3">
        <f>SUM(K12:K22)</f>
        <v>494326.56799039844</v>
      </c>
      <c r="L23" s="2" t="s">
        <v>15</v>
      </c>
      <c r="M23" s="3"/>
      <c r="N23" s="3"/>
      <c r="O23" s="3"/>
      <c r="P23" s="3"/>
      <c r="Q23" s="3"/>
    </row>
    <row r="24" spans="1:17" ht="16" thickBot="1" x14ac:dyDescent="0.4">
      <c r="B24" s="3"/>
      <c r="C24" s="3"/>
      <c r="D24" s="3"/>
      <c r="E24" s="3"/>
      <c r="F24" s="3"/>
      <c r="G24" s="3"/>
      <c r="H24" s="14" t="s">
        <v>2</v>
      </c>
      <c r="I24" s="3">
        <f>C13/10</f>
        <v>2.2799999999999997E-2</v>
      </c>
      <c r="J24" s="3"/>
      <c r="K24" s="21">
        <f>K23*(I24/3)</f>
        <v>3756.8819167270276</v>
      </c>
      <c r="L24" s="22" t="s">
        <v>27</v>
      </c>
      <c r="M24" s="3"/>
      <c r="N24" s="3"/>
      <c r="O24" s="3"/>
      <c r="P24" s="3"/>
      <c r="Q24" s="3"/>
    </row>
    <row r="29" spans="1:17" x14ac:dyDescent="0.35">
      <c r="A29" s="79" t="s">
        <v>29</v>
      </c>
      <c r="B29" s="79"/>
      <c r="C29" s="79"/>
    </row>
    <row r="30" spans="1:17" x14ac:dyDescent="0.35">
      <c r="A30" s="79"/>
      <c r="B30" s="79"/>
      <c r="C30" s="79"/>
    </row>
    <row r="31" spans="1:17" x14ac:dyDescent="0.35">
      <c r="A31" s="79"/>
      <c r="B31" s="79"/>
      <c r="C31" s="79"/>
      <c r="M31" t="s">
        <v>4</v>
      </c>
      <c r="N31" t="s">
        <v>10</v>
      </c>
      <c r="O31" t="s">
        <v>4</v>
      </c>
    </row>
    <row r="32" spans="1:17" x14ac:dyDescent="0.35">
      <c r="M32">
        <f>(-0.003438)*(N32-373)</f>
        <v>3.4380000000000001E-2</v>
      </c>
      <c r="N32">
        <f>363</f>
        <v>363</v>
      </c>
      <c r="P32">
        <v>5</v>
      </c>
    </row>
    <row r="33" spans="1:14" x14ac:dyDescent="0.35">
      <c r="A33" s="24" t="s">
        <v>30</v>
      </c>
      <c r="M33">
        <f t="shared" ref="M33:M77" si="3">(-0.003438)*(N33-373)</f>
        <v>5.1570000000000005E-2</v>
      </c>
      <c r="N33">
        <f t="shared" ref="N33:N77" si="4">N32-$P$32</f>
        <v>358</v>
      </c>
    </row>
    <row r="34" spans="1:14" ht="15" thickBot="1" x14ac:dyDescent="0.4">
      <c r="M34">
        <f t="shared" si="3"/>
        <v>6.8760000000000002E-2</v>
      </c>
      <c r="N34">
        <f t="shared" si="4"/>
        <v>353</v>
      </c>
    </row>
    <row r="35" spans="1:14" ht="15" thickBot="1" x14ac:dyDescent="0.4">
      <c r="D35" s="82" t="s">
        <v>31</v>
      </c>
      <c r="E35" s="83"/>
      <c r="F35" s="83"/>
      <c r="G35" s="84"/>
      <c r="M35">
        <f t="shared" si="3"/>
        <v>8.5949999999999999E-2</v>
      </c>
      <c r="N35">
        <f t="shared" si="4"/>
        <v>348</v>
      </c>
    </row>
    <row r="36" spans="1:14" x14ac:dyDescent="0.35">
      <c r="A36" s="3"/>
      <c r="B36" s="3"/>
      <c r="C36" s="3"/>
      <c r="D36" s="3"/>
      <c r="E36" s="3"/>
      <c r="F36" s="3"/>
      <c r="G36" s="3"/>
      <c r="H36" s="3"/>
      <c r="I36" s="85" t="s">
        <v>34</v>
      </c>
      <c r="J36" s="86"/>
      <c r="M36">
        <f t="shared" si="3"/>
        <v>0.10314000000000001</v>
      </c>
      <c r="N36">
        <f t="shared" si="4"/>
        <v>343</v>
      </c>
    </row>
    <row r="37" spans="1:14" x14ac:dyDescent="0.35">
      <c r="A37" s="3"/>
      <c r="B37" s="3"/>
      <c r="C37" s="3"/>
      <c r="D37" s="25" t="s">
        <v>4</v>
      </c>
      <c r="E37" s="7" t="s">
        <v>32</v>
      </c>
      <c r="F37" s="25" t="s">
        <v>10</v>
      </c>
      <c r="G37" s="7" t="s">
        <v>33</v>
      </c>
      <c r="H37" s="3"/>
      <c r="I37" s="28" t="s">
        <v>10</v>
      </c>
      <c r="J37" s="28" t="s">
        <v>4</v>
      </c>
      <c r="K37">
        <v>0.1</v>
      </c>
      <c r="M37">
        <f t="shared" si="3"/>
        <v>0.12033000000000001</v>
      </c>
      <c r="N37">
        <f t="shared" si="4"/>
        <v>338</v>
      </c>
    </row>
    <row r="38" spans="1:14" x14ac:dyDescent="0.35">
      <c r="A38" s="3"/>
      <c r="B38" s="5" t="s">
        <v>19</v>
      </c>
      <c r="C38" s="3"/>
      <c r="D38" s="26">
        <v>0</v>
      </c>
      <c r="E38" s="3">
        <f t="shared" ref="E38:E48" si="5">(D38*($B$39+$B$40*D38))/((1-D38)*($B$41-$B$40*D38))</f>
        <v>0</v>
      </c>
      <c r="F38" s="27">
        <v>168</v>
      </c>
      <c r="G38" s="3">
        <f>1.02*EXP((116000/8.314)*((1/298)-(1/F38)))</f>
        <v>1.8801988625466083E-16</v>
      </c>
      <c r="H38" s="3"/>
      <c r="I38" s="1">
        <v>168</v>
      </c>
      <c r="J38" s="1">
        <v>0</v>
      </c>
      <c r="M38">
        <f t="shared" si="3"/>
        <v>0.13752</v>
      </c>
      <c r="N38">
        <f t="shared" si="4"/>
        <v>333</v>
      </c>
    </row>
    <row r="39" spans="1:14" x14ac:dyDescent="0.35">
      <c r="A39" s="2" t="s">
        <v>35</v>
      </c>
      <c r="B39" s="2">
        <v>0.3</v>
      </c>
      <c r="C39" s="3"/>
      <c r="D39" s="26">
        <f>D38+$K$37</f>
        <v>0.1</v>
      </c>
      <c r="E39" s="3">
        <f t="shared" si="5"/>
        <v>2.853673345476624E-2</v>
      </c>
      <c r="F39" s="27">
        <v>276.85121410161673</v>
      </c>
      <c r="G39" s="3">
        <f t="shared" ref="G39:G48" si="6">1.02*EXP((116000/8.314)*((1/298)-(1/F39)))</f>
        <v>2.8529969558141785E-2</v>
      </c>
      <c r="H39" s="3"/>
      <c r="I39" s="1">
        <v>276.85121410161673</v>
      </c>
      <c r="J39" s="1">
        <f t="shared" ref="J39:J47" si="7">J38+$K$37</f>
        <v>0.1</v>
      </c>
      <c r="M39">
        <f t="shared" si="3"/>
        <v>0.15471000000000001</v>
      </c>
      <c r="N39">
        <f t="shared" si="4"/>
        <v>328</v>
      </c>
    </row>
    <row r="40" spans="1:14" x14ac:dyDescent="0.35">
      <c r="A40" s="2" t="s">
        <v>36</v>
      </c>
      <c r="B40" s="2">
        <v>1.7</v>
      </c>
      <c r="C40" s="3"/>
      <c r="D40" s="26">
        <f t="shared" ref="D40:D47" si="8">D39+$K$37</f>
        <v>0.2</v>
      </c>
      <c r="E40" s="3">
        <f t="shared" si="5"/>
        <v>9.638554216867469E-2</v>
      </c>
      <c r="F40" s="27">
        <v>283.70449202561923</v>
      </c>
      <c r="G40" s="3">
        <f t="shared" si="6"/>
        <v>9.6385535054066523E-2</v>
      </c>
      <c r="H40" s="3"/>
      <c r="I40" s="1">
        <v>283.70449202561923</v>
      </c>
      <c r="J40" s="1">
        <f t="shared" si="7"/>
        <v>0.2</v>
      </c>
      <c r="M40">
        <f t="shared" si="3"/>
        <v>0.1719</v>
      </c>
      <c r="N40">
        <f t="shared" si="4"/>
        <v>323</v>
      </c>
    </row>
    <row r="41" spans="1:14" x14ac:dyDescent="0.35">
      <c r="A41" s="2" t="s">
        <v>37</v>
      </c>
      <c r="B41" s="2">
        <v>2</v>
      </c>
      <c r="C41" s="3"/>
      <c r="D41" s="26">
        <f t="shared" si="8"/>
        <v>0.30000000000000004</v>
      </c>
      <c r="E41" s="3">
        <f t="shared" si="5"/>
        <v>0.23298178331735386</v>
      </c>
      <c r="F41" s="27">
        <v>288.88907301516906</v>
      </c>
      <c r="G41" s="3">
        <f t="shared" si="6"/>
        <v>0.23298100211892414</v>
      </c>
      <c r="H41" s="3"/>
      <c r="I41" s="1">
        <v>288.88907301516906</v>
      </c>
      <c r="J41" s="1">
        <f t="shared" si="7"/>
        <v>0.30000000000000004</v>
      </c>
      <c r="M41">
        <f t="shared" si="3"/>
        <v>0.18909000000000001</v>
      </c>
      <c r="N41">
        <f t="shared" si="4"/>
        <v>318</v>
      </c>
    </row>
    <row r="42" spans="1:14" x14ac:dyDescent="0.35">
      <c r="A42" s="3"/>
      <c r="B42" s="3"/>
      <c r="C42" s="3"/>
      <c r="D42" s="26">
        <f t="shared" si="8"/>
        <v>0.4</v>
      </c>
      <c r="E42" s="3">
        <f t="shared" si="5"/>
        <v>0.49494949494949503</v>
      </c>
      <c r="F42" s="27">
        <v>293.46759519488404</v>
      </c>
      <c r="G42" s="3">
        <f t="shared" si="6"/>
        <v>0.49494902308915534</v>
      </c>
      <c r="H42" s="3"/>
      <c r="I42" s="1">
        <v>293.46759519488404</v>
      </c>
      <c r="J42" s="1">
        <f t="shared" si="7"/>
        <v>0.4</v>
      </c>
      <c r="M42">
        <f t="shared" si="3"/>
        <v>0.20628000000000002</v>
      </c>
      <c r="N42">
        <f t="shared" si="4"/>
        <v>313</v>
      </c>
    </row>
    <row r="43" spans="1:14" x14ac:dyDescent="0.35">
      <c r="A43" s="3"/>
      <c r="B43" s="3"/>
      <c r="C43" s="3"/>
      <c r="D43" s="26">
        <f t="shared" si="8"/>
        <v>0.5</v>
      </c>
      <c r="E43" s="3">
        <f t="shared" si="5"/>
        <v>1</v>
      </c>
      <c r="F43" s="27">
        <v>297.87401338131502</v>
      </c>
      <c r="G43" s="3">
        <f t="shared" si="6"/>
        <v>0.99999996832954596</v>
      </c>
      <c r="H43" s="3"/>
      <c r="I43" s="1">
        <v>297.87401338131502</v>
      </c>
      <c r="J43" s="1">
        <f t="shared" si="7"/>
        <v>0.5</v>
      </c>
      <c r="M43">
        <f t="shared" si="3"/>
        <v>0.22347</v>
      </c>
      <c r="N43">
        <f t="shared" si="4"/>
        <v>308</v>
      </c>
    </row>
    <row r="44" spans="1:14" x14ac:dyDescent="0.35">
      <c r="A44" s="3"/>
      <c r="B44" s="3"/>
      <c r="C44" s="3"/>
      <c r="D44" s="26">
        <f t="shared" si="8"/>
        <v>0.6</v>
      </c>
      <c r="E44" s="3">
        <f t="shared" si="5"/>
        <v>2.0204081632653059</v>
      </c>
      <c r="F44" s="27">
        <v>302.4134434124864</v>
      </c>
      <c r="G44" s="3">
        <f t="shared" si="6"/>
        <v>2.0200000164099312</v>
      </c>
      <c r="H44" s="3"/>
      <c r="I44" s="1">
        <v>302.4134434124864</v>
      </c>
      <c r="J44" s="1">
        <f t="shared" si="7"/>
        <v>0.6</v>
      </c>
      <c r="M44">
        <f t="shared" si="3"/>
        <v>0.24066000000000001</v>
      </c>
      <c r="N44">
        <f t="shared" si="4"/>
        <v>303</v>
      </c>
    </row>
    <row r="45" spans="1:14" x14ac:dyDescent="0.35">
      <c r="A45" s="3"/>
      <c r="B45" s="3"/>
      <c r="C45" s="3"/>
      <c r="D45" s="26">
        <f t="shared" si="8"/>
        <v>0.7</v>
      </c>
      <c r="E45" s="3">
        <f t="shared" si="5"/>
        <v>4.292181069958847</v>
      </c>
      <c r="F45" s="27">
        <v>307.43563787853947</v>
      </c>
      <c r="G45" s="3">
        <f t="shared" si="6"/>
        <v>4.2921000379393321</v>
      </c>
      <c r="H45" s="3"/>
      <c r="I45" s="1">
        <v>307.43563787853947</v>
      </c>
      <c r="J45" s="1">
        <f t="shared" si="7"/>
        <v>0.7</v>
      </c>
      <c r="M45">
        <f t="shared" si="3"/>
        <v>0.25785000000000002</v>
      </c>
      <c r="N45">
        <f t="shared" si="4"/>
        <v>298</v>
      </c>
    </row>
    <row r="46" spans="1:14" x14ac:dyDescent="0.35">
      <c r="A46" s="3"/>
      <c r="B46" s="3"/>
      <c r="C46" s="3"/>
      <c r="D46" s="26">
        <f t="shared" si="8"/>
        <v>0.79999999999999993</v>
      </c>
      <c r="E46" s="3">
        <f t="shared" si="5"/>
        <v>10.374999999999995</v>
      </c>
      <c r="F46" s="27">
        <v>313.53332529356828</v>
      </c>
      <c r="G46" s="3">
        <f t="shared" si="6"/>
        <v>10.375000016149238</v>
      </c>
      <c r="H46" s="3"/>
      <c r="I46" s="1">
        <v>313.53332529356828</v>
      </c>
      <c r="J46" s="1">
        <f t="shared" si="7"/>
        <v>0.79999999999999993</v>
      </c>
      <c r="M46">
        <f t="shared" si="3"/>
        <v>0.27504000000000001</v>
      </c>
      <c r="N46">
        <f t="shared" si="4"/>
        <v>293</v>
      </c>
    </row>
    <row r="47" spans="1:14" x14ac:dyDescent="0.35">
      <c r="A47" s="3"/>
      <c r="B47" s="3"/>
      <c r="C47" s="3"/>
      <c r="D47" s="26">
        <f t="shared" si="8"/>
        <v>0.89999999999999991</v>
      </c>
      <c r="E47" s="3">
        <f t="shared" si="5"/>
        <v>35.042553191489311</v>
      </c>
      <c r="F47" s="27">
        <v>322.34961843339278</v>
      </c>
      <c r="G47" s="3">
        <f t="shared" si="6"/>
        <v>35.040000021237638</v>
      </c>
      <c r="H47" s="3"/>
      <c r="I47" s="1">
        <v>322.34961843339278</v>
      </c>
      <c r="J47" s="1">
        <f t="shared" si="7"/>
        <v>0.89999999999999991</v>
      </c>
      <c r="M47">
        <f t="shared" si="3"/>
        <v>0.29222999999999999</v>
      </c>
      <c r="N47">
        <f t="shared" si="4"/>
        <v>288</v>
      </c>
    </row>
    <row r="48" spans="1:14" x14ac:dyDescent="0.35">
      <c r="A48" s="3"/>
      <c r="B48" s="3"/>
      <c r="C48" s="3"/>
      <c r="D48" s="26">
        <f>0.95</f>
        <v>0.95</v>
      </c>
      <c r="E48" s="3">
        <f t="shared" si="5"/>
        <v>94.506493506493428</v>
      </c>
      <c r="F48" s="27">
        <v>329.91161427439056</v>
      </c>
      <c r="G48" s="3">
        <f t="shared" si="6"/>
        <v>94.499999999260737</v>
      </c>
      <c r="H48" s="3"/>
      <c r="I48" s="1">
        <v>329.91161427439056</v>
      </c>
      <c r="J48" s="1">
        <f>0.95</f>
        <v>0.95</v>
      </c>
      <c r="M48">
        <f t="shared" si="3"/>
        <v>0.30942000000000003</v>
      </c>
      <c r="N48">
        <f t="shared" si="4"/>
        <v>283</v>
      </c>
    </row>
    <row r="49" spans="1:14" x14ac:dyDescent="0.35">
      <c r="A49" s="3"/>
      <c r="B49" s="3"/>
      <c r="C49" s="3"/>
      <c r="D49" s="3"/>
      <c r="E49" s="3"/>
      <c r="F49" s="3"/>
      <c r="G49" s="3"/>
      <c r="H49" s="3"/>
      <c r="M49">
        <f t="shared" si="3"/>
        <v>0.32661000000000001</v>
      </c>
      <c r="N49">
        <f t="shared" si="4"/>
        <v>278</v>
      </c>
    </row>
    <row r="50" spans="1:14" x14ac:dyDescent="0.35">
      <c r="M50">
        <f t="shared" si="3"/>
        <v>0.34379999999999999</v>
      </c>
      <c r="N50">
        <f t="shared" si="4"/>
        <v>273</v>
      </c>
    </row>
    <row r="51" spans="1:14" x14ac:dyDescent="0.35">
      <c r="M51">
        <f t="shared" si="3"/>
        <v>0.36099000000000003</v>
      </c>
      <c r="N51">
        <f t="shared" si="4"/>
        <v>268</v>
      </c>
    </row>
    <row r="52" spans="1:14" x14ac:dyDescent="0.35">
      <c r="M52">
        <f t="shared" si="3"/>
        <v>0.37818000000000002</v>
      </c>
      <c r="N52">
        <f t="shared" si="4"/>
        <v>263</v>
      </c>
    </row>
    <row r="53" spans="1:14" x14ac:dyDescent="0.35">
      <c r="M53">
        <f t="shared" si="3"/>
        <v>0.39537</v>
      </c>
      <c r="N53">
        <f t="shared" si="4"/>
        <v>258</v>
      </c>
    </row>
    <row r="54" spans="1:14" x14ac:dyDescent="0.35">
      <c r="M54">
        <f t="shared" si="3"/>
        <v>0.41256000000000004</v>
      </c>
      <c r="N54">
        <f t="shared" si="4"/>
        <v>253</v>
      </c>
    </row>
    <row r="55" spans="1:14" x14ac:dyDescent="0.35">
      <c r="M55">
        <f t="shared" si="3"/>
        <v>0.42975000000000002</v>
      </c>
      <c r="N55">
        <f t="shared" si="4"/>
        <v>248</v>
      </c>
    </row>
    <row r="56" spans="1:14" x14ac:dyDescent="0.35">
      <c r="M56">
        <f t="shared" si="3"/>
        <v>0.44694</v>
      </c>
      <c r="N56">
        <f t="shared" si="4"/>
        <v>243</v>
      </c>
    </row>
    <row r="57" spans="1:14" x14ac:dyDescent="0.35">
      <c r="M57">
        <f t="shared" si="3"/>
        <v>0.46412999999999999</v>
      </c>
      <c r="N57">
        <f t="shared" si="4"/>
        <v>238</v>
      </c>
    </row>
    <row r="58" spans="1:14" x14ac:dyDescent="0.35">
      <c r="M58">
        <f t="shared" si="3"/>
        <v>0.48132000000000003</v>
      </c>
      <c r="N58">
        <f t="shared" si="4"/>
        <v>233</v>
      </c>
    </row>
    <row r="59" spans="1:14" x14ac:dyDescent="0.35">
      <c r="M59">
        <f t="shared" si="3"/>
        <v>0.49851000000000001</v>
      </c>
      <c r="N59">
        <f t="shared" si="4"/>
        <v>228</v>
      </c>
    </row>
    <row r="60" spans="1:14" x14ac:dyDescent="0.35">
      <c r="M60">
        <f t="shared" si="3"/>
        <v>0.51570000000000005</v>
      </c>
      <c r="N60">
        <f t="shared" si="4"/>
        <v>223</v>
      </c>
    </row>
    <row r="61" spans="1:14" x14ac:dyDescent="0.35">
      <c r="M61">
        <f t="shared" si="3"/>
        <v>0.53288999999999997</v>
      </c>
      <c r="N61">
        <f t="shared" si="4"/>
        <v>218</v>
      </c>
    </row>
    <row r="62" spans="1:14" x14ac:dyDescent="0.35">
      <c r="M62">
        <f t="shared" si="3"/>
        <v>0.55008000000000001</v>
      </c>
      <c r="N62">
        <f t="shared" si="4"/>
        <v>213</v>
      </c>
    </row>
    <row r="63" spans="1:14" x14ac:dyDescent="0.35">
      <c r="M63">
        <f t="shared" si="3"/>
        <v>0.56727000000000005</v>
      </c>
      <c r="N63">
        <f t="shared" si="4"/>
        <v>208</v>
      </c>
    </row>
    <row r="64" spans="1:14" x14ac:dyDescent="0.35">
      <c r="M64">
        <f t="shared" si="3"/>
        <v>0.58445999999999998</v>
      </c>
      <c r="N64">
        <f t="shared" si="4"/>
        <v>203</v>
      </c>
    </row>
    <row r="65" spans="13:14" x14ac:dyDescent="0.35">
      <c r="M65">
        <f t="shared" si="3"/>
        <v>0.60165000000000002</v>
      </c>
      <c r="N65">
        <f t="shared" si="4"/>
        <v>198</v>
      </c>
    </row>
    <row r="66" spans="13:14" x14ac:dyDescent="0.35">
      <c r="M66">
        <f t="shared" si="3"/>
        <v>0.61884000000000006</v>
      </c>
      <c r="N66">
        <f t="shared" si="4"/>
        <v>193</v>
      </c>
    </row>
    <row r="67" spans="13:14" x14ac:dyDescent="0.35">
      <c r="M67">
        <f t="shared" si="3"/>
        <v>0.63602999999999998</v>
      </c>
      <c r="N67">
        <f t="shared" si="4"/>
        <v>188</v>
      </c>
    </row>
    <row r="68" spans="13:14" x14ac:dyDescent="0.35">
      <c r="M68">
        <f t="shared" si="3"/>
        <v>0.65322000000000002</v>
      </c>
      <c r="N68">
        <f t="shared" si="4"/>
        <v>183</v>
      </c>
    </row>
    <row r="69" spans="13:14" x14ac:dyDescent="0.35">
      <c r="M69">
        <f t="shared" si="3"/>
        <v>0.67041000000000006</v>
      </c>
      <c r="N69">
        <f t="shared" si="4"/>
        <v>178</v>
      </c>
    </row>
    <row r="70" spans="13:14" x14ac:dyDescent="0.35">
      <c r="M70">
        <f t="shared" si="3"/>
        <v>0.68759999999999999</v>
      </c>
      <c r="N70">
        <f t="shared" si="4"/>
        <v>173</v>
      </c>
    </row>
    <row r="71" spans="13:14" x14ac:dyDescent="0.35">
      <c r="M71">
        <f t="shared" si="3"/>
        <v>0.70479000000000003</v>
      </c>
      <c r="N71">
        <f t="shared" si="4"/>
        <v>168</v>
      </c>
    </row>
    <row r="72" spans="13:14" x14ac:dyDescent="0.35">
      <c r="M72">
        <f t="shared" si="3"/>
        <v>0.72198000000000007</v>
      </c>
      <c r="N72">
        <f t="shared" si="4"/>
        <v>163</v>
      </c>
    </row>
    <row r="73" spans="13:14" x14ac:dyDescent="0.35">
      <c r="M73">
        <f t="shared" si="3"/>
        <v>0.73916999999999999</v>
      </c>
      <c r="N73">
        <f t="shared" si="4"/>
        <v>158</v>
      </c>
    </row>
    <row r="74" spans="13:14" x14ac:dyDescent="0.35">
      <c r="M74">
        <f t="shared" si="3"/>
        <v>0.75636000000000003</v>
      </c>
      <c r="N74">
        <f t="shared" si="4"/>
        <v>153</v>
      </c>
    </row>
    <row r="75" spans="13:14" x14ac:dyDescent="0.35">
      <c r="M75">
        <f t="shared" si="3"/>
        <v>0.77355000000000007</v>
      </c>
      <c r="N75">
        <f t="shared" si="4"/>
        <v>148</v>
      </c>
    </row>
    <row r="76" spans="13:14" x14ac:dyDescent="0.35">
      <c r="M76">
        <f t="shared" si="3"/>
        <v>0.79074</v>
      </c>
      <c r="N76">
        <f t="shared" si="4"/>
        <v>143</v>
      </c>
    </row>
    <row r="77" spans="13:14" x14ac:dyDescent="0.35">
      <c r="M77">
        <f t="shared" si="3"/>
        <v>0.80793000000000004</v>
      </c>
      <c r="N77">
        <f t="shared" si="4"/>
        <v>138</v>
      </c>
    </row>
    <row r="84" spans="1:15" x14ac:dyDescent="0.35">
      <c r="A84" s="57" t="s">
        <v>51</v>
      </c>
    </row>
    <row r="86" spans="1:15" ht="15" thickBot="1" x14ac:dyDescent="0.4"/>
    <row r="87" spans="1:15" ht="15" thickBot="1" x14ac:dyDescent="0.4">
      <c r="B87" s="75" t="s">
        <v>19</v>
      </c>
      <c r="C87" s="75"/>
      <c r="D87" s="3"/>
      <c r="F87" s="81" t="s">
        <v>23</v>
      </c>
      <c r="G87" s="81"/>
      <c r="H87" s="80" t="s">
        <v>22</v>
      </c>
      <c r="I87" s="80"/>
      <c r="J87" s="80"/>
      <c r="K87" s="80"/>
      <c r="L87" s="3"/>
      <c r="M87" s="23" t="s">
        <v>25</v>
      </c>
      <c r="N87" s="23" t="s">
        <v>16</v>
      </c>
      <c r="O87" s="23" t="s">
        <v>17</v>
      </c>
    </row>
    <row r="88" spans="1:15" x14ac:dyDescent="0.35">
      <c r="B88" s="8" t="s">
        <v>20</v>
      </c>
      <c r="C88" s="9">
        <v>363</v>
      </c>
      <c r="D88" s="3"/>
      <c r="F88" s="14" t="s">
        <v>2</v>
      </c>
      <c r="G88" s="3">
        <f>C90/10</f>
        <v>1.4499999999999999E-2</v>
      </c>
      <c r="H88" s="18" t="s">
        <v>4</v>
      </c>
      <c r="I88" s="18" t="s">
        <v>3</v>
      </c>
      <c r="J88" s="3"/>
      <c r="K88" s="3"/>
      <c r="L88" s="3"/>
      <c r="M88" s="56">
        <f>K101*C91</f>
        <v>14281.117278221962</v>
      </c>
      <c r="N88" s="56">
        <f>M88*O88</f>
        <v>14.281117278221963</v>
      </c>
      <c r="O88" s="56">
        <f>0.001</f>
        <v>1E-3</v>
      </c>
    </row>
    <row r="89" spans="1:15" x14ac:dyDescent="0.35">
      <c r="B89" s="10" t="s">
        <v>5</v>
      </c>
      <c r="C89" s="11">
        <v>0.28999999999999998</v>
      </c>
      <c r="D89" s="3"/>
      <c r="E89" s="3"/>
      <c r="F89" s="3"/>
      <c r="G89" s="3"/>
      <c r="H89" s="19">
        <f>0</f>
        <v>0</v>
      </c>
      <c r="I89" s="19">
        <f>1/(20*(C104*$C$14*(1-H89)*($C$15-$C$14*H89))-(D104*($C$14*H89)*($C$16+$C$14*H89)))</f>
        <v>13164.290365500721</v>
      </c>
      <c r="J89" s="7">
        <v>1</v>
      </c>
      <c r="K89" s="3">
        <f>I89*J89</f>
        <v>13164.290365500721</v>
      </c>
      <c r="L89" s="3"/>
      <c r="M89" s="3"/>
      <c r="N89" s="3"/>
      <c r="O89" s="3"/>
    </row>
    <row r="90" spans="1:15" x14ac:dyDescent="0.35">
      <c r="B90" s="10" t="s">
        <v>21</v>
      </c>
      <c r="C90" s="11">
        <f>C89*0.5</f>
        <v>0.14499999999999999</v>
      </c>
      <c r="D90" s="3"/>
      <c r="E90" s="3"/>
      <c r="F90" s="3"/>
      <c r="G90" s="3"/>
      <c r="H90" s="19">
        <f>H89+$G$88</f>
        <v>1.4499999999999999E-2</v>
      </c>
      <c r="I90" s="19">
        <f t="shared" ref="I90:I99" si="9">1/(20*(C105*$C$14*(1-H90)*($C$15-$C$14*H90))-(D105*($C$14*H90)*($C$16+$C$14*H90)))</f>
        <v>16543.93126718685</v>
      </c>
      <c r="J90" s="7">
        <v>4</v>
      </c>
      <c r="K90" s="3">
        <f t="shared" ref="K90:K99" si="10">I90*J90</f>
        <v>66175.725068747401</v>
      </c>
      <c r="L90" s="3"/>
      <c r="M90" s="16" t="s">
        <v>26</v>
      </c>
      <c r="N90" s="16" t="s">
        <v>28</v>
      </c>
    </row>
    <row r="91" spans="1:15" x14ac:dyDescent="0.35">
      <c r="B91" s="10" t="s">
        <v>13</v>
      </c>
      <c r="C91" s="11">
        <f>85*20/1000</f>
        <v>1.7</v>
      </c>
      <c r="D91" s="3"/>
      <c r="E91" s="3"/>
      <c r="F91" s="3"/>
      <c r="G91" s="3"/>
      <c r="H91" s="19">
        <f t="shared" ref="H91:H99" si="11">H90+$G$88</f>
        <v>2.8999999999999998E-2</v>
      </c>
      <c r="I91" s="19">
        <f t="shared" si="9"/>
        <v>20899.24544777138</v>
      </c>
      <c r="J91" s="7">
        <v>2</v>
      </c>
      <c r="K91" s="3">
        <f t="shared" si="10"/>
        <v>41798.49089554276</v>
      </c>
      <c r="L91" s="3"/>
      <c r="M91" s="3">
        <f>M88/3600</f>
        <v>3.9669770217283227</v>
      </c>
      <c r="N91" s="56">
        <f>O88*1000</f>
        <v>1</v>
      </c>
      <c r="O91" s="3"/>
    </row>
    <row r="92" spans="1:15" x14ac:dyDescent="0.35">
      <c r="B92" s="10" t="s">
        <v>11</v>
      </c>
      <c r="C92" s="11">
        <f>100*20/1000</f>
        <v>2</v>
      </c>
      <c r="D92" s="3"/>
      <c r="E92" s="3"/>
      <c r="F92" s="3"/>
      <c r="G92" s="3"/>
      <c r="H92" s="19">
        <f t="shared" si="11"/>
        <v>4.3499999999999997E-2</v>
      </c>
      <c r="I92" s="19">
        <f t="shared" si="9"/>
        <v>26543.246777412671</v>
      </c>
      <c r="J92" s="7">
        <v>4</v>
      </c>
      <c r="K92" s="3">
        <f t="shared" si="10"/>
        <v>106172.98710965068</v>
      </c>
      <c r="L92" s="3"/>
    </row>
    <row r="93" spans="1:15" x14ac:dyDescent="0.35">
      <c r="B93" s="10" t="s">
        <v>12</v>
      </c>
      <c r="C93" s="11">
        <f>0.015*20</f>
        <v>0.3</v>
      </c>
      <c r="D93" s="3"/>
      <c r="E93" s="3"/>
      <c r="F93" s="3"/>
      <c r="G93" s="3"/>
      <c r="H93" s="19">
        <f t="shared" si="11"/>
        <v>5.7999999999999996E-2</v>
      </c>
      <c r="I93" s="19">
        <f t="shared" si="9"/>
        <v>33899.554978249544</v>
      </c>
      <c r="J93" s="7">
        <v>2</v>
      </c>
      <c r="K93" s="3">
        <f t="shared" si="10"/>
        <v>67799.109956499087</v>
      </c>
      <c r="L93" s="3"/>
    </row>
    <row r="94" spans="1:15" x14ac:dyDescent="0.35">
      <c r="B94" s="10" t="s">
        <v>0</v>
      </c>
      <c r="C94" s="11">
        <f>31.6*EXP(-51740/(8.314*363))</f>
        <v>1.1328783256980585E-6</v>
      </c>
      <c r="D94" s="3"/>
      <c r="E94" s="3"/>
      <c r="F94" s="3"/>
      <c r="G94" s="3"/>
      <c r="H94" s="19">
        <f t="shared" si="11"/>
        <v>7.2499999999999995E-2</v>
      </c>
      <c r="I94" s="19">
        <f t="shared" si="9"/>
        <v>43545.144479556351</v>
      </c>
      <c r="J94" s="7">
        <v>4</v>
      </c>
      <c r="K94" s="3">
        <f t="shared" si="10"/>
        <v>174180.5779182254</v>
      </c>
      <c r="L94" s="3"/>
      <c r="M94" s="3"/>
      <c r="N94" s="3"/>
      <c r="O94" s="3"/>
    </row>
    <row r="95" spans="1:15" x14ac:dyDescent="0.35">
      <c r="B95" s="10" t="s">
        <v>1</v>
      </c>
      <c r="C95" s="11">
        <f>2.253*EXP(-45280/(8.314*363))</f>
        <v>6.8685661748213042E-7</v>
      </c>
      <c r="D95" s="3"/>
      <c r="E95" s="3"/>
      <c r="F95" s="3"/>
      <c r="G95" s="3"/>
      <c r="H95" s="19">
        <f t="shared" si="11"/>
        <v>8.6999999999999994E-2</v>
      </c>
      <c r="I95" s="19">
        <f t="shared" si="9"/>
        <v>56271.064581221988</v>
      </c>
      <c r="J95" s="7">
        <v>2</v>
      </c>
      <c r="K95" s="3">
        <f t="shared" si="10"/>
        <v>112542.12916244398</v>
      </c>
      <c r="L95" s="3"/>
      <c r="M95" s="3"/>
      <c r="N95" s="3"/>
      <c r="O95" s="3"/>
    </row>
    <row r="96" spans="1:15" x14ac:dyDescent="0.35">
      <c r="B96" s="10" t="s">
        <v>14</v>
      </c>
      <c r="C96" s="11">
        <v>20</v>
      </c>
      <c r="D96" s="3"/>
      <c r="E96" s="3"/>
      <c r="F96" s="3"/>
      <c r="G96" s="3"/>
      <c r="H96" s="19">
        <f t="shared" si="11"/>
        <v>0.10149999999999999</v>
      </c>
      <c r="I96" s="19">
        <f t="shared" si="9"/>
        <v>73169.311163114151</v>
      </c>
      <c r="J96" s="7">
        <v>4</v>
      </c>
      <c r="K96" s="3">
        <f t="shared" si="10"/>
        <v>292677.2446524566</v>
      </c>
      <c r="L96" s="3"/>
      <c r="M96" s="3"/>
      <c r="N96" s="3"/>
      <c r="O96" s="3"/>
    </row>
    <row r="97" spans="2:15" ht="15" thickBot="1" x14ac:dyDescent="0.4">
      <c r="B97" s="12" t="s">
        <v>52</v>
      </c>
      <c r="C97" s="13">
        <v>363</v>
      </c>
      <c r="D97" s="3"/>
      <c r="E97" s="3"/>
      <c r="F97" s="3"/>
      <c r="G97" s="3"/>
      <c r="H97" s="19">
        <f t="shared" si="11"/>
        <v>0.11599999999999999</v>
      </c>
      <c r="I97" s="19">
        <f t="shared" si="9"/>
        <v>95758.046674306068</v>
      </c>
      <c r="J97" s="7">
        <v>2</v>
      </c>
      <c r="K97" s="3">
        <f t="shared" si="10"/>
        <v>191516.09334861214</v>
      </c>
      <c r="L97" s="3"/>
      <c r="M97" s="3"/>
      <c r="N97" s="3"/>
      <c r="O97" s="3"/>
    </row>
    <row r="98" spans="2:15" x14ac:dyDescent="0.35">
      <c r="B98" s="3"/>
      <c r="C98" s="3"/>
      <c r="D98" s="3"/>
      <c r="E98" s="3"/>
      <c r="F98" s="3"/>
      <c r="G98" s="3"/>
      <c r="H98" s="19">
        <f t="shared" si="11"/>
        <v>0.1305</v>
      </c>
      <c r="I98" s="19">
        <f t="shared" si="9"/>
        <v>126163.50223401898</v>
      </c>
      <c r="J98" s="7">
        <v>4</v>
      </c>
      <c r="K98" s="3">
        <f t="shared" si="10"/>
        <v>504654.0089360759</v>
      </c>
      <c r="L98" s="3"/>
      <c r="M98" s="3"/>
      <c r="N98" s="3"/>
      <c r="O98" s="3"/>
    </row>
    <row r="99" spans="2:15" x14ac:dyDescent="0.35">
      <c r="B99" s="3"/>
      <c r="C99" s="3"/>
      <c r="D99" s="3"/>
      <c r="E99" s="3"/>
      <c r="F99" s="3"/>
      <c r="G99" s="3"/>
      <c r="H99" s="19">
        <f t="shared" si="11"/>
        <v>0.14500000000000002</v>
      </c>
      <c r="I99" s="19">
        <f t="shared" si="9"/>
        <v>167386.35413455759</v>
      </c>
      <c r="J99" s="7">
        <v>1</v>
      </c>
      <c r="K99" s="3">
        <f t="shared" si="10"/>
        <v>167386.35413455759</v>
      </c>
      <c r="L99" s="3"/>
      <c r="M99" s="3"/>
      <c r="N99" s="3"/>
      <c r="O99" s="3"/>
    </row>
    <row r="100" spans="2:15" ht="15" thickBot="1" x14ac:dyDescent="0.4">
      <c r="B100" s="3"/>
      <c r="C100" s="3"/>
      <c r="D100" s="3"/>
      <c r="E100" s="3"/>
      <c r="F100" s="3"/>
      <c r="G100" s="3"/>
      <c r="J100" s="3"/>
      <c r="K100" s="3">
        <f>SUM(K89:K99)</f>
        <v>1738067.0115483121</v>
      </c>
      <c r="L100" s="56" t="s">
        <v>15</v>
      </c>
      <c r="M100" s="3"/>
      <c r="N100" s="3"/>
      <c r="O100" s="3"/>
    </row>
    <row r="101" spans="2:15" ht="16" thickBot="1" x14ac:dyDescent="0.4">
      <c r="B101" s="3"/>
      <c r="C101" s="3"/>
      <c r="D101" s="3"/>
      <c r="E101" s="3"/>
      <c r="F101" s="3"/>
      <c r="G101" s="3"/>
      <c r="J101" s="3"/>
      <c r="K101" s="21">
        <f>K100*(G88/3)</f>
        <v>8400.6572224835072</v>
      </c>
      <c r="L101" s="22" t="s">
        <v>27</v>
      </c>
      <c r="M101" s="3"/>
      <c r="N101" s="3"/>
      <c r="O101" s="3"/>
    </row>
    <row r="103" spans="2:15" x14ac:dyDescent="0.35">
      <c r="B103" s="55" t="s">
        <v>4</v>
      </c>
      <c r="C103" s="55" t="s">
        <v>0</v>
      </c>
      <c r="D103" s="55" t="s">
        <v>1</v>
      </c>
    </row>
    <row r="104" spans="2:15" x14ac:dyDescent="0.35">
      <c r="B104" s="19">
        <f>0</f>
        <v>0</v>
      </c>
      <c r="C104">
        <f>31.16*EXP(-51740/(8.314*((-290.72*B104)+$C$97)))</f>
        <v>1.1171040705301109E-6</v>
      </c>
      <c r="D104">
        <f>2.25*EXP(-45280/(8.314*((-290.72*B104)+363)))</f>
        <v>6.8594202811131523E-7</v>
      </c>
    </row>
    <row r="105" spans="2:15" x14ac:dyDescent="0.35">
      <c r="B105" s="19">
        <f>B104+$G$88</f>
        <v>1.4499999999999999E-2</v>
      </c>
      <c r="C105">
        <f t="shared" ref="C105:C114" si="12">31.16*EXP(-51740/(8.314*((-290.72*B105)+$C$97)))</f>
        <v>9.1330270846704738E-7</v>
      </c>
      <c r="D105">
        <f t="shared" ref="D105:D114" si="13">2.25*EXP(-45280/(8.314*((-290.72*B105)+363)))</f>
        <v>5.7508323221120741E-7</v>
      </c>
    </row>
    <row r="106" spans="2:15" x14ac:dyDescent="0.35">
      <c r="B106" s="19">
        <f t="shared" ref="B106:B114" si="14">B105+$G$88</f>
        <v>2.8999999999999998E-2</v>
      </c>
      <c r="C106">
        <f t="shared" si="12"/>
        <v>7.4311460987974714E-7</v>
      </c>
      <c r="D106">
        <f t="shared" si="13"/>
        <v>4.8012425394702631E-7</v>
      </c>
    </row>
    <row r="107" spans="2:15" x14ac:dyDescent="0.35">
      <c r="B107" s="19">
        <f t="shared" si="14"/>
        <v>4.3499999999999997E-2</v>
      </c>
      <c r="C107">
        <f t="shared" si="12"/>
        <v>6.0164694440583754E-7</v>
      </c>
      <c r="D107">
        <f t="shared" si="13"/>
        <v>3.9910808625940217E-7</v>
      </c>
    </row>
    <row r="108" spans="2:15" x14ac:dyDescent="0.35">
      <c r="B108" s="19">
        <f t="shared" si="14"/>
        <v>5.7999999999999996E-2</v>
      </c>
      <c r="C108">
        <f t="shared" si="12"/>
        <v>4.8461154193797107E-7</v>
      </c>
      <c r="D108">
        <f t="shared" si="13"/>
        <v>3.3027252146949103E-7</v>
      </c>
    </row>
    <row r="109" spans="2:15" x14ac:dyDescent="0.35">
      <c r="B109" s="19">
        <f t="shared" si="14"/>
        <v>7.2499999999999995E-2</v>
      </c>
      <c r="C109">
        <f t="shared" si="12"/>
        <v>3.8826593787018119E-7</v>
      </c>
      <c r="D109">
        <f t="shared" si="13"/>
        <v>2.720364409113364E-7</v>
      </c>
    </row>
    <row r="110" spans="2:15" x14ac:dyDescent="0.35">
      <c r="B110" s="19">
        <f t="shared" si="14"/>
        <v>8.6999999999999994E-2</v>
      </c>
      <c r="C110">
        <f t="shared" si="12"/>
        <v>3.0935816562486163E-7</v>
      </c>
      <c r="D110">
        <f t="shared" si="13"/>
        <v>2.2298648269985966E-7</v>
      </c>
    </row>
    <row r="111" spans="2:15" x14ac:dyDescent="0.35">
      <c r="B111" s="19">
        <f t="shared" si="14"/>
        <v>0.10149999999999999</v>
      </c>
      <c r="C111">
        <f t="shared" si="12"/>
        <v>2.4507527328475244E-7</v>
      </c>
      <c r="D111">
        <f t="shared" si="13"/>
        <v>1.8186412856297291E-7</v>
      </c>
    </row>
    <row r="112" spans="2:15" x14ac:dyDescent="0.35">
      <c r="B112" s="19">
        <f t="shared" si="14"/>
        <v>0.11599999999999999</v>
      </c>
      <c r="C112">
        <f t="shared" si="12"/>
        <v>1.9299551965917879E-7</v>
      </c>
      <c r="D112">
        <f t="shared" si="13"/>
        <v>1.4755324722861546E-7</v>
      </c>
    </row>
    <row r="113" spans="2:4" x14ac:dyDescent="0.35">
      <c r="B113" s="19">
        <f t="shared" si="14"/>
        <v>0.1305</v>
      </c>
      <c r="C113">
        <f t="shared" si="12"/>
        <v>1.5104418453493378E-7</v>
      </c>
      <c r="D113">
        <f t="shared" si="13"/>
        <v>1.1906812809841036E-7</v>
      </c>
    </row>
    <row r="114" spans="2:4" x14ac:dyDescent="0.35">
      <c r="B114" s="19">
        <f t="shared" si="14"/>
        <v>0.14500000000000002</v>
      </c>
      <c r="C114">
        <f t="shared" si="12"/>
        <v>1.1745290842138743E-7</v>
      </c>
      <c r="D114">
        <f t="shared" si="13"/>
        <v>9.5542034892691557E-8</v>
      </c>
    </row>
  </sheetData>
  <mergeCells count="11">
    <mergeCell ref="A1:C3"/>
    <mergeCell ref="B87:C87"/>
    <mergeCell ref="H87:K87"/>
    <mergeCell ref="F87:G87"/>
    <mergeCell ref="M9:O9"/>
    <mergeCell ref="A29:C31"/>
    <mergeCell ref="D35:G35"/>
    <mergeCell ref="I36:J36"/>
    <mergeCell ref="B10:C10"/>
    <mergeCell ref="H10:K10"/>
    <mergeCell ref="H23:I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DE07A-6D4F-4D4D-B30E-94B51EDA5450}">
  <dimension ref="A1:O108"/>
  <sheetViews>
    <sheetView tabSelected="1" topLeftCell="A91" workbookViewId="0">
      <selection activeCell="J110" sqref="J110"/>
    </sheetView>
  </sheetViews>
  <sheetFormatPr baseColWidth="10" defaultRowHeight="14.5" x14ac:dyDescent="0.35"/>
  <cols>
    <col min="1" max="1" width="19.6328125" bestFit="1" customWidth="1"/>
    <col min="2" max="3" width="11.81640625" bestFit="1" customWidth="1"/>
    <col min="8" max="8" width="11.81640625" bestFit="1" customWidth="1"/>
  </cols>
  <sheetData>
    <row r="1" spans="1:6" ht="14.5" customHeight="1" x14ac:dyDescent="0.35">
      <c r="A1" t="s">
        <v>73</v>
      </c>
    </row>
    <row r="2" spans="1:6" ht="14.5" customHeight="1" x14ac:dyDescent="0.35">
      <c r="A2" s="87" t="s">
        <v>72</v>
      </c>
      <c r="B2" s="87"/>
    </row>
    <row r="3" spans="1:6" ht="14.5" customHeight="1" x14ac:dyDescent="0.35">
      <c r="A3" s="64" t="s">
        <v>71</v>
      </c>
      <c r="B3" s="64">
        <f>31.1667*EXP(-51740/(8.314*(90+273)))</f>
        <v>1.1173442694156228E-6</v>
      </c>
    </row>
    <row r="4" spans="1:6" ht="14.5" customHeight="1" x14ac:dyDescent="0.35">
      <c r="A4" s="64" t="s">
        <v>70</v>
      </c>
      <c r="B4" s="64">
        <f>2.2533*EXP(-45280/(8.314*(90+273)))</f>
        <v>6.869480764192118E-7</v>
      </c>
      <c r="D4" s="63"/>
      <c r="E4" s="63"/>
      <c r="F4" s="63"/>
    </row>
    <row r="5" spans="1:6" ht="14.5" customHeight="1" x14ac:dyDescent="0.35">
      <c r="A5" s="64" t="s">
        <v>4</v>
      </c>
      <c r="B5" s="64">
        <f>0.5*0.29</f>
        <v>0.14499999999999999</v>
      </c>
      <c r="D5" s="63"/>
      <c r="E5" s="63"/>
      <c r="F5" s="63"/>
    </row>
    <row r="6" spans="1:6" ht="14.5" customHeight="1" x14ac:dyDescent="0.35">
      <c r="A6" s="64" t="s">
        <v>69</v>
      </c>
      <c r="B6" s="64">
        <v>1.7</v>
      </c>
      <c r="D6" s="63"/>
      <c r="E6" s="63"/>
      <c r="F6" s="63"/>
    </row>
    <row r="7" spans="1:6" x14ac:dyDescent="0.35">
      <c r="A7" s="64" t="s">
        <v>68</v>
      </c>
      <c r="B7" s="64">
        <v>2</v>
      </c>
    </row>
    <row r="8" spans="1:6" x14ac:dyDescent="0.35">
      <c r="A8" s="64" t="s">
        <v>67</v>
      </c>
      <c r="B8" s="64">
        <f>2-B6</f>
        <v>0.30000000000000004</v>
      </c>
    </row>
    <row r="9" spans="1:6" x14ac:dyDescent="0.35">
      <c r="A9" s="64" t="s">
        <v>46</v>
      </c>
      <c r="B9" s="64">
        <f>1/1000</f>
        <v>1E-3</v>
      </c>
    </row>
    <row r="11" spans="1:6" x14ac:dyDescent="0.35">
      <c r="A11" t="s">
        <v>4</v>
      </c>
      <c r="B11" t="s">
        <v>66</v>
      </c>
      <c r="C11" t="s">
        <v>65</v>
      </c>
      <c r="D11" t="s">
        <v>64</v>
      </c>
      <c r="E11" t="s">
        <v>63</v>
      </c>
      <c r="F11" t="s">
        <v>3</v>
      </c>
    </row>
    <row r="12" spans="1:6" x14ac:dyDescent="0.35">
      <c r="A12">
        <v>0.14499999999999999</v>
      </c>
      <c r="B12">
        <f t="shared" ref="B12:B41" si="0">$B$3*$B$6*(1-A12)*($B$7-$B$6*A12)</f>
        <v>2.8477890269268983E-6</v>
      </c>
      <c r="C12">
        <f t="shared" ref="C12:C41" si="1">$B$4*$B$6*A12*($B$8+$B$6*A12)</f>
        <v>9.2540321007603954E-8</v>
      </c>
      <c r="D12">
        <f t="shared" ref="D12:D41" si="2">1/(20*(B12-C12))</f>
        <v>18147.182101050075</v>
      </c>
      <c r="E12">
        <v>1</v>
      </c>
      <c r="F12">
        <f t="shared" ref="F12:F41" si="3">D12*E12</f>
        <v>18147.182101050075</v>
      </c>
    </row>
    <row r="13" spans="1:6" x14ac:dyDescent="0.35">
      <c r="A13">
        <f t="shared" ref="A13:A41" si="4">A12+0.005</f>
        <v>0.15</v>
      </c>
      <c r="B13">
        <f t="shared" si="0"/>
        <v>2.8174115089382285E-6</v>
      </c>
      <c r="C13">
        <f t="shared" si="1"/>
        <v>9.722032651522895E-8</v>
      </c>
      <c r="D13">
        <f t="shared" si="2"/>
        <v>18381.060979494352</v>
      </c>
      <c r="E13">
        <v>4</v>
      </c>
      <c r="F13">
        <f t="shared" si="3"/>
        <v>73524.243917977408</v>
      </c>
    </row>
    <row r="14" spans="1:6" x14ac:dyDescent="0.35">
      <c r="A14">
        <f t="shared" si="4"/>
        <v>0.155</v>
      </c>
      <c r="B14">
        <f t="shared" si="0"/>
        <v>2.7871954471964886E-6</v>
      </c>
      <c r="C14">
        <f t="shared" si="1"/>
        <v>1.0199959601989652E-7</v>
      </c>
      <c r="D14">
        <f t="shared" si="2"/>
        <v>18620.615691064446</v>
      </c>
      <c r="E14">
        <v>2</v>
      </c>
      <c r="F14">
        <f t="shared" si="3"/>
        <v>37241.231382128892</v>
      </c>
    </row>
    <row r="15" spans="1:6" x14ac:dyDescent="0.35">
      <c r="A15">
        <f t="shared" si="4"/>
        <v>0.16</v>
      </c>
      <c r="B15">
        <f t="shared" si="0"/>
        <v>2.75714084170168E-6</v>
      </c>
      <c r="C15">
        <f t="shared" si="1"/>
        <v>1.0687812952160665E-7</v>
      </c>
      <c r="D15">
        <f t="shared" si="2"/>
        <v>18866.054210478858</v>
      </c>
      <c r="E15">
        <v>4</v>
      </c>
      <c r="F15">
        <f t="shared" si="3"/>
        <v>75464.216841915433</v>
      </c>
    </row>
    <row r="16" spans="1:6" x14ac:dyDescent="0.35">
      <c r="A16">
        <f t="shared" si="4"/>
        <v>0.16500000000000001</v>
      </c>
      <c r="B16">
        <f t="shared" si="0"/>
        <v>2.7272476924538018E-6</v>
      </c>
      <c r="C16">
        <f t="shared" si="1"/>
        <v>1.1185592702035936E-7</v>
      </c>
      <c r="D16">
        <f t="shared" si="2"/>
        <v>19117.594794336143</v>
      </c>
      <c r="E16">
        <v>2</v>
      </c>
      <c r="F16">
        <f t="shared" si="3"/>
        <v>38235.189588672285</v>
      </c>
    </row>
    <row r="17" spans="1:11" x14ac:dyDescent="0.35">
      <c r="A17">
        <f t="shared" si="4"/>
        <v>0.17</v>
      </c>
      <c r="B17">
        <f t="shared" si="0"/>
        <v>2.6975159994528536E-6</v>
      </c>
      <c r="C17">
        <f t="shared" si="1"/>
        <v>1.1693298851615467E-7</v>
      </c>
      <c r="D17">
        <f t="shared" si="2"/>
        <v>19375.466624439654</v>
      </c>
      <c r="E17">
        <v>4</v>
      </c>
      <c r="F17">
        <f t="shared" si="3"/>
        <v>77501.866497758616</v>
      </c>
    </row>
    <row r="18" spans="1:11" x14ac:dyDescent="0.35">
      <c r="A18">
        <f t="shared" si="4"/>
        <v>0.17500000000000002</v>
      </c>
      <c r="B18">
        <f t="shared" si="0"/>
        <v>2.6679457626988366E-6</v>
      </c>
      <c r="C18">
        <f t="shared" si="1"/>
        <v>1.2210931400899255E-7</v>
      </c>
      <c r="D18">
        <f t="shared" si="2"/>
        <v>19639.910500036774</v>
      </c>
      <c r="E18">
        <v>2</v>
      </c>
      <c r="F18">
        <f t="shared" si="3"/>
        <v>39279.821000073549</v>
      </c>
    </row>
    <row r="19" spans="1:11" x14ac:dyDescent="0.35">
      <c r="A19">
        <f t="shared" si="4"/>
        <v>0.18000000000000002</v>
      </c>
      <c r="B19">
        <f t="shared" si="0"/>
        <v>2.63853698219175E-6</v>
      </c>
      <c r="C19">
        <f t="shared" si="1"/>
        <v>1.2738490349887299E-7</v>
      </c>
      <c r="D19">
        <f t="shared" si="2"/>
        <v>19911.179583367313</v>
      </c>
      <c r="E19">
        <v>4</v>
      </c>
      <c r="F19">
        <f t="shared" si="3"/>
        <v>79644.718333469253</v>
      </c>
    </row>
    <row r="20" spans="1:11" x14ac:dyDescent="0.35">
      <c r="A20">
        <f t="shared" si="4"/>
        <v>0.18500000000000003</v>
      </c>
      <c r="B20">
        <f t="shared" si="0"/>
        <v>2.6092896579315946E-6</v>
      </c>
      <c r="C20">
        <f t="shared" si="1"/>
        <v>1.32759756985796E-7</v>
      </c>
      <c r="D20">
        <f t="shared" si="2"/>
        <v>20189.540203372777</v>
      </c>
      <c r="E20">
        <v>2</v>
      </c>
      <c r="F20">
        <f t="shared" si="3"/>
        <v>40379.080406745554</v>
      </c>
    </row>
    <row r="21" spans="1:11" x14ac:dyDescent="0.35">
      <c r="A21">
        <f t="shared" si="4"/>
        <v>0.19000000000000003</v>
      </c>
      <c r="B21">
        <f t="shared" si="0"/>
        <v>2.5802037899183692E-6</v>
      </c>
      <c r="C21">
        <f t="shared" si="1"/>
        <v>1.382338744697616E-7</v>
      </c>
      <c r="D21">
        <f t="shared" si="2"/>
        <v>20475.272722929774</v>
      </c>
      <c r="E21">
        <v>4</v>
      </c>
      <c r="F21">
        <f t="shared" si="3"/>
        <v>81901.090891719097</v>
      </c>
    </row>
    <row r="22" spans="1:11" x14ac:dyDescent="0.35">
      <c r="A22">
        <f t="shared" si="4"/>
        <v>0.19500000000000003</v>
      </c>
      <c r="B22">
        <f t="shared" si="0"/>
        <v>2.5512793781520737E-6</v>
      </c>
      <c r="C22">
        <f t="shared" si="1"/>
        <v>1.438072559507698E-7</v>
      </c>
      <c r="D22">
        <f t="shared" si="2"/>
        <v>20768.672475543284</v>
      </c>
      <c r="E22">
        <v>2</v>
      </c>
      <c r="F22">
        <f t="shared" si="3"/>
        <v>41537.344951086568</v>
      </c>
    </row>
    <row r="23" spans="1:11" x14ac:dyDescent="0.35">
      <c r="A23">
        <f t="shared" si="4"/>
        <v>0.20000000000000004</v>
      </c>
      <c r="B23">
        <f t="shared" si="0"/>
        <v>2.5225164226327095E-6</v>
      </c>
      <c r="C23">
        <f t="shared" si="1"/>
        <v>1.4947990142882054E-7</v>
      </c>
      <c r="D23">
        <f t="shared" si="2"/>
        <v>21070.050778078203</v>
      </c>
      <c r="E23">
        <v>4</v>
      </c>
      <c r="F23">
        <f t="shared" si="3"/>
        <v>84280.203112312811</v>
      </c>
    </row>
    <row r="24" spans="1:11" x14ac:dyDescent="0.35">
      <c r="A24">
        <f t="shared" si="4"/>
        <v>0.20500000000000004</v>
      </c>
      <c r="B24">
        <f t="shared" si="0"/>
        <v>2.4939149233602757E-6</v>
      </c>
      <c r="C24">
        <f t="shared" si="1"/>
        <v>1.5525181090391382E-7</v>
      </c>
      <c r="D24">
        <f t="shared" si="2"/>
        <v>21379.73602682929</v>
      </c>
      <c r="E24">
        <v>2</v>
      </c>
      <c r="F24">
        <f t="shared" si="3"/>
        <v>42759.472053658581</v>
      </c>
    </row>
    <row r="25" spans="1:11" x14ac:dyDescent="0.35">
      <c r="A25">
        <f t="shared" si="4"/>
        <v>0.21000000000000005</v>
      </c>
      <c r="B25">
        <f t="shared" si="0"/>
        <v>2.4654748803347723E-6</v>
      </c>
      <c r="C25">
        <f t="shared" si="1"/>
        <v>1.6112298437604978E-7</v>
      </c>
      <c r="D25">
        <f t="shared" si="2"/>
        <v>21698.07488504162</v>
      </c>
      <c r="E25">
        <v>4</v>
      </c>
      <c r="F25">
        <f t="shared" si="3"/>
        <v>86792.299540166481</v>
      </c>
    </row>
    <row r="26" spans="1:11" x14ac:dyDescent="0.35">
      <c r="A26">
        <f t="shared" si="4"/>
        <v>0.21500000000000005</v>
      </c>
      <c r="B26">
        <f t="shared" si="0"/>
        <v>2.4371962935561997E-6</v>
      </c>
      <c r="C26">
        <f t="shared" si="1"/>
        <v>1.6709342184522826E-7</v>
      </c>
      <c r="D26">
        <f t="shared" si="2"/>
        <v>22025.433570909106</v>
      </c>
      <c r="E26">
        <v>2</v>
      </c>
      <c r="F26">
        <f t="shared" si="3"/>
        <v>44050.867141818213</v>
      </c>
    </row>
    <row r="27" spans="1:11" x14ac:dyDescent="0.35">
      <c r="A27">
        <f t="shared" si="4"/>
        <v>0.22000000000000006</v>
      </c>
      <c r="B27">
        <f t="shared" si="0"/>
        <v>2.4090791630245579E-6</v>
      </c>
      <c r="C27">
        <f t="shared" si="1"/>
        <v>1.7316312331144933E-7</v>
      </c>
      <c r="D27">
        <f t="shared" si="2"/>
        <v>22362.199256111391</v>
      </c>
      <c r="E27">
        <v>4</v>
      </c>
      <c r="F27">
        <f t="shared" si="3"/>
        <v>89448.797024445565</v>
      </c>
    </row>
    <row r="28" spans="1:11" x14ac:dyDescent="0.35">
      <c r="A28">
        <f t="shared" si="4"/>
        <v>0.22500000000000006</v>
      </c>
      <c r="B28">
        <f t="shared" si="0"/>
        <v>2.381123488739846E-6</v>
      </c>
      <c r="C28">
        <f t="shared" si="1"/>
        <v>1.7933208877471291E-7</v>
      </c>
      <c r="D28">
        <f t="shared" si="2"/>
        <v>22708.78158611746</v>
      </c>
      <c r="E28">
        <v>2</v>
      </c>
      <c r="F28">
        <f t="shared" si="3"/>
        <v>45417.563172234921</v>
      </c>
    </row>
    <row r="29" spans="1:11" x14ac:dyDescent="0.35">
      <c r="A29">
        <f t="shared" si="4"/>
        <v>0.23000000000000007</v>
      </c>
      <c r="B29">
        <f t="shared" si="0"/>
        <v>2.3533292707020654E-6</v>
      </c>
      <c r="C29">
        <f t="shared" si="1"/>
        <v>1.8560031823501912E-7</v>
      </c>
      <c r="D29">
        <f t="shared" si="2"/>
        <v>23065.614334806971</v>
      </c>
      <c r="E29">
        <v>4</v>
      </c>
      <c r="F29">
        <f t="shared" si="3"/>
        <v>92262.457339227883</v>
      </c>
      <c r="H29" s="70" t="s">
        <v>62</v>
      </c>
      <c r="I29" s="71">
        <f>F43*B6</f>
        <v>5476.0809678506675</v>
      </c>
      <c r="J29" s="70" t="s">
        <v>61</v>
      </c>
      <c r="K29" s="71">
        <f>I29/3600</f>
        <v>1.5211336021807409</v>
      </c>
    </row>
    <row r="30" spans="1:11" x14ac:dyDescent="0.35">
      <c r="A30">
        <f t="shared" si="4"/>
        <v>0.23500000000000007</v>
      </c>
      <c r="B30">
        <f t="shared" si="0"/>
        <v>2.3256965089112144E-6</v>
      </c>
      <c r="C30">
        <f t="shared" si="1"/>
        <v>1.9196781169236795E-7</v>
      </c>
      <c r="D30">
        <f t="shared" si="2"/>
        <v>23433.157207460918</v>
      </c>
      <c r="E30">
        <v>2</v>
      </c>
      <c r="F30">
        <f t="shared" si="3"/>
        <v>46866.314414921835</v>
      </c>
      <c r="H30" s="70" t="s">
        <v>60</v>
      </c>
      <c r="I30" s="72">
        <f>I29*I31</f>
        <v>5.4760809678506677</v>
      </c>
      <c r="J30" s="61"/>
      <c r="K30" s="61"/>
    </row>
    <row r="31" spans="1:11" x14ac:dyDescent="0.35">
      <c r="A31">
        <f t="shared" si="4"/>
        <v>0.24000000000000007</v>
      </c>
      <c r="B31">
        <f t="shared" si="0"/>
        <v>2.298225203367295E-6</v>
      </c>
      <c r="C31">
        <f t="shared" si="1"/>
        <v>1.984345691467593E-7</v>
      </c>
      <c r="D31">
        <f t="shared" si="2"/>
        <v>23811.897807878606</v>
      </c>
      <c r="E31">
        <v>4</v>
      </c>
      <c r="F31">
        <f t="shared" si="3"/>
        <v>95247.591231514423</v>
      </c>
      <c r="H31" s="70" t="s">
        <v>59</v>
      </c>
      <c r="I31" s="61">
        <v>1E-3</v>
      </c>
      <c r="J31" s="61"/>
      <c r="K31" s="61"/>
    </row>
    <row r="32" spans="1:11" x14ac:dyDescent="0.35">
      <c r="A32">
        <f t="shared" si="4"/>
        <v>0.24500000000000008</v>
      </c>
      <c r="B32">
        <f t="shared" si="0"/>
        <v>2.270915354070306E-6</v>
      </c>
      <c r="C32">
        <f t="shared" si="1"/>
        <v>2.0500059059819319E-7</v>
      </c>
      <c r="D32">
        <f t="shared" si="2"/>
        <v>24202.3537873202</v>
      </c>
      <c r="E32">
        <v>2</v>
      </c>
      <c r="F32">
        <f t="shared" si="3"/>
        <v>48404.707574640401</v>
      </c>
    </row>
    <row r="33" spans="1:15" x14ac:dyDescent="0.35">
      <c r="A33">
        <f t="shared" si="4"/>
        <v>0.25000000000000006</v>
      </c>
      <c r="B33">
        <f t="shared" si="0"/>
        <v>2.2437669610202474E-6</v>
      </c>
      <c r="C33">
        <f t="shared" si="1"/>
        <v>2.1166587604666967E-7</v>
      </c>
      <c r="D33">
        <f t="shared" si="2"/>
        <v>24605.075195188987</v>
      </c>
      <c r="E33">
        <v>4</v>
      </c>
      <c r="F33">
        <f t="shared" si="3"/>
        <v>98420.300780755948</v>
      </c>
    </row>
    <row r="34" spans="1:15" x14ac:dyDescent="0.35">
      <c r="A34">
        <f t="shared" si="4"/>
        <v>0.25500000000000006</v>
      </c>
      <c r="B34">
        <f t="shared" si="0"/>
        <v>2.2167800242171187E-6</v>
      </c>
      <c r="C34">
        <f t="shared" si="1"/>
        <v>2.1843042549218881E-7</v>
      </c>
      <c r="D34">
        <f t="shared" si="2"/>
        <v>25020.647053900419</v>
      </c>
      <c r="E34">
        <v>2</v>
      </c>
      <c r="F34">
        <f t="shared" si="3"/>
        <v>50041.294107800837</v>
      </c>
    </row>
    <row r="35" spans="1:15" x14ac:dyDescent="0.35">
      <c r="A35">
        <f t="shared" si="4"/>
        <v>0.26000000000000006</v>
      </c>
      <c r="B35">
        <f t="shared" si="0"/>
        <v>2.1899545436609213E-6</v>
      </c>
      <c r="C35">
        <f t="shared" si="1"/>
        <v>2.2529423893475048E-7</v>
      </c>
      <c r="D35">
        <f t="shared" si="2"/>
        <v>25449.692183285028</v>
      </c>
      <c r="E35">
        <v>4</v>
      </c>
      <c r="F35">
        <f t="shared" si="3"/>
        <v>101798.76873314011</v>
      </c>
    </row>
    <row r="36" spans="1:15" x14ac:dyDescent="0.35">
      <c r="A36">
        <f t="shared" si="4"/>
        <v>0.26500000000000007</v>
      </c>
      <c r="B36">
        <f t="shared" si="0"/>
        <v>2.1632905193516539E-6</v>
      </c>
      <c r="C36">
        <f t="shared" si="1"/>
        <v>2.322573163743547E-7</v>
      </c>
      <c r="D36">
        <f t="shared" si="2"/>
        <v>25892.874303201603</v>
      </c>
      <c r="E36">
        <v>2</v>
      </c>
      <c r="F36">
        <f t="shared" si="3"/>
        <v>51785.748606403205</v>
      </c>
    </row>
    <row r="37" spans="1:15" x14ac:dyDescent="0.35">
      <c r="A37">
        <f t="shared" si="4"/>
        <v>0.27000000000000007</v>
      </c>
      <c r="B37">
        <f t="shared" si="0"/>
        <v>2.1367879512893177E-6</v>
      </c>
      <c r="C37">
        <f t="shared" si="1"/>
        <v>2.3931965781100152E-7</v>
      </c>
      <c r="D37">
        <f t="shared" si="2"/>
        <v>26350.901446865933</v>
      </c>
      <c r="E37">
        <v>4</v>
      </c>
      <c r="F37">
        <f t="shared" si="3"/>
        <v>105403.60578746373</v>
      </c>
    </row>
    <row r="38" spans="1:15" x14ac:dyDescent="0.35">
      <c r="A38">
        <f t="shared" si="4"/>
        <v>0.27500000000000008</v>
      </c>
      <c r="B38">
        <f t="shared" si="0"/>
        <v>2.1104468394739115E-6</v>
      </c>
      <c r="C38">
        <f t="shared" si="1"/>
        <v>2.4648126324469093E-7</v>
      </c>
      <c r="D38">
        <f t="shared" si="2"/>
        <v>26824.529721814593</v>
      </c>
      <c r="E38">
        <v>2</v>
      </c>
      <c r="F38">
        <f t="shared" si="3"/>
        <v>53649.059443629187</v>
      </c>
    </row>
    <row r="39" spans="1:15" x14ac:dyDescent="0.35">
      <c r="A39">
        <f t="shared" si="4"/>
        <v>0.28000000000000008</v>
      </c>
      <c r="B39">
        <f t="shared" si="0"/>
        <v>2.084267183905436E-6</v>
      </c>
      <c r="C39">
        <f t="shared" si="1"/>
        <v>2.5374213267542291E-7</v>
      </c>
      <c r="D39">
        <f t="shared" si="2"/>
        <v>27314.567460523263</v>
      </c>
      <c r="E39">
        <v>4</v>
      </c>
      <c r="F39">
        <f t="shared" si="3"/>
        <v>109258.26984209305</v>
      </c>
    </row>
    <row r="40" spans="1:15" x14ac:dyDescent="0.35">
      <c r="A40">
        <f t="shared" si="4"/>
        <v>0.28500000000000009</v>
      </c>
      <c r="B40">
        <f t="shared" si="0"/>
        <v>2.058248984583891E-6</v>
      </c>
      <c r="C40">
        <f t="shared" si="1"/>
        <v>2.6110226610319745E-7</v>
      </c>
      <c r="D40">
        <f t="shared" si="2"/>
        <v>27821.879808605703</v>
      </c>
      <c r="E40">
        <v>2</v>
      </c>
      <c r="F40">
        <f t="shared" si="3"/>
        <v>55643.759617211406</v>
      </c>
    </row>
    <row r="41" spans="1:15" x14ac:dyDescent="0.35">
      <c r="A41">
        <f t="shared" si="4"/>
        <v>0.29000000000000009</v>
      </c>
      <c r="B41">
        <f t="shared" si="0"/>
        <v>2.0323922415092776E-6</v>
      </c>
      <c r="C41">
        <f t="shared" si="1"/>
        <v>2.6856166352801452E-7</v>
      </c>
      <c r="D41">
        <f t="shared" si="2"/>
        <v>28347.393805376665</v>
      </c>
      <c r="E41">
        <v>1</v>
      </c>
      <c r="F41">
        <f t="shared" si="3"/>
        <v>28347.393805376665</v>
      </c>
    </row>
    <row r="42" spans="1:15" x14ac:dyDescent="0.35">
      <c r="E42" t="s">
        <v>15</v>
      </c>
      <c r="F42">
        <f>SUM(F12:F41)</f>
        <v>1932734.4592414119</v>
      </c>
    </row>
    <row r="43" spans="1:15" x14ac:dyDescent="0.35">
      <c r="E43" t="s">
        <v>58</v>
      </c>
      <c r="F43">
        <f>(0.005/3)*F42</f>
        <v>3221.2240987356868</v>
      </c>
    </row>
    <row r="45" spans="1:15" x14ac:dyDescent="0.35">
      <c r="A45" t="s">
        <v>74</v>
      </c>
    </row>
    <row r="47" spans="1:15" ht="15" thickBot="1" x14ac:dyDescent="0.4"/>
    <row r="48" spans="1:15" ht="15" thickBot="1" x14ac:dyDescent="0.4">
      <c r="B48" s="75" t="s">
        <v>19</v>
      </c>
      <c r="C48" s="75"/>
      <c r="D48" s="3"/>
      <c r="F48" s="81" t="s">
        <v>23</v>
      </c>
      <c r="G48" s="81"/>
      <c r="H48" s="80" t="s">
        <v>22</v>
      </c>
      <c r="I48" s="80"/>
      <c r="J48" s="80"/>
      <c r="K48" s="80"/>
      <c r="L48" s="3"/>
      <c r="M48" s="23" t="s">
        <v>25</v>
      </c>
      <c r="N48" s="23" t="s">
        <v>16</v>
      </c>
      <c r="O48" s="23" t="s">
        <v>17</v>
      </c>
    </row>
    <row r="49" spans="2:15" x14ac:dyDescent="0.35">
      <c r="B49" s="8" t="s">
        <v>20</v>
      </c>
      <c r="C49" s="9">
        <v>363</v>
      </c>
      <c r="D49" s="3"/>
      <c r="F49" s="14" t="s">
        <v>2</v>
      </c>
      <c r="G49" s="3">
        <f>C51/10</f>
        <v>1.4499999999999999E-2</v>
      </c>
      <c r="H49" s="18" t="s">
        <v>4</v>
      </c>
      <c r="I49" s="18" t="s">
        <v>3</v>
      </c>
      <c r="J49" s="3"/>
      <c r="K49" s="3"/>
      <c r="L49" s="3"/>
      <c r="M49" s="58">
        <f>K72*C52</f>
        <v>316189.72356642009</v>
      </c>
      <c r="N49" s="58">
        <f>M49*O49</f>
        <v>316.18972356642007</v>
      </c>
      <c r="O49" s="58">
        <f>0.001</f>
        <v>1E-3</v>
      </c>
    </row>
    <row r="50" spans="2:15" x14ac:dyDescent="0.35">
      <c r="B50" s="10" t="s">
        <v>5</v>
      </c>
      <c r="C50" s="11">
        <v>0.28999999999999998</v>
      </c>
      <c r="D50" s="3"/>
      <c r="E50" s="3"/>
      <c r="F50" s="3"/>
      <c r="G50" s="3"/>
      <c r="H50" s="3">
        <f>0</f>
        <v>0</v>
      </c>
      <c r="I50" s="3">
        <f>1/(20*(C65*$C$52*(1-H50)*($C$53-$C$52*H50))-(D65*($C$52*H50)*($C$54+$C$52*H50)))</f>
        <v>13164.290365500721</v>
      </c>
      <c r="J50" s="7">
        <v>1</v>
      </c>
      <c r="K50" s="3">
        <f>I50*J50</f>
        <v>13164.290365500721</v>
      </c>
      <c r="L50" s="3"/>
      <c r="M50" s="3"/>
      <c r="N50" s="3"/>
      <c r="O50" s="3"/>
    </row>
    <row r="51" spans="2:15" x14ac:dyDescent="0.35">
      <c r="B51" s="10" t="s">
        <v>21</v>
      </c>
      <c r="C51" s="11">
        <f>C50*0.5</f>
        <v>0.14499999999999999</v>
      </c>
      <c r="D51" s="3"/>
      <c r="E51" s="3"/>
      <c r="F51" s="3"/>
      <c r="G51" s="3"/>
      <c r="H51" s="3">
        <f>H50+$G$49</f>
        <v>1.4499999999999999E-2</v>
      </c>
      <c r="I51" s="3">
        <f t="shared" ref="I51:I70" si="5">1/(20*(C66*$C$52*(1-H51)*($C$53-$C$52*H51))-(D66*($C$52*H51)*($C$54+$C$52*H51)))</f>
        <v>16543.93126718685</v>
      </c>
      <c r="J51" s="7">
        <v>4</v>
      </c>
      <c r="K51" s="3">
        <f t="shared" ref="K51:K70" si="6">I51*J51</f>
        <v>66175.725068747401</v>
      </c>
      <c r="L51" s="3"/>
      <c r="M51" s="16" t="s">
        <v>26</v>
      </c>
      <c r="N51" s="16" t="s">
        <v>28</v>
      </c>
    </row>
    <row r="52" spans="2:15" x14ac:dyDescent="0.35">
      <c r="B52" s="10" t="s">
        <v>13</v>
      </c>
      <c r="C52" s="11">
        <f>85*20/1000</f>
        <v>1.7</v>
      </c>
      <c r="D52" s="3"/>
      <c r="E52" s="3"/>
      <c r="F52" s="3"/>
      <c r="G52" s="3"/>
      <c r="H52" s="3">
        <f t="shared" ref="H52:H70" si="7">H51+$G$49</f>
        <v>2.8999999999999998E-2</v>
      </c>
      <c r="I52" s="3">
        <f t="shared" si="5"/>
        <v>20899.24544777138</v>
      </c>
      <c r="J52" s="7">
        <v>2</v>
      </c>
      <c r="K52" s="3">
        <f t="shared" si="6"/>
        <v>41798.49089554276</v>
      </c>
      <c r="L52" s="3"/>
      <c r="M52" s="3">
        <f>M49/3600</f>
        <v>87.830478768450021</v>
      </c>
      <c r="N52" s="58">
        <f>O49*1000</f>
        <v>1</v>
      </c>
      <c r="O52" s="3"/>
    </row>
    <row r="53" spans="2:15" x14ac:dyDescent="0.35">
      <c r="B53" s="10" t="s">
        <v>11</v>
      </c>
      <c r="C53" s="11">
        <f>100*20/1000</f>
        <v>2</v>
      </c>
      <c r="D53" s="3"/>
      <c r="E53" s="3"/>
      <c r="F53" s="3"/>
      <c r="G53" s="3"/>
      <c r="H53" s="3">
        <f t="shared" si="7"/>
        <v>4.3499999999999997E-2</v>
      </c>
      <c r="I53" s="3">
        <f t="shared" si="5"/>
        <v>26543.246777412671</v>
      </c>
      <c r="J53" s="7">
        <v>4</v>
      </c>
      <c r="K53" s="3">
        <f t="shared" si="6"/>
        <v>106172.98710965068</v>
      </c>
      <c r="L53" s="3"/>
    </row>
    <row r="54" spans="2:15" x14ac:dyDescent="0.35">
      <c r="B54" s="10" t="s">
        <v>12</v>
      </c>
      <c r="C54" s="11">
        <f>0.015*20</f>
        <v>0.3</v>
      </c>
      <c r="D54" s="3"/>
      <c r="E54" s="3"/>
      <c r="F54" s="3"/>
      <c r="G54" s="3"/>
      <c r="H54" s="3">
        <f t="shared" si="7"/>
        <v>5.7999999999999996E-2</v>
      </c>
      <c r="I54" s="3">
        <f t="shared" si="5"/>
        <v>33899.554978249544</v>
      </c>
      <c r="J54" s="7">
        <v>2</v>
      </c>
      <c r="K54" s="3">
        <f t="shared" si="6"/>
        <v>67799.109956499087</v>
      </c>
      <c r="L54" s="3"/>
    </row>
    <row r="55" spans="2:15" x14ac:dyDescent="0.35">
      <c r="B55" s="10" t="s">
        <v>0</v>
      </c>
      <c r="C55" s="11">
        <f>31.6*EXP(-51740/(8.314*363))</f>
        <v>1.1328783256980585E-6</v>
      </c>
      <c r="D55" s="3"/>
      <c r="E55" s="3"/>
      <c r="F55" s="3"/>
      <c r="G55" s="3"/>
      <c r="H55" s="3">
        <f t="shared" si="7"/>
        <v>7.2499999999999995E-2</v>
      </c>
      <c r="I55" s="3">
        <f t="shared" si="5"/>
        <v>43545.144479556351</v>
      </c>
      <c r="J55" s="7">
        <v>4</v>
      </c>
      <c r="K55" s="3">
        <f t="shared" si="6"/>
        <v>174180.5779182254</v>
      </c>
      <c r="L55" s="3"/>
      <c r="M55" s="3"/>
      <c r="N55" s="3"/>
      <c r="O55" s="3"/>
    </row>
    <row r="56" spans="2:15" x14ac:dyDescent="0.35">
      <c r="B56" s="10" t="s">
        <v>1</v>
      </c>
      <c r="C56" s="11">
        <f>2.253*EXP(-45280/(8.314*363))</f>
        <v>6.8685661748213042E-7</v>
      </c>
      <c r="D56" s="3"/>
      <c r="E56" s="3"/>
      <c r="F56" s="3"/>
      <c r="G56" s="3"/>
      <c r="H56" s="3">
        <f t="shared" si="7"/>
        <v>8.6999999999999994E-2</v>
      </c>
      <c r="I56" s="3">
        <f t="shared" si="5"/>
        <v>56271.064581221988</v>
      </c>
      <c r="J56" s="7">
        <v>2</v>
      </c>
      <c r="K56" s="3">
        <f t="shared" si="6"/>
        <v>112542.12916244398</v>
      </c>
      <c r="L56" s="3"/>
      <c r="M56" s="3"/>
      <c r="N56" s="3"/>
      <c r="O56" s="3"/>
    </row>
    <row r="57" spans="2:15" x14ac:dyDescent="0.35">
      <c r="B57" s="10" t="s">
        <v>14</v>
      </c>
      <c r="C57" s="11">
        <v>20</v>
      </c>
      <c r="D57" s="3"/>
      <c r="E57" s="3"/>
      <c r="F57" s="3"/>
      <c r="G57" s="3"/>
      <c r="H57" s="3">
        <f t="shared" si="7"/>
        <v>0.10149999999999999</v>
      </c>
      <c r="I57" s="3">
        <f t="shared" si="5"/>
        <v>73169.311163114151</v>
      </c>
      <c r="J57" s="7">
        <v>4</v>
      </c>
      <c r="K57" s="3">
        <f t="shared" si="6"/>
        <v>292677.2446524566</v>
      </c>
      <c r="L57" s="3"/>
      <c r="M57" s="3"/>
      <c r="N57" s="3"/>
      <c r="O57" s="3"/>
    </row>
    <row r="58" spans="2:15" ht="15" thickBot="1" x14ac:dyDescent="0.4">
      <c r="B58" s="12" t="s">
        <v>52</v>
      </c>
      <c r="C58" s="13">
        <v>363</v>
      </c>
      <c r="D58" s="3"/>
      <c r="E58" s="3"/>
      <c r="F58" s="3"/>
      <c r="G58" s="3"/>
      <c r="H58" s="3">
        <f t="shared" si="7"/>
        <v>0.11599999999999999</v>
      </c>
      <c r="I58" s="3">
        <f t="shared" si="5"/>
        <v>95758.046674306068</v>
      </c>
      <c r="J58" s="7">
        <v>2</v>
      </c>
      <c r="K58" s="3">
        <f t="shared" si="6"/>
        <v>191516.09334861214</v>
      </c>
      <c r="L58" s="3"/>
      <c r="M58" s="3"/>
      <c r="N58" s="3"/>
      <c r="O58" s="3"/>
    </row>
    <row r="59" spans="2:15" x14ac:dyDescent="0.35">
      <c r="B59" s="3"/>
      <c r="C59" s="3"/>
      <c r="D59" s="3"/>
      <c r="E59" s="3"/>
      <c r="F59" s="3"/>
      <c r="G59" s="3"/>
      <c r="H59" s="3">
        <f t="shared" si="7"/>
        <v>0.1305</v>
      </c>
      <c r="I59" s="3">
        <f t="shared" si="5"/>
        <v>126163.50223401898</v>
      </c>
      <c r="J59" s="7">
        <v>4</v>
      </c>
      <c r="K59" s="3">
        <f t="shared" si="6"/>
        <v>504654.0089360759</v>
      </c>
      <c r="L59" s="3"/>
      <c r="M59" s="3"/>
      <c r="N59" s="3"/>
      <c r="O59" s="3"/>
    </row>
    <row r="60" spans="2:15" x14ac:dyDescent="0.35">
      <c r="B60" s="3"/>
      <c r="C60" s="3"/>
      <c r="D60" s="3"/>
      <c r="E60" s="3"/>
      <c r="F60" s="3"/>
      <c r="G60" s="3"/>
      <c r="H60" s="3">
        <f t="shared" si="7"/>
        <v>0.14500000000000002</v>
      </c>
      <c r="I60" s="3">
        <f t="shared" si="5"/>
        <v>167386.35413455759</v>
      </c>
      <c r="J60" s="7">
        <v>2</v>
      </c>
      <c r="K60" s="3">
        <f t="shared" si="6"/>
        <v>334772.70826911519</v>
      </c>
      <c r="L60" s="3"/>
      <c r="M60" s="3"/>
      <c r="N60" s="3"/>
      <c r="O60" s="3"/>
    </row>
    <row r="61" spans="2:15" x14ac:dyDescent="0.35">
      <c r="B61" s="3"/>
      <c r="C61" s="3"/>
      <c r="D61" s="3"/>
      <c r="E61" s="3"/>
      <c r="F61" s="3"/>
      <c r="G61" s="3"/>
      <c r="H61" s="3">
        <f t="shared" si="7"/>
        <v>0.15950000000000003</v>
      </c>
      <c r="I61" s="3">
        <f>1/(20*(C76*$C$52*(1-H61)*($C$53-$C$52*H61))-(D76*($C$52*H61)*($C$54+$C$52*H61)))</f>
        <v>223695.07518623944</v>
      </c>
      <c r="J61" s="58">
        <v>4</v>
      </c>
      <c r="K61" s="3">
        <f t="shared" si="6"/>
        <v>894780.30074495776</v>
      </c>
      <c r="L61" s="65"/>
      <c r="M61" s="3"/>
      <c r="N61" s="3"/>
      <c r="O61" s="3"/>
    </row>
    <row r="62" spans="2:15" ht="15.5" x14ac:dyDescent="0.35">
      <c r="B62" s="3"/>
      <c r="C62" s="3"/>
      <c r="D62" s="3"/>
      <c r="E62" s="3"/>
      <c r="F62" s="3"/>
      <c r="G62" s="3"/>
      <c r="H62" s="3">
        <f t="shared" si="7"/>
        <v>0.17400000000000004</v>
      </c>
      <c r="I62" s="3">
        <f t="shared" si="5"/>
        <v>301211.84597092064</v>
      </c>
      <c r="J62" s="58">
        <v>2</v>
      </c>
      <c r="K62" s="3">
        <f t="shared" si="6"/>
        <v>602423.69194184127</v>
      </c>
      <c r="L62" s="66"/>
      <c r="M62" s="3"/>
      <c r="N62" s="3"/>
      <c r="O62" s="3"/>
    </row>
    <row r="63" spans="2:15" x14ac:dyDescent="0.35">
      <c r="H63" s="3">
        <f t="shared" si="7"/>
        <v>0.18850000000000006</v>
      </c>
      <c r="I63" s="3">
        <f t="shared" si="5"/>
        <v>408793.1933072473</v>
      </c>
      <c r="J63" s="7">
        <v>4</v>
      </c>
      <c r="K63" s="3">
        <f t="shared" si="6"/>
        <v>1635172.7732289892</v>
      </c>
    </row>
    <row r="64" spans="2:15" x14ac:dyDescent="0.35">
      <c r="B64" s="59" t="s">
        <v>4</v>
      </c>
      <c r="C64" s="59" t="s">
        <v>0</v>
      </c>
      <c r="D64" s="59" t="s">
        <v>1</v>
      </c>
      <c r="H64" s="3">
        <f t="shared" si="7"/>
        <v>0.20300000000000007</v>
      </c>
      <c r="I64" s="3">
        <f t="shared" si="5"/>
        <v>559366.07839532278</v>
      </c>
      <c r="J64" s="7">
        <v>2</v>
      </c>
      <c r="K64" s="3">
        <f t="shared" si="6"/>
        <v>1118732.1567906456</v>
      </c>
    </row>
    <row r="65" spans="2:11" x14ac:dyDescent="0.35">
      <c r="B65" s="3">
        <f>0</f>
        <v>0</v>
      </c>
      <c r="C65">
        <f>31.16*EXP(-51740/(8.314*((-290.72*B65)+$C$58)))</f>
        <v>1.1171040705301109E-6</v>
      </c>
      <c r="D65">
        <f>2.25*EXP(-45280/(8.314*((-290.72*B65)+363)))</f>
        <v>6.8594202811131523E-7</v>
      </c>
      <c r="H65" s="3">
        <f t="shared" si="7"/>
        <v>0.21750000000000008</v>
      </c>
      <c r="I65" s="3">
        <f t="shared" si="5"/>
        <v>771974.86432435969</v>
      </c>
      <c r="J65" s="7">
        <v>4</v>
      </c>
      <c r="K65" s="3">
        <f t="shared" si="6"/>
        <v>3087899.4572974388</v>
      </c>
    </row>
    <row r="66" spans="2:11" x14ac:dyDescent="0.35">
      <c r="B66" s="3">
        <f>B65+$G$49</f>
        <v>1.4499999999999999E-2</v>
      </c>
      <c r="C66">
        <f t="shared" ref="C66:C85" si="8">31.16*EXP(-51740/(8.314*((-290.72*B66)+$C$58)))</f>
        <v>9.1330270846704738E-7</v>
      </c>
      <c r="D66">
        <f t="shared" ref="D66:D85" si="9">2.25*EXP(-45280/(8.314*((-290.72*B66)+363)))</f>
        <v>5.7508323221120741E-7</v>
      </c>
      <c r="H66" s="3">
        <f t="shared" si="7"/>
        <v>0.2320000000000001</v>
      </c>
      <c r="I66" s="3">
        <f t="shared" si="5"/>
        <v>1074949.4424153958</v>
      </c>
      <c r="J66" s="7">
        <v>2</v>
      </c>
      <c r="K66" s="3">
        <f t="shared" si="6"/>
        <v>2149898.8848307915</v>
      </c>
    </row>
    <row r="67" spans="2:11" x14ac:dyDescent="0.35">
      <c r="B67" s="3">
        <f t="shared" ref="B67:B85" si="10">B66+$G$49</f>
        <v>2.8999999999999998E-2</v>
      </c>
      <c r="C67">
        <f t="shared" si="8"/>
        <v>7.4311460987974714E-7</v>
      </c>
      <c r="D67">
        <f t="shared" si="9"/>
        <v>4.8012425394702631E-7</v>
      </c>
      <c r="H67" s="3">
        <f t="shared" si="7"/>
        <v>0.24650000000000011</v>
      </c>
      <c r="I67" s="3">
        <f t="shared" si="5"/>
        <v>1510860.8600896529</v>
      </c>
      <c r="J67" s="7">
        <v>4</v>
      </c>
      <c r="K67" s="3">
        <f t="shared" si="6"/>
        <v>6043443.4403586118</v>
      </c>
    </row>
    <row r="68" spans="2:11" x14ac:dyDescent="0.35">
      <c r="B68" s="3">
        <f t="shared" si="10"/>
        <v>4.3499999999999997E-2</v>
      </c>
      <c r="C68">
        <f t="shared" si="8"/>
        <v>6.0164694440583754E-7</v>
      </c>
      <c r="D68">
        <f t="shared" si="9"/>
        <v>3.9910808625940217E-7</v>
      </c>
      <c r="H68" s="3">
        <f t="shared" si="7"/>
        <v>0.26100000000000012</v>
      </c>
      <c r="I68" s="3">
        <f t="shared" si="5"/>
        <v>2144359.2488313648</v>
      </c>
      <c r="J68" s="7">
        <v>2</v>
      </c>
      <c r="K68" s="3">
        <f t="shared" si="6"/>
        <v>4288718.4976627296</v>
      </c>
    </row>
    <row r="69" spans="2:11" x14ac:dyDescent="0.35">
      <c r="B69" s="3">
        <f t="shared" si="10"/>
        <v>5.7999999999999996E-2</v>
      </c>
      <c r="C69">
        <f t="shared" si="8"/>
        <v>4.8461154193797107E-7</v>
      </c>
      <c r="D69">
        <f t="shared" si="9"/>
        <v>3.3027252146949103E-7</v>
      </c>
      <c r="H69" s="3">
        <f t="shared" si="7"/>
        <v>0.27550000000000013</v>
      </c>
      <c r="I69" s="3">
        <f t="shared" si="5"/>
        <v>3074714.6493978342</v>
      </c>
      <c r="J69" s="7">
        <v>4</v>
      </c>
      <c r="K69" s="3">
        <f t="shared" si="6"/>
        <v>12298858.597591337</v>
      </c>
    </row>
    <row r="70" spans="2:11" x14ac:dyDescent="0.35">
      <c r="B70" s="3">
        <f t="shared" si="10"/>
        <v>7.2499999999999995E-2</v>
      </c>
      <c r="C70">
        <f t="shared" si="8"/>
        <v>3.8826593787018119E-7</v>
      </c>
      <c r="D70">
        <f t="shared" si="9"/>
        <v>2.720364409113364E-7</v>
      </c>
      <c r="H70" s="3">
        <f t="shared" si="7"/>
        <v>0.29000000000000015</v>
      </c>
      <c r="I70" s="3">
        <f t="shared" si="5"/>
        <v>4456126.7729878556</v>
      </c>
      <c r="J70" s="7">
        <v>1</v>
      </c>
      <c r="K70" s="3">
        <f t="shared" si="6"/>
        <v>4456126.7729878556</v>
      </c>
    </row>
    <row r="71" spans="2:11" x14ac:dyDescent="0.35">
      <c r="B71" s="3">
        <f t="shared" si="10"/>
        <v>8.6999999999999994E-2</v>
      </c>
      <c r="C71">
        <f t="shared" si="8"/>
        <v>3.0935816562486163E-7</v>
      </c>
      <c r="D71">
        <f t="shared" si="9"/>
        <v>2.2298648269985966E-7</v>
      </c>
      <c r="H71" s="3"/>
      <c r="J71" t="s">
        <v>15</v>
      </c>
      <c r="K71" s="3">
        <f>SUM(K50:K70)</f>
        <v>38481507.939118072</v>
      </c>
    </row>
    <row r="72" spans="2:11" x14ac:dyDescent="0.35">
      <c r="B72" s="3">
        <f t="shared" si="10"/>
        <v>0.10149999999999999</v>
      </c>
      <c r="C72">
        <f t="shared" si="8"/>
        <v>2.4507527328475244E-7</v>
      </c>
      <c r="D72">
        <f t="shared" si="9"/>
        <v>1.8186412856297291E-7</v>
      </c>
      <c r="J72" t="s">
        <v>58</v>
      </c>
      <c r="K72" s="3">
        <f>(H51/3)*K71</f>
        <v>185993.95503907066</v>
      </c>
    </row>
    <row r="73" spans="2:11" x14ac:dyDescent="0.35">
      <c r="B73" s="3">
        <f t="shared" si="10"/>
        <v>0.11599999999999999</v>
      </c>
      <c r="C73">
        <f t="shared" si="8"/>
        <v>1.9299551965917879E-7</v>
      </c>
      <c r="D73">
        <f t="shared" si="9"/>
        <v>1.4755324722861546E-7</v>
      </c>
    </row>
    <row r="74" spans="2:11" x14ac:dyDescent="0.35">
      <c r="B74" s="3">
        <f t="shared" si="10"/>
        <v>0.1305</v>
      </c>
      <c r="C74">
        <f t="shared" si="8"/>
        <v>1.5104418453493378E-7</v>
      </c>
      <c r="D74">
        <f t="shared" si="9"/>
        <v>1.1906812809841036E-7</v>
      </c>
    </row>
    <row r="75" spans="2:11" x14ac:dyDescent="0.35">
      <c r="B75" s="3">
        <f t="shared" si="10"/>
        <v>0.14500000000000002</v>
      </c>
      <c r="C75">
        <f t="shared" si="8"/>
        <v>1.1745290842138743E-7</v>
      </c>
      <c r="D75">
        <f t="shared" si="9"/>
        <v>9.5542034892691557E-8</v>
      </c>
    </row>
    <row r="76" spans="2:11" x14ac:dyDescent="0.35">
      <c r="B76" s="3">
        <f t="shared" si="10"/>
        <v>0.15950000000000003</v>
      </c>
      <c r="C76">
        <f t="shared" si="8"/>
        <v>9.0722459007285748E-8</v>
      </c>
      <c r="D76">
        <f t="shared" si="9"/>
        <v>7.6216304655825811E-8</v>
      </c>
    </row>
    <row r="77" spans="2:11" x14ac:dyDescent="0.35">
      <c r="B77" s="3">
        <f t="shared" si="10"/>
        <v>0.17400000000000004</v>
      </c>
      <c r="C77">
        <f t="shared" si="8"/>
        <v>6.9588804997966588E-8</v>
      </c>
      <c r="D77">
        <f t="shared" si="9"/>
        <v>6.0430013010700223E-8</v>
      </c>
    </row>
    <row r="78" spans="2:11" x14ac:dyDescent="0.35">
      <c r="B78" s="3">
        <f t="shared" si="10"/>
        <v>0.18850000000000006</v>
      </c>
      <c r="C78">
        <f t="shared" si="8"/>
        <v>5.2992363172012972E-8</v>
      </c>
      <c r="D78">
        <f t="shared" si="9"/>
        <v>4.7610221896618767E-8</v>
      </c>
    </row>
    <row r="79" spans="2:11" x14ac:dyDescent="0.35">
      <c r="B79" s="3">
        <f t="shared" si="10"/>
        <v>0.20300000000000007</v>
      </c>
      <c r="C79">
        <f t="shared" si="8"/>
        <v>4.0050271537313142E-8</v>
      </c>
      <c r="D79">
        <f t="shared" si="9"/>
        <v>3.7262821269828493E-8</v>
      </c>
    </row>
    <row r="80" spans="2:11" x14ac:dyDescent="0.35">
      <c r="B80" s="3">
        <f t="shared" si="10"/>
        <v>0.21750000000000008</v>
      </c>
      <c r="C80">
        <f t="shared" si="8"/>
        <v>3.0031530502595314E-8</v>
      </c>
      <c r="D80">
        <f t="shared" si="9"/>
        <v>2.8963971448472871E-8</v>
      </c>
    </row>
    <row r="81" spans="1:11" x14ac:dyDescent="0.35">
      <c r="B81" s="3">
        <f t="shared" si="10"/>
        <v>0.2320000000000001</v>
      </c>
      <c r="C81">
        <f t="shared" si="8"/>
        <v>2.2334845105571948E-8</v>
      </c>
      <c r="D81">
        <f t="shared" si="9"/>
        <v>2.2352148004861405E-8</v>
      </c>
    </row>
    <row r="82" spans="1:11" x14ac:dyDescent="0.35">
      <c r="B82" s="3">
        <f t="shared" si="10"/>
        <v>0.24650000000000011</v>
      </c>
      <c r="C82">
        <f t="shared" si="8"/>
        <v>1.6468994613192341E-8</v>
      </c>
      <c r="D82">
        <f t="shared" si="9"/>
        <v>1.7120786410354544E-8</v>
      </c>
    </row>
    <row r="83" spans="1:11" x14ac:dyDescent="0.35">
      <c r="B83" s="3">
        <f t="shared" si="10"/>
        <v>0.26100000000000012</v>
      </c>
      <c r="C83">
        <f t="shared" si="8"/>
        <v>1.2035551257910847E-8</v>
      </c>
      <c r="D83">
        <f t="shared" si="9"/>
        <v>1.3011519085415381E-8</v>
      </c>
    </row>
    <row r="84" spans="1:11" x14ac:dyDescent="0.35">
      <c r="B84" s="3">
        <f t="shared" si="10"/>
        <v>0.27550000000000013</v>
      </c>
      <c r="C84">
        <f t="shared" si="8"/>
        <v>8.7137674841312826E-9</v>
      </c>
      <c r="D84">
        <f t="shared" si="9"/>
        <v>9.8079931624252069E-9</v>
      </c>
    </row>
    <row r="85" spans="1:11" x14ac:dyDescent="0.35">
      <c r="B85" s="3">
        <f t="shared" si="10"/>
        <v>0.29000000000000015</v>
      </c>
      <c r="C85">
        <f t="shared" si="8"/>
        <v>6.2474508013553315E-9</v>
      </c>
      <c r="D85">
        <f t="shared" si="9"/>
        <v>7.3302531926740557E-9</v>
      </c>
    </row>
    <row r="88" spans="1:11" x14ac:dyDescent="0.35">
      <c r="A88" t="s">
        <v>75</v>
      </c>
    </row>
    <row r="90" spans="1:11" x14ac:dyDescent="0.35">
      <c r="A90" s="68" t="s">
        <v>54</v>
      </c>
      <c r="B90" s="67">
        <v>1.6999999999999999E-3</v>
      </c>
      <c r="C90" s="67"/>
      <c r="D90" s="67"/>
      <c r="E90" s="67"/>
      <c r="F90" s="67"/>
      <c r="G90" s="67"/>
      <c r="H90" s="67"/>
      <c r="I90" s="67"/>
      <c r="J90" s="67"/>
      <c r="K90" s="67"/>
    </row>
    <row r="91" spans="1:11" x14ac:dyDescent="0.35">
      <c r="A91" s="68" t="s">
        <v>55</v>
      </c>
      <c r="B91" s="67" t="s">
        <v>56</v>
      </c>
      <c r="C91" s="67"/>
      <c r="D91" s="67"/>
      <c r="E91" s="67"/>
      <c r="F91" s="67"/>
      <c r="G91" s="67"/>
      <c r="H91" s="67"/>
      <c r="I91" s="67"/>
      <c r="J91" s="67"/>
      <c r="K91" s="67"/>
    </row>
    <row r="93" spans="1:11" x14ac:dyDescent="0.35">
      <c r="D93" s="69" t="s">
        <v>4</v>
      </c>
      <c r="E93" s="69" t="s">
        <v>57</v>
      </c>
    </row>
    <row r="94" spans="1:11" x14ac:dyDescent="0.35">
      <c r="D94" s="62">
        <v>0.05</v>
      </c>
      <c r="E94" s="62">
        <v>50.649624609999996</v>
      </c>
    </row>
    <row r="95" spans="1:11" x14ac:dyDescent="0.35">
      <c r="D95" s="62">
        <v>0.1</v>
      </c>
      <c r="E95" s="62">
        <v>123.4749307</v>
      </c>
    </row>
    <row r="96" spans="1:11" x14ac:dyDescent="0.35">
      <c r="D96" s="62">
        <v>0.15</v>
      </c>
      <c r="E96" s="62">
        <v>328.61543740000002</v>
      </c>
    </row>
    <row r="97" spans="4:5" x14ac:dyDescent="0.35">
      <c r="D97" s="62">
        <v>0.2</v>
      </c>
      <c r="E97" s="62">
        <v>973.15726500000005</v>
      </c>
    </row>
    <row r="98" spans="4:5" x14ac:dyDescent="0.35">
      <c r="D98" s="62">
        <v>0.25</v>
      </c>
      <c r="E98" s="62">
        <v>3301.6356430000001</v>
      </c>
    </row>
    <row r="99" spans="4:5" x14ac:dyDescent="0.35">
      <c r="D99" s="62">
        <v>0.3</v>
      </c>
      <c r="E99" s="62">
        <v>13518.11627</v>
      </c>
    </row>
    <row r="100" spans="4:5" x14ac:dyDescent="0.35">
      <c r="D100" s="62">
        <v>0.35</v>
      </c>
      <c r="E100" s="62">
        <v>75620.007310000001</v>
      </c>
    </row>
    <row r="101" spans="4:5" x14ac:dyDescent="0.35">
      <c r="D101" s="62">
        <v>0.4</v>
      </c>
      <c r="E101" s="62">
        <v>1103893.5079999999</v>
      </c>
    </row>
    <row r="102" spans="4:5" x14ac:dyDescent="0.35">
      <c r="D102" s="62">
        <v>0.45</v>
      </c>
      <c r="E102" s="62">
        <v>-2300363.3369999998</v>
      </c>
    </row>
    <row r="103" spans="4:5" x14ac:dyDescent="0.35">
      <c r="D103" s="62">
        <v>0.5</v>
      </c>
      <c r="E103" s="62">
        <v>-4661526.8990000002</v>
      </c>
    </row>
    <row r="108" spans="4:5" x14ac:dyDescent="0.35">
      <c r="E108" s="60"/>
    </row>
  </sheetData>
  <mergeCells count="4">
    <mergeCell ref="H48:K48"/>
    <mergeCell ref="A2:B2"/>
    <mergeCell ref="B48:C48"/>
    <mergeCell ref="F48:G4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a)</vt:lpstr>
      <vt:lpstr>b i c)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Néstor Sergio Gil Izcara</dc:creator>
  <cp:lastModifiedBy>Paula Ferrer Jimenez</cp:lastModifiedBy>
  <dcterms:created xsi:type="dcterms:W3CDTF">2015-06-05T18:17:20Z</dcterms:created>
  <dcterms:modified xsi:type="dcterms:W3CDTF">2021-12-19T21:21:26Z</dcterms:modified>
</cp:coreProperties>
</file>