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24226"/>
  <xr:revisionPtr revIDLastSave="0" documentId="11_1085A5F9583B504ED2DBC3F9BE3CCCC32BA9F341" xr6:coauthVersionLast="45" xr6:coauthVersionMax="45" xr10:uidLastSave="{00000000-0000-0000-0000-000000000000}"/>
  <bookViews>
    <workbookView xWindow="-105" yWindow="-105" windowWidth="20730" windowHeight="11760" firstSheet="1" activeTab="1" xr2:uid="{00000000-000D-0000-FFFF-FFFF00000000}"/>
  </bookViews>
  <sheets>
    <sheet name="Konsumsi &amp; pareto" sheetId="3" r:id="rId1"/>
    <sheet name="HK - BDGT" sheetId="4" r:id="rId2"/>
    <sheet name="Tonase" sheetId="2" r:id="rId3"/>
    <sheet name="Summary" sheetId="5" r:id="rId4"/>
  </sheets>
  <externalReferences>
    <externalReference r:id="rId5"/>
    <externalReference r:id="rId6"/>
    <externalReference r:id="rId7"/>
    <externalReference r:id="rId8"/>
    <externalReference r:id="rId9"/>
  </externalReferenc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5" i="3" l="1"/>
  <c r="R25" i="3"/>
  <c r="S24" i="3"/>
  <c r="R24" i="3"/>
  <c r="S23" i="3"/>
  <c r="R23" i="3"/>
  <c r="S22" i="3"/>
  <c r="R22" i="3"/>
  <c r="S21" i="3"/>
  <c r="R21" i="3"/>
  <c r="S20" i="3"/>
  <c r="R20" i="3"/>
  <c r="S18" i="3"/>
  <c r="R18" i="3"/>
  <c r="S16" i="3"/>
  <c r="R16" i="3"/>
  <c r="S15" i="3"/>
  <c r="R15" i="3"/>
  <c r="S13" i="3"/>
  <c r="R13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19" i="3"/>
  <c r="R19" i="3"/>
  <c r="S11" i="3" l="1"/>
  <c r="R11" i="3"/>
  <c r="R12" i="3"/>
  <c r="S12" i="3" l="1"/>
  <c r="U50" i="3" l="1"/>
  <c r="U51" i="3"/>
  <c r="U52" i="3"/>
  <c r="Y50" i="3"/>
  <c r="Y51" i="3"/>
  <c r="Y52" i="3"/>
  <c r="T50" i="3"/>
  <c r="T51" i="3"/>
  <c r="T52" i="3"/>
  <c r="AA50" i="3"/>
  <c r="AA51" i="3"/>
  <c r="AA52" i="3"/>
  <c r="V50" i="3"/>
  <c r="V51" i="3"/>
  <c r="V57" i="3" s="1"/>
  <c r="V52" i="3"/>
  <c r="X52" i="3"/>
  <c r="X50" i="3"/>
  <c r="X51" i="3"/>
  <c r="X57" i="3" s="1"/>
  <c r="W50" i="3"/>
  <c r="W51" i="3"/>
  <c r="W52" i="3"/>
  <c r="Z50" i="3"/>
  <c r="Z51" i="3"/>
  <c r="Z52" i="3"/>
  <c r="AB50" i="3"/>
  <c r="AB51" i="3"/>
  <c r="AB52" i="3"/>
  <c r="AC50" i="3"/>
  <c r="AC51" i="3"/>
  <c r="AC52" i="3"/>
  <c r="AD50" i="3"/>
  <c r="AD51" i="3"/>
  <c r="AD52" i="3"/>
  <c r="AE50" i="3"/>
  <c r="AE51" i="3"/>
  <c r="AE52" i="3"/>
  <c r="N12" i="4"/>
  <c r="M14" i="3" s="1"/>
  <c r="M12" i="4"/>
  <c r="L14" i="3" s="1"/>
  <c r="L42" i="3" s="1"/>
  <c r="K12" i="4"/>
  <c r="J14" i="3" s="1"/>
  <c r="L12" i="4"/>
  <c r="K14" i="3" s="1"/>
  <c r="J12" i="4"/>
  <c r="I14" i="3" s="1"/>
  <c r="I12" i="4"/>
  <c r="H14" i="3" s="1"/>
  <c r="H42" i="3" s="1"/>
  <c r="O12" i="4"/>
  <c r="P12" i="4"/>
  <c r="Q12" i="4"/>
  <c r="P14" i="3"/>
  <c r="P42" i="3" s="1"/>
  <c r="R12" i="4"/>
  <c r="Q14" i="3" s="1"/>
  <c r="Q42" i="3" s="1"/>
  <c r="R14" i="4"/>
  <c r="H26" i="3"/>
  <c r="N8" i="3"/>
  <c r="O8" i="3"/>
  <c r="N15" i="3"/>
  <c r="O15" i="3"/>
  <c r="N16" i="3"/>
  <c r="O16" i="3"/>
  <c r="N72" i="3"/>
  <c r="AD27" i="3"/>
  <c r="AB27" i="3"/>
  <c r="Z27" i="3"/>
  <c r="X27" i="3"/>
  <c r="V27" i="3"/>
  <c r="T27" i="3"/>
  <c r="R27" i="3"/>
  <c r="AD26" i="3"/>
  <c r="AB26" i="3"/>
  <c r="Z26" i="3"/>
  <c r="X26" i="3"/>
  <c r="V26" i="3"/>
  <c r="T26" i="3"/>
  <c r="R26" i="3"/>
  <c r="Q25" i="3"/>
  <c r="P25" i="3"/>
  <c r="Q24" i="3"/>
  <c r="P24" i="3"/>
  <c r="Q23" i="3"/>
  <c r="P23" i="3"/>
  <c r="Q22" i="3"/>
  <c r="P22" i="3"/>
  <c r="Q21" i="3"/>
  <c r="P21" i="3"/>
  <c r="Q20" i="3"/>
  <c r="P20" i="3"/>
  <c r="Q18" i="3"/>
  <c r="P18" i="3"/>
  <c r="Q16" i="3"/>
  <c r="P16" i="3"/>
  <c r="Q15" i="3"/>
  <c r="P15" i="3"/>
  <c r="Q13" i="3"/>
  <c r="P13" i="3"/>
  <c r="Q10" i="3"/>
  <c r="P10" i="3"/>
  <c r="Q9" i="3"/>
  <c r="P9" i="3"/>
  <c r="Q8" i="3"/>
  <c r="P8" i="3"/>
  <c r="P72" i="3" s="1"/>
  <c r="Q7" i="3"/>
  <c r="P7" i="3"/>
  <c r="Q6" i="3"/>
  <c r="P6" i="3"/>
  <c r="Q5" i="3"/>
  <c r="P5" i="3"/>
  <c r="Q4" i="3"/>
  <c r="P4" i="3"/>
  <c r="P11" i="3" s="1"/>
  <c r="P31" i="3" s="1"/>
  <c r="Q19" i="3"/>
  <c r="P19" i="3"/>
  <c r="AB11" i="2"/>
  <c r="Z11" i="2"/>
  <c r="X11" i="2"/>
  <c r="V11" i="2"/>
  <c r="T11" i="2"/>
  <c r="R11" i="2"/>
  <c r="P11" i="2"/>
  <c r="N11" i="2"/>
  <c r="AB10" i="2"/>
  <c r="AB9" i="2" s="1"/>
  <c r="Z10" i="2"/>
  <c r="Z9" i="2"/>
  <c r="X10" i="2"/>
  <c r="X9" i="2" s="1"/>
  <c r="V10" i="2"/>
  <c r="T10" i="2"/>
  <c r="T9" i="2" s="1"/>
  <c r="R10" i="2"/>
  <c r="R9" i="2" s="1"/>
  <c r="P10" i="2"/>
  <c r="P9" i="2" s="1"/>
  <c r="N10" i="2"/>
  <c r="N9" i="2"/>
  <c r="Q11" i="3"/>
  <c r="P58" i="3"/>
  <c r="O25" i="3"/>
  <c r="N25" i="3"/>
  <c r="O24" i="3"/>
  <c r="N24" i="3"/>
  <c r="O23" i="3"/>
  <c r="N23" i="3"/>
  <c r="O22" i="3"/>
  <c r="N22" i="3"/>
  <c r="O21" i="3"/>
  <c r="N21" i="3"/>
  <c r="O20" i="3"/>
  <c r="N20" i="3"/>
  <c r="O18" i="3"/>
  <c r="N18" i="3"/>
  <c r="O13" i="3"/>
  <c r="N13" i="3"/>
  <c r="O12" i="3"/>
  <c r="N12" i="3"/>
  <c r="O10" i="3"/>
  <c r="N10" i="3"/>
  <c r="O9" i="3"/>
  <c r="N9" i="3"/>
  <c r="O7" i="3"/>
  <c r="N7" i="3"/>
  <c r="O6" i="3"/>
  <c r="N6" i="3"/>
  <c r="O5" i="3"/>
  <c r="N5" i="3"/>
  <c r="O4" i="3"/>
  <c r="O11" i="3" s="1"/>
  <c r="N4" i="3"/>
  <c r="O19" i="3"/>
  <c r="N19" i="3"/>
  <c r="M16" i="3"/>
  <c r="N58" i="3"/>
  <c r="M25" i="3"/>
  <c r="L25" i="3"/>
  <c r="M24" i="3"/>
  <c r="L24" i="3"/>
  <c r="M23" i="3"/>
  <c r="L23" i="3"/>
  <c r="M22" i="3"/>
  <c r="L22" i="3"/>
  <c r="M21" i="3"/>
  <c r="L21" i="3"/>
  <c r="M20" i="3"/>
  <c r="L20" i="3"/>
  <c r="M18" i="3"/>
  <c r="L18" i="3"/>
  <c r="L16" i="3"/>
  <c r="M15" i="3"/>
  <c r="L15" i="3"/>
  <c r="M13" i="3"/>
  <c r="L13" i="3"/>
  <c r="M12" i="3"/>
  <c r="L12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L11" i="3" s="1"/>
  <c r="M19" i="3"/>
  <c r="L19" i="3"/>
  <c r="L58" i="3"/>
  <c r="M11" i="3"/>
  <c r="G11" i="2"/>
  <c r="H11" i="2"/>
  <c r="I11" i="2"/>
  <c r="J11" i="2"/>
  <c r="K11" i="2"/>
  <c r="L11" i="2"/>
  <c r="F11" i="2"/>
  <c r="F10" i="2"/>
  <c r="G10" i="2"/>
  <c r="H10" i="2"/>
  <c r="I10" i="2"/>
  <c r="J10" i="2"/>
  <c r="K10" i="2"/>
  <c r="L10" i="2"/>
  <c r="K13" i="4"/>
  <c r="M13" i="4"/>
  <c r="O13" i="4"/>
  <c r="Q13" i="4"/>
  <c r="S13" i="4"/>
  <c r="U13" i="4"/>
  <c r="W13" i="4"/>
  <c r="Y13" i="4"/>
  <c r="AA13" i="4"/>
  <c r="AC13" i="4"/>
  <c r="AE13" i="4"/>
  <c r="K11" i="4"/>
  <c r="M11" i="4"/>
  <c r="O11" i="4"/>
  <c r="Q11" i="4"/>
  <c r="S11" i="4"/>
  <c r="U11" i="4"/>
  <c r="W11" i="4"/>
  <c r="Y11" i="4"/>
  <c r="AA11" i="4"/>
  <c r="AC11" i="4"/>
  <c r="AE11" i="4"/>
  <c r="K9" i="4"/>
  <c r="M9" i="4"/>
  <c r="O9" i="4"/>
  <c r="Q9" i="4"/>
  <c r="S9" i="4"/>
  <c r="U9" i="4"/>
  <c r="W9" i="4"/>
  <c r="Y9" i="4"/>
  <c r="AA9" i="4"/>
  <c r="AC9" i="4"/>
  <c r="AE9" i="4"/>
  <c r="I13" i="4"/>
  <c r="I11" i="4"/>
  <c r="I9" i="4"/>
  <c r="U12" i="4"/>
  <c r="V12" i="4"/>
  <c r="W12" i="4"/>
  <c r="X12" i="4"/>
  <c r="Y12" i="4"/>
  <c r="Z12" i="4"/>
  <c r="AA12" i="4"/>
  <c r="AB12" i="4"/>
  <c r="AC12" i="4"/>
  <c r="AD12" i="4"/>
  <c r="AE12" i="4"/>
  <c r="AF12" i="4"/>
  <c r="J14" i="4"/>
  <c r="K14" i="4"/>
  <c r="L14" i="4"/>
  <c r="M14" i="4"/>
  <c r="N14" i="4"/>
  <c r="O14" i="4"/>
  <c r="P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I14" i="4"/>
  <c r="K5" i="4"/>
  <c r="M5" i="4"/>
  <c r="O5" i="4"/>
  <c r="Q5" i="4"/>
  <c r="S5" i="4"/>
  <c r="U5" i="4"/>
  <c r="W5" i="4"/>
  <c r="Y5" i="4"/>
  <c r="AA5" i="4"/>
  <c r="AC5" i="4"/>
  <c r="AE5" i="4"/>
  <c r="I5" i="4"/>
  <c r="H9" i="2"/>
  <c r="J9" i="2"/>
  <c r="L9" i="2"/>
  <c r="K9" i="2"/>
  <c r="I9" i="2"/>
  <c r="F9" i="2"/>
  <c r="G9" i="2"/>
  <c r="I34" i="3"/>
  <c r="H35" i="3"/>
  <c r="H34" i="3"/>
  <c r="I7" i="4"/>
  <c r="K7" i="4"/>
  <c r="M7" i="4"/>
  <c r="O7" i="4"/>
  <c r="Q7" i="4"/>
  <c r="S7" i="4"/>
  <c r="U7" i="4"/>
  <c r="W7" i="4"/>
  <c r="Y7" i="4"/>
  <c r="AA7" i="4"/>
  <c r="AC7" i="4"/>
  <c r="AE7" i="4"/>
  <c r="I8" i="4"/>
  <c r="J8" i="4"/>
  <c r="K8" i="4"/>
  <c r="L8" i="4"/>
  <c r="M8" i="4"/>
  <c r="N8" i="4"/>
  <c r="O8" i="4"/>
  <c r="T8" i="4"/>
  <c r="U8" i="4"/>
  <c r="V8" i="4"/>
  <c r="W8" i="4"/>
  <c r="X8" i="4"/>
  <c r="Y8" i="4"/>
  <c r="Z8" i="4"/>
  <c r="AA8" i="4"/>
  <c r="AB8" i="4"/>
  <c r="AC8" i="4"/>
  <c r="AF8" i="4"/>
  <c r="I10" i="4"/>
  <c r="J10" i="4"/>
  <c r="K10" i="4"/>
  <c r="L10" i="4"/>
  <c r="M10" i="4"/>
  <c r="N10" i="4"/>
  <c r="O10" i="4"/>
  <c r="T10" i="4"/>
  <c r="Q26" i="2"/>
  <c r="U10" i="4"/>
  <c r="V10" i="4"/>
  <c r="S26" i="2" s="1"/>
  <c r="W10" i="4"/>
  <c r="X10" i="4"/>
  <c r="U26" i="2" s="1"/>
  <c r="Y10" i="4"/>
  <c r="Z10" i="4"/>
  <c r="W26" i="2" s="1"/>
  <c r="AA10" i="4"/>
  <c r="AB10" i="4"/>
  <c r="Y26" i="2" s="1"/>
  <c r="AC10" i="4"/>
  <c r="AD10" i="4"/>
  <c r="AA26" i="2" s="1"/>
  <c r="AE10" i="4"/>
  <c r="AF10" i="4"/>
  <c r="AC26" i="2" s="1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3" i="3"/>
  <c r="J41" i="3" s="1"/>
  <c r="K13" i="3"/>
  <c r="K41" i="3" s="1"/>
  <c r="L41" i="3"/>
  <c r="M41" i="3"/>
  <c r="J15" i="3"/>
  <c r="K15" i="3"/>
  <c r="J16" i="3"/>
  <c r="K16" i="3"/>
  <c r="J34" i="3"/>
  <c r="K34" i="3"/>
  <c r="L34" i="3"/>
  <c r="M34" i="3"/>
  <c r="J18" i="3"/>
  <c r="J46" i="3" s="1"/>
  <c r="K18" i="3"/>
  <c r="K46" i="3" s="1"/>
  <c r="L46" i="3"/>
  <c r="M46" i="3"/>
  <c r="J19" i="3"/>
  <c r="K19" i="3"/>
  <c r="J20" i="3"/>
  <c r="J47" i="3" s="1"/>
  <c r="K20" i="3"/>
  <c r="K47" i="3" s="1"/>
  <c r="L47" i="3"/>
  <c r="M47" i="3"/>
  <c r="U47" i="3"/>
  <c r="J21" i="3"/>
  <c r="J45" i="3" s="1"/>
  <c r="K21" i="3"/>
  <c r="K45" i="3"/>
  <c r="L45" i="3"/>
  <c r="M45" i="3"/>
  <c r="J22" i="3"/>
  <c r="J35" i="3"/>
  <c r="K22" i="3"/>
  <c r="K35" i="3"/>
  <c r="L35" i="3"/>
  <c r="M35" i="3"/>
  <c r="J23" i="3"/>
  <c r="J36" i="3" s="1"/>
  <c r="K23" i="3"/>
  <c r="K36" i="3" s="1"/>
  <c r="L36" i="3"/>
  <c r="M36" i="3"/>
  <c r="J24" i="3"/>
  <c r="J53" i="3" s="1"/>
  <c r="K24" i="3"/>
  <c r="K53" i="3" s="1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J25" i="3"/>
  <c r="K2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H23" i="4"/>
  <c r="H19" i="4"/>
  <c r="H7" i="4"/>
  <c r="H9" i="4"/>
  <c r="H11" i="4"/>
  <c r="H13" i="4"/>
  <c r="H5" i="4"/>
  <c r="H4" i="3"/>
  <c r="I4" i="3"/>
  <c r="H5" i="3"/>
  <c r="I5" i="3"/>
  <c r="H6" i="3"/>
  <c r="I6" i="3"/>
  <c r="H7" i="3"/>
  <c r="I7" i="3"/>
  <c r="H8" i="3"/>
  <c r="I8" i="3"/>
  <c r="H9" i="3"/>
  <c r="I9" i="3"/>
  <c r="G9" i="3" s="1"/>
  <c r="H10" i="3"/>
  <c r="I10" i="3"/>
  <c r="H13" i="3"/>
  <c r="I13" i="3"/>
  <c r="I41" i="3"/>
  <c r="H15" i="3"/>
  <c r="I15" i="3"/>
  <c r="H16" i="3"/>
  <c r="I16" i="3"/>
  <c r="H18" i="3"/>
  <c r="H46" i="3" s="1"/>
  <c r="I18" i="3"/>
  <c r="I46" i="3"/>
  <c r="H19" i="3"/>
  <c r="H48" i="3" s="1"/>
  <c r="I19" i="3"/>
  <c r="H20" i="3"/>
  <c r="H47" i="3"/>
  <c r="I20" i="3"/>
  <c r="I47" i="3" s="1"/>
  <c r="H21" i="3"/>
  <c r="H45" i="3" s="1"/>
  <c r="I21" i="3"/>
  <c r="I45" i="3" s="1"/>
  <c r="I22" i="3"/>
  <c r="I35" i="3" s="1"/>
  <c r="H23" i="3"/>
  <c r="H36" i="3" s="1"/>
  <c r="I23" i="3"/>
  <c r="I36" i="3"/>
  <c r="H24" i="3"/>
  <c r="H53" i="3" s="1"/>
  <c r="I24" i="3"/>
  <c r="I53" i="3" s="1"/>
  <c r="H25" i="3"/>
  <c r="I25" i="3"/>
  <c r="I65" i="3" s="1"/>
  <c r="H58" i="3"/>
  <c r="J58" i="3"/>
  <c r="J65" i="3"/>
  <c r="H11" i="3"/>
  <c r="G5" i="3"/>
  <c r="G7" i="3"/>
  <c r="M44" i="3"/>
  <c r="L44" i="3"/>
  <c r="H65" i="3"/>
  <c r="I69" i="3"/>
  <c r="I48" i="3"/>
  <c r="G4" i="3"/>
  <c r="H28" i="3"/>
  <c r="W69" i="3"/>
  <c r="W48" i="3"/>
  <c r="S69" i="3"/>
  <c r="S48" i="3"/>
  <c r="O69" i="3"/>
  <c r="O48" i="3"/>
  <c r="K69" i="3"/>
  <c r="K48" i="3"/>
  <c r="G10" i="3"/>
  <c r="AC28" i="3"/>
  <c r="Y28" i="3"/>
  <c r="U28" i="3"/>
  <c r="Q28" i="3"/>
  <c r="M28" i="3"/>
  <c r="T69" i="3"/>
  <c r="T48" i="3"/>
  <c r="P69" i="3"/>
  <c r="P48" i="3"/>
  <c r="L69" i="3"/>
  <c r="L48" i="3"/>
  <c r="I28" i="3"/>
  <c r="AD28" i="3"/>
  <c r="Z28" i="3"/>
  <c r="V28" i="3"/>
  <c r="R28" i="3"/>
  <c r="N28" i="3"/>
  <c r="J28" i="3"/>
  <c r="H41" i="3"/>
  <c r="U69" i="3"/>
  <c r="U48" i="3"/>
  <c r="Q69" i="3"/>
  <c r="P71" i="3" s="1"/>
  <c r="Q48" i="3"/>
  <c r="M69" i="3"/>
  <c r="M48" i="3"/>
  <c r="AE28" i="3"/>
  <c r="AA28" i="3"/>
  <c r="W28" i="3"/>
  <c r="S28" i="3"/>
  <c r="O28" i="3"/>
  <c r="K28" i="3"/>
  <c r="V69" i="3"/>
  <c r="V48" i="3"/>
  <c r="N69" i="3"/>
  <c r="N48" i="3"/>
  <c r="J69" i="3"/>
  <c r="J48" i="3"/>
  <c r="AB28" i="3"/>
  <c r="X28" i="3"/>
  <c r="T28" i="3"/>
  <c r="P28" i="3"/>
  <c r="L28" i="3"/>
  <c r="G6" i="3"/>
  <c r="H72" i="3"/>
  <c r="I11" i="3"/>
  <c r="J11" i="3"/>
  <c r="K11" i="3"/>
  <c r="V71" i="3"/>
  <c r="AB67" i="3"/>
  <c r="X67" i="3"/>
  <c r="T71" i="3"/>
  <c r="N71" i="3"/>
  <c r="L67" i="3"/>
  <c r="L72" i="3"/>
  <c r="J23" i="2"/>
  <c r="V23" i="2"/>
  <c r="Z23" i="2"/>
  <c r="H27" i="4"/>
  <c r="J67" i="3"/>
  <c r="H23" i="2"/>
  <c r="F28" i="2"/>
  <c r="F19" i="2"/>
  <c r="N4" i="2"/>
  <c r="L4" i="2"/>
  <c r="J4" i="2"/>
  <c r="H4" i="2"/>
  <c r="E4" i="2"/>
  <c r="AE30" i="4"/>
  <c r="AC30" i="4"/>
  <c r="AA30" i="4"/>
  <c r="Y30" i="4"/>
  <c r="W30" i="4"/>
  <c r="U30" i="4"/>
  <c r="S30" i="4"/>
  <c r="Q30" i="4"/>
  <c r="O30" i="4"/>
  <c r="M30" i="4"/>
  <c r="K30" i="4"/>
  <c r="I30" i="4"/>
  <c r="E16" i="4"/>
  <c r="D16" i="4"/>
  <c r="E15" i="4"/>
  <c r="D15" i="4"/>
  <c r="H69" i="3"/>
  <c r="H71" i="3" s="1"/>
  <c r="Y14" i="2"/>
  <c r="AC14" i="2"/>
  <c r="AA14" i="2"/>
  <c r="W14" i="2"/>
  <c r="Q14" i="2"/>
  <c r="J71" i="3"/>
  <c r="K14" i="2"/>
  <c r="J72" i="3"/>
  <c r="E11" i="2"/>
  <c r="E10" i="2"/>
  <c r="J6" i="2"/>
  <c r="O6" i="2"/>
  <c r="S6" i="2"/>
  <c r="W6" i="2"/>
  <c r="AA6" i="2"/>
  <c r="G6" i="2"/>
  <c r="N6" i="2"/>
  <c r="R6" i="2"/>
  <c r="V6" i="2"/>
  <c r="Z6" i="2"/>
  <c r="Q6" i="2"/>
  <c r="U6" i="2"/>
  <c r="Y6" i="2"/>
  <c r="AC6" i="2"/>
  <c r="L6" i="2"/>
  <c r="T6" i="2"/>
  <c r="X6" i="2"/>
  <c r="AB6" i="2"/>
  <c r="H6" i="2"/>
  <c r="K6" i="2"/>
  <c r="I6" i="2"/>
  <c r="M6" i="2"/>
  <c r="P6" i="2"/>
  <c r="N67" i="3"/>
  <c r="L23" i="2"/>
  <c r="P67" i="3"/>
  <c r="N23" i="2" s="1"/>
  <c r="R67" i="3"/>
  <c r="P23" i="2" s="1"/>
  <c r="T67" i="3"/>
  <c r="R23" i="2" s="1"/>
  <c r="V67" i="3"/>
  <c r="T23" i="2" s="1"/>
  <c r="E7" i="2"/>
  <c r="F6" i="2"/>
  <c r="E6" i="2"/>
  <c r="Z67" i="3"/>
  <c r="X23" i="2"/>
  <c r="Z42" i="3"/>
  <c r="AC42" i="3"/>
  <c r="AA42" i="3"/>
  <c r="AB42" i="3"/>
  <c r="AA16" i="4"/>
  <c r="G26" i="2"/>
  <c r="I16" i="4"/>
  <c r="W42" i="3"/>
  <c r="AD42" i="3"/>
  <c r="T42" i="3"/>
  <c r="U42" i="3"/>
  <c r="U56" i="3" s="1"/>
  <c r="X42" i="3"/>
  <c r="Y42" i="3"/>
  <c r="AE42" i="3"/>
  <c r="V42" i="3"/>
  <c r="H14" i="4"/>
  <c r="W16" i="4"/>
  <c r="Y16" i="4"/>
  <c r="U16" i="4"/>
  <c r="M16" i="4"/>
  <c r="K16" i="4"/>
  <c r="F28" i="3"/>
  <c r="AD67" i="3"/>
  <c r="AB23" i="2" s="1"/>
  <c r="AA41" i="3"/>
  <c r="AA36" i="3"/>
  <c r="AA47" i="3"/>
  <c r="AA35" i="3"/>
  <c r="AA45" i="3"/>
  <c r="AA46" i="3"/>
  <c r="AA34" i="3"/>
  <c r="AA44" i="3"/>
  <c r="AA31" i="3"/>
  <c r="AA40" i="3"/>
  <c r="Y46" i="3"/>
  <c r="Y45" i="3"/>
  <c r="Y35" i="3"/>
  <c r="Y34" i="3"/>
  <c r="Y36" i="3"/>
  <c r="Y48" i="3"/>
  <c r="Y69" i="3"/>
  <c r="S41" i="3"/>
  <c r="X48" i="3"/>
  <c r="X69" i="3"/>
  <c r="X71" i="3"/>
  <c r="T41" i="3"/>
  <c r="T40" i="3"/>
  <c r="AB45" i="3"/>
  <c r="W41" i="3"/>
  <c r="AA69" i="3"/>
  <c r="AA48" i="3"/>
  <c r="Z48" i="3"/>
  <c r="Z69" i="3"/>
  <c r="AB46" i="3"/>
  <c r="Z41" i="3"/>
  <c r="W45" i="3"/>
  <c r="W36" i="3"/>
  <c r="W35" i="3"/>
  <c r="W46" i="3"/>
  <c r="W34" i="3"/>
  <c r="Z71" i="3"/>
  <c r="W40" i="3"/>
  <c r="W31" i="3"/>
  <c r="Z40" i="3"/>
  <c r="AC69" i="3"/>
  <c r="AC48" i="3"/>
  <c r="AB69" i="3"/>
  <c r="AB48" i="3"/>
  <c r="AB36" i="3"/>
  <c r="Z36" i="3"/>
  <c r="X36" i="3"/>
  <c r="Z34" i="3"/>
  <c r="X34" i="3"/>
  <c r="Z46" i="3"/>
  <c r="X46" i="3"/>
  <c r="Z35" i="3"/>
  <c r="X35" i="3"/>
  <c r="Z45" i="3"/>
  <c r="X45" i="3"/>
  <c r="AB71" i="3"/>
  <c r="Z31" i="3"/>
  <c r="Z72" i="3"/>
  <c r="X72" i="3"/>
  <c r="AD48" i="3"/>
  <c r="AD69" i="3"/>
  <c r="U46" i="3"/>
  <c r="AE48" i="3"/>
  <c r="AE69" i="3"/>
  <c r="V46" i="3"/>
  <c r="S36" i="3"/>
  <c r="S46" i="3"/>
  <c r="AD71" i="3"/>
  <c r="AB34" i="3"/>
  <c r="T36" i="3"/>
  <c r="T46" i="3"/>
  <c r="S34" i="3"/>
  <c r="T31" i="3"/>
  <c r="AE34" i="3"/>
  <c r="T34" i="3"/>
  <c r="S35" i="3"/>
  <c r="AE41" i="3"/>
  <c r="U36" i="3"/>
  <c r="V36" i="3"/>
  <c r="T35" i="3"/>
  <c r="S45" i="3"/>
  <c r="N41" i="3"/>
  <c r="N34" i="3"/>
  <c r="N36" i="3"/>
  <c r="AE40" i="3"/>
  <c r="AE31" i="3"/>
  <c r="AB35" i="3"/>
  <c r="T45" i="3"/>
  <c r="O36" i="3"/>
  <c r="P36" i="3"/>
  <c r="N46" i="3"/>
  <c r="N35" i="3"/>
  <c r="S47" i="3"/>
  <c r="AE35" i="3"/>
  <c r="AE36" i="3"/>
  <c r="S44" i="3"/>
  <c r="U35" i="3"/>
  <c r="AE45" i="3"/>
  <c r="V35" i="3"/>
  <c r="T72" i="3"/>
  <c r="U34" i="3"/>
  <c r="V72" i="3"/>
  <c r="AE46" i="3"/>
  <c r="O41" i="3"/>
  <c r="V45" i="3"/>
  <c r="V41" i="3"/>
  <c r="V55" i="3" s="1"/>
  <c r="V34" i="3"/>
  <c r="P41" i="3"/>
  <c r="W57" i="3"/>
  <c r="U41" i="3"/>
  <c r="U55" i="3" s="1"/>
  <c r="V31" i="3"/>
  <c r="V40" i="3"/>
  <c r="U45" i="3"/>
  <c r="U44" i="3"/>
  <c r="S27" i="2"/>
  <c r="U31" i="3"/>
  <c r="U40" i="3"/>
  <c r="AC46" i="3"/>
  <c r="AC34" i="3"/>
  <c r="AC35" i="3"/>
  <c r="AC45" i="3"/>
  <c r="N45" i="3"/>
  <c r="AC41" i="3"/>
  <c r="AC31" i="3"/>
  <c r="AB72" i="3"/>
  <c r="AD45" i="3"/>
  <c r="AD35" i="3"/>
  <c r="AD34" i="3"/>
  <c r="AD46" i="3"/>
  <c r="AD41" i="3"/>
  <c r="AD55" i="3" s="1"/>
  <c r="AD40" i="3"/>
  <c r="Y47" i="3"/>
  <c r="X41" i="3"/>
  <c r="X55" i="3" s="1"/>
  <c r="X31" i="3"/>
  <c r="Y41" i="3"/>
  <c r="Y31" i="3"/>
  <c r="AB41" i="3"/>
  <c r="AB55" i="3" s="1"/>
  <c r="AB31" i="3"/>
  <c r="AC40" i="3"/>
  <c r="AD31" i="3"/>
  <c r="AD72" i="3"/>
  <c r="AC36" i="3"/>
  <c r="Y44" i="3"/>
  <c r="Y40" i="3"/>
  <c r="X40" i="3"/>
  <c r="Q36" i="3"/>
  <c r="AB40" i="3"/>
  <c r="AD36" i="3"/>
  <c r="R36" i="3"/>
  <c r="N47" i="3"/>
  <c r="O47" i="3"/>
  <c r="G23" i="3"/>
  <c r="Y57" i="3"/>
  <c r="W27" i="2"/>
  <c r="O34" i="3"/>
  <c r="P34" i="3"/>
  <c r="Q46" i="3"/>
  <c r="R46" i="3"/>
  <c r="T57" i="3"/>
  <c r="O35" i="3"/>
  <c r="O46" i="3"/>
  <c r="P35" i="3"/>
  <c r="P46" i="3"/>
  <c r="G18" i="3"/>
  <c r="T47" i="3"/>
  <c r="G16" i="3"/>
  <c r="T44" i="3"/>
  <c r="Q41" i="3"/>
  <c r="R41" i="3"/>
  <c r="Q45" i="3"/>
  <c r="G13" i="3"/>
  <c r="R45" i="3"/>
  <c r="Q35" i="3"/>
  <c r="R35" i="3"/>
  <c r="G22" i="3"/>
  <c r="K26" i="2" s="1"/>
  <c r="O45" i="3"/>
  <c r="O44" i="3" s="1"/>
  <c r="P45" i="3"/>
  <c r="R72" i="3"/>
  <c r="G21" i="3"/>
  <c r="G15" i="3"/>
  <c r="Q34" i="3"/>
  <c r="R34" i="3"/>
  <c r="G34" i="3" s="1"/>
  <c r="G17" i="3"/>
  <c r="Z57" i="3"/>
  <c r="P47" i="3"/>
  <c r="AA57" i="3"/>
  <c r="Y27" i="2"/>
  <c r="V47" i="3"/>
  <c r="V44" i="3" s="1"/>
  <c r="Q47" i="3"/>
  <c r="R47" i="3"/>
  <c r="AB57" i="3"/>
  <c r="R48" i="3"/>
  <c r="R69" i="3"/>
  <c r="R71" i="3" s="1"/>
  <c r="G19" i="3"/>
  <c r="W47" i="3"/>
  <c r="U27" i="2"/>
  <c r="Z47" i="3"/>
  <c r="X47" i="3"/>
  <c r="X44" i="3" s="1"/>
  <c r="W44" i="3"/>
  <c r="Z44" i="3"/>
  <c r="AC57" i="3"/>
  <c r="J12" i="3"/>
  <c r="AB47" i="3"/>
  <c r="AB44" i="3" s="1"/>
  <c r="AD57" i="3"/>
  <c r="K12" i="3"/>
  <c r="I26" i="2"/>
  <c r="AC47" i="3"/>
  <c r="AA27" i="2"/>
  <c r="AC44" i="3"/>
  <c r="AE57" i="3"/>
  <c r="AD47" i="3"/>
  <c r="AD44" i="3" s="1"/>
  <c r="AE47" i="3"/>
  <c r="AC27" i="2"/>
  <c r="G20" i="3"/>
  <c r="AE44" i="3"/>
  <c r="AE8" i="4"/>
  <c r="AE16" i="4" s="1"/>
  <c r="AD8" i="4"/>
  <c r="AC16" i="4" s="1"/>
  <c r="L8" i="2"/>
  <c r="Q10" i="4"/>
  <c r="P10" i="4"/>
  <c r="M26" i="2" s="1"/>
  <c r="Q8" i="4"/>
  <c r="P8" i="4"/>
  <c r="O16" i="4" s="1"/>
  <c r="P12" i="3"/>
  <c r="Q12" i="3"/>
  <c r="M14" i="2"/>
  <c r="U14" i="2"/>
  <c r="S14" i="2"/>
  <c r="O14" i="2"/>
  <c r="N44" i="3" l="1"/>
  <c r="W55" i="3"/>
  <c r="V56" i="3"/>
  <c r="AE56" i="3"/>
  <c r="Y56" i="3"/>
  <c r="T56" i="3"/>
  <c r="W56" i="3"/>
  <c r="AB56" i="3"/>
  <c r="L71" i="3"/>
  <c r="H67" i="3"/>
  <c r="F23" i="2" s="1"/>
  <c r="G25" i="3"/>
  <c r="G35" i="3"/>
  <c r="G8" i="3"/>
  <c r="N11" i="3"/>
  <c r="V9" i="2"/>
  <c r="U49" i="3"/>
  <c r="AA55" i="3"/>
  <c r="Z55" i="3"/>
  <c r="AC56" i="3"/>
  <c r="Z18" i="2" s="1"/>
  <c r="U57" i="3"/>
  <c r="Z49" i="3"/>
  <c r="Z37" i="3" s="1"/>
  <c r="Y49" i="3"/>
  <c r="O14" i="3"/>
  <c r="M27" i="2" s="1"/>
  <c r="E9" i="2"/>
  <c r="N14" i="3"/>
  <c r="I44" i="3"/>
  <c r="R44" i="3"/>
  <c r="Q44" i="3"/>
  <c r="P44" i="3"/>
  <c r="G24" i="3"/>
  <c r="G28" i="3"/>
  <c r="K44" i="3"/>
  <c r="M42" i="3"/>
  <c r="K27" i="2"/>
  <c r="M31" i="3"/>
  <c r="X49" i="3"/>
  <c r="X68" i="3" s="1"/>
  <c r="V49" i="3"/>
  <c r="AA49" i="3"/>
  <c r="AB49" i="3"/>
  <c r="AB68" i="3" s="1"/>
  <c r="Q31" i="3"/>
  <c r="W49" i="3"/>
  <c r="W68" i="3" s="1"/>
  <c r="L40" i="3"/>
  <c r="AD49" i="3"/>
  <c r="G36" i="3"/>
  <c r="G47" i="3"/>
  <c r="G48" i="3"/>
  <c r="G46" i="3"/>
  <c r="Z27" i="2"/>
  <c r="G41" i="3"/>
  <c r="J44" i="3"/>
  <c r="T17" i="2"/>
  <c r="T16" i="2" s="1"/>
  <c r="T26" i="2"/>
  <c r="T27" i="2"/>
  <c r="T18" i="2"/>
  <c r="H44" i="3"/>
  <c r="G45" i="3"/>
  <c r="X17" i="2"/>
  <c r="X16" i="2" s="1"/>
  <c r="X26" i="2"/>
  <c r="R18" i="2"/>
  <c r="R27" i="2"/>
  <c r="G11" i="3"/>
  <c r="L31" i="3"/>
  <c r="M40" i="3"/>
  <c r="G53" i="3"/>
  <c r="O27" i="2"/>
  <c r="Q40" i="3"/>
  <c r="X56" i="3"/>
  <c r="G12" i="3"/>
  <c r="O31" i="3"/>
  <c r="AE55" i="3"/>
  <c r="AB17" i="2" s="1"/>
  <c r="AB16" i="2" s="1"/>
  <c r="AC55" i="3"/>
  <c r="Z56" i="3"/>
  <c r="AA56" i="3"/>
  <c r="H40" i="3"/>
  <c r="H31" i="3"/>
  <c r="AD56" i="3"/>
  <c r="X43" i="3"/>
  <c r="X39" i="3" s="1"/>
  <c r="T55" i="3"/>
  <c r="R17" i="2" s="1"/>
  <c r="R16" i="2" s="1"/>
  <c r="K31" i="3"/>
  <c r="K42" i="3"/>
  <c r="I27" i="2"/>
  <c r="J31" i="3"/>
  <c r="J42" i="3"/>
  <c r="P40" i="3"/>
  <c r="N42" i="3"/>
  <c r="N31" i="3"/>
  <c r="V43" i="3"/>
  <c r="V39" i="3" s="1"/>
  <c r="V68" i="3"/>
  <c r="V37" i="3"/>
  <c r="R26" i="2"/>
  <c r="Y43" i="3"/>
  <c r="Y39" i="3" s="1"/>
  <c r="Y37" i="3"/>
  <c r="Y68" i="3"/>
  <c r="U43" i="3"/>
  <c r="U39" i="3" s="1"/>
  <c r="U37" i="3"/>
  <c r="U68" i="3"/>
  <c r="AB37" i="3"/>
  <c r="W43" i="3"/>
  <c r="W39" i="3" s="1"/>
  <c r="W37" i="3"/>
  <c r="V27" i="2"/>
  <c r="AA43" i="3"/>
  <c r="AA39" i="3" s="1"/>
  <c r="AA37" i="3"/>
  <c r="AA68" i="3"/>
  <c r="I42" i="3"/>
  <c r="I31" i="3"/>
  <c r="G27" i="2"/>
  <c r="AD43" i="3"/>
  <c r="AD39" i="3" s="1"/>
  <c r="AD37" i="3"/>
  <c r="AD68" i="3"/>
  <c r="Z17" i="2"/>
  <c r="Z16" i="2" s="1"/>
  <c r="X27" i="2"/>
  <c r="O42" i="3"/>
  <c r="Z43" i="3"/>
  <c r="Z39" i="3" s="1"/>
  <c r="Y55" i="3"/>
  <c r="AE49" i="3"/>
  <c r="AC49" i="3"/>
  <c r="Z68" i="3"/>
  <c r="X37" i="3"/>
  <c r="X33" i="3" s="1"/>
  <c r="T49" i="3"/>
  <c r="AB26" i="2" l="1"/>
  <c r="Z26" i="2"/>
  <c r="V18" i="2"/>
  <c r="Z70" i="3"/>
  <c r="AB27" i="2"/>
  <c r="X18" i="2"/>
  <c r="G44" i="3"/>
  <c r="AB43" i="3"/>
  <c r="AB39" i="3" s="1"/>
  <c r="AB18" i="2"/>
  <c r="X70" i="3"/>
  <c r="T43" i="3"/>
  <c r="T39" i="3" s="1"/>
  <c r="T37" i="3"/>
  <c r="T68" i="3"/>
  <c r="I40" i="3"/>
  <c r="AC37" i="3"/>
  <c r="AC68" i="3"/>
  <c r="AB70" i="3" s="1"/>
  <c r="AC43" i="3"/>
  <c r="AC39" i="3" s="1"/>
  <c r="O40" i="3"/>
  <c r="K40" i="3"/>
  <c r="X32" i="3"/>
  <c r="X30" i="3" s="1"/>
  <c r="X64" i="3"/>
  <c r="W33" i="3"/>
  <c r="AA33" i="3"/>
  <c r="U33" i="3"/>
  <c r="V70" i="3"/>
  <c r="Y33" i="3"/>
  <c r="V33" i="3"/>
  <c r="AE37" i="3"/>
  <c r="AE68" i="3"/>
  <c r="AE43" i="3"/>
  <c r="AE39" i="3" s="1"/>
  <c r="V26" i="2"/>
  <c r="V17" i="2"/>
  <c r="V16" i="2" s="1"/>
  <c r="J40" i="3"/>
  <c r="AD33" i="3"/>
  <c r="Z33" i="3"/>
  <c r="N40" i="3"/>
  <c r="AD70" i="3" l="1"/>
  <c r="T70" i="3"/>
  <c r="AB33" i="3"/>
  <c r="AE33" i="3"/>
  <c r="AE32" i="3" s="1"/>
  <c r="AE30" i="3" s="1"/>
  <c r="AA32" i="3"/>
  <c r="AA30" i="3" s="1"/>
  <c r="AA64" i="3"/>
  <c r="Y64" i="3"/>
  <c r="X66" i="3" s="1"/>
  <c r="Y32" i="3"/>
  <c r="Y30" i="3" s="1"/>
  <c r="U32" i="3"/>
  <c r="U30" i="3" s="1"/>
  <c r="U64" i="3"/>
  <c r="W64" i="3"/>
  <c r="W32" i="3"/>
  <c r="W30" i="3" s="1"/>
  <c r="AD32" i="3"/>
  <c r="AD30" i="3" s="1"/>
  <c r="AD64" i="3"/>
  <c r="V64" i="3"/>
  <c r="V32" i="3"/>
  <c r="V30" i="3" s="1"/>
  <c r="X29" i="3"/>
  <c r="X74" i="3" s="1"/>
  <c r="T33" i="3"/>
  <c r="Z32" i="3"/>
  <c r="Z30" i="3" s="1"/>
  <c r="Z64" i="3"/>
  <c r="AC33" i="3"/>
  <c r="AE64" i="3" l="1"/>
  <c r="Y20" i="4"/>
  <c r="Y28" i="4" s="1"/>
  <c r="AB32" i="3"/>
  <c r="AB30" i="3" s="1"/>
  <c r="AB64" i="3"/>
  <c r="AC32" i="3"/>
  <c r="AC30" i="3" s="1"/>
  <c r="AC64" i="3"/>
  <c r="Y24" i="4"/>
  <c r="X75" i="3"/>
  <c r="V66" i="3"/>
  <c r="AD29" i="3"/>
  <c r="AE20" i="4" s="1"/>
  <c r="Z66" i="3"/>
  <c r="T64" i="3"/>
  <c r="T32" i="3"/>
  <c r="T30" i="3" s="1"/>
  <c r="V29" i="3"/>
  <c r="AD66" i="3"/>
  <c r="W29" i="3"/>
  <c r="W74" i="3" s="1"/>
  <c r="Y29" i="3"/>
  <c r="U29" i="3"/>
  <c r="V20" i="4" s="1"/>
  <c r="AE29" i="3"/>
  <c r="AF20" i="4" s="1"/>
  <c r="AA29" i="3"/>
  <c r="AA74" i="3" s="1"/>
  <c r="Z29" i="3"/>
  <c r="AA20" i="4" s="1"/>
  <c r="Y21" i="4" l="1"/>
  <c r="AB29" i="3"/>
  <c r="Z74" i="3"/>
  <c r="AD74" i="3"/>
  <c r="Z24" i="4"/>
  <c r="Y75" i="3"/>
  <c r="V73" i="3"/>
  <c r="V75" i="3"/>
  <c r="W24" i="4"/>
  <c r="AA28" i="4"/>
  <c r="AA21" i="4"/>
  <c r="AF24" i="4"/>
  <c r="AE75" i="3"/>
  <c r="W75" i="3"/>
  <c r="X24" i="4"/>
  <c r="AC29" i="3"/>
  <c r="AC74" i="3" s="1"/>
  <c r="AA75" i="3"/>
  <c r="AB24" i="4"/>
  <c r="U75" i="3"/>
  <c r="V24" i="4"/>
  <c r="T29" i="3"/>
  <c r="U20" i="4" s="1"/>
  <c r="Z73" i="3"/>
  <c r="Z75" i="3"/>
  <c r="AA24" i="4"/>
  <c r="AD73" i="3"/>
  <c r="AD75" i="3"/>
  <c r="AE24" i="4"/>
  <c r="Y29" i="4"/>
  <c r="Y25" i="4"/>
  <c r="Z20" i="4"/>
  <c r="W20" i="4"/>
  <c r="AB20" i="4"/>
  <c r="U74" i="3"/>
  <c r="Y74" i="3"/>
  <c r="V74" i="3"/>
  <c r="T66" i="3"/>
  <c r="AE28" i="4"/>
  <c r="AE21" i="4"/>
  <c r="AB66" i="3"/>
  <c r="AE74" i="3"/>
  <c r="X20" i="4"/>
  <c r="X73" i="3"/>
  <c r="AB74" i="3" l="1"/>
  <c r="AC24" i="4"/>
  <c r="AB75" i="3"/>
  <c r="AC20" i="4"/>
  <c r="AD20" i="4"/>
  <c r="U28" i="4"/>
  <c r="U21" i="4"/>
  <c r="AE25" i="4"/>
  <c r="AE29" i="4"/>
  <c r="T74" i="3"/>
  <c r="W28" i="4"/>
  <c r="W21" i="4"/>
  <c r="W25" i="4"/>
  <c r="W29" i="4"/>
  <c r="AA25" i="4"/>
  <c r="AA29" i="4"/>
  <c r="T73" i="3"/>
  <c r="T75" i="3"/>
  <c r="U24" i="4"/>
  <c r="AD24" i="4"/>
  <c r="AC75" i="3"/>
  <c r="AB73" i="3"/>
  <c r="AC25" i="4" l="1"/>
  <c r="AC29" i="4"/>
  <c r="AC28" i="4"/>
  <c r="AC21" i="4"/>
  <c r="U25" i="4"/>
  <c r="U29" i="4"/>
  <c r="T12" i="4" l="1"/>
  <c r="S12" i="4"/>
  <c r="R14" i="3" s="1"/>
  <c r="S14" i="3" l="1"/>
  <c r="Q27" i="2" s="1"/>
  <c r="R42" i="3"/>
  <c r="R31" i="3"/>
  <c r="R8" i="4"/>
  <c r="R10" i="4"/>
  <c r="H12" i="4"/>
  <c r="G14" i="3" l="1"/>
  <c r="S31" i="3"/>
  <c r="S42" i="3"/>
  <c r="G42" i="3" s="1"/>
  <c r="R40" i="3"/>
  <c r="O26" i="2"/>
  <c r="Q16" i="4"/>
  <c r="R52" i="3"/>
  <c r="R56" i="3" s="1"/>
  <c r="R51" i="3" l="1"/>
  <c r="R57" i="3" s="1"/>
  <c r="R50" i="3"/>
  <c r="S40" i="3"/>
  <c r="G40" i="3" s="1"/>
  <c r="G31" i="3"/>
  <c r="R55" i="3" l="1"/>
  <c r="R49" i="3"/>
  <c r="P51" i="3"/>
  <c r="P57" i="3" s="1"/>
  <c r="J50" i="3"/>
  <c r="I52" i="3"/>
  <c r="I56" i="3" s="1"/>
  <c r="H50" i="3"/>
  <c r="H51" i="3"/>
  <c r="H52" i="3"/>
  <c r="M50" i="3"/>
  <c r="M52" i="3"/>
  <c r="M56" i="3" s="1"/>
  <c r="M51" i="3"/>
  <c r="M57" i="3" s="1"/>
  <c r="N50" i="3"/>
  <c r="O51" i="3"/>
  <c r="O57" i="3" s="1"/>
  <c r="Q51" i="3"/>
  <c r="Q57" i="3" s="1"/>
  <c r="N55" i="3" l="1"/>
  <c r="J51" i="3"/>
  <c r="J57" i="3" s="1"/>
  <c r="Q52" i="3"/>
  <c r="Q56" i="3" s="1"/>
  <c r="O50" i="3"/>
  <c r="L50" i="3"/>
  <c r="H57" i="3"/>
  <c r="H49" i="3"/>
  <c r="H55" i="3"/>
  <c r="K50" i="3"/>
  <c r="P50" i="3"/>
  <c r="R37" i="3"/>
  <c r="R43" i="3"/>
  <c r="R39" i="3" s="1"/>
  <c r="R68" i="3"/>
  <c r="N52" i="3"/>
  <c r="N56" i="3" s="1"/>
  <c r="M55" i="3"/>
  <c r="M49" i="3"/>
  <c r="H56" i="3"/>
  <c r="I51" i="3"/>
  <c r="I57" i="3" s="1"/>
  <c r="J55" i="3"/>
  <c r="K52" i="3"/>
  <c r="K56" i="3" s="1"/>
  <c r="P52" i="3"/>
  <c r="P56" i="3" s="1"/>
  <c r="L51" i="3"/>
  <c r="L57" i="3" s="1"/>
  <c r="J52" i="3"/>
  <c r="J56" i="3" s="1"/>
  <c r="Q50" i="3"/>
  <c r="O52" i="3"/>
  <c r="O56" i="3" s="1"/>
  <c r="N51" i="3"/>
  <c r="N57" i="3" s="1"/>
  <c r="L52" i="3"/>
  <c r="L56" i="3" s="1"/>
  <c r="I50" i="3"/>
  <c r="K51" i="3"/>
  <c r="K57" i="3" s="1"/>
  <c r="R33" i="3" l="1"/>
  <c r="I55" i="3"/>
  <c r="I49" i="3"/>
  <c r="Q55" i="3"/>
  <c r="Q49" i="3"/>
  <c r="H18" i="2"/>
  <c r="H27" i="2"/>
  <c r="M37" i="3"/>
  <c r="M68" i="3"/>
  <c r="M43" i="3"/>
  <c r="M39" i="3" s="1"/>
  <c r="P55" i="3"/>
  <c r="P49" i="3"/>
  <c r="F27" i="2"/>
  <c r="F18" i="2"/>
  <c r="R32" i="3"/>
  <c r="R30" i="3" s="1"/>
  <c r="R64" i="3"/>
  <c r="O55" i="3"/>
  <c r="O49" i="3"/>
  <c r="N49" i="3"/>
  <c r="J27" i="2"/>
  <c r="J18" i="2"/>
  <c r="N18" i="2"/>
  <c r="N27" i="2"/>
  <c r="L27" i="2"/>
  <c r="L18" i="2"/>
  <c r="K55" i="3"/>
  <c r="K49" i="3"/>
  <c r="H43" i="3"/>
  <c r="H39" i="3" s="1"/>
  <c r="H37" i="3"/>
  <c r="H68" i="3"/>
  <c r="J49" i="3"/>
  <c r="F17" i="2"/>
  <c r="F16" i="2" s="1"/>
  <c r="F26" i="2"/>
  <c r="L55" i="3"/>
  <c r="L49" i="3"/>
  <c r="L26" i="2" l="1"/>
  <c r="H17" i="2"/>
  <c r="H26" i="2"/>
  <c r="L37" i="3"/>
  <c r="L68" i="3"/>
  <c r="L43" i="3"/>
  <c r="L39" i="3" s="1"/>
  <c r="J43" i="3"/>
  <c r="J37" i="3"/>
  <c r="J68" i="3"/>
  <c r="O43" i="3"/>
  <c r="O39" i="3" s="1"/>
  <c r="O68" i="3"/>
  <c r="O37" i="3"/>
  <c r="H16" i="2"/>
  <c r="H33" i="3"/>
  <c r="R29" i="3"/>
  <c r="S20" i="4" s="1"/>
  <c r="N17" i="2"/>
  <c r="N16" i="2" s="1"/>
  <c r="N26" i="2"/>
  <c r="I43" i="3"/>
  <c r="I39" i="3" s="1"/>
  <c r="I37" i="3"/>
  <c r="I68" i="3"/>
  <c r="J17" i="2"/>
  <c r="J16" i="2" s="1"/>
  <c r="J26" i="2"/>
  <c r="P68" i="3"/>
  <c r="P43" i="3"/>
  <c r="P39" i="3" s="1"/>
  <c r="P37" i="3"/>
  <c r="L17" i="2"/>
  <c r="L16" i="2" s="1"/>
  <c r="M33" i="3"/>
  <c r="K43" i="3"/>
  <c r="K39" i="3" s="1"/>
  <c r="K37" i="3"/>
  <c r="K68" i="3"/>
  <c r="N43" i="3"/>
  <c r="N39" i="3" s="1"/>
  <c r="N68" i="3"/>
  <c r="N37" i="3"/>
  <c r="Q68" i="3"/>
  <c r="Q37" i="3"/>
  <c r="Q43" i="3"/>
  <c r="Q39" i="3" s="1"/>
  <c r="H70" i="3" l="1"/>
  <c r="N70" i="3"/>
  <c r="L70" i="3"/>
  <c r="I33" i="3"/>
  <c r="I64" i="3" s="1"/>
  <c r="J33" i="3"/>
  <c r="J32" i="3" s="1"/>
  <c r="J30" i="3" s="1"/>
  <c r="P70" i="3"/>
  <c r="M32" i="3"/>
  <c r="M30" i="3" s="1"/>
  <c r="M64" i="3"/>
  <c r="J39" i="3"/>
  <c r="Q33" i="3"/>
  <c r="P33" i="3"/>
  <c r="R75" i="3"/>
  <c r="S24" i="4"/>
  <c r="I32" i="3"/>
  <c r="I30" i="3" s="1"/>
  <c r="H32" i="3"/>
  <c r="H64" i="3"/>
  <c r="R74" i="3"/>
  <c r="O33" i="3"/>
  <c r="L33" i="3"/>
  <c r="N33" i="3"/>
  <c r="K33" i="3"/>
  <c r="J70" i="3"/>
  <c r="I29" i="3" l="1"/>
  <c r="I74" i="3" s="1"/>
  <c r="J64" i="3"/>
  <c r="I75" i="3"/>
  <c r="J24" i="4"/>
  <c r="N32" i="3"/>
  <c r="N30" i="3" s="1"/>
  <c r="N64" i="3"/>
  <c r="K64" i="3"/>
  <c r="K32" i="3"/>
  <c r="K30" i="3" s="1"/>
  <c r="L32" i="3"/>
  <c r="L30" i="3" s="1"/>
  <c r="L64" i="3"/>
  <c r="J29" i="3"/>
  <c r="J74" i="3" s="1"/>
  <c r="H30" i="3"/>
  <c r="P32" i="3"/>
  <c r="P30" i="3" s="1"/>
  <c r="P64" i="3"/>
  <c r="H66" i="3"/>
  <c r="O64" i="3"/>
  <c r="O32" i="3"/>
  <c r="O30" i="3" s="1"/>
  <c r="J20" i="4"/>
  <c r="Q32" i="3"/>
  <c r="Q30" i="3" s="1"/>
  <c r="Q64" i="3"/>
  <c r="M29" i="3"/>
  <c r="J66" i="3" l="1"/>
  <c r="L15" i="2"/>
  <c r="L14" i="2" s="1"/>
  <c r="K20" i="4"/>
  <c r="J75" i="3"/>
  <c r="K29" i="3"/>
  <c r="J73" i="3" s="1"/>
  <c r="Q29" i="3"/>
  <c r="Q74" i="3" s="1"/>
  <c r="P66" i="3"/>
  <c r="L29" i="3"/>
  <c r="L74" i="3" s="1"/>
  <c r="N29" i="3"/>
  <c r="N74" i="3" s="1"/>
  <c r="N24" i="4"/>
  <c r="M75" i="3"/>
  <c r="O29" i="3"/>
  <c r="P20" i="4" s="1"/>
  <c r="P29" i="3"/>
  <c r="P74" i="3" s="1"/>
  <c r="Q20" i="4"/>
  <c r="H29" i="3"/>
  <c r="H74" i="3" s="1"/>
  <c r="L66" i="3"/>
  <c r="N20" i="4"/>
  <c r="M74" i="3"/>
  <c r="K24" i="4"/>
  <c r="N66" i="3"/>
  <c r="S51" i="3"/>
  <c r="S52" i="3"/>
  <c r="S50" i="3"/>
  <c r="K74" i="3" l="1"/>
  <c r="O20" i="4"/>
  <c r="O21" i="4" s="1"/>
  <c r="S49" i="3"/>
  <c r="S55" i="3"/>
  <c r="G50" i="3"/>
  <c r="I20" i="4"/>
  <c r="H73" i="3"/>
  <c r="H75" i="3"/>
  <c r="I24" i="4"/>
  <c r="O75" i="3"/>
  <c r="P24" i="4"/>
  <c r="S57" i="3"/>
  <c r="G51" i="3"/>
  <c r="O74" i="3"/>
  <c r="M20" i="4"/>
  <c r="L73" i="3"/>
  <c r="M24" i="4"/>
  <c r="L75" i="3"/>
  <c r="R20" i="4"/>
  <c r="Q21" i="4" s="1"/>
  <c r="R24" i="4"/>
  <c r="Q75" i="3"/>
  <c r="S56" i="3"/>
  <c r="G52" i="3"/>
  <c r="P73" i="3"/>
  <c r="P75" i="3"/>
  <c r="Q24" i="4"/>
  <c r="N75" i="3"/>
  <c r="N73" i="3"/>
  <c r="O24" i="4"/>
  <c r="L20" i="4"/>
  <c r="K75" i="3"/>
  <c r="L24" i="4"/>
  <c r="K29" i="4" l="1"/>
  <c r="Q28" i="4"/>
  <c r="K25" i="4"/>
  <c r="F57" i="3"/>
  <c r="G57" i="3"/>
  <c r="S37" i="3"/>
  <c r="S43" i="3"/>
  <c r="S68" i="3"/>
  <c r="G49" i="3"/>
  <c r="M28" i="4"/>
  <c r="M21" i="4"/>
  <c r="O29" i="4"/>
  <c r="O25" i="4"/>
  <c r="M29" i="4"/>
  <c r="M25" i="4"/>
  <c r="I21" i="4"/>
  <c r="P17" i="2"/>
  <c r="P26" i="2"/>
  <c r="F55" i="3"/>
  <c r="G55" i="3"/>
  <c r="K21" i="4"/>
  <c r="K28" i="4"/>
  <c r="Q25" i="4"/>
  <c r="Q29" i="4"/>
  <c r="P18" i="2"/>
  <c r="P16" i="2" s="1"/>
  <c r="P27" i="2"/>
  <c r="G56" i="3"/>
  <c r="F56" i="3"/>
  <c r="I28" i="4"/>
  <c r="H28" i="4" s="1"/>
  <c r="I29" i="4"/>
  <c r="H29" i="4" s="1"/>
  <c r="I25" i="4"/>
  <c r="O28" i="4"/>
  <c r="R70" i="3" l="1"/>
  <c r="S33" i="3"/>
  <c r="G37" i="3"/>
  <c r="S39" i="3"/>
  <c r="G43" i="3"/>
  <c r="S32" i="3" l="1"/>
  <c r="S64" i="3"/>
  <c r="G33" i="3"/>
  <c r="G39" i="3"/>
  <c r="F39" i="3"/>
  <c r="S30" i="3" l="1"/>
  <c r="G32" i="3"/>
  <c r="R66" i="3"/>
  <c r="U6" i="4" l="1"/>
  <c r="X6" i="4"/>
  <c r="AD6" i="4"/>
  <c r="T6" i="4"/>
  <c r="N6" i="4"/>
  <c r="R6" i="4"/>
  <c r="W6" i="4"/>
  <c r="Q6" i="4"/>
  <c r="P8" i="2"/>
  <c r="P15" i="2" s="1"/>
  <c r="P14" i="2" s="1"/>
  <c r="H8" i="2"/>
  <c r="H15" i="2" s="1"/>
  <c r="H14" i="2" s="1"/>
  <c r="S6" i="4"/>
  <c r="S15" i="4" s="1"/>
  <c r="Z6" i="4"/>
  <c r="F8" i="2"/>
  <c r="J8" i="2"/>
  <c r="J15" i="2" s="1"/>
  <c r="J14" i="2" s="1"/>
  <c r="X8" i="2"/>
  <c r="X15" i="2" s="1"/>
  <c r="X14" i="2" s="1"/>
  <c r="V6" i="4"/>
  <c r="R8" i="2"/>
  <c r="R15" i="2" s="1"/>
  <c r="R14" i="2" s="1"/>
  <c r="T8" i="2"/>
  <c r="T15" i="2" s="1"/>
  <c r="T14" i="2" s="1"/>
  <c r="N8" i="2"/>
  <c r="N15" i="2" s="1"/>
  <c r="N14" i="2" s="1"/>
  <c r="Z8" i="2"/>
  <c r="Z15" i="2" s="1"/>
  <c r="Z14" i="2" s="1"/>
  <c r="AB8" i="2"/>
  <c r="AB15" i="2" s="1"/>
  <c r="AB14" i="2" s="1"/>
  <c r="V8" i="2"/>
  <c r="V15" i="2" s="1"/>
  <c r="V14" i="2" s="1"/>
  <c r="S10" i="4"/>
  <c r="H10" i="4" s="1"/>
  <c r="S29" i="3"/>
  <c r="S74" i="3" s="1"/>
  <c r="F30" i="3"/>
  <c r="G30" i="3"/>
  <c r="S8" i="4"/>
  <c r="P6" i="4" l="1"/>
  <c r="AB6" i="4"/>
  <c r="O6" i="4"/>
  <c r="M6" i="4"/>
  <c r="W15" i="4"/>
  <c r="T24" i="2"/>
  <c r="U15" i="4"/>
  <c r="R24" i="2"/>
  <c r="AA6" i="4"/>
  <c r="AF6" i="4"/>
  <c r="AC6" i="4"/>
  <c r="J6" i="4"/>
  <c r="Y6" i="4"/>
  <c r="L6" i="4"/>
  <c r="E8" i="2"/>
  <c r="F15" i="2"/>
  <c r="F14" i="2" s="1"/>
  <c r="AE6" i="4"/>
  <c r="K6" i="4"/>
  <c r="I6" i="4"/>
  <c r="Q15" i="4"/>
  <c r="N24" i="2"/>
  <c r="P24" i="2"/>
  <c r="S16" i="4"/>
  <c r="H8" i="4"/>
  <c r="S75" i="3"/>
  <c r="R73" i="3"/>
  <c r="G29" i="3"/>
  <c r="F29" i="3"/>
  <c r="T24" i="4"/>
  <c r="T20" i="4"/>
  <c r="I15" i="4" l="1"/>
  <c r="H6" i="4"/>
  <c r="F24" i="2"/>
  <c r="AE15" i="4"/>
  <c r="AB24" i="2"/>
  <c r="AC15" i="4"/>
  <c r="Z24" i="2"/>
  <c r="M15" i="4"/>
  <c r="J24" i="2"/>
  <c r="K15" i="4"/>
  <c r="H24" i="2"/>
  <c r="Y15" i="4"/>
  <c r="V24" i="2"/>
  <c r="AA15" i="4"/>
  <c r="X24" i="2"/>
  <c r="O15" i="4"/>
  <c r="L24" i="2"/>
  <c r="S21" i="4"/>
  <c r="S28" i="4"/>
  <c r="H20" i="4"/>
  <c r="S25" i="4"/>
  <c r="S29" i="4"/>
  <c r="H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prathama.sindhu</author>
  </authors>
  <commentList>
    <comment ref="T3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prathama.sindhu:</t>
        </r>
        <r>
          <rPr>
            <sz val="9"/>
            <color indexed="81"/>
            <rFont val="Tahoma"/>
            <family val="2"/>
          </rPr>
          <t xml:space="preserve">
Per Juli, Air Boiler via Softwater</t>
        </r>
      </text>
    </comment>
  </commentList>
</comments>
</file>

<file path=xl/sharedStrings.xml><?xml version="1.0" encoding="utf-8"?>
<sst xmlns="http://schemas.openxmlformats.org/spreadsheetml/2006/main" count="230" uniqueCount="117">
  <si>
    <t>E N E R G Y  -  C O N S U M P T I O N !</t>
  </si>
  <si>
    <r>
      <t xml:space="preserve">WATER CONSUMPTION </t>
    </r>
    <r>
      <rPr>
        <b/>
        <sz val="11"/>
        <color theme="1"/>
        <rFont val="Browallia New"/>
        <family val="2"/>
      </rPr>
      <t>(REALIZATION)</t>
    </r>
  </si>
  <si>
    <t>Unit</t>
  </si>
  <si>
    <r>
      <t xml:space="preserve">2018 </t>
    </r>
    <r>
      <rPr>
        <sz val="9"/>
        <color theme="1"/>
        <rFont val="Calibri"/>
        <family val="2"/>
        <scheme val="minor"/>
      </rPr>
      <t>(total)</t>
    </r>
  </si>
  <si>
    <r>
      <t xml:space="preserve">2019 </t>
    </r>
    <r>
      <rPr>
        <sz val="9"/>
        <color theme="1"/>
        <rFont val="Calibri"/>
        <family val="2"/>
        <scheme val="minor"/>
      </rPr>
      <t>(total)</t>
    </r>
  </si>
  <si>
    <t>YTD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</si>
  <si>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</si>
  <si>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</si>
  <si>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</si>
  <si>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</si>
  <si>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</si>
  <si>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</si>
  <si>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</si>
  <si>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</si>
  <si>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</si>
  <si>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</si>
  <si>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</si>
  <si>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</si>
  <si>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Deepwell 1 ESDM</t>
  </si>
  <si>
    <t>m3</t>
  </si>
  <si>
    <t>Deepwell 2 ESDM</t>
  </si>
  <si>
    <t>Deepwell 3 ESDM</t>
  </si>
  <si>
    <t>Deepwell 4 ESDM</t>
  </si>
  <si>
    <t>Permeate RO</t>
  </si>
  <si>
    <t>Reject RO</t>
  </si>
  <si>
    <t>Limbah Recycle RO</t>
  </si>
  <si>
    <t>Demin Water</t>
  </si>
  <si>
    <t xml:space="preserve">Make Up Boiler </t>
  </si>
  <si>
    <t>Demin Water Ruby</t>
  </si>
  <si>
    <t>Demin Water HB</t>
  </si>
  <si>
    <t>Soft Water (Production) - 3"</t>
  </si>
  <si>
    <t>Soft Water (Production) - 4"</t>
  </si>
  <si>
    <t>Soft water Non-Produksi</t>
  </si>
  <si>
    <t>Soft water Ruby</t>
  </si>
  <si>
    <t>Soft water Gedung Depan</t>
  </si>
  <si>
    <t>Soft Water HB Produksi</t>
  </si>
  <si>
    <t>Soft Water HB</t>
  </si>
  <si>
    <t>Soft water Lubrikasi</t>
  </si>
  <si>
    <t>Soft water Cooling Tower</t>
  </si>
  <si>
    <t>Soft Water Kantin</t>
  </si>
  <si>
    <t>Service Water (all plant)</t>
  </si>
  <si>
    <t>Water Consumption :</t>
  </si>
  <si>
    <t>PLANT ESDM</t>
  </si>
  <si>
    <t>PLANT TOTAL</t>
  </si>
  <si>
    <t xml:space="preserve">NFI </t>
  </si>
  <si>
    <t>NFI PRODUCT WATER</t>
  </si>
  <si>
    <t>NFI SOFT WATER</t>
  </si>
  <si>
    <t>NFI SOFT WATER PRODUCTION</t>
  </si>
  <si>
    <t>NFI SOFT WATER NON PRODUCTION</t>
  </si>
  <si>
    <t>NFI LUBRICATION WATER</t>
  </si>
  <si>
    <t>NFI COOLING TOWER MAKE UP WATER</t>
  </si>
  <si>
    <t>NFI BOILER MAKE UP WATER</t>
  </si>
  <si>
    <t>HNI (GREEK,RUBY, SUPPORT DLL)</t>
  </si>
  <si>
    <t>HNI PRODUCT WATER</t>
  </si>
  <si>
    <t>RUBY PRODUCT WATER</t>
  </si>
  <si>
    <t>GREEK PRODUCT WATER</t>
  </si>
  <si>
    <t>HNI SOFT WATER</t>
  </si>
  <si>
    <t>HNI SOFT WATER PRODUCTION</t>
  </si>
  <si>
    <t>HB SOFT WATER</t>
  </si>
  <si>
    <t>RUBY SOFT WATER</t>
  </si>
  <si>
    <t>GREEK SOFT WATER</t>
  </si>
  <si>
    <t>HNI SOFT WATER NON PRODUCTION</t>
  </si>
  <si>
    <t>HNI BOILER MAKE UP WATER</t>
  </si>
  <si>
    <t>RUBY BOILER MAKE UP WATER</t>
  </si>
  <si>
    <t>RETORT BOILER MAKE UP WATER</t>
  </si>
  <si>
    <t>GREEK BOILER MAKE UP WATER</t>
  </si>
  <si>
    <t>HNI BAKERY</t>
  </si>
  <si>
    <t>R U B Y</t>
  </si>
  <si>
    <t>G R E E K</t>
  </si>
  <si>
    <t>R E T O R T</t>
  </si>
  <si>
    <t>NFI VAR. LOAD</t>
  </si>
  <si>
    <t>M3</t>
  </si>
  <si>
    <t>NFI FIX LOAD</t>
  </si>
  <si>
    <t>NFI VAR. LOAD/MONTH</t>
  </si>
  <si>
    <t>NFI FIX LOAD/MONTH</t>
  </si>
  <si>
    <t>HNI VAR. LOAD</t>
  </si>
  <si>
    <t>HNI FIX LOAD</t>
  </si>
  <si>
    <t>HNI VAR. LOAD/MONTH</t>
  </si>
  <si>
    <t>HNI FIX LOAD/MONTH</t>
  </si>
  <si>
    <t>% RECYCLE RATE</t>
  </si>
  <si>
    <t>% NFI</t>
  </si>
  <si>
    <t>% HNI</t>
  </si>
  <si>
    <t>P R O D U C T I O N  D A Y S !</t>
  </si>
  <si>
    <r>
      <t xml:space="preserve">2016 </t>
    </r>
    <r>
      <rPr>
        <sz val="9"/>
        <color theme="1"/>
        <rFont val="Calibri"/>
        <family val="2"/>
        <scheme val="minor"/>
      </rPr>
      <t>(total)</t>
    </r>
  </si>
  <si>
    <r>
      <t xml:space="preserve">2017 </t>
    </r>
    <r>
      <rPr>
        <sz val="9"/>
        <color theme="1"/>
        <rFont val="Calibri"/>
        <family val="2"/>
        <scheme val="minor"/>
      </rPr>
      <t>(total)</t>
    </r>
  </si>
  <si>
    <t>Planned</t>
  </si>
  <si>
    <t>Real</t>
  </si>
  <si>
    <t xml:space="preserve">HNI </t>
  </si>
  <si>
    <t>R U B Y + R E T O R T</t>
  </si>
  <si>
    <t>% planning inaccurate - NFI</t>
  </si>
  <si>
    <t>% planning inaccurate - HNI</t>
  </si>
  <si>
    <t>C O S T !</t>
  </si>
  <si>
    <t>% planning inaccurate</t>
  </si>
  <si>
    <t>TAGIHAN</t>
  </si>
  <si>
    <t xml:space="preserve">     </t>
  </si>
  <si>
    <t>NFI</t>
  </si>
  <si>
    <t>HNI</t>
  </si>
  <si>
    <t>SURPLUS/SURMIN</t>
  </si>
  <si>
    <t>T A R I F F</t>
  </si>
  <si>
    <t>Harga per m3</t>
  </si>
  <si>
    <t>PRODUCT TONAGE REALIZATION</t>
  </si>
  <si>
    <t>Planned - NFI</t>
  </si>
  <si>
    <t>Planned - HNI</t>
  </si>
  <si>
    <t xml:space="preserve">  </t>
  </si>
  <si>
    <t>PLANT SENTUL (ALL)</t>
  </si>
  <si>
    <t>NFI Realisasi total Prod.</t>
  </si>
  <si>
    <t>RUBY</t>
  </si>
  <si>
    <t>GREEK</t>
  </si>
  <si>
    <t>ENERGY PER TONAGE CONS.</t>
  </si>
  <si>
    <t>NFI VARIABLE LOAD</t>
  </si>
  <si>
    <t>RETORT</t>
  </si>
  <si>
    <t>ENERGY PER WORK DAYS</t>
  </si>
  <si>
    <t>FIXED WORKDAYS</t>
  </si>
  <si>
    <t>NFI FIXED LOAD</t>
  </si>
  <si>
    <t>Average</t>
  </si>
  <si>
    <t>Ruby</t>
  </si>
  <si>
    <t>Greek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</si>
</sst>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  <numFmt numFmtId="166" formatCode="_(* #,##0.0_);_(* \(#,##0.0\);_(* &quot;-&quot;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Browallia New"/>
      <family val="2"/>
    </font>
    <font>
      <i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3" fillId="0" borderId="0" xfId="1" applyFont="1" applyFill="1" applyBorder="1" applyAlignment="1">
      <alignment horizontal="left"/>
    </xf>
    <xf numFmtId="0" fontId="0" fillId="2" borderId="18" xfId="1" applyFont="1" applyFill="1" applyBorder="1" applyAlignment="1">
      <alignment horizontal="left"/>
    </xf>
    <xf numFmtId="0" fontId="0" fillId="2" borderId="24" xfId="1" applyFont="1" applyFill="1" applyBorder="1" applyAlignment="1">
      <alignment horizontal="left"/>
    </xf>
    <xf numFmtId="0" fontId="0" fillId="2" borderId="26" xfId="1" applyFont="1" applyFill="1" applyBorder="1"/>
    <xf numFmtId="0" fontId="0" fillId="0" borderId="28" xfId="0" applyBorder="1"/>
    <xf numFmtId="0" fontId="0" fillId="3" borderId="26" xfId="1" applyFont="1" applyFill="1" applyBorder="1" applyAlignment="1">
      <alignment horizontal="left" indent="3"/>
    </xf>
    <xf numFmtId="0" fontId="0" fillId="2" borderId="1" xfId="1" applyFont="1" applyFill="1" applyBorder="1" applyAlignment="1">
      <alignment horizontal="left"/>
    </xf>
    <xf numFmtId="0" fontId="0" fillId="2" borderId="1" xfId="1" applyFont="1" applyFill="1" applyBorder="1"/>
    <xf numFmtId="0" fontId="0" fillId="3" borderId="1" xfId="1" applyFont="1" applyFill="1" applyBorder="1"/>
    <xf numFmtId="0" fontId="0" fillId="3" borderId="1" xfId="1" applyFont="1" applyFill="1" applyBorder="1" applyAlignment="1">
      <alignment horizontal="left" indent="3"/>
    </xf>
    <xf numFmtId="0" fontId="0" fillId="3" borderId="26" xfId="1" applyFont="1" applyFill="1" applyBorder="1"/>
    <xf numFmtId="0" fontId="0" fillId="2" borderId="20" xfId="1" applyFont="1" applyFill="1" applyBorder="1" applyAlignment="1">
      <alignment horizontal="left"/>
    </xf>
    <xf numFmtId="0" fontId="7" fillId="2" borderId="24" xfId="1" applyFont="1" applyFill="1" applyBorder="1" applyAlignment="1">
      <alignment horizontal="left" vertical="center" wrapText="1"/>
    </xf>
    <xf numFmtId="0" fontId="7" fillId="0" borderId="26" xfId="1" applyFont="1" applyFill="1" applyBorder="1" applyAlignment="1">
      <alignment horizontal="left" vertical="center" wrapText="1"/>
    </xf>
    <xf numFmtId="0" fontId="7" fillId="2" borderId="26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vertical="center"/>
    </xf>
    <xf numFmtId="0" fontId="7" fillId="0" borderId="26" xfId="1" applyFont="1" applyFill="1" applyBorder="1" applyAlignment="1">
      <alignment vertical="center"/>
    </xf>
    <xf numFmtId="0" fontId="3" fillId="0" borderId="31" xfId="0" applyFont="1" applyBorder="1" applyAlignment="1"/>
    <xf numFmtId="0" fontId="3" fillId="0" borderId="0" xfId="0" applyFont="1" applyBorder="1" applyAlignment="1"/>
    <xf numFmtId="0" fontId="0" fillId="2" borderId="36" xfId="1" applyFont="1" applyFill="1" applyBorder="1" applyAlignment="1">
      <alignment horizontal="left"/>
    </xf>
    <xf numFmtId="0" fontId="0" fillId="3" borderId="19" xfId="1" applyFont="1" applyFill="1" applyBorder="1" applyAlignment="1">
      <alignment horizontal="left" indent="3"/>
    </xf>
    <xf numFmtId="0" fontId="0" fillId="0" borderId="37" xfId="0" applyBorder="1" applyAlignment="1">
      <alignment horizontal="center"/>
    </xf>
    <xf numFmtId="0" fontId="0" fillId="0" borderId="38" xfId="0" applyBorder="1"/>
    <xf numFmtId="0" fontId="3" fillId="0" borderId="0" xfId="0" applyFont="1"/>
    <xf numFmtId="0" fontId="7" fillId="0" borderId="21" xfId="1" applyFont="1" applyFill="1" applyBorder="1" applyAlignment="1">
      <alignment vertical="center"/>
    </xf>
    <xf numFmtId="0" fontId="7" fillId="0" borderId="2" xfId="1" applyFont="1" applyFill="1" applyBorder="1" applyAlignment="1">
      <alignment vertical="center"/>
    </xf>
    <xf numFmtId="0" fontId="7" fillId="0" borderId="4" xfId="1" applyFont="1" applyFill="1" applyBorder="1" applyAlignment="1">
      <alignment vertical="center"/>
    </xf>
    <xf numFmtId="0" fontId="0" fillId="2" borderId="29" xfId="1" applyFont="1" applyFill="1" applyBorder="1" applyAlignment="1">
      <alignment horizontal="left"/>
    </xf>
    <xf numFmtId="0" fontId="0" fillId="2" borderId="30" xfId="1" applyFont="1" applyFill="1" applyBorder="1" applyAlignment="1">
      <alignment horizontal="left"/>
    </xf>
    <xf numFmtId="0" fontId="0" fillId="2" borderId="30" xfId="1" applyFont="1" applyFill="1" applyBorder="1"/>
    <xf numFmtId="0" fontId="0" fillId="3" borderId="30" xfId="1" applyFont="1" applyFill="1" applyBorder="1" applyAlignment="1">
      <alignment horizontal="left" indent="3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4" borderId="24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 wrapText="1"/>
    </xf>
    <xf numFmtId="0" fontId="0" fillId="2" borderId="24" xfId="1" applyFont="1" applyFill="1" applyBorder="1"/>
    <xf numFmtId="0" fontId="0" fillId="2" borderId="36" xfId="1" applyFont="1" applyFill="1" applyBorder="1"/>
    <xf numFmtId="0" fontId="0" fillId="2" borderId="29" xfId="1" applyFont="1" applyFill="1" applyBorder="1"/>
    <xf numFmtId="43" fontId="0" fillId="0" borderId="33" xfId="0" applyNumberFormat="1" applyBorder="1"/>
    <xf numFmtId="9" fontId="7" fillId="0" borderId="2" xfId="6" applyFont="1" applyFill="1" applyBorder="1" applyAlignment="1">
      <alignment vertical="center"/>
    </xf>
    <xf numFmtId="1" fontId="0" fillId="0" borderId="28" xfId="0" applyNumberFormat="1" applyBorder="1"/>
    <xf numFmtId="165" fontId="0" fillId="0" borderId="1" xfId="5" applyNumberFormat="1" applyFont="1" applyBorder="1"/>
    <xf numFmtId="0" fontId="0" fillId="0" borderId="6" xfId="0" applyBorder="1"/>
    <xf numFmtId="43" fontId="0" fillId="0" borderId="1" xfId="0" applyNumberFormat="1" applyFont="1" applyBorder="1"/>
    <xf numFmtId="41" fontId="0" fillId="0" borderId="1" xfId="7" applyFont="1" applyBorder="1"/>
    <xf numFmtId="0" fontId="0" fillId="5" borderId="1" xfId="1" applyFont="1" applyFill="1" applyBorder="1" applyAlignment="1">
      <alignment horizontal="left" indent="3"/>
    </xf>
    <xf numFmtId="165" fontId="0" fillId="5" borderId="1" xfId="5" applyNumberFormat="1" applyFont="1" applyFill="1" applyBorder="1"/>
    <xf numFmtId="0" fontId="0" fillId="5" borderId="1" xfId="0" applyFill="1" applyBorder="1"/>
    <xf numFmtId="0" fontId="7" fillId="2" borderId="1" xfId="1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vertical="center" wrapText="1"/>
    </xf>
    <xf numFmtId="0" fontId="7" fillId="0" borderId="1" xfId="1" applyFont="1" applyFill="1" applyBorder="1" applyAlignment="1">
      <alignment horizontal="left" vertical="center" wrapText="1"/>
    </xf>
    <xf numFmtId="0" fontId="1" fillId="0" borderId="1" xfId="1" applyFont="1" applyFill="1" applyBorder="1" applyAlignment="1">
      <alignment vertical="center" wrapText="1"/>
    </xf>
    <xf numFmtId="0" fontId="1" fillId="0" borderId="1" xfId="1" applyFont="1" applyFill="1" applyBorder="1" applyAlignment="1">
      <alignment horizontal="center" vertical="center" wrapText="1"/>
    </xf>
    <xf numFmtId="43" fontId="0" fillId="0" borderId="0" xfId="5" applyFont="1"/>
    <xf numFmtId="43" fontId="0" fillId="0" borderId="0" xfId="0" applyNumberFormat="1"/>
    <xf numFmtId="0" fontId="0" fillId="3" borderId="0" xfId="1" applyFont="1" applyFill="1" applyBorder="1" applyAlignment="1">
      <alignment horizontal="left" indent="2"/>
    </xf>
    <xf numFmtId="165" fontId="0" fillId="0" borderId="0" xfId="0" applyNumberFormat="1"/>
    <xf numFmtId="0" fontId="0" fillId="3" borderId="0" xfId="1" applyFont="1" applyFill="1" applyBorder="1" applyAlignment="1">
      <alignment horizontal="left" indent="3"/>
    </xf>
    <xf numFmtId="165" fontId="0" fillId="2" borderId="29" xfId="5" applyNumberFormat="1" applyFont="1" applyFill="1" applyBorder="1" applyAlignment="1">
      <alignment horizontal="left"/>
    </xf>
    <xf numFmtId="9" fontId="7" fillId="0" borderId="24" xfId="6" applyFont="1" applyFill="1" applyBorder="1" applyAlignment="1">
      <alignment vertical="center"/>
    </xf>
    <xf numFmtId="0" fontId="7" fillId="0" borderId="27" xfId="1" applyFont="1" applyFill="1" applyBorder="1" applyAlignment="1">
      <alignment vertical="center"/>
    </xf>
    <xf numFmtId="2" fontId="0" fillId="0" borderId="10" xfId="0" applyNumberFormat="1" applyBorder="1"/>
    <xf numFmtId="0" fontId="0" fillId="6" borderId="1" xfId="1" applyFont="1" applyFill="1" applyBorder="1" applyAlignment="1">
      <alignment horizontal="left"/>
    </xf>
    <xf numFmtId="1" fontId="0" fillId="2" borderId="1" xfId="1" applyNumberFormat="1" applyFont="1" applyFill="1" applyBorder="1" applyAlignment="1">
      <alignment horizontal="right"/>
    </xf>
    <xf numFmtId="43" fontId="0" fillId="0" borderId="1" xfId="5" applyFont="1" applyBorder="1" applyAlignment="1">
      <alignment horizontal="right"/>
    </xf>
    <xf numFmtId="43" fontId="0" fillId="0" borderId="1" xfId="5" applyFont="1" applyBorder="1"/>
    <xf numFmtId="0" fontId="0" fillId="7" borderId="1" xfId="1" applyFont="1" applyFill="1" applyBorder="1" applyAlignment="1">
      <alignment horizontal="left"/>
    </xf>
    <xf numFmtId="0" fontId="0" fillId="7" borderId="1" xfId="1" applyFont="1" applyFill="1" applyBorder="1"/>
    <xf numFmtId="0" fontId="0" fillId="8" borderId="24" xfId="1" applyFont="1" applyFill="1" applyBorder="1" applyAlignment="1">
      <alignment horizontal="left"/>
    </xf>
    <xf numFmtId="0" fontId="0" fillId="8" borderId="36" xfId="1" applyFont="1" applyFill="1" applyBorder="1" applyAlignment="1">
      <alignment horizontal="left"/>
    </xf>
    <xf numFmtId="0" fontId="0" fillId="8" borderId="29" xfId="1" applyFont="1" applyFill="1" applyBorder="1" applyAlignment="1">
      <alignment horizontal="left"/>
    </xf>
    <xf numFmtId="0" fontId="0" fillId="2" borderId="20" xfId="1" applyFont="1" applyFill="1" applyBorder="1"/>
    <xf numFmtId="0" fontId="0" fillId="2" borderId="18" xfId="1" applyFont="1" applyFill="1" applyBorder="1"/>
    <xf numFmtId="0" fontId="0" fillId="2" borderId="46" xfId="1" applyFont="1" applyFill="1" applyBorder="1"/>
    <xf numFmtId="43" fontId="0" fillId="0" borderId="38" xfId="0" applyNumberFormat="1" applyBorder="1"/>
    <xf numFmtId="9" fontId="0" fillId="0" borderId="0" xfId="6" applyFont="1"/>
    <xf numFmtId="9" fontId="0" fillId="0" borderId="0" xfId="6" applyFont="1" applyAlignment="1">
      <alignment horizontal="center"/>
    </xf>
    <xf numFmtId="1" fontId="0" fillId="2" borderId="8" xfId="1" applyNumberFormat="1" applyFont="1" applyFill="1" applyBorder="1" applyAlignment="1">
      <alignment horizontal="right"/>
    </xf>
    <xf numFmtId="0" fontId="0" fillId="2" borderId="29" xfId="1" applyFont="1" applyFill="1" applyBorder="1" applyAlignment="1">
      <alignment horizontal="right"/>
    </xf>
    <xf numFmtId="0" fontId="0" fillId="2" borderId="46" xfId="1" applyFont="1" applyFill="1" applyBorder="1" applyAlignment="1">
      <alignment horizontal="right"/>
    </xf>
    <xf numFmtId="0" fontId="0" fillId="2" borderId="30" xfId="1" applyFont="1" applyFill="1" applyBorder="1" applyAlignment="1">
      <alignment horizontal="right"/>
    </xf>
    <xf numFmtId="0" fontId="0" fillId="3" borderId="30" xfId="1" applyFont="1" applyFill="1" applyBorder="1" applyAlignment="1">
      <alignment horizontal="right"/>
    </xf>
    <xf numFmtId="1" fontId="7" fillId="2" borderId="24" xfId="1" applyNumberFormat="1" applyFont="1" applyFill="1" applyBorder="1" applyAlignment="1">
      <alignment horizontal="right" vertical="center" wrapText="1"/>
    </xf>
    <xf numFmtId="1" fontId="7" fillId="0" borderId="26" xfId="1" applyNumberFormat="1" applyFont="1" applyFill="1" applyBorder="1" applyAlignment="1">
      <alignment horizontal="right" vertical="center" wrapText="1"/>
    </xf>
    <xf numFmtId="1" fontId="7" fillId="2" borderId="26" xfId="1" applyNumberFormat="1" applyFont="1" applyFill="1" applyBorder="1" applyAlignment="1">
      <alignment horizontal="right" vertical="center" wrapText="1"/>
    </xf>
    <xf numFmtId="1" fontId="7" fillId="3" borderId="26" xfId="1" applyNumberFormat="1" applyFont="1" applyFill="1" applyBorder="1" applyAlignment="1">
      <alignment horizontal="right" vertical="center"/>
    </xf>
    <xf numFmtId="1" fontId="7" fillId="0" borderId="26" xfId="1" applyNumberFormat="1" applyFont="1" applyFill="1" applyBorder="1" applyAlignment="1">
      <alignment horizontal="right" vertical="center"/>
    </xf>
    <xf numFmtId="1" fontId="7" fillId="0" borderId="21" xfId="1" applyNumberFormat="1" applyFont="1" applyFill="1" applyBorder="1" applyAlignment="1">
      <alignment horizontal="right" vertical="center"/>
    </xf>
    <xf numFmtId="43" fontId="7" fillId="2" borderId="1" xfId="5" applyFont="1" applyFill="1" applyBorder="1" applyAlignment="1">
      <alignment horizontal="right" vertical="center" wrapText="1"/>
    </xf>
    <xf numFmtId="43" fontId="7" fillId="0" borderId="1" xfId="5" applyFont="1" applyFill="1" applyBorder="1" applyAlignment="1">
      <alignment horizontal="right" vertical="center" wrapText="1"/>
    </xf>
    <xf numFmtId="43" fontId="1" fillId="0" borderId="1" xfId="5" applyFont="1" applyFill="1" applyBorder="1" applyAlignment="1">
      <alignment horizontal="right" vertical="center" wrapText="1"/>
    </xf>
    <xf numFmtId="0" fontId="0" fillId="3" borderId="19" xfId="1" applyFont="1" applyFill="1" applyBorder="1"/>
    <xf numFmtId="0" fontId="0" fillId="2" borderId="8" xfId="1" applyFont="1" applyFill="1" applyBorder="1" applyAlignment="1">
      <alignment horizontal="left"/>
    </xf>
    <xf numFmtId="0" fontId="0" fillId="2" borderId="8" xfId="1" applyFont="1" applyFill="1" applyBorder="1"/>
    <xf numFmtId="0" fontId="0" fillId="3" borderId="8" xfId="1" applyFont="1" applyFill="1" applyBorder="1"/>
    <xf numFmtId="0" fontId="0" fillId="3" borderId="8" xfId="1" applyFont="1" applyFill="1" applyBorder="1" applyAlignment="1">
      <alignment horizontal="left" indent="3"/>
    </xf>
    <xf numFmtId="1" fontId="3" fillId="4" borderId="29" xfId="0" applyNumberFormat="1" applyFont="1" applyFill="1" applyBorder="1" applyAlignment="1">
      <alignment vertical="center" wrapText="1"/>
    </xf>
    <xf numFmtId="1" fontId="3" fillId="4" borderId="40" xfId="0" applyNumberFormat="1" applyFont="1" applyFill="1" applyBorder="1" applyAlignment="1">
      <alignment vertical="center" wrapText="1"/>
    </xf>
    <xf numFmtId="1" fontId="0" fillId="2" borderId="29" xfId="1" applyNumberFormat="1" applyFont="1" applyFill="1" applyBorder="1" applyAlignment="1"/>
    <xf numFmtId="1" fontId="0" fillId="2" borderId="30" xfId="1" applyNumberFormat="1" applyFont="1" applyFill="1" applyBorder="1" applyAlignment="1"/>
    <xf numFmtId="1" fontId="0" fillId="3" borderId="30" xfId="1" applyNumberFormat="1" applyFont="1" applyFill="1" applyBorder="1" applyAlignment="1"/>
    <xf numFmtId="0" fontId="0" fillId="7" borderId="28" xfId="0" applyFill="1" applyBorder="1"/>
    <xf numFmtId="0" fontId="0" fillId="2" borderId="20" xfId="1" applyFont="1" applyFill="1" applyBorder="1" applyAlignment="1">
      <alignment horizontal="left" indent="1"/>
    </xf>
    <xf numFmtId="0" fontId="0" fillId="2" borderId="20" xfId="1" applyFont="1" applyFill="1" applyBorder="1" applyAlignment="1">
      <alignment horizontal="left" indent="2"/>
    </xf>
    <xf numFmtId="0" fontId="0" fillId="3" borderId="29" xfId="1" applyFont="1" applyFill="1" applyBorder="1" applyAlignment="1">
      <alignment horizontal="left"/>
    </xf>
    <xf numFmtId="0" fontId="0" fillId="3" borderId="26" xfId="1" applyFont="1" applyFill="1" applyBorder="1" applyAlignment="1">
      <alignment horizontal="left" indent="2"/>
    </xf>
    <xf numFmtId="0" fontId="0" fillId="3" borderId="26" xfId="1" applyFont="1" applyFill="1" applyBorder="1" applyAlignment="1">
      <alignment horizontal="left" indent="1"/>
    </xf>
    <xf numFmtId="0" fontId="0" fillId="3" borderId="26" xfId="1" applyFont="1" applyFill="1" applyBorder="1" applyAlignment="1">
      <alignment horizontal="left"/>
    </xf>
    <xf numFmtId="165" fontId="0" fillId="2" borderId="18" xfId="5" applyNumberFormat="1" applyFont="1" applyFill="1" applyBorder="1" applyAlignment="1">
      <alignment horizontal="left"/>
    </xf>
    <xf numFmtId="1" fontId="0" fillId="0" borderId="38" xfId="0" applyNumberFormat="1" applyBorder="1"/>
    <xf numFmtId="165" fontId="0" fillId="2" borderId="36" xfId="1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3" borderId="19" xfId="1" applyNumberFormat="1" applyFont="1" applyFill="1" applyBorder="1" applyAlignment="1">
      <alignment horizontal="right"/>
    </xf>
    <xf numFmtId="0" fontId="0" fillId="7" borderId="42" xfId="1" applyFont="1" applyFill="1" applyBorder="1" applyAlignment="1">
      <alignment horizontal="left"/>
    </xf>
    <xf numFmtId="0" fontId="0" fillId="0" borderId="47" xfId="0" applyBorder="1" applyAlignment="1"/>
    <xf numFmtId="0" fontId="0" fillId="0" borderId="31" xfId="0" applyBorder="1" applyAlignment="1"/>
    <xf numFmtId="0" fontId="0" fillId="9" borderId="24" xfId="1" applyFont="1" applyFill="1" applyBorder="1" applyAlignment="1">
      <alignment horizontal="left"/>
    </xf>
    <xf numFmtId="0" fontId="0" fillId="9" borderId="36" xfId="1" applyFont="1" applyFill="1" applyBorder="1" applyAlignment="1">
      <alignment horizontal="left"/>
    </xf>
    <xf numFmtId="0" fontId="0" fillId="9" borderId="29" xfId="1" applyFont="1" applyFill="1" applyBorder="1" applyAlignment="1">
      <alignment horizontal="left"/>
    </xf>
    <xf numFmtId="43" fontId="0" fillId="0" borderId="0" xfId="5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1" fillId="0" borderId="1" xfId="6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 wrapText="1"/>
    </xf>
    <xf numFmtId="9" fontId="0" fillId="0" borderId="8" xfId="6" applyFont="1" applyBorder="1" applyAlignment="1">
      <alignment horizontal="center"/>
    </xf>
    <xf numFmtId="9" fontId="0" fillId="0" borderId="28" xfId="6" applyFont="1" applyBorder="1" applyAlignment="1">
      <alignment horizontal="center"/>
    </xf>
    <xf numFmtId="43" fontId="0" fillId="0" borderId="8" xfId="5" applyFont="1" applyBorder="1" applyAlignment="1">
      <alignment horizontal="center"/>
    </xf>
    <xf numFmtId="43" fontId="0" fillId="0" borderId="28" xfId="5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3" fillId="2" borderId="44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/>
    </xf>
    <xf numFmtId="0" fontId="5" fillId="0" borderId="24" xfId="1" applyFont="1" applyFill="1" applyBorder="1" applyAlignment="1">
      <alignment horizontal="center" vertical="center" wrapText="1"/>
    </xf>
    <xf numFmtId="0" fontId="5" fillId="0" borderId="33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9" fontId="1" fillId="0" borderId="1" xfId="6" applyFont="1" applyFill="1" applyBorder="1" applyAlignment="1">
      <alignment horizontal="center" vertical="center" wrapText="1"/>
    </xf>
    <xf numFmtId="0" fontId="5" fillId="0" borderId="27" xfId="1" applyFont="1" applyFill="1" applyBorder="1" applyAlignment="1">
      <alignment horizontal="center" vertical="center" wrapText="1"/>
    </xf>
    <xf numFmtId="0" fontId="5" fillId="0" borderId="39" xfId="1" applyFont="1" applyFill="1" applyBorder="1" applyAlignment="1">
      <alignment horizontal="center" vertical="center" wrapText="1"/>
    </xf>
    <xf numFmtId="0" fontId="0" fillId="3" borderId="21" xfId="1" applyFont="1" applyFill="1" applyBorder="1" applyAlignment="1">
      <alignment horizontal="left" vertical="center" indent="2"/>
    </xf>
    <xf numFmtId="0" fontId="0" fillId="3" borderId="20" xfId="1" applyFont="1" applyFill="1" applyBorder="1" applyAlignment="1">
      <alignment horizontal="left" vertical="center" indent="2"/>
    </xf>
    <xf numFmtId="0" fontId="0" fillId="3" borderId="21" xfId="1" applyFont="1" applyFill="1" applyBorder="1" applyAlignment="1">
      <alignment horizontal="left" vertical="center" wrapText="1" indent="2"/>
    </xf>
    <xf numFmtId="0" fontId="0" fillId="3" borderId="17" xfId="1" applyFont="1" applyFill="1" applyBorder="1" applyAlignment="1">
      <alignment horizontal="left" vertical="center" wrapText="1" indent="2"/>
    </xf>
    <xf numFmtId="0" fontId="9" fillId="4" borderId="2" xfId="1" applyFont="1" applyFill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 wrapText="1"/>
    </xf>
    <xf numFmtId="0" fontId="9" fillId="4" borderId="4" xfId="1" applyFont="1" applyFill="1" applyBorder="1" applyAlignment="1">
      <alignment horizontal="center" vertical="center" wrapText="1"/>
    </xf>
    <xf numFmtId="0" fontId="9" fillId="4" borderId="5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0" xfId="1" applyFont="1" applyFill="1" applyBorder="1" applyAlignment="1">
      <alignment horizontal="left" vertical="center" wrapText="1"/>
    </xf>
    <xf numFmtId="164" fontId="0" fillId="2" borderId="2" xfId="7" applyNumberFormat="1" applyFont="1" applyFill="1" applyBorder="1" applyAlignment="1">
      <alignment horizontal="center"/>
    </xf>
    <xf numFmtId="164" fontId="0" fillId="2" borderId="9" xfId="7" applyNumberFormat="1" applyFont="1" applyFill="1" applyBorder="1" applyAlignment="1">
      <alignment horizontal="center"/>
    </xf>
    <xf numFmtId="43" fontId="0" fillId="2" borderId="1" xfId="5" applyFont="1" applyFill="1" applyBorder="1" applyAlignment="1">
      <alignment horizontal="center"/>
    </xf>
    <xf numFmtId="0" fontId="4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4" fillId="2" borderId="21" xfId="1" applyFont="1" applyFill="1" applyBorder="1" applyAlignment="1">
      <alignment horizontal="left" vertical="center"/>
    </xf>
    <xf numFmtId="0" fontId="4" fillId="2" borderId="20" xfId="1" applyFont="1" applyFill="1" applyBorder="1" applyAlignment="1">
      <alignment horizontal="left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5" fontId="0" fillId="0" borderId="1" xfId="5" applyNumberFormat="1" applyFont="1" applyBorder="1" applyAlignment="1">
      <alignment horizontal="center"/>
    </xf>
    <xf numFmtId="41" fontId="0" fillId="0" borderId="1" xfId="0" applyNumberFormat="1" applyBorder="1" applyAlignment="1">
      <alignment horizontal="center"/>
    </xf>
    <xf numFmtId="43" fontId="0" fillId="0" borderId="1" xfId="5" applyFont="1" applyBorder="1" applyAlignment="1">
      <alignment horizontal="center"/>
    </xf>
    <xf numFmtId="0" fontId="0" fillId="0" borderId="0" xfId="0" applyAlignment="1">
      <alignment horizontal="center"/>
    </xf>
    <xf numFmtId="43" fontId="0" fillId="0" borderId="1" xfId="5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65" fontId="0" fillId="0" borderId="8" xfId="5" applyNumberFormat="1" applyFont="1" applyBorder="1" applyAlignment="1">
      <alignment horizontal="center"/>
    </xf>
    <xf numFmtId="165" fontId="0" fillId="0" borderId="28" xfId="5" applyNumberFormat="1" applyFont="1" applyBorder="1" applyAlignment="1">
      <alignment horizontal="center"/>
    </xf>
    <xf numFmtId="43" fontId="0" fillId="0" borderId="8" xfId="5" applyNumberFormat="1" applyFont="1" applyBorder="1" applyAlignment="1">
      <alignment horizontal="center"/>
    </xf>
    <xf numFmtId="43" fontId="0" fillId="0" borderId="28" xfId="5" applyNumberFormat="1" applyFon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6" fontId="0" fillId="0" borderId="8" xfId="7" applyNumberFormat="1" applyFont="1" applyBorder="1" applyAlignment="1">
      <alignment horizontal="center"/>
    </xf>
    <xf numFmtId="166" fontId="0" fillId="0" borderId="28" xfId="7" applyNumberFormat="1" applyFont="1" applyBorder="1" applyAlignment="1">
      <alignment horizontal="center"/>
    </xf>
  </cellXfs>
  <cellStyles count="8">
    <cellStyle name="Comma" xfId="5" builtinId="3"/>
    <cellStyle name="Comma [0]" xfId="7" builtinId="6"/>
    <cellStyle name="Comma [0] 2" xfId="2" xr:uid="{00000000-0005-0000-0000-000002000000}"/>
    <cellStyle name="Comma 2" xfId="3" xr:uid="{00000000-0005-0000-0000-000003000000}"/>
    <cellStyle name="Normal" xfId="0" builtinId="0"/>
    <cellStyle name="Normal 2" xfId="1" xr:uid="{00000000-0005-0000-0000-000005000000}"/>
    <cellStyle name="Percent" xfId="6" builtinId="5"/>
    <cellStyle name="Percent 2" xfId="4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3.%20Utility\Energy%20Monitoring\Monitoring%20Konsumsi%20Energi%202020\MONITORING%20AIR%202020%2020012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0129%20Gas%20Consumption%20Energy%20Report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0129%20Electricity%20Consumption%20Energy%20Report%20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6%20-%20FEC%20Dept/00.%20Energy/2019/Case%20HB/Electricity%20Consumption%20Energy%20Report%202019%20190109%20Case%20H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6%20-%20FEC%20Dept\Energi%20Monitoring\Copy%20of%20Gas%20Energy%20Report%201%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 BALANCE"/>
      <sheetName val="METERING FORMATION TAHUNAN"/>
      <sheetName val="JANUARI 2020"/>
      <sheetName val="FEBRUARI 2020"/>
      <sheetName val="MARET 2020"/>
      <sheetName val="APRIL 2020"/>
      <sheetName val="MEI 2020"/>
      <sheetName val="JUNI 2020"/>
      <sheetName val="JULI 2020"/>
    </sheetNames>
    <sheetDataSet>
      <sheetData sheetId="0"/>
      <sheetData sheetId="1"/>
      <sheetData sheetId="2">
        <row r="29">
          <cell r="D29">
            <v>57324</v>
          </cell>
          <cell r="T29">
            <v>57324</v>
          </cell>
          <cell r="AI29">
            <v>57324</v>
          </cell>
        </row>
        <row r="30">
          <cell r="D30">
            <v>60651</v>
          </cell>
          <cell r="T30">
            <v>61673</v>
          </cell>
          <cell r="AI30">
            <v>62306</v>
          </cell>
        </row>
        <row r="31">
          <cell r="D31">
            <v>65955</v>
          </cell>
          <cell r="T31">
            <v>67504</v>
          </cell>
          <cell r="AI31">
            <v>68322</v>
          </cell>
        </row>
        <row r="32">
          <cell r="D32">
            <v>69478</v>
          </cell>
          <cell r="T32">
            <v>70406</v>
          </cell>
          <cell r="AI32">
            <v>70900</v>
          </cell>
        </row>
        <row r="33">
          <cell r="D33">
            <v>80974</v>
          </cell>
          <cell r="T33">
            <v>82006</v>
          </cell>
          <cell r="AI33">
            <v>83121</v>
          </cell>
        </row>
        <row r="34">
          <cell r="D34">
            <v>96290</v>
          </cell>
          <cell r="T34">
            <v>96730</v>
          </cell>
          <cell r="AI34">
            <v>97191</v>
          </cell>
        </row>
        <row r="35">
          <cell r="D35">
            <v>1217966</v>
          </cell>
          <cell r="T35">
            <v>1218237</v>
          </cell>
          <cell r="AI35">
            <v>1218846</v>
          </cell>
        </row>
        <row r="38">
          <cell r="D38">
            <v>1766</v>
          </cell>
          <cell r="T38">
            <v>1806</v>
          </cell>
          <cell r="AI38">
            <v>1847</v>
          </cell>
        </row>
        <row r="40">
          <cell r="D40">
            <v>66260</v>
          </cell>
          <cell r="T40">
            <v>67882</v>
          </cell>
          <cell r="AI40">
            <v>68988</v>
          </cell>
        </row>
        <row r="41">
          <cell r="D41">
            <v>76207</v>
          </cell>
          <cell r="T41">
            <v>77788</v>
          </cell>
          <cell r="AI41">
            <v>78851</v>
          </cell>
        </row>
        <row r="43">
          <cell r="D43">
            <v>6050</v>
          </cell>
          <cell r="T43">
            <v>6210</v>
          </cell>
          <cell r="AI43">
            <v>6344</v>
          </cell>
        </row>
        <row r="44">
          <cell r="D44">
            <v>0</v>
          </cell>
          <cell r="T44">
            <v>0</v>
          </cell>
          <cell r="AI44">
            <v>0</v>
          </cell>
        </row>
        <row r="45">
          <cell r="D45">
            <v>45444</v>
          </cell>
          <cell r="T45">
            <v>45544</v>
          </cell>
          <cell r="AI45">
            <v>45596</v>
          </cell>
        </row>
        <row r="46">
          <cell r="D46">
            <v>6368</v>
          </cell>
          <cell r="T46">
            <v>6379</v>
          </cell>
          <cell r="AI46">
            <v>6389</v>
          </cell>
        </row>
        <row r="47">
          <cell r="T47">
            <v>6965</v>
          </cell>
          <cell r="AI47">
            <v>7016</v>
          </cell>
        </row>
        <row r="48">
          <cell r="D48">
            <v>3887</v>
          </cell>
          <cell r="T48">
            <v>3924</v>
          </cell>
          <cell r="AI48">
            <v>3948</v>
          </cell>
        </row>
        <row r="49">
          <cell r="D49">
            <v>1153</v>
          </cell>
          <cell r="T49">
            <v>1181</v>
          </cell>
          <cell r="AI49">
            <v>1210</v>
          </cell>
        </row>
        <row r="50">
          <cell r="D50">
            <v>3018</v>
          </cell>
          <cell r="T50">
            <v>3209</v>
          </cell>
          <cell r="AI50">
            <v>3385</v>
          </cell>
        </row>
      </sheetData>
      <sheetData sheetId="3">
        <row r="29">
          <cell r="D29">
            <v>57324</v>
          </cell>
          <cell r="T29">
            <v>57506</v>
          </cell>
          <cell r="AI29">
            <v>57711</v>
          </cell>
        </row>
        <row r="30">
          <cell r="D30">
            <v>62306</v>
          </cell>
          <cell r="T30">
            <v>62842</v>
          </cell>
          <cell r="AI30">
            <v>63045</v>
          </cell>
        </row>
        <row r="31">
          <cell r="D31">
            <v>68322</v>
          </cell>
          <cell r="T31">
            <v>68919</v>
          </cell>
          <cell r="AI31">
            <v>69226</v>
          </cell>
        </row>
        <row r="32">
          <cell r="D32">
            <v>70900</v>
          </cell>
          <cell r="T32">
            <v>71405</v>
          </cell>
          <cell r="AI32">
            <v>71683</v>
          </cell>
        </row>
        <row r="33">
          <cell r="D33">
            <v>83121</v>
          </cell>
          <cell r="T33">
            <v>84771</v>
          </cell>
          <cell r="AI33">
            <v>86634</v>
          </cell>
        </row>
        <row r="34">
          <cell r="D34">
            <v>97191</v>
          </cell>
          <cell r="T34">
            <v>97899</v>
          </cell>
          <cell r="AI34">
            <v>98684</v>
          </cell>
        </row>
        <row r="35">
          <cell r="D35">
            <v>1218846</v>
          </cell>
          <cell r="T35">
            <v>1219392</v>
          </cell>
          <cell r="AI35">
            <v>1219863</v>
          </cell>
        </row>
        <row r="37">
          <cell r="D37">
            <v>10308</v>
          </cell>
          <cell r="T37">
            <v>10573.9</v>
          </cell>
          <cell r="AI37">
            <v>10840.9</v>
          </cell>
        </row>
        <row r="38">
          <cell r="D38">
            <v>1847</v>
          </cell>
          <cell r="T38">
            <v>1895</v>
          </cell>
          <cell r="AI38">
            <v>1964</v>
          </cell>
        </row>
        <row r="40">
          <cell r="D40">
            <v>68988</v>
          </cell>
          <cell r="T40">
            <v>70154</v>
          </cell>
          <cell r="AI40">
            <v>71214</v>
          </cell>
        </row>
        <row r="41">
          <cell r="D41">
            <v>78851</v>
          </cell>
          <cell r="T41">
            <v>80124</v>
          </cell>
          <cell r="AI41">
            <v>81434</v>
          </cell>
        </row>
        <row r="43">
          <cell r="D43">
            <v>6344</v>
          </cell>
          <cell r="T43">
            <v>6505</v>
          </cell>
          <cell r="AI43">
            <v>6756</v>
          </cell>
        </row>
        <row r="45">
          <cell r="D45">
            <v>45596</v>
          </cell>
          <cell r="T45">
            <v>45702</v>
          </cell>
          <cell r="AI45">
            <v>45796</v>
          </cell>
        </row>
        <row r="46">
          <cell r="D46">
            <v>6389</v>
          </cell>
          <cell r="T46">
            <v>6400</v>
          </cell>
          <cell r="AI46">
            <v>6409</v>
          </cell>
        </row>
        <row r="47">
          <cell r="D47">
            <v>7016</v>
          </cell>
          <cell r="T47">
            <v>7069</v>
          </cell>
          <cell r="AI47">
            <v>7122</v>
          </cell>
        </row>
        <row r="48">
          <cell r="D48">
            <v>3948</v>
          </cell>
          <cell r="T48">
            <v>3990</v>
          </cell>
          <cell r="AI48">
            <v>4340</v>
          </cell>
        </row>
        <row r="49">
          <cell r="D49">
            <v>1210</v>
          </cell>
          <cell r="T49">
            <v>1232</v>
          </cell>
          <cell r="AI49">
            <v>1255</v>
          </cell>
        </row>
        <row r="50">
          <cell r="D50">
            <v>3385</v>
          </cell>
          <cell r="T50">
            <v>3562</v>
          </cell>
          <cell r="AI50">
            <v>3706</v>
          </cell>
        </row>
      </sheetData>
      <sheetData sheetId="4">
        <row r="29">
          <cell r="D29">
            <v>57711</v>
          </cell>
          <cell r="T29">
            <v>58207</v>
          </cell>
          <cell r="AI29">
            <v>58538</v>
          </cell>
        </row>
        <row r="30">
          <cell r="D30">
            <v>63045</v>
          </cell>
          <cell r="T30">
            <v>63547</v>
          </cell>
          <cell r="AI30">
            <v>63932</v>
          </cell>
        </row>
        <row r="31">
          <cell r="D31">
            <v>69226</v>
          </cell>
          <cell r="T31">
            <v>69667</v>
          </cell>
          <cell r="AI31">
            <v>69908</v>
          </cell>
        </row>
        <row r="32">
          <cell r="D32">
            <v>71683</v>
          </cell>
          <cell r="T32">
            <v>72085</v>
          </cell>
          <cell r="AI32">
            <v>72386</v>
          </cell>
        </row>
        <row r="33">
          <cell r="D33">
            <v>86634</v>
          </cell>
          <cell r="T33">
            <v>88967</v>
          </cell>
          <cell r="AI33">
            <v>90764</v>
          </cell>
        </row>
        <row r="34">
          <cell r="D34">
            <v>98684</v>
          </cell>
          <cell r="T34">
            <v>99665</v>
          </cell>
          <cell r="AI34">
            <v>100423</v>
          </cell>
        </row>
        <row r="35">
          <cell r="D35">
            <v>1219863</v>
          </cell>
          <cell r="T35">
            <v>1220492</v>
          </cell>
          <cell r="AI35">
            <v>1220926</v>
          </cell>
        </row>
        <row r="37">
          <cell r="D37">
            <v>10840.9</v>
          </cell>
          <cell r="T37">
            <v>11085.6</v>
          </cell>
          <cell r="AI37">
            <v>11325.1</v>
          </cell>
        </row>
        <row r="38">
          <cell r="D38">
            <v>1964</v>
          </cell>
          <cell r="T38">
            <v>2038</v>
          </cell>
          <cell r="AI38">
            <v>2078</v>
          </cell>
        </row>
        <row r="40">
          <cell r="D40">
            <v>71214</v>
          </cell>
          <cell r="T40">
            <v>72811</v>
          </cell>
          <cell r="AI40">
            <v>74382</v>
          </cell>
        </row>
        <row r="41">
          <cell r="D41">
            <v>81434</v>
          </cell>
          <cell r="T41">
            <v>83214</v>
          </cell>
          <cell r="AI41">
            <v>92600</v>
          </cell>
        </row>
        <row r="43">
          <cell r="D43">
            <v>6756</v>
          </cell>
          <cell r="T43">
            <v>7021</v>
          </cell>
          <cell r="AI43">
            <v>7182</v>
          </cell>
        </row>
        <row r="45">
          <cell r="D45">
            <v>45796</v>
          </cell>
          <cell r="T45">
            <v>45897</v>
          </cell>
          <cell r="AI45">
            <v>45973</v>
          </cell>
        </row>
        <row r="46">
          <cell r="D46">
            <v>6409</v>
          </cell>
          <cell r="T46">
            <v>6421</v>
          </cell>
          <cell r="AI46">
            <v>6429</v>
          </cell>
        </row>
        <row r="47">
          <cell r="D47">
            <v>7122</v>
          </cell>
          <cell r="T47">
            <v>7190</v>
          </cell>
          <cell r="AI47">
            <v>7269</v>
          </cell>
        </row>
        <row r="48">
          <cell r="D48">
            <v>4340</v>
          </cell>
          <cell r="T48">
            <v>4502</v>
          </cell>
          <cell r="AI48">
            <v>4528</v>
          </cell>
        </row>
        <row r="49">
          <cell r="D49">
            <v>1255</v>
          </cell>
          <cell r="T49">
            <v>1281</v>
          </cell>
          <cell r="AI49">
            <v>1302</v>
          </cell>
        </row>
        <row r="50">
          <cell r="D50">
            <v>3706</v>
          </cell>
          <cell r="T50">
            <v>3897</v>
          </cell>
          <cell r="AI50">
            <v>4057</v>
          </cell>
        </row>
      </sheetData>
      <sheetData sheetId="5">
        <row r="29">
          <cell r="D29">
            <v>58538</v>
          </cell>
          <cell r="T29">
            <v>59073</v>
          </cell>
          <cell r="AI29">
            <v>59504</v>
          </cell>
        </row>
        <row r="30">
          <cell r="D30">
            <v>63932</v>
          </cell>
          <cell r="T30">
            <v>64485</v>
          </cell>
          <cell r="AI30">
            <v>64925</v>
          </cell>
        </row>
        <row r="31">
          <cell r="D31">
            <v>69908</v>
          </cell>
          <cell r="T31">
            <v>70400</v>
          </cell>
          <cell r="AI31">
            <v>70693</v>
          </cell>
        </row>
        <row r="32">
          <cell r="D32">
            <v>72386</v>
          </cell>
          <cell r="T32">
            <v>72838</v>
          </cell>
          <cell r="AI32">
            <v>73159</v>
          </cell>
        </row>
        <row r="33">
          <cell r="D33">
            <v>90764</v>
          </cell>
          <cell r="T33">
            <v>93466</v>
          </cell>
          <cell r="AI33">
            <v>95340</v>
          </cell>
        </row>
        <row r="34">
          <cell r="D34">
            <v>100423</v>
          </cell>
          <cell r="T34">
            <v>101568</v>
          </cell>
          <cell r="AI34">
            <v>102374</v>
          </cell>
        </row>
        <row r="35">
          <cell r="D35">
            <v>1220926</v>
          </cell>
          <cell r="T35">
            <v>1221631</v>
          </cell>
          <cell r="AI35">
            <v>1222130</v>
          </cell>
        </row>
        <row r="37">
          <cell r="D37">
            <v>11325.1</v>
          </cell>
          <cell r="T37">
            <v>11725.2</v>
          </cell>
          <cell r="AI37">
            <v>12041.4</v>
          </cell>
        </row>
        <row r="38">
          <cell r="D38">
            <v>2078</v>
          </cell>
          <cell r="T38">
            <v>2166</v>
          </cell>
          <cell r="AI38">
            <v>2254</v>
          </cell>
        </row>
        <row r="40">
          <cell r="D40">
            <v>74382</v>
          </cell>
          <cell r="T40">
            <v>76255</v>
          </cell>
          <cell r="AI40">
            <v>77602</v>
          </cell>
        </row>
        <row r="41">
          <cell r="D41">
            <v>92600</v>
          </cell>
          <cell r="T41">
            <v>94389</v>
          </cell>
          <cell r="AI41">
            <v>95750</v>
          </cell>
        </row>
        <row r="43">
          <cell r="D43">
            <v>7182</v>
          </cell>
          <cell r="T43">
            <v>7488</v>
          </cell>
          <cell r="AI43">
            <v>7724</v>
          </cell>
        </row>
        <row r="45">
          <cell r="D45">
            <v>45973</v>
          </cell>
          <cell r="T45">
            <v>46073</v>
          </cell>
          <cell r="AI45">
            <v>46151</v>
          </cell>
        </row>
        <row r="46">
          <cell r="D46">
            <v>6429</v>
          </cell>
          <cell r="T46">
            <v>6443</v>
          </cell>
          <cell r="AI46">
            <v>6454</v>
          </cell>
        </row>
        <row r="47">
          <cell r="D47">
            <v>7269</v>
          </cell>
          <cell r="T47">
            <v>7398</v>
          </cell>
          <cell r="AI47">
            <v>7511</v>
          </cell>
        </row>
        <row r="48">
          <cell r="D48">
            <v>4528</v>
          </cell>
          <cell r="T48">
            <v>4571</v>
          </cell>
          <cell r="AI48">
            <v>4610</v>
          </cell>
        </row>
        <row r="49">
          <cell r="D49">
            <v>1302</v>
          </cell>
          <cell r="T49">
            <v>1326</v>
          </cell>
          <cell r="AI49">
            <v>1344</v>
          </cell>
        </row>
        <row r="50">
          <cell r="D50">
            <v>4057</v>
          </cell>
          <cell r="T50">
            <v>4252</v>
          </cell>
          <cell r="AI50">
            <v>4398</v>
          </cell>
        </row>
      </sheetData>
      <sheetData sheetId="6">
        <row r="29">
          <cell r="D29">
            <v>59504</v>
          </cell>
          <cell r="T29">
            <v>59959</v>
          </cell>
          <cell r="AI29">
            <v>60111</v>
          </cell>
        </row>
        <row r="30">
          <cell r="D30">
            <v>64925</v>
          </cell>
          <cell r="T30">
            <v>65406</v>
          </cell>
          <cell r="AI30">
            <v>65567</v>
          </cell>
        </row>
        <row r="31">
          <cell r="D31">
            <v>70693</v>
          </cell>
          <cell r="T31">
            <v>71371</v>
          </cell>
          <cell r="AI31">
            <v>71502</v>
          </cell>
        </row>
        <row r="32">
          <cell r="D32">
            <v>73159</v>
          </cell>
          <cell r="T32">
            <v>73706</v>
          </cell>
          <cell r="AI32">
            <v>73822</v>
          </cell>
        </row>
        <row r="33">
          <cell r="D33">
            <v>95340</v>
          </cell>
          <cell r="T33">
            <v>96037</v>
          </cell>
          <cell r="AI33">
            <v>96585</v>
          </cell>
        </row>
        <row r="34">
          <cell r="D34">
            <v>102374</v>
          </cell>
          <cell r="T34">
            <v>102691</v>
          </cell>
          <cell r="AI34">
            <v>102927</v>
          </cell>
        </row>
        <row r="35">
          <cell r="D35">
            <v>1222130</v>
          </cell>
          <cell r="T35">
            <v>1222308</v>
          </cell>
          <cell r="AI35">
            <v>1222702</v>
          </cell>
        </row>
        <row r="37">
          <cell r="D37">
            <v>12041.4</v>
          </cell>
          <cell r="T37">
            <v>12336.6</v>
          </cell>
          <cell r="AI37">
            <v>12408.5</v>
          </cell>
        </row>
        <row r="38">
          <cell r="D38">
            <v>2254</v>
          </cell>
          <cell r="T38">
            <v>2328</v>
          </cell>
          <cell r="AI38">
            <v>2338</v>
          </cell>
        </row>
        <row r="40">
          <cell r="D40">
            <v>77602</v>
          </cell>
          <cell r="T40">
            <v>78681</v>
          </cell>
          <cell r="AI40">
            <v>79008</v>
          </cell>
        </row>
        <row r="41">
          <cell r="D41">
            <v>95750</v>
          </cell>
          <cell r="T41">
            <v>96900</v>
          </cell>
          <cell r="AI41">
            <v>97258</v>
          </cell>
        </row>
        <row r="43">
          <cell r="D43">
            <v>7724</v>
          </cell>
          <cell r="T43">
            <v>7968</v>
          </cell>
          <cell r="AI43">
            <v>7977</v>
          </cell>
        </row>
        <row r="45">
          <cell r="D45">
            <v>46151</v>
          </cell>
          <cell r="T45">
            <v>46242</v>
          </cell>
          <cell r="AI45">
            <v>46276</v>
          </cell>
        </row>
        <row r="46">
          <cell r="D46">
            <v>6454</v>
          </cell>
          <cell r="T46">
            <v>6458</v>
          </cell>
          <cell r="AI46">
            <v>6461</v>
          </cell>
        </row>
        <row r="47">
          <cell r="D47">
            <v>7511</v>
          </cell>
          <cell r="T47">
            <v>7591</v>
          </cell>
          <cell r="AI47">
            <v>7614</v>
          </cell>
        </row>
        <row r="48">
          <cell r="D48">
            <v>4610</v>
          </cell>
          <cell r="T48">
            <v>4633</v>
          </cell>
          <cell r="AI48">
            <v>4638</v>
          </cell>
        </row>
        <row r="49">
          <cell r="D49">
            <v>1344</v>
          </cell>
          <cell r="T49">
            <v>1362</v>
          </cell>
          <cell r="AI49">
            <v>1371</v>
          </cell>
        </row>
        <row r="50">
          <cell r="D50">
            <v>4398</v>
          </cell>
          <cell r="T50">
            <v>4535</v>
          </cell>
          <cell r="AI50">
            <v>4639</v>
          </cell>
        </row>
      </sheetData>
      <sheetData sheetId="7">
        <row r="29">
          <cell r="D29">
            <v>60111</v>
          </cell>
          <cell r="T29">
            <v>60582</v>
          </cell>
          <cell r="AI29">
            <v>60992</v>
          </cell>
        </row>
        <row r="30">
          <cell r="D30">
            <v>65567</v>
          </cell>
          <cell r="T30">
            <v>66080</v>
          </cell>
          <cell r="AI30">
            <v>66546</v>
          </cell>
        </row>
        <row r="31">
          <cell r="D31">
            <v>71502</v>
          </cell>
          <cell r="T31">
            <v>71813</v>
          </cell>
          <cell r="AI31">
            <v>72207</v>
          </cell>
        </row>
        <row r="32">
          <cell r="D32">
            <v>73822</v>
          </cell>
          <cell r="T32">
            <v>74111</v>
          </cell>
          <cell r="AI32">
            <v>74468</v>
          </cell>
        </row>
        <row r="33">
          <cell r="D33">
            <v>96585</v>
          </cell>
          <cell r="T33">
            <v>98748</v>
          </cell>
          <cell r="AI33">
            <v>100165</v>
          </cell>
        </row>
        <row r="34">
          <cell r="D34">
            <v>102927</v>
          </cell>
          <cell r="T34">
            <v>103916</v>
          </cell>
          <cell r="AI34">
            <v>104532</v>
          </cell>
        </row>
        <row r="35">
          <cell r="D35">
            <v>1222702</v>
          </cell>
          <cell r="T35">
            <v>1223278</v>
          </cell>
          <cell r="AI35">
            <v>1223669</v>
          </cell>
        </row>
        <row r="37">
          <cell r="D37">
            <v>12408.5</v>
          </cell>
          <cell r="T37">
            <v>12713.6</v>
          </cell>
          <cell r="AI37">
            <v>12968</v>
          </cell>
        </row>
        <row r="38">
          <cell r="D38">
            <v>2338</v>
          </cell>
          <cell r="T38">
            <v>2434</v>
          </cell>
          <cell r="AI38">
            <v>2467</v>
          </cell>
        </row>
        <row r="40">
          <cell r="D40">
            <v>79008</v>
          </cell>
          <cell r="T40">
            <v>80344</v>
          </cell>
          <cell r="AI40">
            <v>81396</v>
          </cell>
        </row>
        <row r="41">
          <cell r="D41">
            <v>97258</v>
          </cell>
          <cell r="T41">
            <v>98666</v>
          </cell>
          <cell r="AI41">
            <v>99833</v>
          </cell>
        </row>
        <row r="43">
          <cell r="D43">
            <v>7977</v>
          </cell>
          <cell r="T43">
            <v>8267</v>
          </cell>
          <cell r="AI43">
            <v>8382</v>
          </cell>
        </row>
        <row r="45">
          <cell r="D45">
            <v>46276</v>
          </cell>
          <cell r="T45">
            <v>46389</v>
          </cell>
          <cell r="AI45">
            <v>46476</v>
          </cell>
        </row>
        <row r="46">
          <cell r="D46">
            <v>6461</v>
          </cell>
          <cell r="T46">
            <v>6469</v>
          </cell>
          <cell r="AI46">
            <v>6476</v>
          </cell>
        </row>
        <row r="47">
          <cell r="D47">
            <v>7614</v>
          </cell>
          <cell r="T47">
            <v>7771</v>
          </cell>
          <cell r="AI47">
            <v>7870</v>
          </cell>
        </row>
        <row r="48">
          <cell r="D48">
            <v>4638</v>
          </cell>
          <cell r="T48">
            <v>4665</v>
          </cell>
          <cell r="AI48">
            <v>4683</v>
          </cell>
        </row>
        <row r="49">
          <cell r="D49">
            <v>1371</v>
          </cell>
          <cell r="T49">
            <v>1402</v>
          </cell>
          <cell r="AI49">
            <v>1427</v>
          </cell>
        </row>
        <row r="50">
          <cell r="D50">
            <v>4639</v>
          </cell>
          <cell r="T50">
            <v>5002</v>
          </cell>
          <cell r="AI50">
            <v>5271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sumsi &amp; pareto"/>
      <sheetName val="Tonase"/>
      <sheetName val="HK - BDGT"/>
      <sheetName val="DATA GAS PER 2020"/>
      <sheetName val="Sheet1"/>
    </sheetNames>
    <sheetDataSet>
      <sheetData sheetId="0">
        <row r="10">
          <cell r="G10">
            <v>990.09640000000013</v>
          </cell>
          <cell r="H10">
            <v>1009.9356</v>
          </cell>
          <cell r="I10">
            <v>1215.1934000000001</v>
          </cell>
          <cell r="J10">
            <v>1210.5374000000002</v>
          </cell>
          <cell r="K10">
            <v>1206.9549000000002</v>
          </cell>
          <cell r="L10">
            <v>1238.8681999999999</v>
          </cell>
          <cell r="M10">
            <v>1375.4431</v>
          </cell>
          <cell r="N10">
            <v>1181.2040000000002</v>
          </cell>
          <cell r="O10">
            <v>867.67160000000001</v>
          </cell>
          <cell r="P10">
            <v>358.30029999999999</v>
          </cell>
          <cell r="Q10">
            <v>1239.1415999999999</v>
          </cell>
          <cell r="R10">
            <v>1250.144</v>
          </cell>
        </row>
        <row r="13">
          <cell r="G13">
            <v>221.42668607256797</v>
          </cell>
          <cell r="H13">
            <v>217.93948718332609</v>
          </cell>
          <cell r="I13">
            <v>293.52221003909233</v>
          </cell>
          <cell r="J13">
            <v>284.73643589412916</v>
          </cell>
          <cell r="K13">
            <v>292.48142599573339</v>
          </cell>
          <cell r="L13">
            <v>292.10442654203467</v>
          </cell>
          <cell r="M13">
            <v>338.60211361826953</v>
          </cell>
          <cell r="N13">
            <v>298.03652926158395</v>
          </cell>
          <cell r="O13">
            <v>190.57713488385221</v>
          </cell>
          <cell r="P13">
            <v>83.132068272015971</v>
          </cell>
          <cell r="Q13">
            <v>298.64971511390092</v>
          </cell>
          <cell r="R13">
            <v>299.66212115582289</v>
          </cell>
        </row>
        <row r="14">
          <cell r="G14">
            <v>7.0685052245255164</v>
          </cell>
          <cell r="H14">
            <v>31.099078181143099</v>
          </cell>
          <cell r="I14">
            <v>12.619820258330652</v>
          </cell>
          <cell r="J14">
            <v>13.071126699784266</v>
          </cell>
          <cell r="K14">
            <v>11.026991404203148</v>
          </cell>
          <cell r="L14">
            <v>10.365665937639799</v>
          </cell>
          <cell r="M14">
            <v>16.465534936881955</v>
          </cell>
          <cell r="N14">
            <v>20.017250691920413</v>
          </cell>
          <cell r="O14">
            <v>14.35375435228833</v>
          </cell>
          <cell r="P14">
            <v>6.3669511385313093</v>
          </cell>
          <cell r="Q14">
            <v>22.34863687195892</v>
          </cell>
          <cell r="R14">
            <v>19.521042425838072</v>
          </cell>
        </row>
        <row r="15">
          <cell r="G15">
            <v>68.863439024983762</v>
          </cell>
          <cell r="H15">
            <v>61.963775598795642</v>
          </cell>
          <cell r="I15">
            <v>90.180284975710279</v>
          </cell>
          <cell r="J15">
            <v>85.63918223771455</v>
          </cell>
          <cell r="K15">
            <v>81.835908576419669</v>
          </cell>
          <cell r="L15">
            <v>71.221069741144106</v>
          </cell>
          <cell r="M15">
            <v>71.266210163613209</v>
          </cell>
          <cell r="N15">
            <v>94.094907791514643</v>
          </cell>
          <cell r="O15">
            <v>127.15071099064957</v>
          </cell>
          <cell r="P15">
            <v>48.458154621415403</v>
          </cell>
          <cell r="Q15">
            <v>72.791755787198895</v>
          </cell>
          <cell r="R15">
            <v>95.349523656304839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board"/>
      <sheetName val="Konsumsi &amp; Pareto Bulanan"/>
      <sheetName val="Konsumsi &amp; Pareto 2 Mingguan"/>
      <sheetName val="HK - BDGT"/>
      <sheetName val="Tonase"/>
      <sheetName val="Summary"/>
    </sheetNames>
    <sheetDataSet>
      <sheetData sheetId="0" refreshError="1"/>
      <sheetData sheetId="1" refreshError="1"/>
      <sheetData sheetId="2" refreshError="1"/>
      <sheetData sheetId="3">
        <row r="5">
          <cell r="H5">
            <v>20</v>
          </cell>
          <cell r="J5">
            <v>18</v>
          </cell>
          <cell r="L5">
            <v>21</v>
          </cell>
          <cell r="N5">
            <v>23</v>
          </cell>
          <cell r="P5">
            <v>8</v>
          </cell>
          <cell r="R5">
            <v>18</v>
          </cell>
          <cell r="T5">
            <v>26</v>
          </cell>
          <cell r="V5">
            <v>22</v>
          </cell>
          <cell r="X5">
            <v>24</v>
          </cell>
          <cell r="Z5">
            <v>23</v>
          </cell>
          <cell r="AB5">
            <v>23</v>
          </cell>
          <cell r="AD5">
            <v>24</v>
          </cell>
        </row>
        <row r="6">
          <cell r="H6">
            <v>9</v>
          </cell>
          <cell r="I6">
            <v>9</v>
          </cell>
          <cell r="J6">
            <v>9.2500000000000018</v>
          </cell>
          <cell r="K6">
            <v>8.6666666666666661</v>
          </cell>
          <cell r="L6">
            <v>9.7083333333333339</v>
          </cell>
          <cell r="M6">
            <v>9.375</v>
          </cell>
          <cell r="N6">
            <v>11.03125</v>
          </cell>
          <cell r="O6">
            <v>8.5833333333333339</v>
          </cell>
          <cell r="P6">
            <v>6.4166666666666661</v>
          </cell>
          <cell r="Q6">
            <v>2.6666666666666665</v>
          </cell>
          <cell r="R6">
            <v>10.062499999999998</v>
          </cell>
          <cell r="S6">
            <v>10.229166666666666</v>
          </cell>
          <cell r="T6">
            <v>3.8333333333333335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</row>
        <row r="8">
          <cell r="I8">
            <v>18</v>
          </cell>
          <cell r="J8">
            <v>20</v>
          </cell>
          <cell r="K8">
            <v>18</v>
          </cell>
          <cell r="L8">
            <v>20</v>
          </cell>
          <cell r="M8">
            <v>18</v>
          </cell>
          <cell r="N8">
            <v>19</v>
          </cell>
          <cell r="O8">
            <v>16</v>
          </cell>
          <cell r="P8">
            <v>15</v>
          </cell>
          <cell r="Q8">
            <v>3</v>
          </cell>
          <cell r="R8">
            <v>18</v>
          </cell>
          <cell r="S8">
            <v>20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</row>
        <row r="9">
          <cell r="H9">
            <v>5.7052800000000019</v>
          </cell>
          <cell r="J9">
            <v>6.3052799999999998</v>
          </cell>
          <cell r="L9">
            <v>5.3875800000000007</v>
          </cell>
          <cell r="N9">
            <v>5.5249199999999998</v>
          </cell>
          <cell r="P9">
            <v>5.25</v>
          </cell>
          <cell r="R9">
            <v>3.4884599999999999</v>
          </cell>
          <cell r="T9">
            <v>11.791739999999999</v>
          </cell>
          <cell r="V9">
            <v>13.05</v>
          </cell>
          <cell r="X9">
            <v>14.957640000000001</v>
          </cell>
          <cell r="Z9">
            <v>15.81</v>
          </cell>
          <cell r="AB9">
            <v>14.842919999999999</v>
          </cell>
          <cell r="AD9">
            <v>12.474720000000001</v>
          </cell>
        </row>
        <row r="10"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H11">
            <v>20</v>
          </cell>
          <cell r="J11">
            <v>21</v>
          </cell>
          <cell r="L11">
            <v>20</v>
          </cell>
          <cell r="N11">
            <v>17.172001440000003</v>
          </cell>
          <cell r="P11">
            <v>17.172001440000003</v>
          </cell>
          <cell r="R11">
            <v>21.487681728000002</v>
          </cell>
          <cell r="T11">
            <v>21.047041728000004</v>
          </cell>
          <cell r="V11">
            <v>20.976539328000001</v>
          </cell>
          <cell r="X11">
            <v>18.686939135999999</v>
          </cell>
          <cell r="Z11">
            <v>18.797980416000001</v>
          </cell>
          <cell r="AB11">
            <v>18.846098304000002</v>
          </cell>
          <cell r="AD11">
            <v>18.8990279808</v>
          </cell>
        </row>
        <row r="12">
          <cell r="H12">
            <v>10</v>
          </cell>
          <cell r="I12">
            <v>11</v>
          </cell>
          <cell r="J12">
            <v>10</v>
          </cell>
          <cell r="K12">
            <v>10</v>
          </cell>
          <cell r="L12">
            <v>10</v>
          </cell>
          <cell r="M12">
            <v>10</v>
          </cell>
          <cell r="N12">
            <v>10</v>
          </cell>
          <cell r="O12">
            <v>9</v>
          </cell>
          <cell r="P12">
            <v>9</v>
          </cell>
          <cell r="Q12">
            <v>3</v>
          </cell>
          <cell r="R12">
            <v>9</v>
          </cell>
          <cell r="S12">
            <v>10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</row>
        <row r="13">
          <cell r="H13">
            <v>5</v>
          </cell>
          <cell r="J13">
            <v>12</v>
          </cell>
          <cell r="L13">
            <v>12</v>
          </cell>
          <cell r="N13">
            <v>9.527441952000002</v>
          </cell>
          <cell r="P13">
            <v>9.527441952000002</v>
          </cell>
          <cell r="R13">
            <v>9.527441952000002</v>
          </cell>
          <cell r="T13">
            <v>12.021731754666668</v>
          </cell>
          <cell r="V13">
            <v>13.076714890666667</v>
          </cell>
          <cell r="X13">
            <v>13.076714890666667</v>
          </cell>
          <cell r="Z13">
            <v>15.364231360000002</v>
          </cell>
          <cell r="AB13">
            <v>14.156768224000002</v>
          </cell>
          <cell r="AD13">
            <v>14.156768224000002</v>
          </cell>
        </row>
        <row r="14">
          <cell r="H14">
            <v>7</v>
          </cell>
          <cell r="I14">
            <v>7</v>
          </cell>
          <cell r="J14">
            <v>10</v>
          </cell>
          <cell r="K14">
            <v>8</v>
          </cell>
          <cell r="L14">
            <v>10</v>
          </cell>
          <cell r="M14">
            <v>8</v>
          </cell>
          <cell r="N14">
            <v>9</v>
          </cell>
          <cell r="O14">
            <v>7</v>
          </cell>
          <cell r="Q14">
            <v>0</v>
          </cell>
          <cell r="R14">
            <v>9</v>
          </cell>
          <cell r="S14">
            <v>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</row>
      </sheetData>
      <sheetData sheetId="4">
        <row r="6">
          <cell r="F6">
            <v>13.939</v>
          </cell>
        </row>
        <row r="8">
          <cell r="F8">
            <v>386.44890438554552</v>
          </cell>
          <cell r="H8">
            <v>403.87632188100002</v>
          </cell>
          <cell r="J8">
            <v>448.30798180345454</v>
          </cell>
          <cell r="L8">
            <v>504.9</v>
          </cell>
          <cell r="N8">
            <v>127.47725369381817</v>
          </cell>
          <cell r="P8">
            <v>307.33271644800004</v>
          </cell>
          <cell r="R8">
            <v>26.61841579090909</v>
          </cell>
          <cell r="T8">
            <v>0</v>
          </cell>
          <cell r="V8">
            <v>0</v>
          </cell>
          <cell r="X8">
            <v>0</v>
          </cell>
          <cell r="Z8">
            <v>0</v>
          </cell>
          <cell r="AB8">
            <v>0</v>
          </cell>
        </row>
        <row r="10">
          <cell r="F10">
            <v>5.3689999999999998</v>
          </cell>
          <cell r="G10">
            <v>11.9</v>
          </cell>
          <cell r="H10">
            <v>6.351</v>
          </cell>
          <cell r="I10">
            <v>9.67</v>
          </cell>
          <cell r="J10">
            <v>21.98</v>
          </cell>
          <cell r="K10">
            <v>13.6</v>
          </cell>
          <cell r="L10">
            <v>23.73</v>
          </cell>
          <cell r="N10">
            <v>6.3</v>
          </cell>
          <cell r="P10">
            <v>17.100000000000001</v>
          </cell>
        </row>
        <row r="11">
          <cell r="F11">
            <v>8.57</v>
          </cell>
          <cell r="G11">
            <v>6.8730000000000002</v>
          </cell>
          <cell r="H11">
            <v>6.07</v>
          </cell>
          <cell r="I11">
            <v>5.99</v>
          </cell>
          <cell r="J11">
            <v>6.4</v>
          </cell>
          <cell r="K11">
            <v>8.2330000000000005</v>
          </cell>
          <cell r="L11">
            <v>14.84</v>
          </cell>
          <cell r="N11">
            <v>11</v>
          </cell>
          <cell r="P11">
            <v>20.399999999999999</v>
          </cell>
        </row>
      </sheetData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sumsi &amp; pareto"/>
      <sheetName val="HK - BDGT"/>
      <sheetName val="Tonase"/>
      <sheetName val="Summary"/>
      <sheetName val="Sheet1"/>
    </sheetNames>
    <sheetDataSet>
      <sheetData sheetId="0"/>
      <sheetData sheetId="1">
        <row r="6">
          <cell r="G6">
            <v>8.6666666666666661</v>
          </cell>
        </row>
      </sheetData>
      <sheetData sheetId="2">
        <row r="6">
          <cell r="F6">
            <v>306.01180160000001</v>
          </cell>
          <cell r="G6">
            <v>130.24698000000001</v>
          </cell>
          <cell r="H6">
            <v>166.99544</v>
          </cell>
          <cell r="I6">
            <v>58.661239999999999</v>
          </cell>
          <cell r="J6">
            <v>161.94</v>
          </cell>
          <cell r="K6">
            <v>97.771000000000001</v>
          </cell>
          <cell r="L6">
            <v>244.05600000000001</v>
          </cell>
          <cell r="M6">
            <v>295.01099999999997</v>
          </cell>
          <cell r="N6">
            <v>406.88407999999998</v>
          </cell>
          <cell r="O6">
            <v>302.83416</v>
          </cell>
          <cell r="P6">
            <v>4.1710000000000003</v>
          </cell>
          <cell r="Q6">
            <v>379.51553999999999</v>
          </cell>
          <cell r="R6">
            <v>345.49703999999997</v>
          </cell>
          <cell r="S6">
            <v>323.72309999999999</v>
          </cell>
          <cell r="T6">
            <v>380.57632999999998</v>
          </cell>
          <cell r="U6">
            <v>240.65360000000001</v>
          </cell>
          <cell r="V6">
            <v>166.56728000000001</v>
          </cell>
          <cell r="W6">
            <v>278.63146</v>
          </cell>
          <cell r="X6">
            <v>312.69615999999996</v>
          </cell>
          <cell r="Y6">
            <v>224.81108</v>
          </cell>
          <cell r="Z6">
            <v>307.62018</v>
          </cell>
          <cell r="AA6">
            <v>225.28844000000001</v>
          </cell>
          <cell r="AB6">
            <v>0</v>
          </cell>
          <cell r="AC6">
            <v>0</v>
          </cell>
        </row>
      </sheetData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nsumsi &amp; pareto"/>
      <sheetName val="HK - BDGT"/>
      <sheetName val="Tonase"/>
      <sheetName val="Summary"/>
    </sheetNames>
    <sheetDataSet>
      <sheetData sheetId="0">
        <row r="15">
          <cell r="G15">
            <v>222.31242186070227</v>
          </cell>
        </row>
      </sheetData>
      <sheetData sheetId="1"/>
      <sheetData sheetId="2">
        <row r="13">
          <cell r="E13">
            <v>0</v>
          </cell>
        </row>
        <row r="23">
          <cell r="E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75"/>
  <sheetViews>
    <sheetView topLeftCell="B1" zoomScale="70" zoomScaleNormal="70" workbookViewId="0">
      <pane xSplit="3" ySplit="3" topLeftCell="G13" activePane="bottomRight" state="frozen"/>
      <selection pane="bottomRight" activeCell="P28" sqref="P28:Q28"/>
      <selection pane="bottomLeft" activeCell="B4" sqref="B4"/>
      <selection pane="topRight" activeCell="E1" sqref="E1"/>
    </sheetView>
  </sheetViews>
  <sheetFormatPr defaultRowHeight="15"/>
  <cols>
    <col min="2" max="2" width="29.7109375" customWidth="1"/>
    <col min="3" max="3" width="11" customWidth="1"/>
    <col min="4" max="4" width="5.140625" bestFit="1" customWidth="1"/>
    <col min="5" max="5" width="10.5703125" bestFit="1" customWidth="1"/>
    <col min="6" max="6" width="13.5703125" bestFit="1" customWidth="1"/>
    <col min="7" max="7" width="22.140625" customWidth="1"/>
    <col min="8" max="10" width="10.85546875" customWidth="1"/>
    <col min="11" max="11" width="11.7109375" bestFit="1" customWidth="1"/>
    <col min="12" max="15" width="10.85546875" customWidth="1"/>
    <col min="16" max="16" width="11.5703125" bestFit="1" customWidth="1"/>
    <col min="17" max="17" width="10.28515625" customWidth="1"/>
    <col min="18" max="31" width="10.85546875" customWidth="1"/>
  </cols>
  <sheetData>
    <row r="1" spans="2:31" ht="15.75" thickBot="1">
      <c r="B1" s="24" t="s">
        <v>0</v>
      </c>
      <c r="C1" s="24"/>
      <c r="D1" s="25"/>
      <c r="E1" s="25"/>
      <c r="F1" s="25"/>
      <c r="G1" s="25"/>
    </row>
    <row r="2" spans="2:31" ht="15" customHeight="1">
      <c r="B2" s="153" t="s">
        <v>1</v>
      </c>
      <c r="C2" s="154"/>
      <c r="D2" s="143" t="s">
        <v>2</v>
      </c>
      <c r="E2" s="143" t="s">
        <v>3</v>
      </c>
      <c r="F2" s="143" t="s">
        <v>4</v>
      </c>
      <c r="G2" s="143" t="s">
        <v>5</v>
      </c>
      <c r="H2" s="147" t="s">
        <v>6</v>
      </c>
      <c r="I2" s="146"/>
      <c r="J2" s="145" t="s">
        <v>7</v>
      </c>
      <c r="K2" s="146"/>
      <c r="L2" s="145" t="s">
        <v>8</v>
      </c>
      <c r="M2" s="146"/>
      <c r="N2" s="145" t="s">
        <v>9</v>
      </c>
      <c r="O2" s="146"/>
      <c r="P2" s="145" t="s">
        <v>10</v>
      </c>
      <c r="Q2" s="146"/>
      <c r="R2" s="145" t="s">
        <v>11</v>
      </c>
      <c r="S2" s="146"/>
      <c r="T2" s="145" t="s">
        <v>12</v>
      </c>
      <c r="U2" s="146"/>
      <c r="V2" s="145" t="s">
        <v>13</v>
      </c>
      <c r="W2" s="146"/>
      <c r="X2" s="145" t="s">
        <v>14</v>
      </c>
      <c r="Y2" s="146"/>
      <c r="Z2" s="145" t="s">
        <v>15</v>
      </c>
      <c r="AA2" s="146"/>
      <c r="AB2" s="145" t="s">
        <v>16</v>
      </c>
      <c r="AC2" s="146"/>
      <c r="AD2" s="145" t="s">
        <v>17</v>
      </c>
      <c r="AE2" s="146"/>
    </row>
    <row r="3" spans="2:31" s="1" customFormat="1" ht="15.75" thickBot="1">
      <c r="B3" s="155"/>
      <c r="C3" s="156"/>
      <c r="D3" s="144"/>
      <c r="E3" s="144"/>
      <c r="F3" s="144"/>
      <c r="G3" s="144"/>
      <c r="H3" s="28">
        <v>15</v>
      </c>
      <c r="I3" s="5">
        <v>31</v>
      </c>
      <c r="J3" s="4">
        <v>14</v>
      </c>
      <c r="K3" s="5">
        <v>28</v>
      </c>
      <c r="L3" s="4">
        <v>15</v>
      </c>
      <c r="M3" s="5">
        <v>31</v>
      </c>
      <c r="N3" s="4">
        <v>15</v>
      </c>
      <c r="O3" s="5">
        <v>30</v>
      </c>
      <c r="P3" s="4">
        <v>15</v>
      </c>
      <c r="Q3" s="5">
        <v>31</v>
      </c>
      <c r="R3" s="4">
        <v>15</v>
      </c>
      <c r="S3" s="5">
        <v>30</v>
      </c>
      <c r="T3" s="4">
        <v>15</v>
      </c>
      <c r="U3" s="5">
        <v>31</v>
      </c>
      <c r="V3" s="4">
        <v>15</v>
      </c>
      <c r="W3" s="5">
        <v>31</v>
      </c>
      <c r="X3" s="4">
        <v>15</v>
      </c>
      <c r="Y3" s="5">
        <v>30</v>
      </c>
      <c r="Z3" s="4">
        <v>15</v>
      </c>
      <c r="AA3" s="5">
        <v>31</v>
      </c>
      <c r="AB3" s="4">
        <v>15</v>
      </c>
      <c r="AC3" s="5">
        <v>30</v>
      </c>
      <c r="AD3" s="4">
        <v>15</v>
      </c>
      <c r="AE3" s="5">
        <v>31</v>
      </c>
    </row>
    <row r="4" spans="2:31" ht="15.75" thickBot="1">
      <c r="B4" s="9" t="s">
        <v>18</v>
      </c>
      <c r="C4" s="26"/>
      <c r="D4" s="34" t="s">
        <v>19</v>
      </c>
      <c r="E4" s="70">
        <v>13918</v>
      </c>
      <c r="F4" s="70">
        <v>5501</v>
      </c>
      <c r="G4" s="120">
        <f>SUM(H4:AE4)</f>
        <v>3668</v>
      </c>
      <c r="H4" s="11">
        <f>'[1]JANUARI 2020'!$T29-'[1]JANUARI 2020'!$D29</f>
        <v>0</v>
      </c>
      <c r="I4" s="11">
        <f>'[1]JANUARI 2020'!$AI29-'[1]JANUARI 2020'!$T29</f>
        <v>0</v>
      </c>
      <c r="J4" s="11">
        <f>'[1]FEBRUARI 2020'!$T29-'[1]FEBRUARI 2020'!$D29</f>
        <v>182</v>
      </c>
      <c r="K4" s="11">
        <f>'[1]FEBRUARI 2020'!$AI29-'[1]FEBRUARI 2020'!$T29</f>
        <v>205</v>
      </c>
      <c r="L4" s="11">
        <f>'[1]MARET 2020'!$T29-'[1]MARET 2020'!$D29</f>
        <v>496</v>
      </c>
      <c r="M4" s="11">
        <f>'[1]MARET 2020'!$AI29-'[1]MARET 2020'!$T29</f>
        <v>331</v>
      </c>
      <c r="N4" s="11">
        <f>'[1]APRIL 2020'!$T29-'[1]APRIL 2020'!$D29</f>
        <v>535</v>
      </c>
      <c r="O4" s="11">
        <f>'[1]APRIL 2020'!$AI29-'[1]APRIL 2020'!$T29</f>
        <v>431</v>
      </c>
      <c r="P4" s="11">
        <f>'[1]MEI 2020'!$T29-'[1]MEI 2020'!$D29</f>
        <v>455</v>
      </c>
      <c r="Q4" s="11">
        <f>'[1]MEI 2020'!$AI29-'[1]MEI 2020'!$T29</f>
        <v>152</v>
      </c>
      <c r="R4" s="11">
        <f>'[1]JUNI 2020'!$T29-'[1]JUNI 2020'!$D29</f>
        <v>471</v>
      </c>
      <c r="S4" s="11">
        <f>'[1]JUNI 2020'!$AI29-'[1]JUNI 2020'!$T29</f>
        <v>410</v>
      </c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2:31" ht="15.75" thickBot="1">
      <c r="B5" s="9" t="s">
        <v>20</v>
      </c>
      <c r="C5" s="26"/>
      <c r="D5" s="34" t="s">
        <v>19</v>
      </c>
      <c r="E5" s="70">
        <v>17732</v>
      </c>
      <c r="F5" s="70">
        <v>12060</v>
      </c>
      <c r="G5" s="120">
        <f t="shared" ref="G5:G25" si="0">SUM(H5:AE5)</f>
        <v>5895</v>
      </c>
      <c r="H5" s="11">
        <f>'[1]JANUARI 2020'!$T30-'[1]JANUARI 2020'!$D30</f>
        <v>1022</v>
      </c>
      <c r="I5" s="11">
        <f>'[1]JANUARI 2020'!$AI30-'[1]JANUARI 2020'!$T30</f>
        <v>633</v>
      </c>
      <c r="J5" s="11">
        <f>'[1]FEBRUARI 2020'!$T30-'[1]FEBRUARI 2020'!$D30</f>
        <v>536</v>
      </c>
      <c r="K5" s="11">
        <f>'[1]FEBRUARI 2020'!$AI30-'[1]FEBRUARI 2020'!$T30</f>
        <v>203</v>
      </c>
      <c r="L5" s="11">
        <f>'[1]MARET 2020'!$T30-'[1]MARET 2020'!$D30</f>
        <v>502</v>
      </c>
      <c r="M5" s="11">
        <f>'[1]MARET 2020'!$AI30-'[1]MARET 2020'!$T30</f>
        <v>385</v>
      </c>
      <c r="N5" s="11">
        <f>'[1]APRIL 2020'!$T30-'[1]APRIL 2020'!$D30</f>
        <v>553</v>
      </c>
      <c r="O5" s="11">
        <f>'[1]APRIL 2020'!$AI30-'[1]APRIL 2020'!$T30</f>
        <v>440</v>
      </c>
      <c r="P5" s="11">
        <f>'[1]MEI 2020'!$T30-'[1]MEI 2020'!$D30</f>
        <v>481</v>
      </c>
      <c r="Q5" s="11">
        <f>'[1]MEI 2020'!$AI30-'[1]MEI 2020'!$T30</f>
        <v>161</v>
      </c>
      <c r="R5" s="11">
        <f>'[1]JUNI 2020'!$T30-'[1]JUNI 2020'!$D30</f>
        <v>513</v>
      </c>
      <c r="S5" s="11">
        <f>'[1]JUNI 2020'!$AI30-'[1]JUNI 2020'!$T30</f>
        <v>466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2:31" ht="15.75" thickBot="1">
      <c r="B6" s="9" t="s">
        <v>21</v>
      </c>
      <c r="C6" s="26"/>
      <c r="D6" s="34" t="s">
        <v>19</v>
      </c>
      <c r="E6" s="70">
        <v>22005</v>
      </c>
      <c r="F6" s="70">
        <v>18219</v>
      </c>
      <c r="G6" s="120">
        <f t="shared" si="0"/>
        <v>6252</v>
      </c>
      <c r="H6" s="11">
        <f>'[1]JANUARI 2020'!$T31-'[1]JANUARI 2020'!$D31</f>
        <v>1549</v>
      </c>
      <c r="I6" s="11">
        <f>'[1]JANUARI 2020'!$AI31-'[1]JANUARI 2020'!$T31</f>
        <v>818</v>
      </c>
      <c r="J6" s="11">
        <f>'[1]FEBRUARI 2020'!$T31-'[1]FEBRUARI 2020'!$D31</f>
        <v>597</v>
      </c>
      <c r="K6" s="11">
        <f>'[1]FEBRUARI 2020'!$AI31-'[1]FEBRUARI 2020'!$T31</f>
        <v>307</v>
      </c>
      <c r="L6" s="11">
        <f>'[1]MARET 2020'!$T31-'[1]MARET 2020'!$D31</f>
        <v>441</v>
      </c>
      <c r="M6" s="11">
        <f>'[1]MARET 2020'!$AI31-'[1]MARET 2020'!$T31</f>
        <v>241</v>
      </c>
      <c r="N6" s="11">
        <f>'[1]APRIL 2020'!$T31-'[1]APRIL 2020'!$D31</f>
        <v>492</v>
      </c>
      <c r="O6" s="11">
        <f>'[1]APRIL 2020'!$AI31-'[1]APRIL 2020'!$T31</f>
        <v>293</v>
      </c>
      <c r="P6" s="11">
        <f>'[1]MEI 2020'!$T31-'[1]MEI 2020'!$D31</f>
        <v>678</v>
      </c>
      <c r="Q6" s="11">
        <f>'[1]MEI 2020'!$AI31-'[1]MEI 2020'!$T31</f>
        <v>131</v>
      </c>
      <c r="R6" s="11">
        <f>'[1]JUNI 2020'!$T31-'[1]JUNI 2020'!$D31</f>
        <v>311</v>
      </c>
      <c r="S6" s="11">
        <f>'[1]JUNI 2020'!$AI31-'[1]JUNI 2020'!$T31</f>
        <v>394</v>
      </c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2:31" ht="15.75" thickBot="1">
      <c r="B7" s="9" t="s">
        <v>22</v>
      </c>
      <c r="C7" s="26"/>
      <c r="D7" s="34" t="s">
        <v>19</v>
      </c>
      <c r="E7" s="70">
        <v>14151</v>
      </c>
      <c r="F7" s="70">
        <v>13408</v>
      </c>
      <c r="G7" s="120">
        <f t="shared" si="0"/>
        <v>4990</v>
      </c>
      <c r="H7" s="11">
        <f>'[1]JANUARI 2020'!$T32-'[1]JANUARI 2020'!$D32</f>
        <v>928</v>
      </c>
      <c r="I7" s="11">
        <f>'[1]JANUARI 2020'!$AI32-'[1]JANUARI 2020'!$T32</f>
        <v>494</v>
      </c>
      <c r="J7" s="11">
        <f>'[1]FEBRUARI 2020'!$T32-'[1]FEBRUARI 2020'!$D32</f>
        <v>505</v>
      </c>
      <c r="K7" s="11">
        <f>'[1]FEBRUARI 2020'!$AI32-'[1]FEBRUARI 2020'!$T32</f>
        <v>278</v>
      </c>
      <c r="L7" s="11">
        <f>'[1]MARET 2020'!$T32-'[1]MARET 2020'!$D32</f>
        <v>402</v>
      </c>
      <c r="M7" s="11">
        <f>'[1]MARET 2020'!$AI32-'[1]MARET 2020'!$T32</f>
        <v>301</v>
      </c>
      <c r="N7" s="11">
        <f>'[1]APRIL 2020'!$T32-'[1]APRIL 2020'!$D32</f>
        <v>452</v>
      </c>
      <c r="O7" s="11">
        <f>'[1]APRIL 2020'!$AI32-'[1]APRIL 2020'!$T32</f>
        <v>321</v>
      </c>
      <c r="P7" s="11">
        <f>'[1]MEI 2020'!$T32-'[1]MEI 2020'!$D32</f>
        <v>547</v>
      </c>
      <c r="Q7" s="11">
        <f>'[1]MEI 2020'!$AI32-'[1]MEI 2020'!$T32</f>
        <v>116</v>
      </c>
      <c r="R7" s="11">
        <f>'[1]JUNI 2020'!$T32-'[1]JUNI 2020'!$D32</f>
        <v>289</v>
      </c>
      <c r="S7" s="11">
        <f>'[1]JUNI 2020'!$AI32-'[1]JUNI 2020'!$T32</f>
        <v>357</v>
      </c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2:31" ht="15.75" thickBot="1">
      <c r="B8" s="9" t="s">
        <v>23</v>
      </c>
      <c r="C8" s="26"/>
      <c r="D8" s="34"/>
      <c r="E8" s="70"/>
      <c r="F8" s="70">
        <v>35605</v>
      </c>
      <c r="G8" s="120">
        <f t="shared" si="0"/>
        <v>19191</v>
      </c>
      <c r="H8" s="11">
        <f>'[1]JANUARI 2020'!$T33-'[1]JANUARI 2020'!$D33</f>
        <v>1032</v>
      </c>
      <c r="I8" s="11">
        <f>'[1]JANUARI 2020'!$AI33-'[1]JANUARI 2020'!$T33</f>
        <v>1115</v>
      </c>
      <c r="J8" s="11">
        <f>'[1]FEBRUARI 2020'!$T33-'[1]FEBRUARI 2020'!$D33</f>
        <v>1650</v>
      </c>
      <c r="K8" s="11">
        <f>'[1]FEBRUARI 2020'!$AI33-'[1]FEBRUARI 2020'!$T33</f>
        <v>1863</v>
      </c>
      <c r="L8" s="11">
        <f>'[1]MARET 2020'!$T33-'[1]MARET 2020'!$D33</f>
        <v>2333</v>
      </c>
      <c r="M8" s="11">
        <f>'[1]MARET 2020'!$AI33-'[1]MARET 2020'!$T33</f>
        <v>1797</v>
      </c>
      <c r="N8" s="11">
        <f>'[1]APRIL 2020'!$T33-'[1]APRIL 2020'!$D33</f>
        <v>2702</v>
      </c>
      <c r="O8" s="11">
        <f>'[1]APRIL 2020'!$AI33-'[1]APRIL 2020'!$T33</f>
        <v>1874</v>
      </c>
      <c r="P8" s="11">
        <f>'[1]MEI 2020'!$T33-'[1]MEI 2020'!$D33</f>
        <v>697</v>
      </c>
      <c r="Q8" s="11">
        <f>'[1]MEI 2020'!$AI33-'[1]MEI 2020'!$T33</f>
        <v>548</v>
      </c>
      <c r="R8" s="11">
        <f>'[1]JUNI 2020'!$T33-'[1]JUNI 2020'!$D33</f>
        <v>2163</v>
      </c>
      <c r="S8" s="11">
        <f>'[1]JUNI 2020'!$AI33-'[1]JUNI 2020'!$T33</f>
        <v>1417</v>
      </c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2:31" ht="15.75" thickBot="1">
      <c r="B9" s="9" t="s">
        <v>24</v>
      </c>
      <c r="C9" s="26"/>
      <c r="D9" s="34"/>
      <c r="E9" s="70"/>
      <c r="F9" s="70">
        <v>17517</v>
      </c>
      <c r="G9" s="120">
        <f t="shared" si="0"/>
        <v>8242</v>
      </c>
      <c r="H9" s="11">
        <f>'[1]JANUARI 2020'!$T34-'[1]JANUARI 2020'!$D34</f>
        <v>440</v>
      </c>
      <c r="I9" s="11">
        <f>'[1]JANUARI 2020'!$AI34-'[1]JANUARI 2020'!$T34</f>
        <v>461</v>
      </c>
      <c r="J9" s="11">
        <f>'[1]FEBRUARI 2020'!$T34-'[1]FEBRUARI 2020'!$D34</f>
        <v>708</v>
      </c>
      <c r="K9" s="11">
        <f>'[1]FEBRUARI 2020'!$AI34-'[1]FEBRUARI 2020'!$T34</f>
        <v>785</v>
      </c>
      <c r="L9" s="11">
        <f>'[1]MARET 2020'!$T34-'[1]MARET 2020'!$D34</f>
        <v>981</v>
      </c>
      <c r="M9" s="11">
        <f>'[1]MARET 2020'!$AI34-'[1]MARET 2020'!$T34</f>
        <v>758</v>
      </c>
      <c r="N9" s="11">
        <f>'[1]APRIL 2020'!$T34-'[1]APRIL 2020'!$D34</f>
        <v>1145</v>
      </c>
      <c r="O9" s="11">
        <f>'[1]APRIL 2020'!$AI34-'[1]APRIL 2020'!$T34</f>
        <v>806</v>
      </c>
      <c r="P9" s="11">
        <f>'[1]MEI 2020'!$T34-'[1]MEI 2020'!$D34</f>
        <v>317</v>
      </c>
      <c r="Q9" s="11">
        <f>'[1]MEI 2020'!$AI34-'[1]MEI 2020'!$T34</f>
        <v>236</v>
      </c>
      <c r="R9" s="11">
        <f>'[1]JUNI 2020'!$T34-'[1]JUNI 2020'!$D34</f>
        <v>989</v>
      </c>
      <c r="S9" s="11">
        <f>'[1]JUNI 2020'!$AI34-'[1]JUNI 2020'!$T34</f>
        <v>616</v>
      </c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2:31" ht="15.75" thickBot="1">
      <c r="B10" s="9" t="s">
        <v>25</v>
      </c>
      <c r="C10" s="26"/>
      <c r="D10" s="34"/>
      <c r="E10" s="70"/>
      <c r="F10" s="70">
        <v>9073</v>
      </c>
      <c r="G10" s="120">
        <f t="shared" si="0"/>
        <v>5703</v>
      </c>
      <c r="H10" s="11">
        <f>'[1]JANUARI 2020'!$T35-'[1]JANUARI 2020'!$D35</f>
        <v>271</v>
      </c>
      <c r="I10" s="11">
        <f>'[1]JANUARI 2020'!$AI35-'[1]JANUARI 2020'!$T35</f>
        <v>609</v>
      </c>
      <c r="J10" s="11">
        <f>'[1]FEBRUARI 2020'!$T35-'[1]FEBRUARI 2020'!$D35</f>
        <v>546</v>
      </c>
      <c r="K10" s="11">
        <f>'[1]FEBRUARI 2020'!$AI35-'[1]FEBRUARI 2020'!$T35</f>
        <v>471</v>
      </c>
      <c r="L10" s="11">
        <f>'[1]MARET 2020'!$T35-'[1]MARET 2020'!$D35</f>
        <v>629</v>
      </c>
      <c r="M10" s="11">
        <f>'[1]MARET 2020'!$AI35-'[1]MARET 2020'!$T35</f>
        <v>434</v>
      </c>
      <c r="N10" s="11">
        <f>'[1]APRIL 2020'!$T35-'[1]APRIL 2020'!$D35</f>
        <v>705</v>
      </c>
      <c r="O10" s="11">
        <f>'[1]APRIL 2020'!$AI35-'[1]APRIL 2020'!$T35</f>
        <v>499</v>
      </c>
      <c r="P10" s="11">
        <f>'[1]MEI 2020'!$T35-'[1]MEI 2020'!$D35</f>
        <v>178</v>
      </c>
      <c r="Q10" s="11">
        <f>'[1]MEI 2020'!$AI35-'[1]MEI 2020'!$T35</f>
        <v>394</v>
      </c>
      <c r="R10" s="11">
        <f>'[1]JUNI 2020'!$T35-'[1]JUNI 2020'!$D35</f>
        <v>576</v>
      </c>
      <c r="S10" s="11">
        <f>'[1]JUNI 2020'!$AI35-'[1]JUNI 2020'!$T35</f>
        <v>391</v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2:31" ht="15.75" thickBot="1">
      <c r="B11" s="80" t="s">
        <v>26</v>
      </c>
      <c r="C11" s="81"/>
      <c r="D11" s="82" t="s">
        <v>19</v>
      </c>
      <c r="E11" s="70">
        <v>17790</v>
      </c>
      <c r="F11" s="70">
        <v>27719</v>
      </c>
      <c r="G11" s="120">
        <f t="shared" si="0"/>
        <v>9630</v>
      </c>
      <c r="H11" s="11">
        <f>(H4+H5+H6+H7)+H8-(H15+H16)</f>
        <v>1328</v>
      </c>
      <c r="I11" s="11">
        <f t="shared" ref="I11:K11" si="1">(I4+I5+I6+I7)+I8-(I15+I16)</f>
        <v>891</v>
      </c>
      <c r="J11" s="11">
        <f t="shared" si="1"/>
        <v>1031</v>
      </c>
      <c r="K11" s="11">
        <f t="shared" si="1"/>
        <v>486</v>
      </c>
      <c r="L11" s="11">
        <f t="shared" ref="L11:M11" si="2">(L4+L5+L6+L7)+L8-(L15+L16)</f>
        <v>797</v>
      </c>
      <c r="M11" s="11">
        <f t="shared" si="2"/>
        <v>494</v>
      </c>
      <c r="N11" s="11">
        <f t="shared" ref="N11:O11" si="3">(N4+N5+N6+N7)+N8-(N15+N16)</f>
        <v>1072</v>
      </c>
      <c r="O11" s="11">
        <f t="shared" si="3"/>
        <v>651</v>
      </c>
      <c r="P11" s="11">
        <f t="shared" ref="P11:Q11" si="4">(P4+P5+P6+P7)+P8-(P15+P16)</f>
        <v>629</v>
      </c>
      <c r="Q11" s="11">
        <f t="shared" si="4"/>
        <v>423</v>
      </c>
      <c r="R11" s="11">
        <f t="shared" ref="R11:S11" si="5">(R4+R5+R6+R7)+R8-(R15+R16)</f>
        <v>1003</v>
      </c>
      <c r="S11" s="11">
        <f t="shared" si="5"/>
        <v>825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2:31" ht="15.75" thickBot="1">
      <c r="B12" s="9" t="s">
        <v>27</v>
      </c>
      <c r="C12" s="26"/>
      <c r="D12" s="34" t="s">
        <v>19</v>
      </c>
      <c r="E12" s="70">
        <v>4206</v>
      </c>
      <c r="F12" s="70">
        <v>4389.3999999999996</v>
      </c>
      <c r="G12" s="120">
        <f t="shared" si="0"/>
        <v>3001</v>
      </c>
      <c r="H12" s="113">
        <v>163</v>
      </c>
      <c r="I12" s="113">
        <v>178</v>
      </c>
      <c r="J12" s="11">
        <f>'[1]FEBRUARI 2020'!$T37-'[1]FEBRUARI 2020'!$D37</f>
        <v>265.89999999999964</v>
      </c>
      <c r="K12" s="11">
        <f>'[1]FEBRUARI 2020'!$AI37-'[1]FEBRUARI 2020'!$T37</f>
        <v>267</v>
      </c>
      <c r="L12" s="11">
        <f>'[1]MARET 2020'!$T37-'[1]MARET 2020'!$D37</f>
        <v>244.70000000000073</v>
      </c>
      <c r="M12" s="11">
        <f>'[1]MARET 2020'!$AI37-'[1]MARET 2020'!$T37</f>
        <v>239.5</v>
      </c>
      <c r="N12" s="11">
        <f>'[1]APRIL 2020'!$T37-'[1]APRIL 2020'!$D37</f>
        <v>400.10000000000036</v>
      </c>
      <c r="O12" s="11">
        <f>'[1]APRIL 2020'!$AI37-'[1]APRIL 2020'!$T37</f>
        <v>316.19999999999891</v>
      </c>
      <c r="P12" s="11">
        <f>'[1]MEI 2020'!$T37-'[1]MEI 2020'!$D37</f>
        <v>295.20000000000073</v>
      </c>
      <c r="Q12" s="11">
        <f>'[1]MEI 2020'!$AI37-'[1]MEI 2020'!$T37</f>
        <v>71.899999999999636</v>
      </c>
      <c r="R12" s="11">
        <f>'[1]JUNI 2020'!$T37-'[1]JUNI 2020'!$D37</f>
        <v>305.10000000000036</v>
      </c>
      <c r="S12" s="11">
        <f>'[1]JUNI 2020'!$AI37-'[1]JUNI 2020'!$T37</f>
        <v>254.39999999999964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2:31" ht="15.75" thickBot="1">
      <c r="B13" s="9" t="s">
        <v>28</v>
      </c>
      <c r="C13" s="26"/>
      <c r="D13" s="34" t="s">
        <v>19</v>
      </c>
      <c r="E13" s="70">
        <v>1017</v>
      </c>
      <c r="F13" s="70">
        <v>887</v>
      </c>
      <c r="G13" s="120">
        <f t="shared" si="0"/>
        <v>701</v>
      </c>
      <c r="H13" s="11">
        <f>'[1]JANUARI 2020'!$T38-'[1]JANUARI 2020'!$D38</f>
        <v>40</v>
      </c>
      <c r="I13" s="11">
        <f>'[1]JANUARI 2020'!$AI38-'[1]JANUARI 2020'!$T38</f>
        <v>41</v>
      </c>
      <c r="J13" s="11">
        <f>'[1]FEBRUARI 2020'!$T38-'[1]FEBRUARI 2020'!$D38</f>
        <v>48</v>
      </c>
      <c r="K13" s="11">
        <f>'[1]FEBRUARI 2020'!$AI38-'[1]FEBRUARI 2020'!$T38</f>
        <v>69</v>
      </c>
      <c r="L13" s="11">
        <f>'[1]MARET 2020'!$T38-'[1]MARET 2020'!$D38</f>
        <v>74</v>
      </c>
      <c r="M13" s="11">
        <f>'[1]MARET 2020'!$AI38-'[1]MARET 2020'!$T38</f>
        <v>40</v>
      </c>
      <c r="N13" s="11">
        <f>'[1]APRIL 2020'!$T38-'[1]APRIL 2020'!$D38</f>
        <v>88</v>
      </c>
      <c r="O13" s="11">
        <f>'[1]APRIL 2020'!$AI38-'[1]APRIL 2020'!$T38</f>
        <v>88</v>
      </c>
      <c r="P13" s="11">
        <f>'[1]MEI 2020'!$T38-'[1]MEI 2020'!$D38</f>
        <v>74</v>
      </c>
      <c r="Q13" s="11">
        <f>'[1]MEI 2020'!$AI38-'[1]MEI 2020'!$T38</f>
        <v>10</v>
      </c>
      <c r="R13" s="11">
        <f>'[1]JUNI 2020'!$T38-'[1]JUNI 2020'!$D38</f>
        <v>96</v>
      </c>
      <c r="S13" s="11">
        <f>'[1]JUNI 2020'!$AI38-'[1]JUNI 2020'!$T38</f>
        <v>33</v>
      </c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2:31" ht="15.75" thickBot="1">
      <c r="B14" s="9" t="s">
        <v>29</v>
      </c>
      <c r="C14" s="26"/>
      <c r="D14" s="34" t="s">
        <v>19</v>
      </c>
      <c r="E14" s="70">
        <v>5874</v>
      </c>
      <c r="F14" s="70">
        <v>6370</v>
      </c>
      <c r="G14" s="120">
        <f t="shared" si="0"/>
        <v>2970</v>
      </c>
      <c r="H14" s="11">
        <f>'HK - BDGT'!I12*30</f>
        <v>300</v>
      </c>
      <c r="I14" s="11">
        <f>'HK - BDGT'!J12*30</f>
        <v>330</v>
      </c>
      <c r="J14" s="11">
        <f>'HK - BDGT'!K12*26</f>
        <v>260</v>
      </c>
      <c r="K14" s="11">
        <f>'HK - BDGT'!L12*26</f>
        <v>260</v>
      </c>
      <c r="L14" s="11">
        <f>'HK - BDGT'!M12*26</f>
        <v>260</v>
      </c>
      <c r="M14" s="11">
        <f>'HK - BDGT'!N12*26</f>
        <v>260</v>
      </c>
      <c r="N14" s="11">
        <f>'HK - BDGT'!O12*26</f>
        <v>260</v>
      </c>
      <c r="O14" s="11">
        <f>'HK - BDGT'!P12*26</f>
        <v>234</v>
      </c>
      <c r="P14" s="11">
        <f>'HK - BDGT'!Q12*26</f>
        <v>234</v>
      </c>
      <c r="Q14" s="11">
        <f>'HK - BDGT'!R12*26</f>
        <v>78</v>
      </c>
      <c r="R14" s="11">
        <f>'HK - BDGT'!S12*26</f>
        <v>234</v>
      </c>
      <c r="S14" s="11">
        <f>'HK - BDGT'!T12*26</f>
        <v>260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2:31" ht="15.75" thickBot="1">
      <c r="B15" s="80" t="s">
        <v>30</v>
      </c>
      <c r="C15" s="81"/>
      <c r="D15" s="82" t="s">
        <v>19</v>
      </c>
      <c r="E15" s="70">
        <v>33478</v>
      </c>
      <c r="F15" s="70">
        <v>27436</v>
      </c>
      <c r="G15" s="120">
        <f t="shared" si="0"/>
        <v>15136</v>
      </c>
      <c r="H15" s="11">
        <f>'[1]JANUARI 2020'!$T40-'[1]JANUARI 2020'!$D40</f>
        <v>1622</v>
      </c>
      <c r="I15" s="11">
        <f>'[1]JANUARI 2020'!$AI40-'[1]JANUARI 2020'!$T40</f>
        <v>1106</v>
      </c>
      <c r="J15" s="11">
        <f>'[1]FEBRUARI 2020'!$T40-'[1]FEBRUARI 2020'!$D40</f>
        <v>1166</v>
      </c>
      <c r="K15" s="11">
        <f>'[1]FEBRUARI 2020'!$AI40-'[1]FEBRUARI 2020'!$T40</f>
        <v>1060</v>
      </c>
      <c r="L15" s="11">
        <f>'[1]MARET 2020'!$T40-'[1]MARET 2020'!$D40</f>
        <v>1597</v>
      </c>
      <c r="M15" s="11">
        <f>'[1]MARET 2020'!$AI40-'[1]MARET 2020'!$T40</f>
        <v>1571</v>
      </c>
      <c r="N15" s="11">
        <f>'[1]APRIL 2020'!$T40-'[1]APRIL 2020'!$D40</f>
        <v>1873</v>
      </c>
      <c r="O15" s="11">
        <f>'[1]APRIL 2020'!$AI40-'[1]APRIL 2020'!$T40</f>
        <v>1347</v>
      </c>
      <c r="P15" s="11">
        <f>'[1]MEI 2020'!$T40-'[1]MEI 2020'!$D40</f>
        <v>1079</v>
      </c>
      <c r="Q15" s="11">
        <f>'[1]MEI 2020'!$AI40-'[1]MEI 2020'!$T40</f>
        <v>327</v>
      </c>
      <c r="R15" s="11">
        <f>'[1]JUNI 2020'!$T40-'[1]JUNI 2020'!$D40</f>
        <v>1336</v>
      </c>
      <c r="S15" s="11">
        <f>'[1]JUNI 2020'!$AI40-'[1]JUNI 2020'!$T40</f>
        <v>1052</v>
      </c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2:31" ht="15.75" thickBot="1">
      <c r="B16" s="80" t="s">
        <v>31</v>
      </c>
      <c r="C16" s="81"/>
      <c r="D16" s="82" t="s">
        <v>19</v>
      </c>
      <c r="E16" s="70">
        <v>30595.7</v>
      </c>
      <c r="F16" s="70">
        <v>29638</v>
      </c>
      <c r="G16" s="120">
        <f t="shared" si="0"/>
        <v>15230</v>
      </c>
      <c r="H16" s="11">
        <f>'[1]JANUARI 2020'!$T41-'[1]JANUARI 2020'!$D41</f>
        <v>1581</v>
      </c>
      <c r="I16" s="11">
        <f>'[1]JANUARI 2020'!$AI41-'[1]JANUARI 2020'!$T41</f>
        <v>1063</v>
      </c>
      <c r="J16" s="11">
        <f>'[1]FEBRUARI 2020'!$T41-'[1]FEBRUARI 2020'!$D41</f>
        <v>1273</v>
      </c>
      <c r="K16" s="11">
        <f>'[1]FEBRUARI 2020'!$AI41-'[1]FEBRUARI 2020'!$T41</f>
        <v>1310</v>
      </c>
      <c r="L16" s="11">
        <f>'[1]MARET 2020'!$T41-'[1]MARET 2020'!$D41</f>
        <v>1780</v>
      </c>
      <c r="M16" s="11">
        <f>'[1]MARET 2020'!$AI41-'[1]MARET 2020'!$T41-8396</f>
        <v>990</v>
      </c>
      <c r="N16" s="11">
        <f>'[1]APRIL 2020'!$T41-'[1]APRIL 2020'!$D41</f>
        <v>1789</v>
      </c>
      <c r="O16" s="11">
        <f>'[1]APRIL 2020'!$AI41-'[1]APRIL 2020'!$T41</f>
        <v>1361</v>
      </c>
      <c r="P16" s="11">
        <f>'[1]MEI 2020'!$T41-'[1]MEI 2020'!$D41</f>
        <v>1150</v>
      </c>
      <c r="Q16" s="11">
        <f>'[1]MEI 2020'!$AI41-'[1]MEI 2020'!$T41</f>
        <v>358</v>
      </c>
      <c r="R16" s="11">
        <f>'[1]JUNI 2020'!$T41-'[1]JUNI 2020'!$D41</f>
        <v>1408</v>
      </c>
      <c r="S16" s="11">
        <f>'[1]JUNI 2020'!$AI41-'[1]JUNI 2020'!$T41</f>
        <v>1167</v>
      </c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2:31" ht="15.75" thickBot="1">
      <c r="B17" s="128" t="s">
        <v>32</v>
      </c>
      <c r="C17" s="129"/>
      <c r="D17" s="130" t="s">
        <v>19</v>
      </c>
      <c r="E17" s="70">
        <v>2251</v>
      </c>
      <c r="F17" s="70">
        <v>1175</v>
      </c>
      <c r="G17" s="120">
        <f t="shared" si="0"/>
        <v>960</v>
      </c>
      <c r="H17" s="113">
        <v>80</v>
      </c>
      <c r="I17" s="113">
        <v>80</v>
      </c>
      <c r="J17" s="113">
        <v>80</v>
      </c>
      <c r="K17" s="113">
        <v>80</v>
      </c>
      <c r="L17" s="113">
        <v>80</v>
      </c>
      <c r="M17" s="113">
        <v>80</v>
      </c>
      <c r="N17" s="113">
        <v>80</v>
      </c>
      <c r="O17" s="113">
        <v>80</v>
      </c>
      <c r="P17" s="113">
        <v>80</v>
      </c>
      <c r="Q17" s="113">
        <v>80</v>
      </c>
      <c r="R17" s="113">
        <v>80</v>
      </c>
      <c r="S17" s="113">
        <v>80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2:31" ht="15.75" thickBot="1">
      <c r="B18" s="9" t="s">
        <v>33</v>
      </c>
      <c r="C18" s="26"/>
      <c r="D18" s="34" t="s">
        <v>19</v>
      </c>
      <c r="E18" s="70">
        <v>2835</v>
      </c>
      <c r="F18" s="70">
        <v>3229</v>
      </c>
      <c r="G18" s="120">
        <f t="shared" si="0"/>
        <v>2332</v>
      </c>
      <c r="H18" s="11">
        <f>'[1]JANUARI 2020'!$T43-'[1]JANUARI 2020'!$D43</f>
        <v>160</v>
      </c>
      <c r="I18" s="11">
        <f>'[1]JANUARI 2020'!$AI43-'[1]JANUARI 2020'!$T43</f>
        <v>134</v>
      </c>
      <c r="J18" s="11">
        <f>'[1]FEBRUARI 2020'!$T43-'[1]FEBRUARI 2020'!$D43</f>
        <v>161</v>
      </c>
      <c r="K18" s="11">
        <f>'[1]FEBRUARI 2020'!$AI43-'[1]FEBRUARI 2020'!$T43</f>
        <v>251</v>
      </c>
      <c r="L18" s="11">
        <f>'[1]MARET 2020'!$T43-'[1]MARET 2020'!$D43</f>
        <v>265</v>
      </c>
      <c r="M18" s="11">
        <f>'[1]MARET 2020'!$AI43-'[1]MARET 2020'!$T43</f>
        <v>161</v>
      </c>
      <c r="N18" s="11">
        <f>'[1]APRIL 2020'!$T43-'[1]APRIL 2020'!$D43</f>
        <v>306</v>
      </c>
      <c r="O18" s="11">
        <f>'[1]APRIL 2020'!$AI43-'[1]APRIL 2020'!$T43</f>
        <v>236</v>
      </c>
      <c r="P18" s="11">
        <f>'[1]MEI 2020'!$T43-'[1]MEI 2020'!$D43</f>
        <v>244</v>
      </c>
      <c r="Q18" s="11">
        <f>'[1]MEI 2020'!$AI43-'[1]MEI 2020'!$T43</f>
        <v>9</v>
      </c>
      <c r="R18" s="11">
        <f>'[1]JUNI 2020'!$T43-'[1]JUNI 2020'!$D43</f>
        <v>290</v>
      </c>
      <c r="S18" s="11">
        <f>'[1]JUNI 2020'!$AI43-'[1]JUNI 2020'!$T43</f>
        <v>115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2:31" ht="15.75" thickBot="1">
      <c r="B19" s="128" t="s">
        <v>34</v>
      </c>
      <c r="C19" s="129"/>
      <c r="D19" s="130" t="s">
        <v>19</v>
      </c>
      <c r="E19" s="70">
        <v>1687</v>
      </c>
      <c r="F19" s="70">
        <v>3978</v>
      </c>
      <c r="G19" s="120">
        <f t="shared" si="0"/>
        <v>2040</v>
      </c>
      <c r="H19" s="11">
        <f>'[1]JANUARI 2020'!$T44-'[1]JANUARI 2020'!$D44+170</f>
        <v>170</v>
      </c>
      <c r="I19" s="11">
        <f>'[1]JANUARI 2020'!$AI44-'[1]JANUARI 2020'!$T44+170</f>
        <v>170</v>
      </c>
      <c r="J19" s="11">
        <f>'[1]JANUARI 2020'!$T44-'[1]JANUARI 2020'!$D44+170</f>
        <v>170</v>
      </c>
      <c r="K19" s="11">
        <f>'[1]JANUARI 2020'!$T44-'[1]JANUARI 2020'!$D44+170</f>
        <v>170</v>
      </c>
      <c r="L19" s="11">
        <f>'[1]JANUARI 2020'!$T44-'[1]JANUARI 2020'!$D44+170</f>
        <v>170</v>
      </c>
      <c r="M19" s="11">
        <f>'[1]JANUARI 2020'!$T44-'[1]JANUARI 2020'!$D44+170</f>
        <v>170</v>
      </c>
      <c r="N19" s="11">
        <f>'[1]JANUARI 2020'!$T44-'[1]JANUARI 2020'!$D44+170</f>
        <v>170</v>
      </c>
      <c r="O19" s="11">
        <f>'[1]JANUARI 2020'!$T44-'[1]JANUARI 2020'!$D44+170</f>
        <v>170</v>
      </c>
      <c r="P19" s="11">
        <f>'[1]JANUARI 2020'!$T44-'[1]JANUARI 2020'!$D44+170</f>
        <v>170</v>
      </c>
      <c r="Q19" s="11">
        <f>'[1]JANUARI 2020'!$T44-'[1]JANUARI 2020'!$D44+170</f>
        <v>170</v>
      </c>
      <c r="R19" s="11">
        <f>'[1]JANUARI 2020'!$T44-'[1]JANUARI 2020'!$D44+170</f>
        <v>170</v>
      </c>
      <c r="S19" s="11">
        <f>'[1]JANUARI 2020'!$T44-'[1]JANUARI 2020'!$D44+170</f>
        <v>170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2:31" ht="15.75" thickBot="1">
      <c r="B20" s="9" t="s">
        <v>35</v>
      </c>
      <c r="C20" s="26"/>
      <c r="D20" s="34" t="s">
        <v>19</v>
      </c>
      <c r="E20" s="70">
        <v>3902</v>
      </c>
      <c r="F20" s="70">
        <v>1315</v>
      </c>
      <c r="G20" s="120">
        <f t="shared" si="0"/>
        <v>1032</v>
      </c>
      <c r="H20" s="11">
        <f>'[1]JANUARI 2020'!$T45-'[1]JANUARI 2020'!$D45</f>
        <v>100</v>
      </c>
      <c r="I20" s="11">
        <f>'[1]JANUARI 2020'!$AI45-'[1]JANUARI 2020'!$T45</f>
        <v>52</v>
      </c>
      <c r="J20" s="11">
        <f>'[1]FEBRUARI 2020'!$T45-'[1]FEBRUARI 2020'!$D45</f>
        <v>106</v>
      </c>
      <c r="K20" s="11">
        <f>'[1]FEBRUARI 2020'!$AI45-'[1]FEBRUARI 2020'!$T45</f>
        <v>94</v>
      </c>
      <c r="L20" s="11">
        <f>'[1]MARET 2020'!$T45-'[1]MARET 2020'!$D45</f>
        <v>101</v>
      </c>
      <c r="M20" s="11">
        <f>'[1]MARET 2020'!$AI45-'[1]MARET 2020'!$T45</f>
        <v>76</v>
      </c>
      <c r="N20" s="11">
        <f>'[1]APRIL 2020'!$T45-'[1]APRIL 2020'!$D45</f>
        <v>100</v>
      </c>
      <c r="O20" s="11">
        <f>'[1]APRIL 2020'!$AI45-'[1]APRIL 2020'!$T45</f>
        <v>78</v>
      </c>
      <c r="P20" s="11">
        <f>'[1]MEI 2020'!$T45-'[1]MEI 2020'!$D45</f>
        <v>91</v>
      </c>
      <c r="Q20" s="11">
        <f>'[1]MEI 2020'!$AI45-'[1]MEI 2020'!$T45</f>
        <v>34</v>
      </c>
      <c r="R20" s="11">
        <f>'[1]JUNI 2020'!$T45-'[1]JUNI 2020'!$D45</f>
        <v>113</v>
      </c>
      <c r="S20" s="11">
        <f>'[1]JUNI 2020'!$AI45-'[1]JUNI 2020'!$T45</f>
        <v>87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2:31" ht="15.75" thickBot="1">
      <c r="B21" s="9" t="s">
        <v>36</v>
      </c>
      <c r="C21" s="26"/>
      <c r="D21" s="34" t="s">
        <v>19</v>
      </c>
      <c r="E21" s="70">
        <v>570</v>
      </c>
      <c r="F21" s="70">
        <v>236</v>
      </c>
      <c r="G21" s="120">
        <f t="shared" si="0"/>
        <v>108</v>
      </c>
      <c r="H21" s="11">
        <f>'[1]JANUARI 2020'!$T46-'[1]JANUARI 2020'!$D46</f>
        <v>11</v>
      </c>
      <c r="I21" s="11">
        <f>'[1]JANUARI 2020'!$AI46-'[1]JANUARI 2020'!$T46</f>
        <v>10</v>
      </c>
      <c r="J21" s="11">
        <f>'[1]FEBRUARI 2020'!$T46-'[1]FEBRUARI 2020'!$D46</f>
        <v>11</v>
      </c>
      <c r="K21" s="11">
        <f>'[1]FEBRUARI 2020'!$AI46-'[1]FEBRUARI 2020'!$T46</f>
        <v>9</v>
      </c>
      <c r="L21" s="11">
        <f>'[1]MARET 2020'!$T46-'[1]MARET 2020'!$D46</f>
        <v>12</v>
      </c>
      <c r="M21" s="11">
        <f>'[1]MARET 2020'!$AI46-'[1]MARET 2020'!$T46</f>
        <v>8</v>
      </c>
      <c r="N21" s="11">
        <f>'[1]APRIL 2020'!$T46-'[1]APRIL 2020'!$D46</f>
        <v>14</v>
      </c>
      <c r="O21" s="11">
        <f>'[1]APRIL 2020'!$AI46-'[1]APRIL 2020'!$T46</f>
        <v>11</v>
      </c>
      <c r="P21" s="11">
        <f>'[1]MEI 2020'!$T46-'[1]MEI 2020'!$D46</f>
        <v>4</v>
      </c>
      <c r="Q21" s="11">
        <f>'[1]MEI 2020'!$AI46-'[1]MEI 2020'!$T46</f>
        <v>3</v>
      </c>
      <c r="R21" s="11">
        <f>'[1]JUNI 2020'!$T46-'[1]JUNI 2020'!$D46</f>
        <v>8</v>
      </c>
      <c r="S21" s="11">
        <f>'[1]JUNI 2020'!$AI46-'[1]JUNI 2020'!$T46</f>
        <v>7</v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2:31" ht="15.75" thickBot="1">
      <c r="B22" s="9" t="s">
        <v>37</v>
      </c>
      <c r="C22" s="26"/>
      <c r="D22" s="34" t="s">
        <v>19</v>
      </c>
      <c r="E22" s="70">
        <v>6458</v>
      </c>
      <c r="F22" s="70">
        <v>2086</v>
      </c>
      <c r="G22" s="120">
        <f t="shared" si="0"/>
        <v>975</v>
      </c>
      <c r="H22" s="11">
        <v>70</v>
      </c>
      <c r="I22" s="11">
        <f>'[1]JANUARI 2020'!$AI47-'[1]JANUARI 2020'!$T47</f>
        <v>51</v>
      </c>
      <c r="J22" s="11">
        <f>'[1]FEBRUARI 2020'!$T47-'[1]FEBRUARI 2020'!$D47</f>
        <v>53</v>
      </c>
      <c r="K22" s="11">
        <f>'[1]FEBRUARI 2020'!$AI47-'[1]FEBRUARI 2020'!$T47</f>
        <v>53</v>
      </c>
      <c r="L22" s="11">
        <f>'[1]MARET 2020'!$T47-'[1]MARET 2020'!$D47</f>
        <v>68</v>
      </c>
      <c r="M22" s="11">
        <f>'[1]MARET 2020'!$AI47-'[1]MARET 2020'!$T47</f>
        <v>79</v>
      </c>
      <c r="N22" s="11">
        <f>'[1]APRIL 2020'!$T47-'[1]APRIL 2020'!$D47</f>
        <v>129</v>
      </c>
      <c r="O22" s="11">
        <f>'[1]APRIL 2020'!$AI47-'[1]APRIL 2020'!$T47</f>
        <v>113</v>
      </c>
      <c r="P22" s="11">
        <f>'[1]MEI 2020'!$T47-'[1]MEI 2020'!$D47</f>
        <v>80</v>
      </c>
      <c r="Q22" s="11">
        <f>'[1]MEI 2020'!$AI47-'[1]MEI 2020'!$T47</f>
        <v>23</v>
      </c>
      <c r="R22" s="11">
        <f>'[1]JUNI 2020'!$T47-'[1]JUNI 2020'!$D47</f>
        <v>157</v>
      </c>
      <c r="S22" s="11">
        <f>'[1]JUNI 2020'!$AI47-'[1]JUNI 2020'!$T47</f>
        <v>99</v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2:31" ht="15.75" thickBot="1">
      <c r="B23" s="9" t="s">
        <v>38</v>
      </c>
      <c r="C23" s="26"/>
      <c r="D23" s="34" t="s">
        <v>19</v>
      </c>
      <c r="E23" s="70">
        <v>1114</v>
      </c>
      <c r="F23" s="70">
        <v>1434</v>
      </c>
      <c r="G23" s="120">
        <f t="shared" si="0"/>
        <v>796</v>
      </c>
      <c r="H23" s="11">
        <f>'[1]JANUARI 2020'!$T48-'[1]JANUARI 2020'!$D48</f>
        <v>37</v>
      </c>
      <c r="I23" s="11">
        <f>'[1]JANUARI 2020'!$AI48-'[1]JANUARI 2020'!$T48</f>
        <v>24</v>
      </c>
      <c r="J23" s="11">
        <f>'[1]FEBRUARI 2020'!$T48-'[1]FEBRUARI 2020'!$D48</f>
        <v>42</v>
      </c>
      <c r="K23" s="11">
        <f>'[1]FEBRUARI 2020'!$AI48-'[1]FEBRUARI 2020'!$T48</f>
        <v>350</v>
      </c>
      <c r="L23" s="11">
        <f>'[1]MARET 2020'!$T48-'[1]MARET 2020'!$D48</f>
        <v>162</v>
      </c>
      <c r="M23" s="11">
        <f>'[1]MARET 2020'!$AI48-'[1]MARET 2020'!$T48</f>
        <v>26</v>
      </c>
      <c r="N23" s="11">
        <f>'[1]APRIL 2020'!$T48-'[1]APRIL 2020'!$D48</f>
        <v>43</v>
      </c>
      <c r="O23" s="11">
        <f>'[1]APRIL 2020'!$AI48-'[1]APRIL 2020'!$T48</f>
        <v>39</v>
      </c>
      <c r="P23" s="11">
        <f>'[1]MEI 2020'!$T48-'[1]MEI 2020'!$D48</f>
        <v>23</v>
      </c>
      <c r="Q23" s="11">
        <f>'[1]MEI 2020'!$AI48-'[1]MEI 2020'!$T48</f>
        <v>5</v>
      </c>
      <c r="R23" s="11">
        <f>'[1]JUNI 2020'!$T48-'[1]JUNI 2020'!$D48</f>
        <v>27</v>
      </c>
      <c r="S23" s="11">
        <f>'[1]JUNI 2020'!$AI48-'[1]JUNI 2020'!$T48</f>
        <v>18</v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2:31" ht="15.75" thickBot="1">
      <c r="B24" s="9" t="s">
        <v>39</v>
      </c>
      <c r="C24" s="26"/>
      <c r="D24" s="34" t="s">
        <v>19</v>
      </c>
      <c r="E24" s="70">
        <v>7019</v>
      </c>
      <c r="F24" s="70">
        <v>913</v>
      </c>
      <c r="G24" s="120">
        <f t="shared" si="0"/>
        <v>274</v>
      </c>
      <c r="H24" s="11">
        <f>'[1]JANUARI 2020'!$T49-'[1]JANUARI 2020'!$D49</f>
        <v>28</v>
      </c>
      <c r="I24" s="11">
        <f>'[1]JANUARI 2020'!$AI49-'[1]JANUARI 2020'!$T49</f>
        <v>29</v>
      </c>
      <c r="J24" s="11">
        <f>'[1]FEBRUARI 2020'!$T49-'[1]FEBRUARI 2020'!$D49</f>
        <v>22</v>
      </c>
      <c r="K24" s="11">
        <f>'[1]FEBRUARI 2020'!$AI49-'[1]FEBRUARI 2020'!$T49</f>
        <v>23</v>
      </c>
      <c r="L24" s="11">
        <f>'[1]MARET 2020'!$T49-'[1]MARET 2020'!$D49</f>
        <v>26</v>
      </c>
      <c r="M24" s="11">
        <f>'[1]MARET 2020'!$AI49-'[1]MARET 2020'!$T49</f>
        <v>21</v>
      </c>
      <c r="N24" s="11">
        <f>'[1]APRIL 2020'!$T49-'[1]APRIL 2020'!$D49</f>
        <v>24</v>
      </c>
      <c r="O24" s="11">
        <f>'[1]APRIL 2020'!$AI49-'[1]APRIL 2020'!$T49</f>
        <v>18</v>
      </c>
      <c r="P24" s="11">
        <f>'[1]MEI 2020'!$T49-'[1]MEI 2020'!$D49</f>
        <v>18</v>
      </c>
      <c r="Q24" s="11">
        <f>'[1]MEI 2020'!$AI49-'[1]MEI 2020'!$T49</f>
        <v>9</v>
      </c>
      <c r="R24" s="11">
        <f>'[1]JUNI 2020'!$T49-'[1]JUNI 2020'!$D49</f>
        <v>31</v>
      </c>
      <c r="S24" s="11">
        <f>'[1]JUNI 2020'!$AI49-'[1]JUNI 2020'!$T49</f>
        <v>25</v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2:31">
      <c r="B25" s="9" t="s">
        <v>40</v>
      </c>
      <c r="C25" s="26"/>
      <c r="D25" s="34" t="s">
        <v>19</v>
      </c>
      <c r="E25" s="70">
        <v>6186</v>
      </c>
      <c r="F25" s="70">
        <v>6001</v>
      </c>
      <c r="G25" s="120">
        <f t="shared" si="0"/>
        <v>2253</v>
      </c>
      <c r="H25" s="11">
        <f>'[1]JANUARI 2020'!$T50-'[1]JANUARI 2020'!$D50</f>
        <v>191</v>
      </c>
      <c r="I25" s="11">
        <f>'[1]JANUARI 2020'!$AI50-'[1]JANUARI 2020'!$T50</f>
        <v>176</v>
      </c>
      <c r="J25" s="11">
        <f>'[1]FEBRUARI 2020'!$T50-'[1]FEBRUARI 2020'!$D50</f>
        <v>177</v>
      </c>
      <c r="K25" s="11">
        <f>'[1]FEBRUARI 2020'!$AI50-'[1]FEBRUARI 2020'!$T50</f>
        <v>144</v>
      </c>
      <c r="L25" s="11">
        <f>'[1]MARET 2020'!$T50-'[1]MARET 2020'!$D50</f>
        <v>191</v>
      </c>
      <c r="M25" s="11">
        <f>'[1]MARET 2020'!$AI50-'[1]MARET 2020'!$T50</f>
        <v>160</v>
      </c>
      <c r="N25" s="11">
        <f>'[1]APRIL 2020'!$T50-'[1]APRIL 2020'!$D50</f>
        <v>195</v>
      </c>
      <c r="O25" s="11">
        <f>'[1]APRIL 2020'!$AI50-'[1]APRIL 2020'!$T50</f>
        <v>146</v>
      </c>
      <c r="P25" s="11">
        <f>'[1]MEI 2020'!$T50-'[1]MEI 2020'!$D50</f>
        <v>137</v>
      </c>
      <c r="Q25" s="11">
        <f>'[1]MEI 2020'!$AI50-'[1]MEI 2020'!$T50</f>
        <v>104</v>
      </c>
      <c r="R25" s="11">
        <f>'[1]JUNI 2020'!$T50-'[1]JUNI 2020'!$D50</f>
        <v>363</v>
      </c>
      <c r="S25" s="11">
        <f>'[1]JUNI 2020'!$AI50-'[1]JUNI 2020'!$T50</f>
        <v>269</v>
      </c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2:31">
      <c r="H26" s="126">
        <f>3900/24</f>
        <v>162.5</v>
      </c>
      <c r="I26" s="126"/>
      <c r="J26" s="126"/>
      <c r="K26" s="126"/>
      <c r="L26" s="126"/>
      <c r="M26" s="126"/>
      <c r="N26" s="126"/>
      <c r="O26" s="126"/>
      <c r="P26" s="126"/>
      <c r="Q26" s="126"/>
      <c r="R26" s="126">
        <f t="shared" ref="R26" si="6">SUM(R8:S8)</f>
        <v>3580</v>
      </c>
      <c r="S26" s="126"/>
      <c r="T26" s="126">
        <f t="shared" ref="T26" si="7">SUM(T8:U8)</f>
        <v>0</v>
      </c>
      <c r="U26" s="126"/>
      <c r="V26" s="126">
        <f t="shared" ref="V26" si="8">SUM(V8:W8)</f>
        <v>0</v>
      </c>
      <c r="W26" s="126"/>
      <c r="X26" s="126">
        <f t="shared" ref="X26" si="9">SUM(X8:Y8)</f>
        <v>0</v>
      </c>
      <c r="Y26" s="126"/>
      <c r="Z26" s="126">
        <f t="shared" ref="Z26" si="10">SUM(Z8:AA8)</f>
        <v>0</v>
      </c>
      <c r="AA26" s="126"/>
      <c r="AB26" s="126">
        <f t="shared" ref="AB26" si="11">SUM(AB8:AC8)</f>
        <v>0</v>
      </c>
      <c r="AC26" s="126"/>
      <c r="AD26" s="126">
        <f t="shared" ref="AD26" si="12">SUM(AD8:AE8)</f>
        <v>0</v>
      </c>
      <c r="AE26" s="126"/>
    </row>
    <row r="27" spans="2:31" ht="15.75" thickBot="1">
      <c r="B27" t="s">
        <v>41</v>
      </c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>
        <f t="shared" ref="R27" si="13">SUM(R25:S25)</f>
        <v>632</v>
      </c>
      <c r="S27" s="127"/>
      <c r="T27" s="127">
        <f t="shared" ref="T27" si="14">SUM(T25:U25)</f>
        <v>0</v>
      </c>
      <c r="U27" s="127"/>
      <c r="V27" s="127">
        <f t="shared" ref="V27" si="15">SUM(V25:W25)</f>
        <v>0</v>
      </c>
      <c r="W27" s="127"/>
      <c r="X27" s="127">
        <f t="shared" ref="X27" si="16">SUM(X25:Y25)</f>
        <v>0</v>
      </c>
      <c r="Y27" s="127"/>
      <c r="Z27" s="127">
        <f t="shared" ref="Z27" si="17">SUM(Z25:AA25)</f>
        <v>0</v>
      </c>
      <c r="AA27" s="127"/>
      <c r="AB27" s="127">
        <f t="shared" ref="AB27" si="18">SUM(AB25:AC25)</f>
        <v>0</v>
      </c>
      <c r="AC27" s="127"/>
      <c r="AD27" s="127">
        <f t="shared" ref="AD27" si="19">SUM(AD25:AE25)</f>
        <v>0</v>
      </c>
      <c r="AE27" s="127"/>
    </row>
    <row r="28" spans="2:31" ht="15.75" thickBot="1">
      <c r="B28" s="47" t="s">
        <v>42</v>
      </c>
      <c r="C28" s="48"/>
      <c r="D28" s="34" t="s">
        <v>19</v>
      </c>
      <c r="E28" s="49"/>
      <c r="F28" s="90">
        <f t="shared" ref="F28:F56" si="20">SUM(H28:AE28)</f>
        <v>20805</v>
      </c>
      <c r="G28" s="122">
        <f>SUM(H28:AE28)</f>
        <v>20805</v>
      </c>
      <c r="H28" s="50">
        <f>IFERROR(SUM(H4:H7),0)</f>
        <v>3499</v>
      </c>
      <c r="I28" s="50">
        <f t="shared" ref="I28:AE28" si="21">IFERROR(SUM(I4:I7),0)</f>
        <v>1945</v>
      </c>
      <c r="J28" s="50">
        <f t="shared" si="21"/>
        <v>1820</v>
      </c>
      <c r="K28" s="50">
        <f t="shared" si="21"/>
        <v>993</v>
      </c>
      <c r="L28" s="50">
        <f t="shared" si="21"/>
        <v>1841</v>
      </c>
      <c r="M28" s="50">
        <f t="shared" si="21"/>
        <v>1258</v>
      </c>
      <c r="N28" s="50">
        <f t="shared" si="21"/>
        <v>2032</v>
      </c>
      <c r="O28" s="50">
        <f t="shared" si="21"/>
        <v>1485</v>
      </c>
      <c r="P28" s="50">
        <f t="shared" si="21"/>
        <v>2161</v>
      </c>
      <c r="Q28" s="50">
        <f t="shared" si="21"/>
        <v>560</v>
      </c>
      <c r="R28" s="50">
        <f t="shared" si="21"/>
        <v>1584</v>
      </c>
      <c r="S28" s="50">
        <f t="shared" si="21"/>
        <v>1627</v>
      </c>
      <c r="T28" s="50">
        <f t="shared" si="21"/>
        <v>0</v>
      </c>
      <c r="U28" s="50">
        <f t="shared" si="21"/>
        <v>0</v>
      </c>
      <c r="V28" s="50">
        <f t="shared" si="21"/>
        <v>0</v>
      </c>
      <c r="W28" s="50">
        <f t="shared" si="21"/>
        <v>0</v>
      </c>
      <c r="X28" s="50">
        <f t="shared" si="21"/>
        <v>0</v>
      </c>
      <c r="Y28" s="50">
        <f t="shared" si="21"/>
        <v>0</v>
      </c>
      <c r="Z28" s="50">
        <f t="shared" si="21"/>
        <v>0</v>
      </c>
      <c r="AA28" s="50">
        <f t="shared" si="21"/>
        <v>0</v>
      </c>
      <c r="AB28" s="50">
        <f t="shared" si="21"/>
        <v>0</v>
      </c>
      <c r="AC28" s="50">
        <f t="shared" si="21"/>
        <v>0</v>
      </c>
      <c r="AD28" s="50">
        <f t="shared" si="21"/>
        <v>0</v>
      </c>
      <c r="AE28" s="50">
        <f t="shared" si="21"/>
        <v>0</v>
      </c>
    </row>
    <row r="29" spans="2:31" ht="15.75" thickBot="1">
      <c r="B29" s="83" t="s">
        <v>43</v>
      </c>
      <c r="C29" s="84"/>
      <c r="D29" s="34"/>
      <c r="E29" s="85"/>
      <c r="F29" s="91">
        <f t="shared" si="20"/>
        <v>39996</v>
      </c>
      <c r="G29" s="122">
        <f t="shared" ref="G29:G37" si="22">SUM(H29:AE29)</f>
        <v>39996</v>
      </c>
      <c r="H29" s="86">
        <f>IFERROR(H30+H39,0)</f>
        <v>4531</v>
      </c>
      <c r="I29" s="86">
        <f t="shared" ref="I29:AE29" si="23">IFERROR(I30+I39,0)</f>
        <v>3060</v>
      </c>
      <c r="J29" s="86">
        <f t="shared" si="23"/>
        <v>3470</v>
      </c>
      <c r="K29" s="86">
        <f t="shared" si="23"/>
        <v>2856</v>
      </c>
      <c r="L29" s="86">
        <f t="shared" si="23"/>
        <v>4174</v>
      </c>
      <c r="M29" s="86">
        <f t="shared" si="23"/>
        <v>3055</v>
      </c>
      <c r="N29" s="86">
        <f t="shared" si="23"/>
        <v>4734</v>
      </c>
      <c r="O29" s="86">
        <f t="shared" si="23"/>
        <v>3359</v>
      </c>
      <c r="P29" s="86">
        <f t="shared" si="23"/>
        <v>2858</v>
      </c>
      <c r="Q29" s="86">
        <f t="shared" si="23"/>
        <v>1108</v>
      </c>
      <c r="R29" s="86">
        <f t="shared" si="23"/>
        <v>3747</v>
      </c>
      <c r="S29" s="86">
        <f t="shared" si="23"/>
        <v>3044</v>
      </c>
      <c r="T29" s="86">
        <f t="shared" si="23"/>
        <v>0</v>
      </c>
      <c r="U29" s="86">
        <f t="shared" si="23"/>
        <v>0</v>
      </c>
      <c r="V29" s="86">
        <f t="shared" si="23"/>
        <v>0</v>
      </c>
      <c r="W29" s="86">
        <f t="shared" si="23"/>
        <v>0</v>
      </c>
      <c r="X29" s="86">
        <f t="shared" si="23"/>
        <v>0</v>
      </c>
      <c r="Y29" s="86">
        <f t="shared" si="23"/>
        <v>0</v>
      </c>
      <c r="Z29" s="86">
        <f t="shared" si="23"/>
        <v>0</v>
      </c>
      <c r="AA29" s="86">
        <f t="shared" si="23"/>
        <v>0</v>
      </c>
      <c r="AB29" s="86">
        <f t="shared" si="23"/>
        <v>0</v>
      </c>
      <c r="AC29" s="86">
        <f t="shared" si="23"/>
        <v>0</v>
      </c>
      <c r="AD29" s="86">
        <f t="shared" si="23"/>
        <v>0</v>
      </c>
      <c r="AE29" s="86">
        <f t="shared" si="23"/>
        <v>0</v>
      </c>
    </row>
    <row r="30" spans="2:31" ht="15.75" thickBot="1">
      <c r="B30" s="18" t="s">
        <v>44</v>
      </c>
      <c r="C30" s="8"/>
      <c r="D30" s="34" t="s">
        <v>19</v>
      </c>
      <c r="E30" s="35"/>
      <c r="F30" s="92">
        <f t="shared" si="20"/>
        <v>29557.245146723955</v>
      </c>
      <c r="G30" s="122">
        <f t="shared" si="22"/>
        <v>29557.245146723955</v>
      </c>
      <c r="H30" s="121">
        <f>IFERROR(H31+H32,0)</f>
        <v>3673.0457196465936</v>
      </c>
      <c r="I30" s="121">
        <f t="shared" ref="I30:AE30" si="24">IFERROR(I31+I32,0)</f>
        <v>2239.18619138541</v>
      </c>
      <c r="J30" s="121">
        <f t="shared" si="24"/>
        <v>2605.2795622234898</v>
      </c>
      <c r="K30" s="121">
        <f t="shared" si="24"/>
        <v>1895.4257597740932</v>
      </c>
      <c r="L30" s="121">
        <f t="shared" si="24"/>
        <v>3187.8746644415505</v>
      </c>
      <c r="M30" s="121">
        <f t="shared" si="24"/>
        <v>2246.7574213690482</v>
      </c>
      <c r="N30" s="121">
        <f t="shared" si="24"/>
        <v>3647.9845631757667</v>
      </c>
      <c r="O30" s="121">
        <f t="shared" si="24"/>
        <v>2413.6706961160185</v>
      </c>
      <c r="P30" s="121">
        <f t="shared" si="24"/>
        <v>1910.018903941366</v>
      </c>
      <c r="Q30" s="121">
        <f t="shared" si="24"/>
        <v>767.31618055330102</v>
      </c>
      <c r="R30" s="121">
        <f t="shared" si="24"/>
        <v>2708.0414587957016</v>
      </c>
      <c r="S30" s="121">
        <f t="shared" si="24"/>
        <v>2262.6440253016144</v>
      </c>
      <c r="T30" s="121">
        <f t="shared" si="24"/>
        <v>0</v>
      </c>
      <c r="U30" s="121">
        <f t="shared" si="24"/>
        <v>0</v>
      </c>
      <c r="V30" s="121">
        <f t="shared" si="24"/>
        <v>0</v>
      </c>
      <c r="W30" s="121">
        <f t="shared" si="24"/>
        <v>0</v>
      </c>
      <c r="X30" s="121">
        <f t="shared" si="24"/>
        <v>0</v>
      </c>
      <c r="Y30" s="121">
        <f t="shared" si="24"/>
        <v>0</v>
      </c>
      <c r="Z30" s="121">
        <f t="shared" si="24"/>
        <v>0</v>
      </c>
      <c r="AA30" s="121">
        <f t="shared" si="24"/>
        <v>0</v>
      </c>
      <c r="AB30" s="121">
        <f t="shared" si="24"/>
        <v>0</v>
      </c>
      <c r="AC30" s="121">
        <f t="shared" si="24"/>
        <v>0</v>
      </c>
      <c r="AD30" s="121">
        <f t="shared" si="24"/>
        <v>0</v>
      </c>
      <c r="AE30" s="121">
        <f t="shared" si="24"/>
        <v>0</v>
      </c>
    </row>
    <row r="31" spans="2:31" ht="15.75" thickBot="1">
      <c r="B31" s="114" t="s">
        <v>45</v>
      </c>
      <c r="C31" s="8"/>
      <c r="D31" s="34" t="s">
        <v>19</v>
      </c>
      <c r="E31" s="35"/>
      <c r="F31" s="92"/>
      <c r="G31" s="122">
        <f t="shared" si="22"/>
        <v>5959</v>
      </c>
      <c r="H31" s="29">
        <f>IFERROR(H11-H13-H14,0)</f>
        <v>988</v>
      </c>
      <c r="I31" s="29">
        <f t="shared" ref="I31:AE31" si="25">IFERROR(I11-I13-I14,0)</f>
        <v>520</v>
      </c>
      <c r="J31" s="29">
        <f t="shared" si="25"/>
        <v>723</v>
      </c>
      <c r="K31" s="29">
        <f t="shared" si="25"/>
        <v>157</v>
      </c>
      <c r="L31" s="29">
        <f t="shared" si="25"/>
        <v>463</v>
      </c>
      <c r="M31" s="29">
        <f t="shared" si="25"/>
        <v>194</v>
      </c>
      <c r="N31" s="29">
        <f t="shared" si="25"/>
        <v>724</v>
      </c>
      <c r="O31" s="29">
        <f t="shared" si="25"/>
        <v>329</v>
      </c>
      <c r="P31" s="29">
        <f t="shared" si="25"/>
        <v>321</v>
      </c>
      <c r="Q31" s="29">
        <f t="shared" si="25"/>
        <v>335</v>
      </c>
      <c r="R31" s="29">
        <f t="shared" si="25"/>
        <v>673</v>
      </c>
      <c r="S31" s="29">
        <f t="shared" si="25"/>
        <v>532</v>
      </c>
      <c r="T31" s="29">
        <f t="shared" si="25"/>
        <v>0</v>
      </c>
      <c r="U31" s="29">
        <f t="shared" si="25"/>
        <v>0</v>
      </c>
      <c r="V31" s="29">
        <f t="shared" si="25"/>
        <v>0</v>
      </c>
      <c r="W31" s="29">
        <f t="shared" si="25"/>
        <v>0</v>
      </c>
      <c r="X31" s="29">
        <f t="shared" si="25"/>
        <v>0</v>
      </c>
      <c r="Y31" s="29">
        <f t="shared" si="25"/>
        <v>0</v>
      </c>
      <c r="Z31" s="29">
        <f t="shared" si="25"/>
        <v>0</v>
      </c>
      <c r="AA31" s="29">
        <f t="shared" si="25"/>
        <v>0</v>
      </c>
      <c r="AB31" s="29">
        <f t="shared" si="25"/>
        <v>0</v>
      </c>
      <c r="AC31" s="29">
        <f t="shared" si="25"/>
        <v>0</v>
      </c>
      <c r="AD31" s="29">
        <f t="shared" si="25"/>
        <v>0</v>
      </c>
      <c r="AE31" s="29">
        <f t="shared" si="25"/>
        <v>0</v>
      </c>
    </row>
    <row r="32" spans="2:31" ht="15.75" thickBot="1">
      <c r="B32" s="114" t="s">
        <v>46</v>
      </c>
      <c r="C32" s="8"/>
      <c r="D32" s="34" t="s">
        <v>19</v>
      </c>
      <c r="E32" s="35"/>
      <c r="F32" s="92"/>
      <c r="G32" s="122">
        <f t="shared" si="22"/>
        <v>23598.245146723959</v>
      </c>
      <c r="H32" s="121">
        <f>IFERROR(SUM(H33:H37),0)</f>
        <v>2685.0457196465936</v>
      </c>
      <c r="I32" s="121">
        <f t="shared" ref="I32:AE32" si="26">IFERROR(SUM(I33:I37),0)</f>
        <v>1719.18619138541</v>
      </c>
      <c r="J32" s="121">
        <f t="shared" si="26"/>
        <v>1882.2795622234898</v>
      </c>
      <c r="K32" s="121">
        <f t="shared" si="26"/>
        <v>1738.4257597740932</v>
      </c>
      <c r="L32" s="121">
        <f t="shared" si="26"/>
        <v>2724.8746644415505</v>
      </c>
      <c r="M32" s="121">
        <f t="shared" si="26"/>
        <v>2052.7574213690482</v>
      </c>
      <c r="N32" s="121">
        <f t="shared" si="26"/>
        <v>2923.9845631757667</v>
      </c>
      <c r="O32" s="121">
        <f t="shared" si="26"/>
        <v>2084.6706961160185</v>
      </c>
      <c r="P32" s="121">
        <f t="shared" si="26"/>
        <v>1589.018903941366</v>
      </c>
      <c r="Q32" s="121">
        <f t="shared" si="26"/>
        <v>432.31618055330102</v>
      </c>
      <c r="R32" s="121">
        <f t="shared" si="26"/>
        <v>2035.0414587957016</v>
      </c>
      <c r="S32" s="121">
        <f t="shared" si="26"/>
        <v>1730.6440253016146</v>
      </c>
      <c r="T32" s="121">
        <f t="shared" si="26"/>
        <v>0</v>
      </c>
      <c r="U32" s="121">
        <f t="shared" si="26"/>
        <v>0</v>
      </c>
      <c r="V32" s="121">
        <f t="shared" si="26"/>
        <v>0</v>
      </c>
      <c r="W32" s="121">
        <f t="shared" si="26"/>
        <v>0</v>
      </c>
      <c r="X32" s="121">
        <f t="shared" si="26"/>
        <v>0</v>
      </c>
      <c r="Y32" s="121">
        <f t="shared" si="26"/>
        <v>0</v>
      </c>
      <c r="Z32" s="121">
        <f t="shared" si="26"/>
        <v>0</v>
      </c>
      <c r="AA32" s="121">
        <f t="shared" si="26"/>
        <v>0</v>
      </c>
      <c r="AB32" s="121">
        <f t="shared" si="26"/>
        <v>0</v>
      </c>
      <c r="AC32" s="121">
        <f t="shared" si="26"/>
        <v>0</v>
      </c>
      <c r="AD32" s="121">
        <f t="shared" si="26"/>
        <v>0</v>
      </c>
      <c r="AE32" s="121">
        <f t="shared" si="26"/>
        <v>0</v>
      </c>
    </row>
    <row r="33" spans="2:31" ht="15.75" thickBot="1">
      <c r="B33" s="115" t="s">
        <v>47</v>
      </c>
      <c r="C33" s="8"/>
      <c r="D33" s="34" t="s">
        <v>19</v>
      </c>
      <c r="E33" s="35"/>
      <c r="F33" s="92"/>
      <c r="G33" s="122">
        <f t="shared" si="22"/>
        <v>18848</v>
      </c>
      <c r="H33" s="121">
        <f>IFERROR((H15+H16)-H34-H35-H36-H37-H43,0)</f>
        <v>2384</v>
      </c>
      <c r="I33" s="121">
        <f t="shared" ref="I33:AE33" si="27">IFERROR((I15+I16)-I34-I35-I36-I37-I43,0)</f>
        <v>1441</v>
      </c>
      <c r="J33" s="121">
        <f t="shared" si="27"/>
        <v>1528.1000000000004</v>
      </c>
      <c r="K33" s="121">
        <f t="shared" si="27"/>
        <v>1073</v>
      </c>
      <c r="L33" s="121">
        <f t="shared" si="27"/>
        <v>2248.2999999999993</v>
      </c>
      <c r="M33" s="121">
        <f t="shared" si="27"/>
        <v>1700.5000000000002</v>
      </c>
      <c r="N33" s="121">
        <f t="shared" si="27"/>
        <v>2395.8999999999996</v>
      </c>
      <c r="O33" s="121">
        <f t="shared" si="27"/>
        <v>1646.8000000000011</v>
      </c>
      <c r="P33" s="121">
        <f t="shared" si="27"/>
        <v>1223.7999999999993</v>
      </c>
      <c r="Q33" s="121">
        <f t="shared" si="27"/>
        <v>280.10000000000036</v>
      </c>
      <c r="R33" s="121">
        <f t="shared" si="27"/>
        <v>1562.8999999999996</v>
      </c>
      <c r="S33" s="121">
        <f t="shared" si="27"/>
        <v>1363.6000000000004</v>
      </c>
      <c r="T33" s="121">
        <f t="shared" si="27"/>
        <v>0</v>
      </c>
      <c r="U33" s="121">
        <f t="shared" si="27"/>
        <v>0</v>
      </c>
      <c r="V33" s="121">
        <f t="shared" si="27"/>
        <v>0</v>
      </c>
      <c r="W33" s="121">
        <f t="shared" si="27"/>
        <v>0</v>
      </c>
      <c r="X33" s="121">
        <f t="shared" si="27"/>
        <v>0</v>
      </c>
      <c r="Y33" s="121">
        <f t="shared" si="27"/>
        <v>0</v>
      </c>
      <c r="Z33" s="121">
        <f t="shared" si="27"/>
        <v>0</v>
      </c>
      <c r="AA33" s="121">
        <f t="shared" si="27"/>
        <v>0</v>
      </c>
      <c r="AB33" s="121">
        <f t="shared" si="27"/>
        <v>0</v>
      </c>
      <c r="AC33" s="121">
        <f t="shared" si="27"/>
        <v>0</v>
      </c>
      <c r="AD33" s="121">
        <f t="shared" si="27"/>
        <v>0</v>
      </c>
      <c r="AE33" s="121">
        <f t="shared" si="27"/>
        <v>0</v>
      </c>
    </row>
    <row r="34" spans="2:31" ht="15.75" thickBot="1">
      <c r="B34" s="115" t="s">
        <v>48</v>
      </c>
      <c r="C34" s="8"/>
      <c r="D34" s="34" t="s">
        <v>19</v>
      </c>
      <c r="E34" s="35"/>
      <c r="F34" s="92"/>
      <c r="G34" s="122">
        <f t="shared" si="22"/>
        <v>960</v>
      </c>
      <c r="H34" s="29">
        <f>IFERROR(H17,0)</f>
        <v>80</v>
      </c>
      <c r="I34" s="29">
        <f t="shared" ref="I34:AE34" si="28">IFERROR(I17,0)</f>
        <v>80</v>
      </c>
      <c r="J34" s="29">
        <f t="shared" si="28"/>
        <v>80</v>
      </c>
      <c r="K34" s="29">
        <f t="shared" si="28"/>
        <v>80</v>
      </c>
      <c r="L34" s="29">
        <f t="shared" si="28"/>
        <v>80</v>
      </c>
      <c r="M34" s="29">
        <f t="shared" si="28"/>
        <v>80</v>
      </c>
      <c r="N34" s="29">
        <f t="shared" si="28"/>
        <v>80</v>
      </c>
      <c r="O34" s="29">
        <f t="shared" si="28"/>
        <v>80</v>
      </c>
      <c r="P34" s="29">
        <f t="shared" si="28"/>
        <v>80</v>
      </c>
      <c r="Q34" s="29">
        <f t="shared" si="28"/>
        <v>80</v>
      </c>
      <c r="R34" s="29">
        <f t="shared" si="28"/>
        <v>80</v>
      </c>
      <c r="S34" s="29">
        <f t="shared" si="28"/>
        <v>80</v>
      </c>
      <c r="T34" s="29">
        <f t="shared" si="28"/>
        <v>0</v>
      </c>
      <c r="U34" s="29">
        <f t="shared" si="28"/>
        <v>0</v>
      </c>
      <c r="V34" s="29">
        <f t="shared" si="28"/>
        <v>0</v>
      </c>
      <c r="W34" s="29">
        <f t="shared" si="28"/>
        <v>0</v>
      </c>
      <c r="X34" s="29">
        <f t="shared" si="28"/>
        <v>0</v>
      </c>
      <c r="Y34" s="29">
        <f t="shared" si="28"/>
        <v>0</v>
      </c>
      <c r="Z34" s="29">
        <f t="shared" si="28"/>
        <v>0</v>
      </c>
      <c r="AA34" s="29">
        <f t="shared" si="28"/>
        <v>0</v>
      </c>
      <c r="AB34" s="29">
        <f t="shared" si="28"/>
        <v>0</v>
      </c>
      <c r="AC34" s="29">
        <f t="shared" si="28"/>
        <v>0</v>
      </c>
      <c r="AD34" s="29">
        <f t="shared" si="28"/>
        <v>0</v>
      </c>
      <c r="AE34" s="29">
        <f t="shared" si="28"/>
        <v>0</v>
      </c>
    </row>
    <row r="35" spans="2:31" ht="15.75" thickBot="1">
      <c r="B35" s="115" t="s">
        <v>49</v>
      </c>
      <c r="C35" s="8"/>
      <c r="D35" s="34"/>
      <c r="E35" s="35"/>
      <c r="F35" s="92"/>
      <c r="G35" s="122">
        <f t="shared" si="22"/>
        <v>975</v>
      </c>
      <c r="H35" s="29">
        <f>IFERROR(H22,0)</f>
        <v>70</v>
      </c>
      <c r="I35" s="29">
        <f t="shared" ref="I35:AE35" si="29">IFERROR(I22,0)</f>
        <v>51</v>
      </c>
      <c r="J35" s="29">
        <f t="shared" si="29"/>
        <v>53</v>
      </c>
      <c r="K35" s="29">
        <f t="shared" si="29"/>
        <v>53</v>
      </c>
      <c r="L35" s="29">
        <f t="shared" si="29"/>
        <v>68</v>
      </c>
      <c r="M35" s="29">
        <f t="shared" si="29"/>
        <v>79</v>
      </c>
      <c r="N35" s="29">
        <f t="shared" si="29"/>
        <v>129</v>
      </c>
      <c r="O35" s="29">
        <f t="shared" si="29"/>
        <v>113</v>
      </c>
      <c r="P35" s="29">
        <f t="shared" si="29"/>
        <v>80</v>
      </c>
      <c r="Q35" s="29">
        <f t="shared" si="29"/>
        <v>23</v>
      </c>
      <c r="R35" s="29">
        <f t="shared" si="29"/>
        <v>157</v>
      </c>
      <c r="S35" s="29">
        <f t="shared" si="29"/>
        <v>99</v>
      </c>
      <c r="T35" s="29">
        <f t="shared" si="29"/>
        <v>0</v>
      </c>
      <c r="U35" s="29">
        <f t="shared" si="29"/>
        <v>0</v>
      </c>
      <c r="V35" s="29">
        <f t="shared" si="29"/>
        <v>0</v>
      </c>
      <c r="W35" s="29">
        <f t="shared" si="29"/>
        <v>0</v>
      </c>
      <c r="X35" s="29">
        <f t="shared" si="29"/>
        <v>0</v>
      </c>
      <c r="Y35" s="29">
        <f t="shared" si="29"/>
        <v>0</v>
      </c>
      <c r="Z35" s="29">
        <f t="shared" si="29"/>
        <v>0</v>
      </c>
      <c r="AA35" s="29">
        <f t="shared" si="29"/>
        <v>0</v>
      </c>
      <c r="AB35" s="29">
        <f t="shared" si="29"/>
        <v>0</v>
      </c>
      <c r="AC35" s="29">
        <f t="shared" si="29"/>
        <v>0</v>
      </c>
      <c r="AD35" s="29">
        <f t="shared" si="29"/>
        <v>0</v>
      </c>
      <c r="AE35" s="29">
        <f t="shared" si="29"/>
        <v>0</v>
      </c>
    </row>
    <row r="36" spans="2:31" ht="15.75" thickBot="1">
      <c r="B36" s="115" t="s">
        <v>50</v>
      </c>
      <c r="C36" s="8"/>
      <c r="D36" s="34"/>
      <c r="E36" s="35"/>
      <c r="F36" s="92"/>
      <c r="G36" s="122">
        <f t="shared" si="22"/>
        <v>796</v>
      </c>
      <c r="H36" s="29">
        <f>IFERROR(H23,0)</f>
        <v>37</v>
      </c>
      <c r="I36" s="29">
        <f t="shared" ref="I36:AE36" si="30">IFERROR(I23,0)</f>
        <v>24</v>
      </c>
      <c r="J36" s="29">
        <f t="shared" si="30"/>
        <v>42</v>
      </c>
      <c r="K36" s="29">
        <f t="shared" si="30"/>
        <v>350</v>
      </c>
      <c r="L36" s="29">
        <f t="shared" si="30"/>
        <v>162</v>
      </c>
      <c r="M36" s="29">
        <f t="shared" si="30"/>
        <v>26</v>
      </c>
      <c r="N36" s="29">
        <f t="shared" si="30"/>
        <v>43</v>
      </c>
      <c r="O36" s="29">
        <f t="shared" si="30"/>
        <v>39</v>
      </c>
      <c r="P36" s="29">
        <f t="shared" si="30"/>
        <v>23</v>
      </c>
      <c r="Q36" s="29">
        <f t="shared" si="30"/>
        <v>5</v>
      </c>
      <c r="R36" s="29">
        <f t="shared" si="30"/>
        <v>27</v>
      </c>
      <c r="S36" s="29">
        <f t="shared" si="30"/>
        <v>18</v>
      </c>
      <c r="T36" s="29">
        <f t="shared" si="30"/>
        <v>0</v>
      </c>
      <c r="U36" s="29">
        <f t="shared" si="30"/>
        <v>0</v>
      </c>
      <c r="V36" s="29">
        <f t="shared" si="30"/>
        <v>0</v>
      </c>
      <c r="W36" s="29">
        <f t="shared" si="30"/>
        <v>0</v>
      </c>
      <c r="X36" s="29">
        <f t="shared" si="30"/>
        <v>0</v>
      </c>
      <c r="Y36" s="29">
        <f t="shared" si="30"/>
        <v>0</v>
      </c>
      <c r="Z36" s="29">
        <f t="shared" si="30"/>
        <v>0</v>
      </c>
      <c r="AA36" s="29">
        <f t="shared" si="30"/>
        <v>0</v>
      </c>
      <c r="AB36" s="29">
        <f t="shared" si="30"/>
        <v>0</v>
      </c>
      <c r="AC36" s="29">
        <f t="shared" si="30"/>
        <v>0</v>
      </c>
      <c r="AD36" s="29">
        <f t="shared" si="30"/>
        <v>0</v>
      </c>
      <c r="AE36" s="29">
        <f t="shared" si="30"/>
        <v>0</v>
      </c>
    </row>
    <row r="37" spans="2:31" ht="15.75" thickBot="1">
      <c r="B37" s="115" t="s">
        <v>51</v>
      </c>
      <c r="C37" s="8"/>
      <c r="D37" s="34"/>
      <c r="E37" s="35"/>
      <c r="F37" s="92"/>
      <c r="G37" s="122">
        <f t="shared" si="22"/>
        <v>2019.2451467239532</v>
      </c>
      <c r="H37" s="121">
        <f>IFERROR(H12-H49,0)</f>
        <v>114.04571964659341</v>
      </c>
      <c r="I37" s="121">
        <f t="shared" ref="I37:AE37" si="31">IFERROR(I12-I49,0)</f>
        <v>123.18619138540998</v>
      </c>
      <c r="J37" s="121">
        <f t="shared" si="31"/>
        <v>179.17956222348937</v>
      </c>
      <c r="K37" s="121">
        <f t="shared" si="31"/>
        <v>182.42575977409317</v>
      </c>
      <c r="L37" s="121">
        <f t="shared" si="31"/>
        <v>166.57466444155142</v>
      </c>
      <c r="M37" s="121">
        <f t="shared" si="31"/>
        <v>167.25742136904793</v>
      </c>
      <c r="N37" s="121">
        <f t="shared" si="31"/>
        <v>276.08456317576685</v>
      </c>
      <c r="O37" s="121">
        <f t="shared" si="31"/>
        <v>205.87069611601737</v>
      </c>
      <c r="P37" s="121">
        <f t="shared" si="31"/>
        <v>182.2189039413667</v>
      </c>
      <c r="Q37" s="121">
        <f t="shared" si="31"/>
        <v>44.216180553300688</v>
      </c>
      <c r="R37" s="121">
        <f t="shared" si="31"/>
        <v>208.14145879570185</v>
      </c>
      <c r="S37" s="121">
        <f t="shared" si="31"/>
        <v>170.0440253016142</v>
      </c>
      <c r="T37" s="121">
        <f t="shared" si="31"/>
        <v>0</v>
      </c>
      <c r="U37" s="121">
        <f t="shared" si="31"/>
        <v>0</v>
      </c>
      <c r="V37" s="121">
        <f t="shared" si="31"/>
        <v>0</v>
      </c>
      <c r="W37" s="121">
        <f t="shared" si="31"/>
        <v>0</v>
      </c>
      <c r="X37" s="121">
        <f t="shared" si="31"/>
        <v>0</v>
      </c>
      <c r="Y37" s="121">
        <f t="shared" si="31"/>
        <v>0</v>
      </c>
      <c r="Z37" s="121">
        <f t="shared" si="31"/>
        <v>0</v>
      </c>
      <c r="AA37" s="121">
        <f t="shared" si="31"/>
        <v>0</v>
      </c>
      <c r="AB37" s="121">
        <f t="shared" si="31"/>
        <v>0</v>
      </c>
      <c r="AC37" s="121">
        <f t="shared" si="31"/>
        <v>0</v>
      </c>
      <c r="AD37" s="121">
        <f t="shared" si="31"/>
        <v>0</v>
      </c>
      <c r="AE37" s="121">
        <f t="shared" si="31"/>
        <v>0</v>
      </c>
    </row>
    <row r="38" spans="2:31" ht="15.75" thickBot="1">
      <c r="B38" s="115"/>
      <c r="C38" s="8"/>
      <c r="D38" s="34"/>
      <c r="E38" s="35"/>
      <c r="F38" s="92"/>
      <c r="G38" s="123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</row>
    <row r="39" spans="2:31" ht="15.75" thickBot="1">
      <c r="B39" s="119" t="s">
        <v>52</v>
      </c>
      <c r="C39" s="27"/>
      <c r="D39" s="116" t="s">
        <v>19</v>
      </c>
      <c r="E39" s="37"/>
      <c r="F39" s="93">
        <f t="shared" si="20"/>
        <v>10438.754853276047</v>
      </c>
      <c r="G39" s="124">
        <f>SUM(H39:AE39)</f>
        <v>10438.754853276047</v>
      </c>
      <c r="H39" s="52">
        <f>IFERROR(H40+H43,0)</f>
        <v>857.9542803534066</v>
      </c>
      <c r="I39" s="52">
        <f t="shared" ref="I39:AE39" si="32">IFERROR(I40+I43,0)</f>
        <v>820.81380861459002</v>
      </c>
      <c r="J39" s="52">
        <f t="shared" si="32"/>
        <v>864.72043777651027</v>
      </c>
      <c r="K39" s="52">
        <f t="shared" si="32"/>
        <v>960.57424022590681</v>
      </c>
      <c r="L39" s="52">
        <f t="shared" si="32"/>
        <v>986.12533555844925</v>
      </c>
      <c r="M39" s="52">
        <f t="shared" si="32"/>
        <v>808.24257863095204</v>
      </c>
      <c r="N39" s="52">
        <f t="shared" si="32"/>
        <v>1086.0154368242336</v>
      </c>
      <c r="O39" s="52">
        <f t="shared" si="32"/>
        <v>945.32930388398154</v>
      </c>
      <c r="P39" s="52">
        <f t="shared" si="32"/>
        <v>947.98109605863408</v>
      </c>
      <c r="Q39" s="52">
        <f t="shared" si="32"/>
        <v>340.68381944669898</v>
      </c>
      <c r="R39" s="52">
        <f t="shared" si="32"/>
        <v>1038.9585412042984</v>
      </c>
      <c r="S39" s="52">
        <f t="shared" si="32"/>
        <v>781.35597469838547</v>
      </c>
      <c r="T39" s="52">
        <f t="shared" si="32"/>
        <v>0</v>
      </c>
      <c r="U39" s="52">
        <f t="shared" si="32"/>
        <v>0</v>
      </c>
      <c r="V39" s="52">
        <f t="shared" si="32"/>
        <v>0</v>
      </c>
      <c r="W39" s="52">
        <f t="shared" si="32"/>
        <v>0</v>
      </c>
      <c r="X39" s="52">
        <f t="shared" si="32"/>
        <v>0</v>
      </c>
      <c r="Y39" s="52">
        <f t="shared" si="32"/>
        <v>0</v>
      </c>
      <c r="Z39" s="52">
        <f t="shared" si="32"/>
        <v>0</v>
      </c>
      <c r="AA39" s="52">
        <f t="shared" si="32"/>
        <v>0</v>
      </c>
      <c r="AB39" s="52">
        <f t="shared" si="32"/>
        <v>0</v>
      </c>
      <c r="AC39" s="52">
        <f t="shared" si="32"/>
        <v>0</v>
      </c>
      <c r="AD39" s="52">
        <f t="shared" si="32"/>
        <v>0</v>
      </c>
      <c r="AE39" s="52">
        <f t="shared" si="32"/>
        <v>0</v>
      </c>
    </row>
    <row r="40" spans="2:31" ht="15.75" thickBot="1">
      <c r="B40" s="118" t="s">
        <v>53</v>
      </c>
      <c r="C40" s="27"/>
      <c r="D40" s="116"/>
      <c r="E40" s="37"/>
      <c r="F40" s="93"/>
      <c r="G40" s="124">
        <f t="shared" ref="G40:G57" si="33">SUM(H40:AE40)</f>
        <v>3671</v>
      </c>
      <c r="H40" s="11">
        <f>IFERROR(SUM(H41:H42),0)</f>
        <v>340</v>
      </c>
      <c r="I40" s="11">
        <f t="shared" ref="I40:AE40" si="34">IFERROR(SUM(I41:I42),0)</f>
        <v>371</v>
      </c>
      <c r="J40" s="11">
        <f t="shared" si="34"/>
        <v>308</v>
      </c>
      <c r="K40" s="11">
        <f t="shared" si="34"/>
        <v>329</v>
      </c>
      <c r="L40" s="11">
        <f t="shared" si="34"/>
        <v>334</v>
      </c>
      <c r="M40" s="11">
        <f t="shared" si="34"/>
        <v>300</v>
      </c>
      <c r="N40" s="11">
        <f t="shared" si="34"/>
        <v>348</v>
      </c>
      <c r="O40" s="11">
        <f t="shared" si="34"/>
        <v>322</v>
      </c>
      <c r="P40" s="11">
        <f t="shared" si="34"/>
        <v>308</v>
      </c>
      <c r="Q40" s="11">
        <f t="shared" si="34"/>
        <v>88</v>
      </c>
      <c r="R40" s="11">
        <f t="shared" si="34"/>
        <v>330</v>
      </c>
      <c r="S40" s="11">
        <f t="shared" si="34"/>
        <v>293</v>
      </c>
      <c r="T40" s="11">
        <f t="shared" si="34"/>
        <v>0</v>
      </c>
      <c r="U40" s="11">
        <f t="shared" si="34"/>
        <v>0</v>
      </c>
      <c r="V40" s="11">
        <f t="shared" si="34"/>
        <v>0</v>
      </c>
      <c r="W40" s="11">
        <f t="shared" si="34"/>
        <v>0</v>
      </c>
      <c r="X40" s="11">
        <f t="shared" si="34"/>
        <v>0</v>
      </c>
      <c r="Y40" s="11">
        <f t="shared" si="34"/>
        <v>0</v>
      </c>
      <c r="Z40" s="11">
        <f t="shared" si="34"/>
        <v>0</v>
      </c>
      <c r="AA40" s="11">
        <f t="shared" si="34"/>
        <v>0</v>
      </c>
      <c r="AB40" s="11">
        <f t="shared" si="34"/>
        <v>0</v>
      </c>
      <c r="AC40" s="11">
        <f t="shared" si="34"/>
        <v>0</v>
      </c>
      <c r="AD40" s="11">
        <f t="shared" si="34"/>
        <v>0</v>
      </c>
      <c r="AE40" s="11">
        <f t="shared" si="34"/>
        <v>0</v>
      </c>
    </row>
    <row r="41" spans="2:31" ht="15.75" thickBot="1">
      <c r="B41" s="117" t="s">
        <v>54</v>
      </c>
      <c r="C41" s="27"/>
      <c r="D41" s="116"/>
      <c r="E41" s="37"/>
      <c r="F41" s="93"/>
      <c r="G41" s="124">
        <f t="shared" si="33"/>
        <v>701</v>
      </c>
      <c r="H41" s="11">
        <f>IFERROR(H13,0)</f>
        <v>40</v>
      </c>
      <c r="I41" s="11">
        <f t="shared" ref="I41:AE41" si="35">IFERROR(I13,0)</f>
        <v>41</v>
      </c>
      <c r="J41" s="11">
        <f t="shared" si="35"/>
        <v>48</v>
      </c>
      <c r="K41" s="11">
        <f t="shared" si="35"/>
        <v>69</v>
      </c>
      <c r="L41" s="11">
        <f t="shared" si="35"/>
        <v>74</v>
      </c>
      <c r="M41" s="11">
        <f t="shared" si="35"/>
        <v>40</v>
      </c>
      <c r="N41" s="11">
        <f t="shared" si="35"/>
        <v>88</v>
      </c>
      <c r="O41" s="11">
        <f t="shared" si="35"/>
        <v>88</v>
      </c>
      <c r="P41" s="11">
        <f t="shared" si="35"/>
        <v>74</v>
      </c>
      <c r="Q41" s="11">
        <f t="shared" si="35"/>
        <v>10</v>
      </c>
      <c r="R41" s="11">
        <f t="shared" si="35"/>
        <v>96</v>
      </c>
      <c r="S41" s="11">
        <f t="shared" si="35"/>
        <v>33</v>
      </c>
      <c r="T41" s="11">
        <f t="shared" si="35"/>
        <v>0</v>
      </c>
      <c r="U41" s="11">
        <f t="shared" si="35"/>
        <v>0</v>
      </c>
      <c r="V41" s="11">
        <f t="shared" si="35"/>
        <v>0</v>
      </c>
      <c r="W41" s="11">
        <f t="shared" si="35"/>
        <v>0</v>
      </c>
      <c r="X41" s="11">
        <f t="shared" si="35"/>
        <v>0</v>
      </c>
      <c r="Y41" s="11">
        <f t="shared" si="35"/>
        <v>0</v>
      </c>
      <c r="Z41" s="11">
        <f t="shared" si="35"/>
        <v>0</v>
      </c>
      <c r="AA41" s="11">
        <f t="shared" si="35"/>
        <v>0</v>
      </c>
      <c r="AB41" s="11">
        <f t="shared" si="35"/>
        <v>0</v>
      </c>
      <c r="AC41" s="11">
        <f t="shared" si="35"/>
        <v>0</v>
      </c>
      <c r="AD41" s="11">
        <f t="shared" si="35"/>
        <v>0</v>
      </c>
      <c r="AE41" s="11">
        <f t="shared" si="35"/>
        <v>0</v>
      </c>
    </row>
    <row r="42" spans="2:31" ht="15.75" thickBot="1">
      <c r="B42" s="117" t="s">
        <v>55</v>
      </c>
      <c r="C42" s="27"/>
      <c r="D42" s="116"/>
      <c r="E42" s="37"/>
      <c r="F42" s="93"/>
      <c r="G42" s="124">
        <f t="shared" si="33"/>
        <v>2970</v>
      </c>
      <c r="H42" s="11">
        <f>IFERROR(H14,0)</f>
        <v>300</v>
      </c>
      <c r="I42" s="11">
        <f t="shared" ref="I42:AE42" si="36">IFERROR(I14,0)</f>
        <v>330</v>
      </c>
      <c r="J42" s="11">
        <f t="shared" si="36"/>
        <v>260</v>
      </c>
      <c r="K42" s="11">
        <f t="shared" si="36"/>
        <v>260</v>
      </c>
      <c r="L42" s="11">
        <f t="shared" si="36"/>
        <v>260</v>
      </c>
      <c r="M42" s="11">
        <f t="shared" si="36"/>
        <v>260</v>
      </c>
      <c r="N42" s="11">
        <f t="shared" si="36"/>
        <v>260</v>
      </c>
      <c r="O42" s="11">
        <f t="shared" si="36"/>
        <v>234</v>
      </c>
      <c r="P42" s="11">
        <f t="shared" si="36"/>
        <v>234</v>
      </c>
      <c r="Q42" s="11">
        <f t="shared" si="36"/>
        <v>78</v>
      </c>
      <c r="R42" s="11">
        <f t="shared" si="36"/>
        <v>234</v>
      </c>
      <c r="S42" s="11">
        <f t="shared" si="36"/>
        <v>260</v>
      </c>
      <c r="T42" s="11">
        <f t="shared" si="36"/>
        <v>0</v>
      </c>
      <c r="U42" s="11">
        <f t="shared" si="36"/>
        <v>0</v>
      </c>
      <c r="V42" s="11">
        <f t="shared" si="36"/>
        <v>0</v>
      </c>
      <c r="W42" s="11">
        <f t="shared" si="36"/>
        <v>0</v>
      </c>
      <c r="X42" s="11">
        <f t="shared" si="36"/>
        <v>0</v>
      </c>
      <c r="Y42" s="11">
        <f t="shared" si="36"/>
        <v>0</v>
      </c>
      <c r="Z42" s="11">
        <f t="shared" si="36"/>
        <v>0</v>
      </c>
      <c r="AA42" s="11">
        <f t="shared" si="36"/>
        <v>0</v>
      </c>
      <c r="AB42" s="11">
        <f t="shared" si="36"/>
        <v>0</v>
      </c>
      <c r="AC42" s="11">
        <f t="shared" si="36"/>
        <v>0</v>
      </c>
      <c r="AD42" s="11">
        <f t="shared" si="36"/>
        <v>0</v>
      </c>
      <c r="AE42" s="11">
        <f t="shared" si="36"/>
        <v>0</v>
      </c>
    </row>
    <row r="43" spans="2:31" ht="15.75" thickBot="1">
      <c r="B43" s="118" t="s">
        <v>56</v>
      </c>
      <c r="C43" s="27"/>
      <c r="D43" s="116"/>
      <c r="E43" s="37"/>
      <c r="F43" s="93"/>
      <c r="G43" s="124">
        <f t="shared" si="33"/>
        <v>6767.7548532760484</v>
      </c>
      <c r="H43" s="52">
        <f>IFERROR(SUM(H44,H48,H49,H53),0)</f>
        <v>517.9542803534066</v>
      </c>
      <c r="I43" s="52">
        <f t="shared" ref="I43:AE43" si="37">IFERROR(SUM(I44,I48,I49,I53),0)</f>
        <v>449.81380861459002</v>
      </c>
      <c r="J43" s="52">
        <f t="shared" si="37"/>
        <v>556.72043777651027</v>
      </c>
      <c r="K43" s="52">
        <f t="shared" si="37"/>
        <v>631.57424022590681</v>
      </c>
      <c r="L43" s="52">
        <f t="shared" si="37"/>
        <v>652.12533555844925</v>
      </c>
      <c r="M43" s="52">
        <f t="shared" si="37"/>
        <v>508.24257863095204</v>
      </c>
      <c r="N43" s="52">
        <f t="shared" si="37"/>
        <v>738.01543682423357</v>
      </c>
      <c r="O43" s="52">
        <f t="shared" si="37"/>
        <v>623.32930388398154</v>
      </c>
      <c r="P43" s="52">
        <f t="shared" si="37"/>
        <v>639.98109605863408</v>
      </c>
      <c r="Q43" s="52">
        <f t="shared" si="37"/>
        <v>252.68381944669895</v>
      </c>
      <c r="R43" s="52">
        <f t="shared" si="37"/>
        <v>708.95854120429851</v>
      </c>
      <c r="S43" s="52">
        <f t="shared" si="37"/>
        <v>488.35597469838547</v>
      </c>
      <c r="T43" s="52">
        <f t="shared" si="37"/>
        <v>0</v>
      </c>
      <c r="U43" s="52">
        <f t="shared" si="37"/>
        <v>0</v>
      </c>
      <c r="V43" s="52">
        <f t="shared" si="37"/>
        <v>0</v>
      </c>
      <c r="W43" s="52">
        <f t="shared" si="37"/>
        <v>0</v>
      </c>
      <c r="X43" s="52">
        <f t="shared" si="37"/>
        <v>0</v>
      </c>
      <c r="Y43" s="52">
        <f t="shared" si="37"/>
        <v>0</v>
      </c>
      <c r="Z43" s="52">
        <f t="shared" si="37"/>
        <v>0</v>
      </c>
      <c r="AA43" s="52">
        <f t="shared" si="37"/>
        <v>0</v>
      </c>
      <c r="AB43" s="52">
        <f t="shared" si="37"/>
        <v>0</v>
      </c>
      <c r="AC43" s="52">
        <f t="shared" si="37"/>
        <v>0</v>
      </c>
      <c r="AD43" s="52">
        <f t="shared" si="37"/>
        <v>0</v>
      </c>
      <c r="AE43" s="52">
        <f t="shared" si="37"/>
        <v>0</v>
      </c>
    </row>
    <row r="44" spans="2:31" ht="15.75" thickBot="1">
      <c r="B44" s="117" t="s">
        <v>57</v>
      </c>
      <c r="C44" s="27"/>
      <c r="D44" s="116"/>
      <c r="E44" s="37"/>
      <c r="F44" s="93"/>
      <c r="G44" s="124">
        <f t="shared" si="33"/>
        <v>3472</v>
      </c>
      <c r="H44" s="11">
        <f>IFERROR(SUM(H45:H47),0)</f>
        <v>271</v>
      </c>
      <c r="I44" s="11">
        <f t="shared" ref="I44:AE44" si="38">IFERROR(SUM(I45:I47),0)</f>
        <v>196</v>
      </c>
      <c r="J44" s="11">
        <f t="shared" si="38"/>
        <v>278</v>
      </c>
      <c r="K44" s="11">
        <f t="shared" si="38"/>
        <v>354</v>
      </c>
      <c r="L44" s="11">
        <f t="shared" si="38"/>
        <v>378</v>
      </c>
      <c r="M44" s="11">
        <f t="shared" si="38"/>
        <v>245</v>
      </c>
      <c r="N44" s="11">
        <f t="shared" si="38"/>
        <v>420</v>
      </c>
      <c r="O44" s="11">
        <f t="shared" si="38"/>
        <v>325</v>
      </c>
      <c r="P44" s="11">
        <f t="shared" si="38"/>
        <v>339</v>
      </c>
      <c r="Q44" s="11">
        <f t="shared" si="38"/>
        <v>46</v>
      </c>
      <c r="R44" s="11">
        <f t="shared" si="38"/>
        <v>411</v>
      </c>
      <c r="S44" s="11">
        <f t="shared" si="38"/>
        <v>209</v>
      </c>
      <c r="T44" s="11">
        <f t="shared" si="38"/>
        <v>0</v>
      </c>
      <c r="U44" s="11">
        <f t="shared" si="38"/>
        <v>0</v>
      </c>
      <c r="V44" s="11">
        <f t="shared" si="38"/>
        <v>0</v>
      </c>
      <c r="W44" s="11">
        <f t="shared" si="38"/>
        <v>0</v>
      </c>
      <c r="X44" s="11">
        <f t="shared" si="38"/>
        <v>0</v>
      </c>
      <c r="Y44" s="11">
        <f t="shared" si="38"/>
        <v>0</v>
      </c>
      <c r="Z44" s="11">
        <f t="shared" si="38"/>
        <v>0</v>
      </c>
      <c r="AA44" s="11">
        <f t="shared" si="38"/>
        <v>0</v>
      </c>
      <c r="AB44" s="11">
        <f t="shared" si="38"/>
        <v>0</v>
      </c>
      <c r="AC44" s="11">
        <f t="shared" si="38"/>
        <v>0</v>
      </c>
      <c r="AD44" s="11">
        <f t="shared" si="38"/>
        <v>0</v>
      </c>
      <c r="AE44" s="11">
        <f t="shared" si="38"/>
        <v>0</v>
      </c>
    </row>
    <row r="45" spans="2:31" ht="15.75" thickBot="1">
      <c r="B45" s="12" t="s">
        <v>58</v>
      </c>
      <c r="C45" s="27"/>
      <c r="D45" s="116"/>
      <c r="E45" s="37"/>
      <c r="F45" s="93"/>
      <c r="G45" s="124">
        <f t="shared" si="33"/>
        <v>108</v>
      </c>
      <c r="H45" s="11">
        <f>IFERROR(H21,0)</f>
        <v>11</v>
      </c>
      <c r="I45" s="11">
        <f t="shared" ref="I45:AE45" si="39">IFERROR(I21,0)</f>
        <v>10</v>
      </c>
      <c r="J45" s="11">
        <f t="shared" si="39"/>
        <v>11</v>
      </c>
      <c r="K45" s="11">
        <f t="shared" si="39"/>
        <v>9</v>
      </c>
      <c r="L45" s="11">
        <f t="shared" si="39"/>
        <v>12</v>
      </c>
      <c r="M45" s="11">
        <f t="shared" si="39"/>
        <v>8</v>
      </c>
      <c r="N45" s="11">
        <f t="shared" si="39"/>
        <v>14</v>
      </c>
      <c r="O45" s="11">
        <f t="shared" si="39"/>
        <v>11</v>
      </c>
      <c r="P45" s="11">
        <f t="shared" si="39"/>
        <v>4</v>
      </c>
      <c r="Q45" s="11">
        <f t="shared" si="39"/>
        <v>3</v>
      </c>
      <c r="R45" s="11">
        <f t="shared" si="39"/>
        <v>8</v>
      </c>
      <c r="S45" s="11">
        <f t="shared" si="39"/>
        <v>7</v>
      </c>
      <c r="T45" s="11">
        <f t="shared" si="39"/>
        <v>0</v>
      </c>
      <c r="U45" s="11">
        <f t="shared" si="39"/>
        <v>0</v>
      </c>
      <c r="V45" s="11">
        <f t="shared" si="39"/>
        <v>0</v>
      </c>
      <c r="W45" s="11">
        <f t="shared" si="39"/>
        <v>0</v>
      </c>
      <c r="X45" s="11">
        <f t="shared" si="39"/>
        <v>0</v>
      </c>
      <c r="Y45" s="11">
        <f t="shared" si="39"/>
        <v>0</v>
      </c>
      <c r="Z45" s="11">
        <f t="shared" si="39"/>
        <v>0</v>
      </c>
      <c r="AA45" s="11">
        <f t="shared" si="39"/>
        <v>0</v>
      </c>
      <c r="AB45" s="11">
        <f t="shared" si="39"/>
        <v>0</v>
      </c>
      <c r="AC45" s="11">
        <f t="shared" si="39"/>
        <v>0</v>
      </c>
      <c r="AD45" s="11">
        <f t="shared" si="39"/>
        <v>0</v>
      </c>
      <c r="AE45" s="11">
        <f t="shared" si="39"/>
        <v>0</v>
      </c>
    </row>
    <row r="46" spans="2:31" ht="15.75" thickBot="1">
      <c r="B46" s="12" t="s">
        <v>59</v>
      </c>
      <c r="C46" s="27"/>
      <c r="D46" s="116"/>
      <c r="E46" s="37"/>
      <c r="F46" s="93"/>
      <c r="G46" s="124">
        <f t="shared" si="33"/>
        <v>2332</v>
      </c>
      <c r="H46" s="11">
        <f>IFERROR(H18,0)</f>
        <v>160</v>
      </c>
      <c r="I46" s="11">
        <f t="shared" ref="I46:AE46" si="40">IFERROR(I18,0)</f>
        <v>134</v>
      </c>
      <c r="J46" s="11">
        <f t="shared" si="40"/>
        <v>161</v>
      </c>
      <c r="K46" s="11">
        <f t="shared" si="40"/>
        <v>251</v>
      </c>
      <c r="L46" s="11">
        <f t="shared" si="40"/>
        <v>265</v>
      </c>
      <c r="M46" s="11">
        <f t="shared" si="40"/>
        <v>161</v>
      </c>
      <c r="N46" s="11">
        <f t="shared" si="40"/>
        <v>306</v>
      </c>
      <c r="O46" s="11">
        <f t="shared" si="40"/>
        <v>236</v>
      </c>
      <c r="P46" s="11">
        <f t="shared" si="40"/>
        <v>244</v>
      </c>
      <c r="Q46" s="11">
        <f t="shared" si="40"/>
        <v>9</v>
      </c>
      <c r="R46" s="11">
        <f t="shared" si="40"/>
        <v>290</v>
      </c>
      <c r="S46" s="11">
        <f t="shared" si="40"/>
        <v>115</v>
      </c>
      <c r="T46" s="11">
        <f t="shared" si="40"/>
        <v>0</v>
      </c>
      <c r="U46" s="11">
        <f t="shared" si="40"/>
        <v>0</v>
      </c>
      <c r="V46" s="11">
        <f t="shared" si="40"/>
        <v>0</v>
      </c>
      <c r="W46" s="11">
        <f t="shared" si="40"/>
        <v>0</v>
      </c>
      <c r="X46" s="11">
        <f t="shared" si="40"/>
        <v>0</v>
      </c>
      <c r="Y46" s="11">
        <f t="shared" si="40"/>
        <v>0</v>
      </c>
      <c r="Z46" s="11">
        <f t="shared" si="40"/>
        <v>0</v>
      </c>
      <c r="AA46" s="11">
        <f t="shared" si="40"/>
        <v>0</v>
      </c>
      <c r="AB46" s="11">
        <f t="shared" si="40"/>
        <v>0</v>
      </c>
      <c r="AC46" s="11">
        <f t="shared" si="40"/>
        <v>0</v>
      </c>
      <c r="AD46" s="11">
        <f t="shared" si="40"/>
        <v>0</v>
      </c>
      <c r="AE46" s="11">
        <f t="shared" si="40"/>
        <v>0</v>
      </c>
    </row>
    <row r="47" spans="2:31" ht="15.75" thickBot="1">
      <c r="B47" s="12" t="s">
        <v>60</v>
      </c>
      <c r="C47" s="27"/>
      <c r="D47" s="116"/>
      <c r="E47" s="37"/>
      <c r="F47" s="93"/>
      <c r="G47" s="124">
        <f t="shared" si="33"/>
        <v>1032</v>
      </c>
      <c r="H47" s="11">
        <f>IFERROR(H20,0)</f>
        <v>100</v>
      </c>
      <c r="I47" s="11">
        <f t="shared" ref="I47:AE47" si="41">IFERROR(I20,0)</f>
        <v>52</v>
      </c>
      <c r="J47" s="11">
        <f t="shared" si="41"/>
        <v>106</v>
      </c>
      <c r="K47" s="11">
        <f t="shared" si="41"/>
        <v>94</v>
      </c>
      <c r="L47" s="11">
        <f t="shared" si="41"/>
        <v>101</v>
      </c>
      <c r="M47" s="11">
        <f t="shared" si="41"/>
        <v>76</v>
      </c>
      <c r="N47" s="11">
        <f t="shared" si="41"/>
        <v>100</v>
      </c>
      <c r="O47" s="11">
        <f t="shared" si="41"/>
        <v>78</v>
      </c>
      <c r="P47" s="11">
        <f t="shared" si="41"/>
        <v>91</v>
      </c>
      <c r="Q47" s="11">
        <f t="shared" si="41"/>
        <v>34</v>
      </c>
      <c r="R47" s="11">
        <f t="shared" si="41"/>
        <v>113</v>
      </c>
      <c r="S47" s="11">
        <f t="shared" si="41"/>
        <v>87</v>
      </c>
      <c r="T47" s="11">
        <f t="shared" si="41"/>
        <v>0</v>
      </c>
      <c r="U47" s="11">
        <f t="shared" si="41"/>
        <v>0</v>
      </c>
      <c r="V47" s="11">
        <f t="shared" si="41"/>
        <v>0</v>
      </c>
      <c r="W47" s="11">
        <f t="shared" si="41"/>
        <v>0</v>
      </c>
      <c r="X47" s="11">
        <f t="shared" si="41"/>
        <v>0</v>
      </c>
      <c r="Y47" s="11">
        <f t="shared" si="41"/>
        <v>0</v>
      </c>
      <c r="Z47" s="11">
        <f t="shared" si="41"/>
        <v>0</v>
      </c>
      <c r="AA47" s="11">
        <f t="shared" si="41"/>
        <v>0</v>
      </c>
      <c r="AB47" s="11">
        <f t="shared" si="41"/>
        <v>0</v>
      </c>
      <c r="AC47" s="11">
        <f t="shared" si="41"/>
        <v>0</v>
      </c>
      <c r="AD47" s="11">
        <f t="shared" si="41"/>
        <v>0</v>
      </c>
      <c r="AE47" s="11">
        <f t="shared" si="41"/>
        <v>0</v>
      </c>
    </row>
    <row r="48" spans="2:31" ht="15.75" thickBot="1">
      <c r="B48" s="117" t="s">
        <v>61</v>
      </c>
      <c r="C48" s="27"/>
      <c r="D48" s="116"/>
      <c r="E48" s="37"/>
      <c r="F48" s="93"/>
      <c r="G48" s="124">
        <f t="shared" si="33"/>
        <v>2040</v>
      </c>
      <c r="H48" s="11">
        <f>IFERROR(H19,0)</f>
        <v>170</v>
      </c>
      <c r="I48" s="11">
        <f t="shared" ref="I48:AE48" si="42">IFERROR(I19,0)</f>
        <v>170</v>
      </c>
      <c r="J48" s="11">
        <f t="shared" si="42"/>
        <v>170</v>
      </c>
      <c r="K48" s="11">
        <f t="shared" si="42"/>
        <v>170</v>
      </c>
      <c r="L48" s="11">
        <f t="shared" si="42"/>
        <v>170</v>
      </c>
      <c r="M48" s="11">
        <f t="shared" si="42"/>
        <v>170</v>
      </c>
      <c r="N48" s="11">
        <f t="shared" si="42"/>
        <v>170</v>
      </c>
      <c r="O48" s="11">
        <f t="shared" si="42"/>
        <v>170</v>
      </c>
      <c r="P48" s="11">
        <f t="shared" si="42"/>
        <v>170</v>
      </c>
      <c r="Q48" s="11">
        <f t="shared" si="42"/>
        <v>170</v>
      </c>
      <c r="R48" s="11">
        <f t="shared" si="42"/>
        <v>170</v>
      </c>
      <c r="S48" s="11">
        <f t="shared" si="42"/>
        <v>170</v>
      </c>
      <c r="T48" s="11">
        <f t="shared" si="42"/>
        <v>0</v>
      </c>
      <c r="U48" s="11">
        <f t="shared" si="42"/>
        <v>0</v>
      </c>
      <c r="V48" s="11">
        <f t="shared" si="42"/>
        <v>0</v>
      </c>
      <c r="W48" s="11">
        <f t="shared" si="42"/>
        <v>0</v>
      </c>
      <c r="X48" s="11">
        <f t="shared" si="42"/>
        <v>0</v>
      </c>
      <c r="Y48" s="11">
        <f t="shared" si="42"/>
        <v>0</v>
      </c>
      <c r="Z48" s="11">
        <f t="shared" si="42"/>
        <v>0</v>
      </c>
      <c r="AA48" s="11">
        <f t="shared" si="42"/>
        <v>0</v>
      </c>
      <c r="AB48" s="11">
        <f t="shared" si="42"/>
        <v>0</v>
      </c>
      <c r="AC48" s="11">
        <f t="shared" si="42"/>
        <v>0</v>
      </c>
      <c r="AD48" s="11">
        <f t="shared" si="42"/>
        <v>0</v>
      </c>
      <c r="AE48" s="11">
        <f t="shared" si="42"/>
        <v>0</v>
      </c>
    </row>
    <row r="49" spans="2:31" ht="15.75" thickBot="1">
      <c r="B49" s="117" t="s">
        <v>62</v>
      </c>
      <c r="C49" s="27"/>
      <c r="D49" s="116"/>
      <c r="E49" s="37"/>
      <c r="F49" s="93"/>
      <c r="G49" s="124">
        <f t="shared" si="33"/>
        <v>981.75485327604724</v>
      </c>
      <c r="H49" s="52">
        <f>IFERROR(SUM(H50:H52),0)</f>
        <v>48.954280353406588</v>
      </c>
      <c r="I49" s="52">
        <f t="shared" ref="I49:AE49" si="43">IFERROR(SUM(I50:I52),0)</f>
        <v>54.813808614590016</v>
      </c>
      <c r="J49" s="52">
        <f t="shared" si="43"/>
        <v>86.720437776510281</v>
      </c>
      <c r="K49" s="52">
        <f t="shared" si="43"/>
        <v>84.574240225906834</v>
      </c>
      <c r="L49" s="52">
        <f t="shared" si="43"/>
        <v>78.125335558449308</v>
      </c>
      <c r="M49" s="52">
        <f t="shared" si="43"/>
        <v>72.242578630952067</v>
      </c>
      <c r="N49" s="52">
        <f t="shared" si="43"/>
        <v>124.01543682423353</v>
      </c>
      <c r="O49" s="52">
        <f t="shared" si="43"/>
        <v>110.32930388398155</v>
      </c>
      <c r="P49" s="52">
        <f t="shared" si="43"/>
        <v>112.98109605863404</v>
      </c>
      <c r="Q49" s="52">
        <f t="shared" si="43"/>
        <v>27.683819446698951</v>
      </c>
      <c r="R49" s="52">
        <f t="shared" si="43"/>
        <v>96.958541204298498</v>
      </c>
      <c r="S49" s="52">
        <f t="shared" si="43"/>
        <v>84.355974698385438</v>
      </c>
      <c r="T49" s="52">
        <f t="shared" si="43"/>
        <v>0</v>
      </c>
      <c r="U49" s="52">
        <f t="shared" si="43"/>
        <v>0</v>
      </c>
      <c r="V49" s="52">
        <f t="shared" si="43"/>
        <v>0</v>
      </c>
      <c r="W49" s="52">
        <f t="shared" si="43"/>
        <v>0</v>
      </c>
      <c r="X49" s="52">
        <f t="shared" si="43"/>
        <v>0</v>
      </c>
      <c r="Y49" s="52">
        <f t="shared" si="43"/>
        <v>0</v>
      </c>
      <c r="Z49" s="52">
        <f t="shared" si="43"/>
        <v>0</v>
      </c>
      <c r="AA49" s="52">
        <f t="shared" si="43"/>
        <v>0</v>
      </c>
      <c r="AB49" s="52">
        <f t="shared" si="43"/>
        <v>0</v>
      </c>
      <c r="AC49" s="52">
        <f t="shared" si="43"/>
        <v>0</v>
      </c>
      <c r="AD49" s="52">
        <f t="shared" si="43"/>
        <v>0</v>
      </c>
      <c r="AE49" s="52">
        <f t="shared" si="43"/>
        <v>0</v>
      </c>
    </row>
    <row r="50" spans="2:31" ht="15.75" thickBot="1">
      <c r="B50" s="12" t="s">
        <v>63</v>
      </c>
      <c r="C50" s="27"/>
      <c r="D50" s="116"/>
      <c r="E50" s="37"/>
      <c r="F50" s="93"/>
      <c r="G50" s="124">
        <f t="shared" si="33"/>
        <v>711.97364435152247</v>
      </c>
      <c r="H50" s="52">
        <f>IFERROR(('[2]Konsumsi &amp; pareto'!G$13/'[2]Konsumsi &amp; pareto'!G$10)*H12,0)</f>
        <v>36.453571419741124</v>
      </c>
      <c r="I50" s="52">
        <f>IFERROR(('[2]Konsumsi &amp; pareto'!H$13/'[2]Konsumsi &amp; pareto'!H$10)*I12,0)</f>
        <v>38.411586559214314</v>
      </c>
      <c r="J50" s="52">
        <f>IFERROR(('[2]Konsumsi &amp; pareto'!I$13/'[2]Konsumsi &amp; pareto'!I$10)*J12,0)</f>
        <v>64.226447945976773</v>
      </c>
      <c r="K50" s="52">
        <f>IFERROR(('[2]Konsumsi &amp; pareto'!J$13/'[2]Konsumsi &amp; pareto'!J$10)*K12,0)</f>
        <v>62.802378830866751</v>
      </c>
      <c r="L50" s="52">
        <f>IFERROR(('[2]Konsumsi &amp; pareto'!K$13/'[2]Konsumsi &amp; pareto'!K$10)*L12,0)</f>
        <v>59.298160139335913</v>
      </c>
      <c r="M50" s="52">
        <f>IFERROR(('[2]Konsumsi &amp; pareto'!L$13/'[2]Konsumsi &amp; pareto'!L$10)*M12,0)</f>
        <v>56.470099205724473</v>
      </c>
      <c r="N50" s="52">
        <f>IFERROR(('[2]Konsumsi &amp; pareto'!M$13/'[2]Konsumsi &amp; pareto'!M$10)*N12,0)</f>
        <v>98.495318096888028</v>
      </c>
      <c r="O50" s="52">
        <f>IFERROR(('[2]Konsumsi &amp; pareto'!N$13/'[2]Konsumsi &amp; pareto'!N$10)*O12,0)</f>
        <v>79.782281936492353</v>
      </c>
      <c r="P50" s="52">
        <f>IFERROR(('[2]Konsumsi &amp; pareto'!O$13/'[2]Konsumsi &amp; pareto'!O$10)*P12,0)</f>
        <v>64.838321569719824</v>
      </c>
      <c r="Q50" s="52">
        <f>IFERROR(('[2]Konsumsi &amp; pareto'!P$13/'[2]Konsumsi &amp; pareto'!P$10)*Q12,0)</f>
        <v>16.682084019348906</v>
      </c>
      <c r="R50" s="52">
        <f>IFERROR(('[2]Konsumsi &amp; pareto'!Q$13/'[2]Konsumsi &amp; pareto'!Q$10)*R12,0)</f>
        <v>73.533184650770565</v>
      </c>
      <c r="S50" s="52">
        <f>IFERROR(('[2]Konsumsi &amp; pareto'!R$13/'[2]Konsumsi &amp; pareto'!R$10)*S12,0)</f>
        <v>60.980209977443586</v>
      </c>
      <c r="T50" s="52">
        <f>IFERROR(('[2]Konsumsi &amp; pareto'!S$13/'[2]Konsumsi &amp; pareto'!S$10)*T12,0)</f>
        <v>0</v>
      </c>
      <c r="U50" s="52">
        <f>IFERROR(('[2]Konsumsi &amp; pareto'!T$13/'[2]Konsumsi &amp; pareto'!T$10)*U12,0)</f>
        <v>0</v>
      </c>
      <c r="V50" s="52">
        <f>IFERROR(('[2]Konsumsi &amp; pareto'!U$13/'[2]Konsumsi &amp; pareto'!U$10)*V12,0)</f>
        <v>0</v>
      </c>
      <c r="W50" s="52">
        <f>IFERROR(('[2]Konsumsi &amp; pareto'!V$13/'[2]Konsumsi &amp; pareto'!V$10)*W12,0)</f>
        <v>0</v>
      </c>
      <c r="X50" s="52">
        <f>IFERROR(('[2]Konsumsi &amp; pareto'!W$13/'[2]Konsumsi &amp; pareto'!W$10)*X12,0)</f>
        <v>0</v>
      </c>
      <c r="Y50" s="52">
        <f>IFERROR(('[2]Konsumsi &amp; pareto'!X$13/'[2]Konsumsi &amp; pareto'!X$10)*Y12,0)</f>
        <v>0</v>
      </c>
      <c r="Z50" s="52">
        <f>IFERROR(('[2]Konsumsi &amp; pareto'!Y$13/'[2]Konsumsi &amp; pareto'!Y$10)*Z12,0)</f>
        <v>0</v>
      </c>
      <c r="AA50" s="52">
        <f>IFERROR(('[2]Konsumsi &amp; pareto'!Z$13/'[2]Konsumsi &amp; pareto'!Z$10)*AA12,0)</f>
        <v>0</v>
      </c>
      <c r="AB50" s="52">
        <f>IFERROR(('[2]Konsumsi &amp; pareto'!AA$13/'[2]Konsumsi &amp; pareto'!AA$10)*AB12,0)</f>
        <v>0</v>
      </c>
      <c r="AC50" s="52">
        <f>IFERROR(('[2]Konsumsi &amp; pareto'!AB$13/'[2]Konsumsi &amp; pareto'!AB$10)*AC12,0)</f>
        <v>0</v>
      </c>
      <c r="AD50" s="52">
        <f>IFERROR(('[2]Konsumsi &amp; pareto'!AC$13/'[2]Konsumsi &amp; pareto'!AC$10)*AD12,0)</f>
        <v>0</v>
      </c>
      <c r="AE50" s="52">
        <f>IFERROR(('[2]Konsumsi &amp; pareto'!AD$13/'[2]Konsumsi &amp; pareto'!AD$10)*AE12,0)</f>
        <v>0</v>
      </c>
    </row>
    <row r="51" spans="2:31" ht="15.75" thickBot="1">
      <c r="B51" s="12" t="s">
        <v>64</v>
      </c>
      <c r="C51" s="27"/>
      <c r="D51" s="116"/>
      <c r="E51" s="37"/>
      <c r="F51" s="93"/>
      <c r="G51" s="124">
        <f t="shared" si="33"/>
        <v>42.313120889316288</v>
      </c>
      <c r="H51" s="52">
        <f>IFERROR('[2]Konsumsi &amp; pareto'!G$14/'[2]Konsumsi &amp; pareto'!G$10*H12,0)</f>
        <v>1.1636910826033293</v>
      </c>
      <c r="I51" s="52">
        <f>IFERROR('[2]Konsumsi &amp; pareto'!H$14/'[2]Konsumsi &amp; pareto'!H$10*I12,0)</f>
        <v>5.481177132723583</v>
      </c>
      <c r="J51" s="52">
        <f>IFERROR('[2]Konsumsi &amp; pareto'!I$14/'[2]Konsumsi &amp; pareto'!I$10*J12,0)</f>
        <v>2.7613795521684987</v>
      </c>
      <c r="K51" s="52">
        <f>IFERROR('[2]Konsumsi &amp; pareto'!J$14/'[2]Konsumsi &amp; pareto'!J$10*K12,0)</f>
        <v>2.8830095037480037</v>
      </c>
      <c r="L51" s="52">
        <f>IFERROR('[2]Konsumsi &amp; pareto'!K$14/'[2]Konsumsi &amp; pareto'!K$10*L12,0)</f>
        <v>2.2356301769092766</v>
      </c>
      <c r="M51" s="52">
        <f>IFERROR('[2]Konsumsi &amp; pareto'!L$14/'[2]Konsumsi &amp; pareto'!L$10*M12,0)</f>
        <v>2.0039072696068332</v>
      </c>
      <c r="N51" s="52">
        <f>IFERROR('[2]Konsumsi &amp; pareto'!M$14/'[2]Konsumsi &amp; pareto'!M$10*N12,0)</f>
        <v>4.7896278139360877</v>
      </c>
      <c r="O51" s="52">
        <f>IFERROR('[2]Konsumsi &amp; pareto'!N$14/'[2]Konsumsi &amp; pareto'!N$10*O12,0)</f>
        <v>5.3584771714159549</v>
      </c>
      <c r="P51" s="52">
        <f>IFERROR('[2]Konsumsi &amp; pareto'!O$14/'[2]Konsumsi &amp; pareto'!O$10*P12,0)</f>
        <v>4.8834470147409759</v>
      </c>
      <c r="Q51" s="52">
        <f>IFERROR('[2]Konsumsi &amp; pareto'!P$14/'[2]Konsumsi &amp; pareto'!P$10*Q12,0)</f>
        <v>1.2776539312425885</v>
      </c>
      <c r="R51" s="52">
        <f>IFERROR('[2]Konsumsi &amp; pareto'!Q$14/'[2]Konsumsi &amp; pareto'!Q$10*R12,0)</f>
        <v>5.502655313674139</v>
      </c>
      <c r="S51" s="52">
        <f>IFERROR('[2]Konsumsi &amp; pareto'!R$14/'[2]Konsumsi &amp; pareto'!R$10*S12,0)</f>
        <v>3.9724649265470204</v>
      </c>
      <c r="T51" s="52">
        <f>IFERROR('[2]Konsumsi &amp; pareto'!S$14/'[2]Konsumsi &amp; pareto'!S$10*T12,0)</f>
        <v>0</v>
      </c>
      <c r="U51" s="52">
        <f>IFERROR('[2]Konsumsi &amp; pareto'!T$14/'[2]Konsumsi &amp; pareto'!T$10*U12,0)</f>
        <v>0</v>
      </c>
      <c r="V51" s="52">
        <f>IFERROR('[2]Konsumsi &amp; pareto'!U$14/'[2]Konsumsi &amp; pareto'!U$10*V12,0)</f>
        <v>0</v>
      </c>
      <c r="W51" s="52">
        <f>IFERROR('[2]Konsumsi &amp; pareto'!V$14/'[2]Konsumsi &amp; pareto'!V$10*W12,0)</f>
        <v>0</v>
      </c>
      <c r="X51" s="52">
        <f>IFERROR('[2]Konsumsi &amp; pareto'!W$14/'[2]Konsumsi &amp; pareto'!W$10*X12,0)</f>
        <v>0</v>
      </c>
      <c r="Y51" s="52">
        <f>IFERROR('[2]Konsumsi &amp; pareto'!X$14/'[2]Konsumsi &amp; pareto'!X$10*Y12,0)</f>
        <v>0</v>
      </c>
      <c r="Z51" s="52">
        <f>IFERROR('[2]Konsumsi &amp; pareto'!Y$14/'[2]Konsumsi &amp; pareto'!Y$10*Z12,0)</f>
        <v>0</v>
      </c>
      <c r="AA51" s="52">
        <f>IFERROR('[2]Konsumsi &amp; pareto'!Z$14/'[2]Konsumsi &amp; pareto'!Z$10*AA12,0)</f>
        <v>0</v>
      </c>
      <c r="AB51" s="52">
        <f>IFERROR('[2]Konsumsi &amp; pareto'!AA$14/'[2]Konsumsi &amp; pareto'!AA$10*AB12,0)</f>
        <v>0</v>
      </c>
      <c r="AC51" s="52">
        <f>IFERROR('[2]Konsumsi &amp; pareto'!AB$14/'[2]Konsumsi &amp; pareto'!AB$10*AC12,0)</f>
        <v>0</v>
      </c>
      <c r="AD51" s="52">
        <f>IFERROR('[2]Konsumsi &amp; pareto'!AC$14/'[2]Konsumsi &amp; pareto'!AC$10*AD12,0)</f>
        <v>0</v>
      </c>
      <c r="AE51" s="52">
        <f>IFERROR('[2]Konsumsi &amp; pareto'!AD$14/'[2]Konsumsi &amp; pareto'!AD$10*AE12,0)</f>
        <v>0</v>
      </c>
    </row>
    <row r="52" spans="2:31" ht="15.75" thickBot="1">
      <c r="B52" s="12" t="s">
        <v>65</v>
      </c>
      <c r="C52" s="27"/>
      <c r="D52" s="116"/>
      <c r="E52" s="37"/>
      <c r="F52" s="93"/>
      <c r="G52" s="124">
        <f t="shared" si="33"/>
        <v>227.46808803520818</v>
      </c>
      <c r="H52" s="52">
        <f>IFERROR('[2]Konsumsi &amp; pareto'!G$15/'[2]Konsumsi &amp; pareto'!G$10*H12,0)</f>
        <v>11.337017851062132</v>
      </c>
      <c r="I52" s="52">
        <f>IFERROR('[2]Konsumsi &amp; pareto'!H$15/'[2]Konsumsi &amp; pareto'!H$10*I12,0)</f>
        <v>10.921044922652122</v>
      </c>
      <c r="J52" s="52">
        <f>IFERROR('[2]Konsumsi &amp; pareto'!I$15/'[2]Konsumsi &amp; pareto'!I$10*J12,0)</f>
        <v>19.732610278365012</v>
      </c>
      <c r="K52" s="52">
        <f>IFERROR('[2]Konsumsi &amp; pareto'!J$15/'[2]Konsumsi &amp; pareto'!J$10*K12,0)</f>
        <v>18.88885189129207</v>
      </c>
      <c r="L52" s="52">
        <f>IFERROR('[2]Konsumsi &amp; pareto'!K$15/'[2]Konsumsi &amp; pareto'!K$10*L12,0)</f>
        <v>16.59154524220412</v>
      </c>
      <c r="M52" s="52">
        <f>IFERROR('[2]Konsumsi &amp; pareto'!L$15/'[2]Konsumsi &amp; pareto'!L$10*M12,0)</f>
        <v>13.768572155620763</v>
      </c>
      <c r="N52" s="52">
        <f>IFERROR('[2]Konsumsi &amp; pareto'!M$15/'[2]Konsumsi &amp; pareto'!M$10*N12,0)</f>
        <v>20.730490913409412</v>
      </c>
      <c r="O52" s="52">
        <f>IFERROR('[2]Konsumsi &amp; pareto'!N$15/'[2]Konsumsi &amp; pareto'!N$10*O12,0)</f>
        <v>25.188544776073247</v>
      </c>
      <c r="P52" s="52">
        <f>IFERROR('[2]Konsumsi &amp; pareto'!O$15/'[2]Konsumsi &amp; pareto'!O$10*P12,0)</f>
        <v>43.259327474173233</v>
      </c>
      <c r="Q52" s="52">
        <f>IFERROR('[2]Konsumsi &amp; pareto'!P$15/'[2]Konsumsi &amp; pareto'!P$10*Q12,0)</f>
        <v>9.7240814961074555</v>
      </c>
      <c r="R52" s="52">
        <f>IFERROR('[2]Konsumsi &amp; pareto'!Q$15/'[2]Konsumsi &amp; pareto'!Q$10*R12,0)</f>
        <v>17.92270123985379</v>
      </c>
      <c r="S52" s="52">
        <f>IFERROR('[2]Konsumsi &amp; pareto'!R$15/'[2]Konsumsi &amp; pareto'!R$10*S12,0)</f>
        <v>19.403299794394819</v>
      </c>
      <c r="T52" s="52">
        <f>IFERROR('[2]Konsumsi &amp; pareto'!S$15/'[2]Konsumsi &amp; pareto'!S$10*T12,0)</f>
        <v>0</v>
      </c>
      <c r="U52" s="52">
        <f>IFERROR('[2]Konsumsi &amp; pareto'!T$15/'[2]Konsumsi &amp; pareto'!T$10*U12,0)</f>
        <v>0</v>
      </c>
      <c r="V52" s="52">
        <f>IFERROR('[2]Konsumsi &amp; pareto'!U$15/'[2]Konsumsi &amp; pareto'!U$10*V12,0)</f>
        <v>0</v>
      </c>
      <c r="W52" s="52">
        <f>IFERROR('[2]Konsumsi &amp; pareto'!V$15/'[2]Konsumsi &amp; pareto'!V$10*W12,0)</f>
        <v>0</v>
      </c>
      <c r="X52" s="52">
        <f>IFERROR('[2]Konsumsi &amp; pareto'!W$15/'[2]Konsumsi &amp; pareto'!W$10*X12,0)</f>
        <v>0</v>
      </c>
      <c r="Y52" s="52">
        <f>IFERROR('[2]Konsumsi &amp; pareto'!X$15/'[2]Konsumsi &amp; pareto'!X$10*Y12,0)</f>
        <v>0</v>
      </c>
      <c r="Z52" s="52">
        <f>IFERROR('[2]Konsumsi &amp; pareto'!Y$15/'[2]Konsumsi &amp; pareto'!Y$10*Z12,0)</f>
        <v>0</v>
      </c>
      <c r="AA52" s="52">
        <f>IFERROR('[2]Konsumsi &amp; pareto'!Z$15/'[2]Konsumsi &amp; pareto'!Z$10*AA12,0)</f>
        <v>0</v>
      </c>
      <c r="AB52" s="52">
        <f>IFERROR('[2]Konsumsi &amp; pareto'!AA$15/'[2]Konsumsi &amp; pareto'!AA$10*AB12,0)</f>
        <v>0</v>
      </c>
      <c r="AC52" s="52">
        <f>IFERROR('[2]Konsumsi &amp; pareto'!AB$15/'[2]Konsumsi &amp; pareto'!AB$10*AC12,0)</f>
        <v>0</v>
      </c>
      <c r="AD52" s="52">
        <f>IFERROR('[2]Konsumsi &amp; pareto'!AC$15/'[2]Konsumsi &amp; pareto'!AC$10*AD12,0)</f>
        <v>0</v>
      </c>
      <c r="AE52" s="52">
        <f>IFERROR('[2]Konsumsi &amp; pareto'!AD$15/'[2]Konsumsi &amp; pareto'!AD$10*AE12,0)</f>
        <v>0</v>
      </c>
    </row>
    <row r="53" spans="2:31" ht="15.75" thickBot="1">
      <c r="B53" s="117" t="s">
        <v>66</v>
      </c>
      <c r="C53" s="27"/>
      <c r="D53" s="116"/>
      <c r="E53" s="37"/>
      <c r="F53" s="93"/>
      <c r="G53" s="124">
        <f t="shared" si="33"/>
        <v>274</v>
      </c>
      <c r="H53" s="11">
        <f>IFERROR(H24,0)</f>
        <v>28</v>
      </c>
      <c r="I53" s="11">
        <f t="shared" ref="I53:AE53" si="44">IFERROR(I24,0)</f>
        <v>29</v>
      </c>
      <c r="J53" s="11">
        <f t="shared" si="44"/>
        <v>22</v>
      </c>
      <c r="K53" s="11">
        <f t="shared" si="44"/>
        <v>23</v>
      </c>
      <c r="L53" s="11">
        <f t="shared" si="44"/>
        <v>26</v>
      </c>
      <c r="M53" s="11">
        <f t="shared" si="44"/>
        <v>21</v>
      </c>
      <c r="N53" s="11">
        <f t="shared" si="44"/>
        <v>24</v>
      </c>
      <c r="O53" s="11">
        <f t="shared" si="44"/>
        <v>18</v>
      </c>
      <c r="P53" s="11">
        <f t="shared" si="44"/>
        <v>18</v>
      </c>
      <c r="Q53" s="11">
        <f t="shared" si="44"/>
        <v>9</v>
      </c>
      <c r="R53" s="11">
        <f t="shared" si="44"/>
        <v>31</v>
      </c>
      <c r="S53" s="11">
        <f t="shared" si="44"/>
        <v>25</v>
      </c>
      <c r="T53" s="11">
        <f t="shared" si="44"/>
        <v>0</v>
      </c>
      <c r="U53" s="11">
        <f t="shared" si="44"/>
        <v>0</v>
      </c>
      <c r="V53" s="11">
        <f t="shared" si="44"/>
        <v>0</v>
      </c>
      <c r="W53" s="11">
        <f t="shared" si="44"/>
        <v>0</v>
      </c>
      <c r="X53" s="11">
        <f t="shared" si="44"/>
        <v>0</v>
      </c>
      <c r="Y53" s="11">
        <f t="shared" si="44"/>
        <v>0</v>
      </c>
      <c r="Z53" s="11">
        <f t="shared" si="44"/>
        <v>0</v>
      </c>
      <c r="AA53" s="11">
        <f t="shared" si="44"/>
        <v>0</v>
      </c>
      <c r="AB53" s="11">
        <f t="shared" si="44"/>
        <v>0</v>
      </c>
      <c r="AC53" s="11">
        <f t="shared" si="44"/>
        <v>0</v>
      </c>
      <c r="AD53" s="11">
        <f t="shared" si="44"/>
        <v>0</v>
      </c>
      <c r="AE53" s="11">
        <f t="shared" si="44"/>
        <v>0</v>
      </c>
    </row>
    <row r="54" spans="2:31" ht="15.75" thickBot="1">
      <c r="B54" s="12"/>
      <c r="C54" s="27"/>
      <c r="D54" s="116"/>
      <c r="E54" s="37"/>
      <c r="F54" s="93"/>
      <c r="G54" s="124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spans="2:31" ht="15.75" thickBot="1">
      <c r="B55" s="12" t="s">
        <v>67</v>
      </c>
      <c r="C55" s="27"/>
      <c r="D55" s="116" t="s">
        <v>19</v>
      </c>
      <c r="E55" s="37"/>
      <c r="F55" s="93">
        <f t="shared" si="20"/>
        <v>3744.973644351523</v>
      </c>
      <c r="G55" s="124">
        <f t="shared" si="33"/>
        <v>3744.973644351523</v>
      </c>
      <c r="H55" s="52">
        <f>IFERROR(H41+H46+H50,0)</f>
        <v>236.45357141974114</v>
      </c>
      <c r="I55" s="52">
        <f t="shared" ref="I55:AE55" si="45">IFERROR(I41+I46+I50,0)</f>
        <v>213.4115865592143</v>
      </c>
      <c r="J55" s="52">
        <f t="shared" si="45"/>
        <v>273.22644794597676</v>
      </c>
      <c r="K55" s="52">
        <f t="shared" si="45"/>
        <v>382.80237883086676</v>
      </c>
      <c r="L55" s="52">
        <f t="shared" si="45"/>
        <v>398.29816013933589</v>
      </c>
      <c r="M55" s="52">
        <f t="shared" si="45"/>
        <v>257.47009920572447</v>
      </c>
      <c r="N55" s="52">
        <f t="shared" si="45"/>
        <v>492.49531809688801</v>
      </c>
      <c r="O55" s="52">
        <f t="shared" si="45"/>
        <v>403.78228193649238</v>
      </c>
      <c r="P55" s="52">
        <f t="shared" si="45"/>
        <v>382.83832156971982</v>
      </c>
      <c r="Q55" s="52">
        <f t="shared" si="45"/>
        <v>35.682084019348906</v>
      </c>
      <c r="R55" s="52">
        <f t="shared" si="45"/>
        <v>459.53318465077058</v>
      </c>
      <c r="S55" s="52">
        <f t="shared" si="45"/>
        <v>208.98020997744359</v>
      </c>
      <c r="T55" s="52">
        <f t="shared" si="45"/>
        <v>0</v>
      </c>
      <c r="U55" s="52">
        <f t="shared" si="45"/>
        <v>0</v>
      </c>
      <c r="V55" s="52">
        <f t="shared" si="45"/>
        <v>0</v>
      </c>
      <c r="W55" s="52">
        <f t="shared" si="45"/>
        <v>0</v>
      </c>
      <c r="X55" s="52">
        <f t="shared" si="45"/>
        <v>0</v>
      </c>
      <c r="Y55" s="52">
        <f t="shared" si="45"/>
        <v>0</v>
      </c>
      <c r="Z55" s="52">
        <f t="shared" si="45"/>
        <v>0</v>
      </c>
      <c r="AA55" s="52">
        <f t="shared" si="45"/>
        <v>0</v>
      </c>
      <c r="AB55" s="52">
        <f t="shared" si="45"/>
        <v>0</v>
      </c>
      <c r="AC55" s="52">
        <f t="shared" si="45"/>
        <v>0</v>
      </c>
      <c r="AD55" s="52">
        <f t="shared" si="45"/>
        <v>0</v>
      </c>
      <c r="AE55" s="52">
        <f t="shared" si="45"/>
        <v>0</v>
      </c>
    </row>
    <row r="56" spans="2:31" ht="15.75" thickBot="1">
      <c r="B56" s="12" t="s">
        <v>68</v>
      </c>
      <c r="C56" s="27"/>
      <c r="D56" s="116" t="s">
        <v>19</v>
      </c>
      <c r="E56" s="37"/>
      <c r="F56" s="93">
        <f t="shared" si="20"/>
        <v>4229.468088035208</v>
      </c>
      <c r="G56" s="124">
        <f t="shared" si="33"/>
        <v>4229.468088035208</v>
      </c>
      <c r="H56" s="52">
        <f>IFERROR(H42+H47+H52,0)</f>
        <v>411.33701785106211</v>
      </c>
      <c r="I56" s="52">
        <f t="shared" ref="I56:AE56" si="46">IFERROR(I42+I47+I52,0)</f>
        <v>392.92104492265213</v>
      </c>
      <c r="J56" s="52">
        <f t="shared" si="46"/>
        <v>385.73261027836503</v>
      </c>
      <c r="K56" s="52">
        <f t="shared" si="46"/>
        <v>372.88885189129206</v>
      </c>
      <c r="L56" s="52">
        <f t="shared" si="46"/>
        <v>377.59154524220412</v>
      </c>
      <c r="M56" s="52">
        <f t="shared" si="46"/>
        <v>349.76857215562075</v>
      </c>
      <c r="N56" s="52">
        <f t="shared" si="46"/>
        <v>380.73049091340943</v>
      </c>
      <c r="O56" s="52">
        <f t="shared" si="46"/>
        <v>337.18854477607323</v>
      </c>
      <c r="P56" s="52">
        <f t="shared" si="46"/>
        <v>368.25932747417323</v>
      </c>
      <c r="Q56" s="52">
        <f t="shared" si="46"/>
        <v>121.72408149610746</v>
      </c>
      <c r="R56" s="52">
        <f t="shared" si="46"/>
        <v>364.92270123985378</v>
      </c>
      <c r="S56" s="52">
        <f t="shared" si="46"/>
        <v>366.4032997943948</v>
      </c>
      <c r="T56" s="52">
        <f t="shared" si="46"/>
        <v>0</v>
      </c>
      <c r="U56" s="52">
        <f t="shared" si="46"/>
        <v>0</v>
      </c>
      <c r="V56" s="52">
        <f t="shared" si="46"/>
        <v>0</v>
      </c>
      <c r="W56" s="52">
        <f t="shared" si="46"/>
        <v>0</v>
      </c>
      <c r="X56" s="52">
        <f t="shared" si="46"/>
        <v>0</v>
      </c>
      <c r="Y56" s="52">
        <f t="shared" si="46"/>
        <v>0</v>
      </c>
      <c r="Z56" s="52">
        <f t="shared" si="46"/>
        <v>0</v>
      </c>
      <c r="AA56" s="52">
        <f t="shared" si="46"/>
        <v>0</v>
      </c>
      <c r="AB56" s="52">
        <f t="shared" si="46"/>
        <v>0</v>
      </c>
      <c r="AC56" s="52">
        <f t="shared" si="46"/>
        <v>0</v>
      </c>
      <c r="AD56" s="52">
        <f t="shared" si="46"/>
        <v>0</v>
      </c>
      <c r="AE56" s="52">
        <f t="shared" si="46"/>
        <v>0</v>
      </c>
    </row>
    <row r="57" spans="2:31">
      <c r="B57" s="12" t="s">
        <v>69</v>
      </c>
      <c r="C57" s="27"/>
      <c r="D57" s="116" t="s">
        <v>19</v>
      </c>
      <c r="E57" s="37"/>
      <c r="F57" s="93">
        <f t="shared" ref="F57" si="47">SUM(H57:AE57)</f>
        <v>42.313120889316288</v>
      </c>
      <c r="G57" s="124">
        <f t="shared" si="33"/>
        <v>42.313120889316288</v>
      </c>
      <c r="H57" s="52">
        <f>IFERROR(H51,0)</f>
        <v>1.1636910826033293</v>
      </c>
      <c r="I57" s="52">
        <f t="shared" ref="I57:AE57" si="48">IFERROR(I51,0)</f>
        <v>5.481177132723583</v>
      </c>
      <c r="J57" s="52">
        <f t="shared" si="48"/>
        <v>2.7613795521684987</v>
      </c>
      <c r="K57" s="52">
        <f t="shared" si="48"/>
        <v>2.8830095037480037</v>
      </c>
      <c r="L57" s="52">
        <f t="shared" si="48"/>
        <v>2.2356301769092766</v>
      </c>
      <c r="M57" s="52">
        <f t="shared" si="48"/>
        <v>2.0039072696068332</v>
      </c>
      <c r="N57" s="52">
        <f t="shared" si="48"/>
        <v>4.7896278139360877</v>
      </c>
      <c r="O57" s="52">
        <f t="shared" si="48"/>
        <v>5.3584771714159549</v>
      </c>
      <c r="P57" s="52">
        <f t="shared" si="48"/>
        <v>4.8834470147409759</v>
      </c>
      <c r="Q57" s="52">
        <f t="shared" si="48"/>
        <v>1.2776539312425885</v>
      </c>
      <c r="R57" s="52">
        <f t="shared" si="48"/>
        <v>5.502655313674139</v>
      </c>
      <c r="S57" s="52">
        <f t="shared" si="48"/>
        <v>3.9724649265470204</v>
      </c>
      <c r="T57" s="52">
        <f t="shared" si="48"/>
        <v>0</v>
      </c>
      <c r="U57" s="52">
        <f t="shared" si="48"/>
        <v>0</v>
      </c>
      <c r="V57" s="52">
        <f t="shared" si="48"/>
        <v>0</v>
      </c>
      <c r="W57" s="52">
        <f t="shared" si="48"/>
        <v>0</v>
      </c>
      <c r="X57" s="52">
        <f t="shared" si="48"/>
        <v>0</v>
      </c>
      <c r="Y57" s="52">
        <f t="shared" si="48"/>
        <v>0</v>
      </c>
      <c r="Z57" s="52">
        <f t="shared" si="48"/>
        <v>0</v>
      </c>
      <c r="AA57" s="52">
        <f t="shared" si="48"/>
        <v>0</v>
      </c>
      <c r="AB57" s="52">
        <f t="shared" si="48"/>
        <v>0</v>
      </c>
      <c r="AC57" s="52">
        <f t="shared" si="48"/>
        <v>0</v>
      </c>
      <c r="AD57" s="52">
        <f t="shared" si="48"/>
        <v>0</v>
      </c>
      <c r="AE57" s="52">
        <f t="shared" si="48"/>
        <v>0</v>
      </c>
    </row>
    <row r="58" spans="2:31">
      <c r="H58" s="157">
        <f>SUM(H26:I27)</f>
        <v>162.5</v>
      </c>
      <c r="I58" s="157"/>
      <c r="J58" s="157">
        <f t="shared" ref="J58" si="49">SUM(J26:K27)</f>
        <v>0</v>
      </c>
      <c r="K58" s="157"/>
      <c r="L58" s="157">
        <f t="shared" ref="L58" si="50">SUM(L26:M27)</f>
        <v>0</v>
      </c>
      <c r="M58" s="157"/>
      <c r="N58" s="157">
        <f t="shared" ref="N58" si="51">SUM(N26:O27)</f>
        <v>0</v>
      </c>
      <c r="O58" s="157"/>
      <c r="P58" s="157">
        <f t="shared" ref="P58" si="52">SUM(P26:Q27)</f>
        <v>0</v>
      </c>
      <c r="Q58" s="157"/>
    </row>
    <row r="59" spans="2:31">
      <c r="L59" s="87"/>
      <c r="M59" s="87"/>
      <c r="N59" s="87"/>
      <c r="O59" s="87"/>
    </row>
    <row r="60" spans="2:31">
      <c r="L60" s="66"/>
      <c r="M60" s="66"/>
      <c r="N60" s="66"/>
      <c r="O60" s="66"/>
    </row>
    <row r="61" spans="2:31">
      <c r="L61" s="66"/>
      <c r="M61" s="66"/>
      <c r="N61" s="66"/>
      <c r="O61" s="66"/>
    </row>
    <row r="62" spans="2:31">
      <c r="B62" s="148" t="s">
        <v>1</v>
      </c>
      <c r="C62" s="151"/>
      <c r="D62" s="150"/>
      <c r="E62" s="150"/>
      <c r="F62" s="132"/>
      <c r="G62" s="132"/>
      <c r="H62" s="142" t="s">
        <v>6</v>
      </c>
      <c r="I62" s="142"/>
      <c r="J62" s="142" t="s">
        <v>7</v>
      </c>
      <c r="K62" s="142"/>
      <c r="L62" s="142" t="s">
        <v>8</v>
      </c>
      <c r="M62" s="142"/>
      <c r="N62" s="142" t="s">
        <v>9</v>
      </c>
      <c r="O62" s="142"/>
      <c r="P62" s="142" t="s">
        <v>10</v>
      </c>
      <c r="Q62" s="142"/>
      <c r="R62" s="142" t="s">
        <v>11</v>
      </c>
      <c r="S62" s="142"/>
      <c r="T62" s="142" t="s">
        <v>12</v>
      </c>
      <c r="U62" s="142"/>
      <c r="V62" s="142" t="s">
        <v>13</v>
      </c>
      <c r="W62" s="142"/>
      <c r="X62" s="142" t="s">
        <v>14</v>
      </c>
      <c r="Y62" s="142"/>
      <c r="Z62" s="142" t="s">
        <v>15</v>
      </c>
      <c r="AA62" s="142"/>
      <c r="AB62" s="142" t="s">
        <v>16</v>
      </c>
      <c r="AC62" s="142"/>
      <c r="AD62" s="142" t="s">
        <v>17</v>
      </c>
      <c r="AE62" s="142"/>
    </row>
    <row r="63" spans="2:31">
      <c r="B63" s="149"/>
      <c r="C63" s="152"/>
      <c r="D63" s="150"/>
      <c r="E63" s="150"/>
      <c r="F63" s="132"/>
      <c r="G63" s="132"/>
      <c r="H63" s="134">
        <v>15</v>
      </c>
      <c r="I63" s="134">
        <v>31</v>
      </c>
      <c r="J63" s="134">
        <v>14</v>
      </c>
      <c r="K63" s="134">
        <v>28</v>
      </c>
      <c r="L63" s="134">
        <v>15</v>
      </c>
      <c r="M63" s="134">
        <v>31</v>
      </c>
      <c r="N63" s="134">
        <v>15</v>
      </c>
      <c r="O63" s="134">
        <v>30</v>
      </c>
      <c r="P63" s="134">
        <v>15</v>
      </c>
      <c r="Q63" s="134">
        <v>31</v>
      </c>
      <c r="R63" s="134">
        <v>15</v>
      </c>
      <c r="S63" s="134">
        <v>30</v>
      </c>
      <c r="T63" s="134">
        <v>15</v>
      </c>
      <c r="U63" s="134">
        <v>31</v>
      </c>
      <c r="V63" s="134">
        <v>15</v>
      </c>
      <c r="W63" s="134">
        <v>31</v>
      </c>
      <c r="X63" s="134">
        <v>15</v>
      </c>
      <c r="Y63" s="134">
        <v>30</v>
      </c>
      <c r="Z63" s="134">
        <v>15</v>
      </c>
      <c r="AA63" s="134">
        <v>31</v>
      </c>
      <c r="AB63" s="134">
        <v>15</v>
      </c>
      <c r="AC63" s="134">
        <v>30</v>
      </c>
      <c r="AD63" s="134">
        <v>15</v>
      </c>
      <c r="AE63" s="134">
        <v>31</v>
      </c>
    </row>
    <row r="64" spans="2:31">
      <c r="B64" s="74" t="s">
        <v>70</v>
      </c>
      <c r="C64" s="74"/>
      <c r="D64" s="13" t="s">
        <v>71</v>
      </c>
      <c r="E64" s="75"/>
      <c r="F64" s="75"/>
      <c r="G64" s="75"/>
      <c r="H64" s="76">
        <f>IFERROR(H31+H33+H34+H35+H36+H37,0)</f>
        <v>3673.0457196465936</v>
      </c>
      <c r="I64" s="76">
        <f t="shared" ref="I64:AE64" si="53">IFERROR(I31+I33+I34+I35+I36+I37,0)</f>
        <v>2239.18619138541</v>
      </c>
      <c r="J64" s="76">
        <f>IFERROR(J31+J33+J34+J35+J36+J37,0)</f>
        <v>2605.2795622234898</v>
      </c>
      <c r="K64" s="76">
        <f t="shared" si="53"/>
        <v>1895.4257597740932</v>
      </c>
      <c r="L64" s="76">
        <f t="shared" si="53"/>
        <v>3187.8746644415505</v>
      </c>
      <c r="M64" s="76">
        <f t="shared" si="53"/>
        <v>2246.7574213690477</v>
      </c>
      <c r="N64" s="76">
        <f t="shared" si="53"/>
        <v>3647.9845631757667</v>
      </c>
      <c r="O64" s="76">
        <f t="shared" si="53"/>
        <v>2413.6706961160185</v>
      </c>
      <c r="P64" s="76">
        <f t="shared" si="53"/>
        <v>1910.018903941366</v>
      </c>
      <c r="Q64" s="76">
        <f t="shared" si="53"/>
        <v>767.31618055330102</v>
      </c>
      <c r="R64" s="76">
        <f t="shared" si="53"/>
        <v>2708.0414587957016</v>
      </c>
      <c r="S64" s="76">
        <f t="shared" si="53"/>
        <v>2262.6440253016144</v>
      </c>
      <c r="T64" s="76">
        <f t="shared" si="53"/>
        <v>0</v>
      </c>
      <c r="U64" s="76">
        <f t="shared" si="53"/>
        <v>0</v>
      </c>
      <c r="V64" s="76">
        <f t="shared" si="53"/>
        <v>0</v>
      </c>
      <c r="W64" s="76">
        <f t="shared" si="53"/>
        <v>0</v>
      </c>
      <c r="X64" s="76">
        <f t="shared" si="53"/>
        <v>0</v>
      </c>
      <c r="Y64" s="76">
        <f t="shared" si="53"/>
        <v>0</v>
      </c>
      <c r="Z64" s="76">
        <f t="shared" si="53"/>
        <v>0</v>
      </c>
      <c r="AA64" s="76">
        <f t="shared" si="53"/>
        <v>0</v>
      </c>
      <c r="AB64" s="76">
        <f t="shared" si="53"/>
        <v>0</v>
      </c>
      <c r="AC64" s="76">
        <f t="shared" si="53"/>
        <v>0</v>
      </c>
      <c r="AD64" s="76">
        <f t="shared" si="53"/>
        <v>0</v>
      </c>
      <c r="AE64" s="76">
        <f t="shared" si="53"/>
        <v>0</v>
      </c>
    </row>
    <row r="65" spans="2:31">
      <c r="B65" s="74" t="s">
        <v>72</v>
      </c>
      <c r="C65" s="74"/>
      <c r="D65" s="13" t="s">
        <v>71</v>
      </c>
      <c r="E65" s="75"/>
      <c r="F65" s="75"/>
      <c r="G65" s="75"/>
      <c r="H65" s="76">
        <f>IFERROR(H25,0)</f>
        <v>191</v>
      </c>
      <c r="I65" s="76">
        <f t="shared" ref="I65:AE65" si="54">IFERROR(I25,0)</f>
        <v>176</v>
      </c>
      <c r="J65" s="76">
        <f t="shared" si="54"/>
        <v>177</v>
      </c>
      <c r="K65" s="76">
        <f t="shared" si="54"/>
        <v>144</v>
      </c>
      <c r="L65" s="76">
        <f t="shared" si="54"/>
        <v>191</v>
      </c>
      <c r="M65" s="76">
        <f t="shared" si="54"/>
        <v>160</v>
      </c>
      <c r="N65" s="76">
        <f t="shared" si="54"/>
        <v>195</v>
      </c>
      <c r="O65" s="76">
        <f t="shared" si="54"/>
        <v>146</v>
      </c>
      <c r="P65" s="76">
        <f t="shared" si="54"/>
        <v>137</v>
      </c>
      <c r="Q65" s="76">
        <f t="shared" si="54"/>
        <v>104</v>
      </c>
      <c r="R65" s="76">
        <f t="shared" si="54"/>
        <v>363</v>
      </c>
      <c r="S65" s="76">
        <f t="shared" si="54"/>
        <v>269</v>
      </c>
      <c r="T65" s="76">
        <f t="shared" si="54"/>
        <v>0</v>
      </c>
      <c r="U65" s="76">
        <f t="shared" si="54"/>
        <v>0</v>
      </c>
      <c r="V65" s="76">
        <f t="shared" si="54"/>
        <v>0</v>
      </c>
      <c r="W65" s="76">
        <f t="shared" si="54"/>
        <v>0</v>
      </c>
      <c r="X65" s="76">
        <f t="shared" si="54"/>
        <v>0</v>
      </c>
      <c r="Y65" s="76">
        <f t="shared" si="54"/>
        <v>0</v>
      </c>
      <c r="Z65" s="76">
        <f t="shared" si="54"/>
        <v>0</v>
      </c>
      <c r="AA65" s="76">
        <f t="shared" si="54"/>
        <v>0</v>
      </c>
      <c r="AB65" s="76">
        <f t="shared" si="54"/>
        <v>0</v>
      </c>
      <c r="AC65" s="76">
        <f t="shared" si="54"/>
        <v>0</v>
      </c>
      <c r="AD65" s="76">
        <f t="shared" si="54"/>
        <v>0</v>
      </c>
      <c r="AE65" s="76">
        <f t="shared" si="54"/>
        <v>0</v>
      </c>
    </row>
    <row r="66" spans="2:31">
      <c r="B66" s="74" t="s">
        <v>73</v>
      </c>
      <c r="C66" s="74"/>
      <c r="D66" s="13" t="s">
        <v>71</v>
      </c>
      <c r="E66" s="75"/>
      <c r="F66" s="89"/>
      <c r="G66" s="89"/>
      <c r="H66" s="140">
        <f>SUM(H64:I64)</f>
        <v>5912.2319110320041</v>
      </c>
      <c r="I66" s="141"/>
      <c r="J66" s="140">
        <f>SUM(J64:K64)</f>
        <v>4500.7053219975833</v>
      </c>
      <c r="K66" s="141"/>
      <c r="L66" s="140">
        <f>SUM(L64:M64)</f>
        <v>5434.6320858105983</v>
      </c>
      <c r="M66" s="141"/>
      <c r="N66" s="140">
        <f>SUM(N64:O64)</f>
        <v>6061.6552592917851</v>
      </c>
      <c r="O66" s="141"/>
      <c r="P66" s="140">
        <f>SUM(P64:Q64)</f>
        <v>2677.3350844946672</v>
      </c>
      <c r="Q66" s="141"/>
      <c r="R66" s="140">
        <f>SUM(R64:S64)</f>
        <v>4970.6854840973156</v>
      </c>
      <c r="S66" s="141"/>
      <c r="T66" s="140">
        <f>SUM(T64:U64)</f>
        <v>0</v>
      </c>
      <c r="U66" s="141"/>
      <c r="V66" s="140">
        <f>SUM(V64:W64)</f>
        <v>0</v>
      </c>
      <c r="W66" s="141"/>
      <c r="X66" s="140">
        <f>SUM(X64:Y64)</f>
        <v>0</v>
      </c>
      <c r="Y66" s="141"/>
      <c r="Z66" s="140">
        <f>SUM(Z64:AA64)</f>
        <v>0</v>
      </c>
      <c r="AA66" s="141"/>
      <c r="AB66" s="140">
        <f>SUM(AB64:AC64)</f>
        <v>0</v>
      </c>
      <c r="AC66" s="141"/>
      <c r="AD66" s="140">
        <f>SUM(AD64:AE64)</f>
        <v>0</v>
      </c>
      <c r="AE66" s="141"/>
    </row>
    <row r="67" spans="2:31">
      <c r="B67" s="74" t="s">
        <v>74</v>
      </c>
      <c r="C67" s="74"/>
      <c r="D67" s="13" t="s">
        <v>71</v>
      </c>
      <c r="E67" s="75"/>
      <c r="F67" s="89"/>
      <c r="G67" s="89"/>
      <c r="H67" s="140">
        <f>SUM(H65:I65)</f>
        <v>367</v>
      </c>
      <c r="I67" s="141"/>
      <c r="J67" s="140">
        <f>SUM(J65:K65)</f>
        <v>321</v>
      </c>
      <c r="K67" s="141"/>
      <c r="L67" s="140">
        <f>SUM(L65:M65)</f>
        <v>351</v>
      </c>
      <c r="M67" s="141"/>
      <c r="N67" s="140">
        <f>SUM(N65:O65)</f>
        <v>341</v>
      </c>
      <c r="O67" s="141"/>
      <c r="P67" s="140">
        <f>SUM(P65:Q65)</f>
        <v>241</v>
      </c>
      <c r="Q67" s="141"/>
      <c r="R67" s="140">
        <f>SUM(R65:S65)</f>
        <v>632</v>
      </c>
      <c r="S67" s="141"/>
      <c r="T67" s="140">
        <f>SUM(T65:U65)</f>
        <v>0</v>
      </c>
      <c r="U67" s="141"/>
      <c r="V67" s="140">
        <f>SUM(V65:W65)</f>
        <v>0</v>
      </c>
      <c r="W67" s="141"/>
      <c r="X67" s="140">
        <f>SUM(X65:Y65)</f>
        <v>0</v>
      </c>
      <c r="Y67" s="141"/>
      <c r="Z67" s="140">
        <f>SUM(Z65:AA65)</f>
        <v>0</v>
      </c>
      <c r="AA67" s="141"/>
      <c r="AB67" s="140">
        <f>SUM(AB65:AC65)</f>
        <v>0</v>
      </c>
      <c r="AC67" s="141"/>
      <c r="AD67" s="140">
        <f>SUM(AD65:AE65)</f>
        <v>0</v>
      </c>
      <c r="AE67" s="141"/>
    </row>
    <row r="68" spans="2:31">
      <c r="B68" s="78" t="s">
        <v>75</v>
      </c>
      <c r="C68" s="79"/>
      <c r="D68" s="13" t="s">
        <v>71</v>
      </c>
      <c r="E68" s="75"/>
      <c r="F68" s="75"/>
      <c r="G68" s="75"/>
      <c r="H68" s="77">
        <f>IFERROR(H40+H44+H45+H46+H47+H49+H50+H51+H52+H53,0)</f>
        <v>1007.9085607068132</v>
      </c>
      <c r="I68" s="77">
        <f t="shared" ref="I68:AE68" si="55">IFERROR(I40+I44+I45+I46+I47+I49+I50+I51+I52+I53,0)</f>
        <v>901.62761722918003</v>
      </c>
      <c r="J68" s="77">
        <f t="shared" si="55"/>
        <v>1059.4408755530205</v>
      </c>
      <c r="K68" s="77">
        <f t="shared" si="55"/>
        <v>1229.1484804518136</v>
      </c>
      <c r="L68" s="77">
        <f t="shared" si="55"/>
        <v>1272.2506711168987</v>
      </c>
      <c r="M68" s="77">
        <f t="shared" si="55"/>
        <v>955.48515726190419</v>
      </c>
      <c r="N68" s="77">
        <f t="shared" si="55"/>
        <v>1460.0308736484669</v>
      </c>
      <c r="O68" s="77">
        <f t="shared" si="55"/>
        <v>1210.6586077679631</v>
      </c>
      <c r="P68" s="77">
        <f t="shared" si="55"/>
        <v>1229.9621921172679</v>
      </c>
      <c r="Q68" s="77">
        <f t="shared" si="55"/>
        <v>244.3676388933979</v>
      </c>
      <c r="R68" s="77">
        <f t="shared" si="55"/>
        <v>1376.9170824085968</v>
      </c>
      <c r="S68" s="77">
        <f t="shared" si="55"/>
        <v>904.71194939677082</v>
      </c>
      <c r="T68" s="77">
        <f t="shared" si="55"/>
        <v>0</v>
      </c>
      <c r="U68" s="77">
        <f t="shared" si="55"/>
        <v>0</v>
      </c>
      <c r="V68" s="77">
        <f t="shared" si="55"/>
        <v>0</v>
      </c>
      <c r="W68" s="77">
        <f t="shared" si="55"/>
        <v>0</v>
      </c>
      <c r="X68" s="77">
        <f t="shared" si="55"/>
        <v>0</v>
      </c>
      <c r="Y68" s="77">
        <f t="shared" si="55"/>
        <v>0</v>
      </c>
      <c r="Z68" s="77">
        <f t="shared" si="55"/>
        <v>0</v>
      </c>
      <c r="AA68" s="77">
        <f t="shared" si="55"/>
        <v>0</v>
      </c>
      <c r="AB68" s="77">
        <f t="shared" si="55"/>
        <v>0</v>
      </c>
      <c r="AC68" s="77">
        <f t="shared" si="55"/>
        <v>0</v>
      </c>
      <c r="AD68" s="77">
        <f t="shared" si="55"/>
        <v>0</v>
      </c>
      <c r="AE68" s="77">
        <f t="shared" si="55"/>
        <v>0</v>
      </c>
    </row>
    <row r="69" spans="2:31">
      <c r="B69" s="78" t="s">
        <v>76</v>
      </c>
      <c r="C69" s="79"/>
      <c r="D69" s="13" t="s">
        <v>71</v>
      </c>
      <c r="E69" s="75"/>
      <c r="F69" s="75"/>
      <c r="G69" s="75"/>
      <c r="H69" s="77">
        <f>SUM(H$19)</f>
        <v>170</v>
      </c>
      <c r="I69" s="77">
        <f t="shared" ref="I69:AE69" si="56">SUM(I$19)</f>
        <v>170</v>
      </c>
      <c r="J69" s="77">
        <f t="shared" si="56"/>
        <v>170</v>
      </c>
      <c r="K69" s="77">
        <f t="shared" si="56"/>
        <v>170</v>
      </c>
      <c r="L69" s="77">
        <f t="shared" si="56"/>
        <v>170</v>
      </c>
      <c r="M69" s="77">
        <f t="shared" si="56"/>
        <v>170</v>
      </c>
      <c r="N69" s="77">
        <f t="shared" si="56"/>
        <v>170</v>
      </c>
      <c r="O69" s="77">
        <f t="shared" si="56"/>
        <v>170</v>
      </c>
      <c r="P69" s="77">
        <f t="shared" si="56"/>
        <v>170</v>
      </c>
      <c r="Q69" s="77">
        <f t="shared" si="56"/>
        <v>170</v>
      </c>
      <c r="R69" s="77">
        <f t="shared" si="56"/>
        <v>170</v>
      </c>
      <c r="S69" s="77">
        <f t="shared" si="56"/>
        <v>170</v>
      </c>
      <c r="T69" s="77">
        <f t="shared" si="56"/>
        <v>0</v>
      </c>
      <c r="U69" s="77">
        <f t="shared" si="56"/>
        <v>0</v>
      </c>
      <c r="V69" s="77">
        <f t="shared" si="56"/>
        <v>0</v>
      </c>
      <c r="W69" s="77">
        <f t="shared" si="56"/>
        <v>0</v>
      </c>
      <c r="X69" s="77">
        <f t="shared" si="56"/>
        <v>0</v>
      </c>
      <c r="Y69" s="77">
        <f t="shared" si="56"/>
        <v>0</v>
      </c>
      <c r="Z69" s="77">
        <f t="shared" si="56"/>
        <v>0</v>
      </c>
      <c r="AA69" s="77">
        <f t="shared" si="56"/>
        <v>0</v>
      </c>
      <c r="AB69" s="77">
        <f t="shared" si="56"/>
        <v>0</v>
      </c>
      <c r="AC69" s="77">
        <f t="shared" si="56"/>
        <v>0</v>
      </c>
      <c r="AD69" s="77">
        <f t="shared" si="56"/>
        <v>0</v>
      </c>
      <c r="AE69" s="77">
        <f t="shared" si="56"/>
        <v>0</v>
      </c>
    </row>
    <row r="70" spans="2:31">
      <c r="B70" s="78" t="s">
        <v>77</v>
      </c>
      <c r="C70" s="79"/>
      <c r="D70" s="13" t="s">
        <v>71</v>
      </c>
      <c r="E70" s="75"/>
      <c r="F70" s="89"/>
      <c r="G70" s="89"/>
      <c r="H70" s="140">
        <f>SUM(H68:I68)</f>
        <v>1909.5361779359932</v>
      </c>
      <c r="I70" s="141"/>
      <c r="J70" s="140">
        <f>SUM(J68:K68)</f>
        <v>2288.5893560048344</v>
      </c>
      <c r="K70" s="141"/>
      <c r="L70" s="140">
        <f>SUM(L68:M68)</f>
        <v>2227.735828378803</v>
      </c>
      <c r="M70" s="141"/>
      <c r="N70" s="140">
        <f>SUM(N68:O68)</f>
        <v>2670.6894814164298</v>
      </c>
      <c r="O70" s="141"/>
      <c r="P70" s="140">
        <f>SUM(P68:Q68)</f>
        <v>1474.3298310106659</v>
      </c>
      <c r="Q70" s="141"/>
      <c r="R70" s="140">
        <f>SUM(R68:S68)</f>
        <v>2281.6290318053675</v>
      </c>
      <c r="S70" s="141"/>
      <c r="T70" s="140">
        <f>SUM(T68:U68)</f>
        <v>0</v>
      </c>
      <c r="U70" s="141"/>
      <c r="V70" s="140">
        <f>SUM(V68:W68)</f>
        <v>0</v>
      </c>
      <c r="W70" s="141"/>
      <c r="X70" s="140">
        <f>SUM(X68:Y68)</f>
        <v>0</v>
      </c>
      <c r="Y70" s="141"/>
      <c r="Z70" s="140">
        <f>SUM(Z68:AA68)</f>
        <v>0</v>
      </c>
      <c r="AA70" s="141"/>
      <c r="AB70" s="140">
        <f>SUM(AB68:AC68)</f>
        <v>0</v>
      </c>
      <c r="AC70" s="141"/>
      <c r="AD70" s="140">
        <f>SUM(AD68:AE68)</f>
        <v>0</v>
      </c>
      <c r="AE70" s="141"/>
    </row>
    <row r="71" spans="2:31">
      <c r="B71" s="78" t="s">
        <v>78</v>
      </c>
      <c r="C71" s="79"/>
      <c r="D71" s="13" t="s">
        <v>71</v>
      </c>
      <c r="E71" s="75"/>
      <c r="F71" s="89"/>
      <c r="G71" s="89"/>
      <c r="H71" s="140">
        <f>SUM(H69:I69)</f>
        <v>340</v>
      </c>
      <c r="I71" s="141"/>
      <c r="J71" s="140">
        <f>SUM(J69:K69)</f>
        <v>340</v>
      </c>
      <c r="K71" s="141"/>
      <c r="L71" s="140">
        <f>SUM(L69:M69)</f>
        <v>340</v>
      </c>
      <c r="M71" s="141"/>
      <c r="N71" s="140">
        <f>SUM(N69:O69)</f>
        <v>340</v>
      </c>
      <c r="O71" s="141"/>
      <c r="P71" s="140">
        <f>SUM(P69:Q69)</f>
        <v>340</v>
      </c>
      <c r="Q71" s="141"/>
      <c r="R71" s="140">
        <f>SUM(R69:S69)</f>
        <v>340</v>
      </c>
      <c r="S71" s="141"/>
      <c r="T71" s="140">
        <f>SUM(T69:U69)</f>
        <v>0</v>
      </c>
      <c r="U71" s="141"/>
      <c r="V71" s="140">
        <f>SUM(V69:W69)</f>
        <v>0</v>
      </c>
      <c r="W71" s="141"/>
      <c r="X71" s="140">
        <f>SUM(X69:Y69)</f>
        <v>0</v>
      </c>
      <c r="Y71" s="141"/>
      <c r="Z71" s="140">
        <f>SUM(Z69:AA69)</f>
        <v>0</v>
      </c>
      <c r="AA71" s="141"/>
      <c r="AB71" s="140">
        <f>SUM(AB69:AC69)</f>
        <v>0</v>
      </c>
      <c r="AC71" s="141"/>
      <c r="AD71" s="140">
        <f>SUM(AD69:AE69)</f>
        <v>0</v>
      </c>
      <c r="AE71" s="141"/>
    </row>
    <row r="72" spans="2:31">
      <c r="B72" s="78" t="s">
        <v>79</v>
      </c>
      <c r="C72" s="79"/>
      <c r="D72" s="13" t="s">
        <v>71</v>
      </c>
      <c r="E72" s="75"/>
      <c r="F72" s="89"/>
      <c r="G72" s="89"/>
      <c r="H72" s="138">
        <f>SUM(H8:I8)/(SUM(H15:I16))</f>
        <v>0.39966492926284436</v>
      </c>
      <c r="I72" s="139"/>
      <c r="J72" s="138">
        <f>SUM(J8:K8)/(SUM(J15:K16))</f>
        <v>0.73050530255770429</v>
      </c>
      <c r="K72" s="139"/>
      <c r="L72" s="138">
        <f>SUM(L8:M8)/(SUM(L15:M16))</f>
        <v>0.69552037723139104</v>
      </c>
      <c r="M72" s="139"/>
      <c r="N72" s="138">
        <f>SUM(N8:O8)/(SUM(N15:O16))</f>
        <v>0.71836734693877546</v>
      </c>
      <c r="O72" s="139"/>
      <c r="P72" s="138">
        <f>SUM(P8:Q8)/(SUM(P15:Q16))</f>
        <v>0.42724776938915582</v>
      </c>
      <c r="Q72" s="139"/>
      <c r="R72" s="138">
        <f>SUM(R8:S8)/(SUM(R15:S16))</f>
        <v>0.72133790046342938</v>
      </c>
      <c r="S72" s="139"/>
      <c r="T72" s="138" t="e">
        <f>SUM(T8:U8)/(SUM(T15:U16))</f>
        <v>#DIV/0!</v>
      </c>
      <c r="U72" s="139"/>
      <c r="V72" s="138" t="e">
        <f>SUM(V8:W8)/(SUM(V15:W16))</f>
        <v>#DIV/0!</v>
      </c>
      <c r="W72" s="139"/>
      <c r="X72" s="138" t="e">
        <f>SUM(X8:Y8)/(SUM(X15:Y16))</f>
        <v>#DIV/0!</v>
      </c>
      <c r="Y72" s="139"/>
      <c r="Z72" s="138" t="e">
        <f>SUM(Z8:AA8)/(SUM(Z15:AA16))</f>
        <v>#DIV/0!</v>
      </c>
      <c r="AA72" s="139"/>
      <c r="AB72" s="138" t="e">
        <f>SUM(AB8:AC8)/(SUM(AB15:AC16))</f>
        <v>#DIV/0!</v>
      </c>
      <c r="AC72" s="139"/>
      <c r="AD72" s="138" t="e">
        <f>SUM(AD8:AE8)/(SUM(AD15:AE16))</f>
        <v>#DIV/0!</v>
      </c>
      <c r="AE72" s="139"/>
    </row>
    <row r="73" spans="2:31">
      <c r="B73" s="78" t="s">
        <v>79</v>
      </c>
      <c r="C73" s="79"/>
      <c r="D73" s="13" t="s">
        <v>71</v>
      </c>
      <c r="E73" s="75"/>
      <c r="F73" s="89"/>
      <c r="G73" s="89"/>
      <c r="H73" s="138">
        <f>SUM(H8:I8)/(SUM(H29:I29))</f>
        <v>0.28283493610854959</v>
      </c>
      <c r="I73" s="139"/>
      <c r="J73" s="138">
        <f>SUM(J8:K8)/(SUM(J29:K29))</f>
        <v>0.55532722099272847</v>
      </c>
      <c r="K73" s="139"/>
      <c r="L73" s="138">
        <f>SUM(L8:M8)/(SUM(L29:M29))</f>
        <v>0.57131000138331722</v>
      </c>
      <c r="M73" s="139"/>
      <c r="N73" s="138">
        <f>SUM(N8:O8)/(SUM(N29:O29))</f>
        <v>0.56542691214629925</v>
      </c>
      <c r="O73" s="139"/>
      <c r="P73" s="138">
        <f>SUM(P8:Q8)/(SUM(P29:Q29))</f>
        <v>0.31391830559757944</v>
      </c>
      <c r="Q73" s="139"/>
      <c r="R73" s="138">
        <f>SUM(R8:S8)/(SUM(R29:S29))</f>
        <v>0.52716831099985273</v>
      </c>
      <c r="S73" s="139"/>
      <c r="T73" s="138" t="e">
        <f>SUM(T8:U8)/(SUM(T29:U29))</f>
        <v>#DIV/0!</v>
      </c>
      <c r="U73" s="139"/>
      <c r="V73" s="138" t="e">
        <f>SUM(V8:W8)/(SUM(V29:W29))</f>
        <v>#DIV/0!</v>
      </c>
      <c r="W73" s="139"/>
      <c r="X73" s="138" t="e">
        <f>SUM(X8:Y8)/(SUM(X29:Y29))</f>
        <v>#DIV/0!</v>
      </c>
      <c r="Y73" s="139"/>
      <c r="Z73" s="138" t="e">
        <f>SUM(Z8:AA8)/(SUM(Z29:AA29))</f>
        <v>#DIV/0!</v>
      </c>
      <c r="AA73" s="139"/>
      <c r="AB73" s="138" t="e">
        <f>SUM(AB8:AC8)/(SUM(AB29:AC29))</f>
        <v>#DIV/0!</v>
      </c>
      <c r="AC73" s="139"/>
      <c r="AD73" s="138" t="e">
        <f>SUM(AD8:AE8)/(SUM(AD29:AE29))</f>
        <v>#DIV/0!</v>
      </c>
      <c r="AE73" s="139"/>
    </row>
    <row r="74" spans="2:31">
      <c r="B74" s="125" t="s">
        <v>80</v>
      </c>
      <c r="H74" s="87">
        <f>H30/H29</f>
        <v>0.81064791870372843</v>
      </c>
      <c r="I74" s="87">
        <f t="shared" ref="I74:AE74" si="57">I30/I29</f>
        <v>0.73176019326320585</v>
      </c>
      <c r="J74" s="87">
        <f t="shared" si="57"/>
        <v>0.75080102657737458</v>
      </c>
      <c r="K74" s="87">
        <f t="shared" si="57"/>
        <v>0.66366448171361803</v>
      </c>
      <c r="L74" s="87">
        <f t="shared" si="57"/>
        <v>0.76374572698647591</v>
      </c>
      <c r="M74" s="87">
        <f t="shared" si="57"/>
        <v>0.73543614447432015</v>
      </c>
      <c r="N74" s="87">
        <f t="shared" si="57"/>
        <v>0.77059242990616106</v>
      </c>
      <c r="O74" s="87">
        <f t="shared" si="57"/>
        <v>0.718568233437338</v>
      </c>
      <c r="P74" s="87">
        <f t="shared" si="57"/>
        <v>0.66830612454211547</v>
      </c>
      <c r="Q74" s="87">
        <f t="shared" si="57"/>
        <v>0.69252362865821393</v>
      </c>
      <c r="R74" s="87">
        <f t="shared" si="57"/>
        <v>0.72272256706583982</v>
      </c>
      <c r="S74" s="87">
        <f t="shared" si="57"/>
        <v>0.7433127546982965</v>
      </c>
      <c r="T74" s="87" t="e">
        <f t="shared" si="57"/>
        <v>#DIV/0!</v>
      </c>
      <c r="U74" s="87" t="e">
        <f t="shared" si="57"/>
        <v>#DIV/0!</v>
      </c>
      <c r="V74" s="87" t="e">
        <f t="shared" si="57"/>
        <v>#DIV/0!</v>
      </c>
      <c r="W74" s="87" t="e">
        <f t="shared" si="57"/>
        <v>#DIV/0!</v>
      </c>
      <c r="X74" s="87" t="e">
        <f t="shared" si="57"/>
        <v>#DIV/0!</v>
      </c>
      <c r="Y74" s="87" t="e">
        <f t="shared" si="57"/>
        <v>#DIV/0!</v>
      </c>
      <c r="Z74" s="87" t="e">
        <f t="shared" si="57"/>
        <v>#DIV/0!</v>
      </c>
      <c r="AA74" s="87" t="e">
        <f t="shared" si="57"/>
        <v>#DIV/0!</v>
      </c>
      <c r="AB74" s="87" t="e">
        <f t="shared" si="57"/>
        <v>#DIV/0!</v>
      </c>
      <c r="AC74" s="87" t="e">
        <f t="shared" si="57"/>
        <v>#DIV/0!</v>
      </c>
      <c r="AD74" s="87" t="e">
        <f t="shared" si="57"/>
        <v>#DIV/0!</v>
      </c>
      <c r="AE74" s="87" t="e">
        <f t="shared" si="57"/>
        <v>#DIV/0!</v>
      </c>
    </row>
    <row r="75" spans="2:31">
      <c r="B75" s="125" t="s">
        <v>81</v>
      </c>
      <c r="H75" s="87">
        <f>H39/H29</f>
        <v>0.1893520812962716</v>
      </c>
      <c r="I75" s="87">
        <f t="shared" ref="I75:AE75" si="58">I39/I29</f>
        <v>0.2682398067367941</v>
      </c>
      <c r="J75" s="87">
        <f t="shared" si="58"/>
        <v>0.24919897342262542</v>
      </c>
      <c r="K75" s="87">
        <f t="shared" si="58"/>
        <v>0.33633551828638192</v>
      </c>
      <c r="L75" s="87">
        <f t="shared" si="58"/>
        <v>0.23625427301352403</v>
      </c>
      <c r="M75" s="87">
        <f t="shared" si="58"/>
        <v>0.2645638555256799</v>
      </c>
      <c r="N75" s="87">
        <f t="shared" si="58"/>
        <v>0.22940757009383894</v>
      </c>
      <c r="O75" s="87">
        <f t="shared" si="58"/>
        <v>0.28143176656266194</v>
      </c>
      <c r="P75" s="87">
        <f t="shared" si="58"/>
        <v>0.33169387545788453</v>
      </c>
      <c r="Q75" s="87">
        <f t="shared" si="58"/>
        <v>0.30747637134178607</v>
      </c>
      <c r="R75" s="87">
        <f t="shared" si="58"/>
        <v>0.27727743293416024</v>
      </c>
      <c r="S75" s="87">
        <f t="shared" si="58"/>
        <v>0.2566872453017035</v>
      </c>
      <c r="T75" s="87" t="e">
        <f t="shared" si="58"/>
        <v>#DIV/0!</v>
      </c>
      <c r="U75" s="87" t="e">
        <f t="shared" si="58"/>
        <v>#DIV/0!</v>
      </c>
      <c r="V75" s="87" t="e">
        <f t="shared" si="58"/>
        <v>#DIV/0!</v>
      </c>
      <c r="W75" s="87" t="e">
        <f t="shared" si="58"/>
        <v>#DIV/0!</v>
      </c>
      <c r="X75" s="87" t="e">
        <f t="shared" si="58"/>
        <v>#DIV/0!</v>
      </c>
      <c r="Y75" s="87" t="e">
        <f t="shared" si="58"/>
        <v>#DIV/0!</v>
      </c>
      <c r="Z75" s="87" t="e">
        <f t="shared" si="58"/>
        <v>#DIV/0!</v>
      </c>
      <c r="AA75" s="87" t="e">
        <f t="shared" si="58"/>
        <v>#DIV/0!</v>
      </c>
      <c r="AB75" s="87" t="e">
        <f t="shared" si="58"/>
        <v>#DIV/0!</v>
      </c>
      <c r="AC75" s="87" t="e">
        <f t="shared" si="58"/>
        <v>#DIV/0!</v>
      </c>
      <c r="AD75" s="87" t="e">
        <f t="shared" si="58"/>
        <v>#DIV/0!</v>
      </c>
      <c r="AE75" s="87" t="e">
        <f t="shared" si="58"/>
        <v>#DIV/0!</v>
      </c>
    </row>
  </sheetData>
  <mergeCells count="110">
    <mergeCell ref="B62:B63"/>
    <mergeCell ref="L2:M2"/>
    <mergeCell ref="N2:O2"/>
    <mergeCell ref="P2:Q2"/>
    <mergeCell ref="D2:D3"/>
    <mergeCell ref="E2:E3"/>
    <mergeCell ref="E62:E63"/>
    <mergeCell ref="H62:I62"/>
    <mergeCell ref="J62:K62"/>
    <mergeCell ref="L62:M62"/>
    <mergeCell ref="C62:C63"/>
    <mergeCell ref="D62:D63"/>
    <mergeCell ref="N62:O62"/>
    <mergeCell ref="B2:C3"/>
    <mergeCell ref="H58:I58"/>
    <mergeCell ref="J58:K58"/>
    <mergeCell ref="L58:M58"/>
    <mergeCell ref="N58:O58"/>
    <mergeCell ref="P58:Q58"/>
    <mergeCell ref="Z62:AA62"/>
    <mergeCell ref="AB62:AC62"/>
    <mergeCell ref="AD62:AE62"/>
    <mergeCell ref="P62:Q62"/>
    <mergeCell ref="R62:S62"/>
    <mergeCell ref="T62:U62"/>
    <mergeCell ref="V62:W62"/>
    <mergeCell ref="X62:Y62"/>
    <mergeCell ref="F2:F3"/>
    <mergeCell ref="AD2:AE2"/>
    <mergeCell ref="Z2:AA2"/>
    <mergeCell ref="AB2:AC2"/>
    <mergeCell ref="R2:S2"/>
    <mergeCell ref="T2:U2"/>
    <mergeCell ref="V2:W2"/>
    <mergeCell ref="X2:Y2"/>
    <mergeCell ref="H2:I2"/>
    <mergeCell ref="J2:K2"/>
    <mergeCell ref="G2:G3"/>
    <mergeCell ref="H72:I72"/>
    <mergeCell ref="H66:I66"/>
    <mergeCell ref="H67:I67"/>
    <mergeCell ref="J66:K66"/>
    <mergeCell ref="J67:K67"/>
    <mergeCell ref="H70:I70"/>
    <mergeCell ref="H71:I71"/>
    <mergeCell ref="J70:K70"/>
    <mergeCell ref="J71:K71"/>
    <mergeCell ref="J72:K72"/>
    <mergeCell ref="V66:W66"/>
    <mergeCell ref="X66:Y66"/>
    <mergeCell ref="Z66:AA66"/>
    <mergeCell ref="AB66:AC66"/>
    <mergeCell ref="AD66:AE66"/>
    <mergeCell ref="L66:M66"/>
    <mergeCell ref="N66:O66"/>
    <mergeCell ref="P66:Q66"/>
    <mergeCell ref="R66:S66"/>
    <mergeCell ref="T66:U66"/>
    <mergeCell ref="V67:W67"/>
    <mergeCell ref="X67:Y67"/>
    <mergeCell ref="Z67:AA67"/>
    <mergeCell ref="AB67:AC67"/>
    <mergeCell ref="AD67:AE67"/>
    <mergeCell ref="L67:M67"/>
    <mergeCell ref="N67:O67"/>
    <mergeCell ref="P67:Q67"/>
    <mergeCell ref="R67:S67"/>
    <mergeCell ref="T67:U67"/>
    <mergeCell ref="V70:W70"/>
    <mergeCell ref="X70:Y70"/>
    <mergeCell ref="Z70:AA70"/>
    <mergeCell ref="AB70:AC70"/>
    <mergeCell ref="AD70:AE70"/>
    <mergeCell ref="L70:M70"/>
    <mergeCell ref="N70:O70"/>
    <mergeCell ref="P70:Q70"/>
    <mergeCell ref="R70:S70"/>
    <mergeCell ref="T70:U70"/>
    <mergeCell ref="V71:W71"/>
    <mergeCell ref="X71:Y71"/>
    <mergeCell ref="Z71:AA71"/>
    <mergeCell ref="AB71:AC71"/>
    <mergeCell ref="AD71:AE71"/>
    <mergeCell ref="L71:M71"/>
    <mergeCell ref="N71:O71"/>
    <mergeCell ref="P71:Q71"/>
    <mergeCell ref="R71:S71"/>
    <mergeCell ref="T71:U71"/>
    <mergeCell ref="V72:W72"/>
    <mergeCell ref="X72:Y72"/>
    <mergeCell ref="Z72:AA72"/>
    <mergeCell ref="AB72:AC72"/>
    <mergeCell ref="AD72:AE72"/>
    <mergeCell ref="L72:M72"/>
    <mergeCell ref="N72:O72"/>
    <mergeCell ref="P72:Q72"/>
    <mergeCell ref="R72:S72"/>
    <mergeCell ref="T72:U72"/>
    <mergeCell ref="AB73:AC73"/>
    <mergeCell ref="AD73:AE73"/>
    <mergeCell ref="R73:S73"/>
    <mergeCell ref="T73:U73"/>
    <mergeCell ref="V73:W73"/>
    <mergeCell ref="X73:Y73"/>
    <mergeCell ref="Z73:AA73"/>
    <mergeCell ref="H73:I73"/>
    <mergeCell ref="J73:K73"/>
    <mergeCell ref="L73:M73"/>
    <mergeCell ref="N73:O73"/>
    <mergeCell ref="P73:Q7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37"/>
  <sheetViews>
    <sheetView tabSelected="1" zoomScale="85" zoomScaleNormal="85" workbookViewId="0">
      <pane xSplit="6" ySplit="4" topLeftCell="G12" activePane="bottomRight" state="frozen"/>
      <selection pane="bottomRight" activeCell="S28" sqref="S28:T28"/>
      <selection pane="bottomLeft" activeCell="A5" sqref="A5"/>
      <selection pane="topRight" activeCell="G1" sqref="G1"/>
    </sheetView>
  </sheetViews>
  <sheetFormatPr defaultRowHeight="15"/>
  <cols>
    <col min="1" max="1" width="4.7109375" customWidth="1"/>
    <col min="2" max="2" width="14" customWidth="1"/>
    <col min="3" max="3" width="6.5703125" bestFit="1" customWidth="1"/>
    <col min="4" max="5" width="7.7109375" bestFit="1" customWidth="1"/>
    <col min="6" max="6" width="7.7109375" customWidth="1"/>
    <col min="7" max="7" width="16.5703125" customWidth="1"/>
    <col min="8" max="8" width="15.28515625" bestFit="1" customWidth="1"/>
    <col min="9" max="9" width="11.5703125" customWidth="1"/>
    <col min="10" max="10" width="14.28515625" bestFit="1" customWidth="1"/>
    <col min="11" max="12" width="13.28515625" bestFit="1" customWidth="1"/>
    <col min="13" max="13" width="9.7109375" bestFit="1" customWidth="1"/>
    <col min="14" max="14" width="13.28515625" bestFit="1" customWidth="1"/>
    <col min="15" max="15" width="11.140625" customWidth="1"/>
    <col min="16" max="16" width="13.28515625" bestFit="1" customWidth="1"/>
    <col min="17" max="17" width="11" bestFit="1" customWidth="1"/>
    <col min="18" max="18" width="14.28515625" bestFit="1" customWidth="1"/>
    <col min="19" max="23" width="9.5703125" bestFit="1" customWidth="1"/>
    <col min="24" max="25" width="14.28515625" bestFit="1" customWidth="1"/>
    <col min="26" max="32" width="9.5703125" bestFit="1" customWidth="1"/>
  </cols>
  <sheetData>
    <row r="2" spans="2:32" ht="15.75" thickBot="1">
      <c r="B2" s="7" t="s">
        <v>82</v>
      </c>
      <c r="C2" s="7"/>
      <c r="D2" s="7"/>
      <c r="E2" s="7"/>
      <c r="F2" s="7"/>
      <c r="G2" s="7"/>
      <c r="H2" s="7"/>
    </row>
    <row r="3" spans="2:32" ht="15" customHeight="1">
      <c r="B3" s="153" t="s">
        <v>1</v>
      </c>
      <c r="C3" s="179"/>
      <c r="D3" s="143" t="s">
        <v>83</v>
      </c>
      <c r="E3" s="143" t="s">
        <v>84</v>
      </c>
      <c r="F3" s="143" t="s">
        <v>3</v>
      </c>
      <c r="G3" s="143" t="s">
        <v>4</v>
      </c>
      <c r="H3" s="143" t="s">
        <v>5</v>
      </c>
      <c r="I3" s="145" t="s">
        <v>6</v>
      </c>
      <c r="J3" s="146"/>
      <c r="K3" s="145" t="s">
        <v>7</v>
      </c>
      <c r="L3" s="146"/>
      <c r="M3" s="145" t="s">
        <v>8</v>
      </c>
      <c r="N3" s="146"/>
      <c r="O3" s="145" t="s">
        <v>9</v>
      </c>
      <c r="P3" s="146"/>
      <c r="Q3" s="145" t="s">
        <v>10</v>
      </c>
      <c r="R3" s="146"/>
      <c r="S3" s="145" t="s">
        <v>11</v>
      </c>
      <c r="T3" s="146"/>
      <c r="U3" s="145" t="s">
        <v>12</v>
      </c>
      <c r="V3" s="146"/>
      <c r="W3" s="145" t="s">
        <v>13</v>
      </c>
      <c r="X3" s="146"/>
      <c r="Y3" s="145" t="s">
        <v>14</v>
      </c>
      <c r="Z3" s="146"/>
      <c r="AA3" s="145" t="s">
        <v>15</v>
      </c>
      <c r="AB3" s="146"/>
      <c r="AC3" s="145" t="s">
        <v>16</v>
      </c>
      <c r="AD3" s="146"/>
      <c r="AE3" s="145" t="s">
        <v>17</v>
      </c>
      <c r="AF3" s="146"/>
    </row>
    <row r="4" spans="2:32" ht="15.75" customHeight="1" thickBot="1">
      <c r="B4" s="155"/>
      <c r="C4" s="180"/>
      <c r="D4" s="144"/>
      <c r="E4" s="144"/>
      <c r="F4" s="144"/>
      <c r="G4" s="144"/>
      <c r="H4" s="144"/>
      <c r="I4" s="4">
        <v>15</v>
      </c>
      <c r="J4" s="5">
        <v>31</v>
      </c>
      <c r="K4" s="4">
        <v>14</v>
      </c>
      <c r="L4" s="5">
        <v>28</v>
      </c>
      <c r="M4" s="4">
        <v>15</v>
      </c>
      <c r="N4" s="5">
        <v>31</v>
      </c>
      <c r="O4" s="4">
        <v>15</v>
      </c>
      <c r="P4" s="5">
        <v>30</v>
      </c>
      <c r="Q4" s="4">
        <v>15</v>
      </c>
      <c r="R4" s="5">
        <v>31</v>
      </c>
      <c r="S4" s="4">
        <v>15</v>
      </c>
      <c r="T4" s="5">
        <v>30</v>
      </c>
      <c r="U4" s="4">
        <v>15</v>
      </c>
      <c r="V4" s="5">
        <v>31</v>
      </c>
      <c r="W4" s="4">
        <v>15</v>
      </c>
      <c r="X4" s="5">
        <v>31</v>
      </c>
      <c r="Y4" s="4">
        <v>15</v>
      </c>
      <c r="Z4" s="5">
        <v>30</v>
      </c>
      <c r="AA4" s="4">
        <v>15</v>
      </c>
      <c r="AB4" s="5">
        <v>31</v>
      </c>
      <c r="AC4" s="4">
        <v>15</v>
      </c>
      <c r="AD4" s="5">
        <v>30</v>
      </c>
      <c r="AE4" s="4">
        <v>15</v>
      </c>
      <c r="AF4" s="5">
        <v>31</v>
      </c>
    </row>
    <row r="5" spans="2:32">
      <c r="B5" s="172" t="s">
        <v>44</v>
      </c>
      <c r="C5" s="19" t="s">
        <v>85</v>
      </c>
      <c r="D5" s="19"/>
      <c r="E5" s="19">
        <v>154</v>
      </c>
      <c r="F5" s="19"/>
      <c r="G5" s="19">
        <v>265.06963751169883</v>
      </c>
      <c r="H5" s="94">
        <f>SUM(I5:AF5)</f>
        <v>250</v>
      </c>
      <c r="I5" s="174">
        <f>'[3]HK - BDGT'!H5</f>
        <v>20</v>
      </c>
      <c r="J5" s="175"/>
      <c r="K5" s="174">
        <f>'[3]HK - BDGT'!J5</f>
        <v>18</v>
      </c>
      <c r="L5" s="175"/>
      <c r="M5" s="174">
        <f>'[3]HK - BDGT'!L5</f>
        <v>21</v>
      </c>
      <c r="N5" s="175"/>
      <c r="O5" s="174">
        <f>'[3]HK - BDGT'!N5</f>
        <v>23</v>
      </c>
      <c r="P5" s="175"/>
      <c r="Q5" s="174">
        <f>'[3]HK - BDGT'!P5</f>
        <v>8</v>
      </c>
      <c r="R5" s="175"/>
      <c r="S5" s="174">
        <f>'[3]HK - BDGT'!R5</f>
        <v>18</v>
      </c>
      <c r="T5" s="175"/>
      <c r="U5" s="174">
        <f>'[3]HK - BDGT'!T5</f>
        <v>26</v>
      </c>
      <c r="V5" s="175"/>
      <c r="W5" s="174">
        <f>'[3]HK - BDGT'!V5</f>
        <v>22</v>
      </c>
      <c r="X5" s="175"/>
      <c r="Y5" s="174">
        <f>'[3]HK - BDGT'!X5</f>
        <v>24</v>
      </c>
      <c r="Z5" s="175"/>
      <c r="AA5" s="174">
        <f>'[3]HK - BDGT'!Z5</f>
        <v>23</v>
      </c>
      <c r="AB5" s="175"/>
      <c r="AC5" s="174">
        <f>'[3]HK - BDGT'!AB5</f>
        <v>23</v>
      </c>
      <c r="AD5" s="175"/>
      <c r="AE5" s="174">
        <f>'[3]HK - BDGT'!AD5</f>
        <v>24</v>
      </c>
      <c r="AF5" s="175"/>
    </row>
    <row r="6" spans="2:32">
      <c r="B6" s="173"/>
      <c r="C6" s="20" t="s">
        <v>86</v>
      </c>
      <c r="D6" s="20"/>
      <c r="E6" s="20">
        <v>163</v>
      </c>
      <c r="F6" s="20"/>
      <c r="G6" s="20">
        <v>207.85083333333333</v>
      </c>
      <c r="H6" s="95">
        <f>SUM(I6:AF6)</f>
        <v>107.82291666666667</v>
      </c>
      <c r="I6" s="73">
        <f>'[3]HK - BDGT'!H6</f>
        <v>9</v>
      </c>
      <c r="J6" s="73">
        <f>'[3]HK - BDGT'!I6</f>
        <v>9</v>
      </c>
      <c r="K6" s="73">
        <f>'[3]HK - BDGT'!J6</f>
        <v>9.2500000000000018</v>
      </c>
      <c r="L6" s="73">
        <f>'[3]HK - BDGT'!K6</f>
        <v>8.6666666666666661</v>
      </c>
      <c r="M6" s="73">
        <f>'[3]HK - BDGT'!L6</f>
        <v>9.7083333333333339</v>
      </c>
      <c r="N6" s="73">
        <f>'[3]HK - BDGT'!M6</f>
        <v>9.375</v>
      </c>
      <c r="O6" s="73">
        <f>'[3]HK - BDGT'!N6</f>
        <v>11.03125</v>
      </c>
      <c r="P6" s="73">
        <f>'[3]HK - BDGT'!O6</f>
        <v>8.5833333333333339</v>
      </c>
      <c r="Q6" s="73">
        <f>'[3]HK - BDGT'!P6</f>
        <v>6.4166666666666661</v>
      </c>
      <c r="R6" s="73">
        <f>'[3]HK - BDGT'!Q6</f>
        <v>2.6666666666666665</v>
      </c>
      <c r="S6" s="73">
        <f>'[3]HK - BDGT'!R6</f>
        <v>10.062499999999998</v>
      </c>
      <c r="T6" s="73">
        <f>'[3]HK - BDGT'!S6</f>
        <v>10.229166666666666</v>
      </c>
      <c r="U6" s="73">
        <f>'[3]HK - BDGT'!T6</f>
        <v>3.8333333333333335</v>
      </c>
      <c r="V6" s="73">
        <f>'[3]HK - BDGT'!U6</f>
        <v>0</v>
      </c>
      <c r="W6" s="73">
        <f>'[3]HK - BDGT'!V6</f>
        <v>0</v>
      </c>
      <c r="X6" s="73">
        <f>'[3]HK - BDGT'!W6</f>
        <v>0</v>
      </c>
      <c r="Y6" s="73">
        <f>'[3]HK - BDGT'!X6</f>
        <v>0</v>
      </c>
      <c r="Z6" s="73">
        <f>'[3]HK - BDGT'!Y6</f>
        <v>0</v>
      </c>
      <c r="AA6" s="73">
        <f>'[3]HK - BDGT'!Z6</f>
        <v>0</v>
      </c>
      <c r="AB6" s="73">
        <f>'[3]HK - BDGT'!AA6</f>
        <v>0</v>
      </c>
      <c r="AC6" s="73">
        <f>'[3]HK - BDGT'!AB6</f>
        <v>0</v>
      </c>
      <c r="AD6" s="73">
        <f>'[3]HK - BDGT'!AC6</f>
        <v>0</v>
      </c>
      <c r="AE6" s="73">
        <f>'[3]HK - BDGT'!AD6</f>
        <v>0</v>
      </c>
      <c r="AF6" s="73">
        <f>'[3]HK - BDGT'!AE6</f>
        <v>0</v>
      </c>
    </row>
    <row r="7" spans="2:32">
      <c r="B7" s="181" t="s">
        <v>87</v>
      </c>
      <c r="C7" s="21" t="s">
        <v>85</v>
      </c>
      <c r="D7" s="21"/>
      <c r="E7" s="21"/>
      <c r="F7" s="21"/>
      <c r="G7" s="21">
        <v>0</v>
      </c>
      <c r="H7" s="96">
        <f t="shared" ref="H7:H13" si="0">SUM(I7:AF7)</f>
        <v>0</v>
      </c>
      <c r="I7" s="183">
        <f>'[3]HK - BDGT'!I7</f>
        <v>0</v>
      </c>
      <c r="J7" s="142"/>
      <c r="K7" s="142">
        <f>'[3]HK - BDGT'!K7</f>
        <v>0</v>
      </c>
      <c r="L7" s="142"/>
      <c r="M7" s="142">
        <f>'[3]HK - BDGT'!M7</f>
        <v>0</v>
      </c>
      <c r="N7" s="142"/>
      <c r="O7" s="142">
        <f>'[3]HK - BDGT'!O7</f>
        <v>0</v>
      </c>
      <c r="P7" s="142"/>
      <c r="Q7" s="142">
        <f>'[3]HK - BDGT'!Q7</f>
        <v>0</v>
      </c>
      <c r="R7" s="142"/>
      <c r="S7" s="142">
        <f>'[3]HK - BDGT'!S7</f>
        <v>0</v>
      </c>
      <c r="T7" s="142"/>
      <c r="U7" s="142">
        <f>'[3]HK - BDGT'!U7</f>
        <v>0</v>
      </c>
      <c r="V7" s="142"/>
      <c r="W7" s="142">
        <f>'[3]HK - BDGT'!W7</f>
        <v>0</v>
      </c>
      <c r="X7" s="142"/>
      <c r="Y7" s="142">
        <f>'[3]HK - BDGT'!Y7</f>
        <v>0</v>
      </c>
      <c r="Z7" s="142"/>
      <c r="AA7" s="142">
        <f>'[3]HK - BDGT'!AA7</f>
        <v>0</v>
      </c>
      <c r="AB7" s="142"/>
      <c r="AC7" s="142">
        <f>'[3]HK - BDGT'!AC7</f>
        <v>0</v>
      </c>
      <c r="AD7" s="142"/>
      <c r="AE7" s="142">
        <f>'[3]HK - BDGT'!AE7</f>
        <v>0</v>
      </c>
      <c r="AF7" s="184"/>
    </row>
    <row r="8" spans="2:32">
      <c r="B8" s="182"/>
      <c r="C8" s="20" t="s">
        <v>86</v>
      </c>
      <c r="D8" s="20"/>
      <c r="E8" s="20"/>
      <c r="F8" s="20"/>
      <c r="G8" s="20">
        <v>365</v>
      </c>
      <c r="H8" s="95">
        <f t="shared" si="0"/>
        <v>185</v>
      </c>
      <c r="I8" s="3">
        <f>'[3]HK - BDGT'!I8</f>
        <v>18</v>
      </c>
      <c r="J8" s="3">
        <f>'[3]HK - BDGT'!J8</f>
        <v>20</v>
      </c>
      <c r="K8" s="3">
        <f>'[3]HK - BDGT'!K8</f>
        <v>18</v>
      </c>
      <c r="L8" s="3">
        <f>'[3]HK - BDGT'!L8</f>
        <v>20</v>
      </c>
      <c r="M8" s="3">
        <f>'[3]HK - BDGT'!M8</f>
        <v>18</v>
      </c>
      <c r="N8" s="3">
        <f>'[3]HK - BDGT'!N8</f>
        <v>19</v>
      </c>
      <c r="O8" s="3">
        <f>'[3]HK - BDGT'!O8</f>
        <v>16</v>
      </c>
      <c r="P8" s="3">
        <f>'[3]HK - BDGT'!P8</f>
        <v>15</v>
      </c>
      <c r="Q8" s="3">
        <f>'[3]HK - BDGT'!Q8</f>
        <v>3</v>
      </c>
      <c r="R8" s="3">
        <f>'[3]HK - BDGT'!R8</f>
        <v>18</v>
      </c>
      <c r="S8" s="3">
        <f>'[3]HK - BDGT'!S8</f>
        <v>20</v>
      </c>
      <c r="T8" s="3">
        <f>'[3]HK - BDGT'!T8</f>
        <v>0</v>
      </c>
      <c r="U8" s="3">
        <f>'[3]HK - BDGT'!U8</f>
        <v>0</v>
      </c>
      <c r="V8" s="3">
        <f>'[3]HK - BDGT'!V8</f>
        <v>0</v>
      </c>
      <c r="W8" s="3">
        <f>'[3]HK - BDGT'!W8</f>
        <v>0</v>
      </c>
      <c r="X8" s="3">
        <f>'[3]HK - BDGT'!X8</f>
        <v>0</v>
      </c>
      <c r="Y8" s="3">
        <f>'[3]HK - BDGT'!Y8</f>
        <v>0</v>
      </c>
      <c r="Z8" s="3">
        <f>'[3]HK - BDGT'!Z8</f>
        <v>0</v>
      </c>
      <c r="AA8" s="3">
        <f>'[3]HK - BDGT'!AA8</f>
        <v>0</v>
      </c>
      <c r="AB8" s="3">
        <f>'[3]HK - BDGT'!AB8</f>
        <v>0</v>
      </c>
      <c r="AC8" s="3">
        <f>'[3]HK - BDGT'!AC8</f>
        <v>0</v>
      </c>
      <c r="AD8" s="3">
        <f>'[3]HK - BDGT'!AD8</f>
        <v>0</v>
      </c>
      <c r="AE8" s="3">
        <f>'[3]HK - BDGT'!AE8</f>
        <v>0</v>
      </c>
      <c r="AF8" s="3">
        <f>'[3]HK - BDGT'!AF8</f>
        <v>0</v>
      </c>
    </row>
    <row r="9" spans="2:32">
      <c r="B9" s="164" t="s">
        <v>88</v>
      </c>
      <c r="C9" s="22" t="s">
        <v>85</v>
      </c>
      <c r="D9" s="22"/>
      <c r="E9" s="22">
        <v>141</v>
      </c>
      <c r="F9" s="22"/>
      <c r="G9" s="22">
        <v>114.58854000000001</v>
      </c>
      <c r="H9" s="97">
        <f t="shared" si="0"/>
        <v>114.58854000000001</v>
      </c>
      <c r="I9" s="185">
        <f>'[3]HK - BDGT'!H9</f>
        <v>5.7052800000000019</v>
      </c>
      <c r="J9" s="186"/>
      <c r="K9" s="185">
        <f>'[3]HK - BDGT'!J9</f>
        <v>6.3052799999999998</v>
      </c>
      <c r="L9" s="186"/>
      <c r="M9" s="185">
        <f>'[3]HK - BDGT'!L9</f>
        <v>5.3875800000000007</v>
      </c>
      <c r="N9" s="186"/>
      <c r="O9" s="185">
        <f>'[3]HK - BDGT'!N9</f>
        <v>5.5249199999999998</v>
      </c>
      <c r="P9" s="186"/>
      <c r="Q9" s="185">
        <f>'[3]HK - BDGT'!P9</f>
        <v>5.25</v>
      </c>
      <c r="R9" s="186"/>
      <c r="S9" s="185">
        <f>'[3]HK - BDGT'!R9</f>
        <v>3.4884599999999999</v>
      </c>
      <c r="T9" s="186"/>
      <c r="U9" s="185">
        <f>'[3]HK - BDGT'!T9</f>
        <v>11.791739999999999</v>
      </c>
      <c r="V9" s="186"/>
      <c r="W9" s="185">
        <f>'[3]HK - BDGT'!V9</f>
        <v>13.05</v>
      </c>
      <c r="X9" s="186"/>
      <c r="Y9" s="185">
        <f>'[3]HK - BDGT'!X9</f>
        <v>14.957640000000001</v>
      </c>
      <c r="Z9" s="186"/>
      <c r="AA9" s="185">
        <f>'[3]HK - BDGT'!Z9</f>
        <v>15.81</v>
      </c>
      <c r="AB9" s="186"/>
      <c r="AC9" s="185">
        <f>'[3]HK - BDGT'!AB9</f>
        <v>14.842919999999999</v>
      </c>
      <c r="AD9" s="186"/>
      <c r="AE9" s="185">
        <f>'[3]HK - BDGT'!AD9</f>
        <v>12.474720000000001</v>
      </c>
      <c r="AF9" s="186"/>
    </row>
    <row r="10" spans="2:32">
      <c r="B10" s="165"/>
      <c r="C10" s="23" t="s">
        <v>86</v>
      </c>
      <c r="D10" s="23"/>
      <c r="E10" s="23">
        <v>10</v>
      </c>
      <c r="F10" s="23"/>
      <c r="G10" s="23">
        <v>85</v>
      </c>
      <c r="H10" s="98">
        <f t="shared" si="0"/>
        <v>0</v>
      </c>
      <c r="I10" s="3">
        <f>'[3]HK - BDGT'!I10</f>
        <v>0</v>
      </c>
      <c r="J10" s="3">
        <f>'[3]HK - BDGT'!J10</f>
        <v>0</v>
      </c>
      <c r="K10" s="3">
        <f>'[3]HK - BDGT'!K10</f>
        <v>0</v>
      </c>
      <c r="L10" s="3">
        <f>'[3]HK - BDGT'!L10</f>
        <v>0</v>
      </c>
      <c r="M10" s="3">
        <f>'[3]HK - BDGT'!M10</f>
        <v>0</v>
      </c>
      <c r="N10" s="3">
        <f>'[3]HK - BDGT'!N10</f>
        <v>0</v>
      </c>
      <c r="O10" s="3">
        <f>'[3]HK - BDGT'!O10</f>
        <v>0</v>
      </c>
      <c r="P10" s="3">
        <f>'[3]HK - BDGT'!P10</f>
        <v>0</v>
      </c>
      <c r="Q10" s="3">
        <f>'[3]HK - BDGT'!Q10</f>
        <v>0</v>
      </c>
      <c r="R10" s="3">
        <f>'[3]HK - BDGT'!R10</f>
        <v>0</v>
      </c>
      <c r="S10" s="3">
        <f>'[3]HK - BDGT'!S10</f>
        <v>0</v>
      </c>
      <c r="T10" s="3">
        <f>'[3]HK - BDGT'!T10</f>
        <v>0</v>
      </c>
      <c r="U10" s="3">
        <f>'[3]HK - BDGT'!U10</f>
        <v>0</v>
      </c>
      <c r="V10" s="3">
        <f>'[3]HK - BDGT'!V10</f>
        <v>0</v>
      </c>
      <c r="W10" s="3">
        <f>'[3]HK - BDGT'!W10</f>
        <v>0</v>
      </c>
      <c r="X10" s="3">
        <f>'[3]HK - BDGT'!X10</f>
        <v>0</v>
      </c>
      <c r="Y10" s="3">
        <f>'[3]HK - BDGT'!Y10</f>
        <v>0</v>
      </c>
      <c r="Z10" s="3">
        <f>'[3]HK - BDGT'!Z10</f>
        <v>0</v>
      </c>
      <c r="AA10" s="3">
        <f>'[3]HK - BDGT'!AA10</f>
        <v>0</v>
      </c>
      <c r="AB10" s="3">
        <f>'[3]HK - BDGT'!AB10</f>
        <v>0</v>
      </c>
      <c r="AC10" s="3">
        <f>'[3]HK - BDGT'!AC10</f>
        <v>0</v>
      </c>
      <c r="AD10" s="3">
        <f>'[3]HK - BDGT'!AD10</f>
        <v>0</v>
      </c>
      <c r="AE10" s="3">
        <f>'[3]HK - BDGT'!AE10</f>
        <v>0</v>
      </c>
      <c r="AF10" s="3">
        <f>'[3]HK - BDGT'!AF10</f>
        <v>0</v>
      </c>
    </row>
    <row r="11" spans="2:32">
      <c r="B11" s="164" t="s">
        <v>68</v>
      </c>
      <c r="C11" s="22" t="s">
        <v>85</v>
      </c>
      <c r="D11" s="22"/>
      <c r="E11" s="22">
        <v>264</v>
      </c>
      <c r="F11" s="22"/>
      <c r="G11" s="22">
        <v>307.02799999999996</v>
      </c>
      <c r="H11" s="97">
        <f t="shared" si="0"/>
        <v>234.0853115008</v>
      </c>
      <c r="I11" s="185">
        <f>'[3]HK - BDGT'!H11</f>
        <v>20</v>
      </c>
      <c r="J11" s="186"/>
      <c r="K11" s="185">
        <f>'[3]HK - BDGT'!J11</f>
        <v>21</v>
      </c>
      <c r="L11" s="186"/>
      <c r="M11" s="185">
        <f>'[3]HK - BDGT'!L11</f>
        <v>20</v>
      </c>
      <c r="N11" s="186"/>
      <c r="O11" s="185">
        <f>'[3]HK - BDGT'!N11</f>
        <v>17.172001440000003</v>
      </c>
      <c r="P11" s="186"/>
      <c r="Q11" s="185">
        <f>'[3]HK - BDGT'!P11</f>
        <v>17.172001440000003</v>
      </c>
      <c r="R11" s="186"/>
      <c r="S11" s="185">
        <f>'[3]HK - BDGT'!R11</f>
        <v>21.487681728000002</v>
      </c>
      <c r="T11" s="186"/>
      <c r="U11" s="185">
        <f>'[3]HK - BDGT'!T11</f>
        <v>21.047041728000004</v>
      </c>
      <c r="V11" s="186"/>
      <c r="W11" s="185">
        <f>'[3]HK - BDGT'!V11</f>
        <v>20.976539328000001</v>
      </c>
      <c r="X11" s="186"/>
      <c r="Y11" s="185">
        <f>'[3]HK - BDGT'!X11</f>
        <v>18.686939135999999</v>
      </c>
      <c r="Z11" s="186"/>
      <c r="AA11" s="185">
        <f>'[3]HK - BDGT'!Z11</f>
        <v>18.797980416000001</v>
      </c>
      <c r="AB11" s="186"/>
      <c r="AC11" s="185">
        <f>'[3]HK - BDGT'!AB11</f>
        <v>18.846098304000002</v>
      </c>
      <c r="AD11" s="186"/>
      <c r="AE11" s="185">
        <f>'[3]HK - BDGT'!AD11</f>
        <v>18.8990279808</v>
      </c>
      <c r="AF11" s="186"/>
    </row>
    <row r="12" spans="2:32">
      <c r="B12" s="165"/>
      <c r="C12" s="23" t="s">
        <v>86</v>
      </c>
      <c r="D12" s="23"/>
      <c r="E12" s="23">
        <v>192</v>
      </c>
      <c r="F12" s="23"/>
      <c r="G12" s="23">
        <v>245</v>
      </c>
      <c r="H12" s="98">
        <f t="shared" si="0"/>
        <v>111</v>
      </c>
      <c r="I12" s="3">
        <f>'[3]HK - BDGT'!H12</f>
        <v>10</v>
      </c>
      <c r="J12" s="3">
        <f>'[3]HK - BDGT'!I12</f>
        <v>11</v>
      </c>
      <c r="K12" s="3">
        <f>'[3]HK - BDGT'!J12</f>
        <v>10</v>
      </c>
      <c r="L12" s="3">
        <f>'[3]HK - BDGT'!K12</f>
        <v>10</v>
      </c>
      <c r="M12" s="3">
        <f>'[3]HK - BDGT'!L12</f>
        <v>10</v>
      </c>
      <c r="N12" s="3">
        <f>'[3]HK - BDGT'!M12</f>
        <v>10</v>
      </c>
      <c r="O12" s="3">
        <f>'[3]HK - BDGT'!N12</f>
        <v>10</v>
      </c>
      <c r="P12" s="3">
        <f>'[3]HK - BDGT'!O12</f>
        <v>9</v>
      </c>
      <c r="Q12" s="3">
        <f>'[3]HK - BDGT'!P12</f>
        <v>9</v>
      </c>
      <c r="R12" s="3">
        <f>'[3]HK - BDGT'!Q12</f>
        <v>3</v>
      </c>
      <c r="S12" s="3">
        <f>'[3]HK - BDGT'!R12</f>
        <v>9</v>
      </c>
      <c r="T12" s="3">
        <f>'[3]HK - BDGT'!S12</f>
        <v>10</v>
      </c>
      <c r="U12" s="3">
        <f>'[3]HK - BDGT'!T12</f>
        <v>0</v>
      </c>
      <c r="V12" s="3">
        <f>'[3]HK - BDGT'!U12</f>
        <v>0</v>
      </c>
      <c r="W12" s="3">
        <f>'[3]HK - BDGT'!V12</f>
        <v>0</v>
      </c>
      <c r="X12" s="3">
        <f>'[3]HK - BDGT'!W12</f>
        <v>0</v>
      </c>
      <c r="Y12" s="3">
        <f>'[3]HK - BDGT'!X12</f>
        <v>0</v>
      </c>
      <c r="Z12" s="3">
        <f>'[3]HK - BDGT'!Y12</f>
        <v>0</v>
      </c>
      <c r="AA12" s="3">
        <f>'[3]HK - BDGT'!Z12</f>
        <v>0</v>
      </c>
      <c r="AB12" s="3">
        <f>'[3]HK - BDGT'!AA12</f>
        <v>0</v>
      </c>
      <c r="AC12" s="3">
        <f>'[3]HK - BDGT'!AB12</f>
        <v>0</v>
      </c>
      <c r="AD12" s="3">
        <f>'[3]HK - BDGT'!AC12</f>
        <v>0</v>
      </c>
      <c r="AE12" s="3">
        <f>'[3]HK - BDGT'!AD12</f>
        <v>0</v>
      </c>
      <c r="AF12" s="3">
        <f>'[3]HK - BDGT'!AE12</f>
        <v>0</v>
      </c>
    </row>
    <row r="13" spans="2:32">
      <c r="B13" s="166" t="s">
        <v>67</v>
      </c>
      <c r="C13" s="22" t="s">
        <v>85</v>
      </c>
      <c r="D13" s="22"/>
      <c r="E13" s="22">
        <v>217</v>
      </c>
      <c r="F13" s="22"/>
      <c r="G13" s="22">
        <v>0</v>
      </c>
      <c r="H13" s="97">
        <f t="shared" si="0"/>
        <v>139.4352552</v>
      </c>
      <c r="I13" s="185">
        <f>'[3]HK - BDGT'!H13</f>
        <v>5</v>
      </c>
      <c r="J13" s="186"/>
      <c r="K13" s="185">
        <f>'[3]HK - BDGT'!J13</f>
        <v>12</v>
      </c>
      <c r="L13" s="186"/>
      <c r="M13" s="185">
        <f>'[3]HK - BDGT'!L13</f>
        <v>12</v>
      </c>
      <c r="N13" s="186"/>
      <c r="O13" s="185">
        <f>'[3]HK - BDGT'!N13</f>
        <v>9.527441952000002</v>
      </c>
      <c r="P13" s="186"/>
      <c r="Q13" s="185">
        <f>'[3]HK - BDGT'!P13</f>
        <v>9.527441952000002</v>
      </c>
      <c r="R13" s="186"/>
      <c r="S13" s="185">
        <f>'[3]HK - BDGT'!R13</f>
        <v>9.527441952000002</v>
      </c>
      <c r="T13" s="186"/>
      <c r="U13" s="185">
        <f>'[3]HK - BDGT'!T13</f>
        <v>12.021731754666668</v>
      </c>
      <c r="V13" s="186"/>
      <c r="W13" s="185">
        <f>'[3]HK - BDGT'!V13</f>
        <v>13.076714890666667</v>
      </c>
      <c r="X13" s="186"/>
      <c r="Y13" s="185">
        <f>'[3]HK - BDGT'!X13</f>
        <v>13.076714890666667</v>
      </c>
      <c r="Z13" s="186"/>
      <c r="AA13" s="185">
        <f>'[3]HK - BDGT'!Z13</f>
        <v>15.364231360000002</v>
      </c>
      <c r="AB13" s="186"/>
      <c r="AC13" s="185">
        <f>'[3]HK - BDGT'!AB13</f>
        <v>14.156768224000002</v>
      </c>
      <c r="AD13" s="186"/>
      <c r="AE13" s="185">
        <f>'[3]HK - BDGT'!AD13</f>
        <v>14.156768224000002</v>
      </c>
      <c r="AF13" s="186"/>
    </row>
    <row r="14" spans="2:32" ht="15.75" thickBot="1">
      <c r="B14" s="167"/>
      <c r="C14" s="31" t="s">
        <v>86</v>
      </c>
      <c r="D14" s="31"/>
      <c r="E14" s="31">
        <v>157</v>
      </c>
      <c r="F14" s="31"/>
      <c r="G14" s="31">
        <v>35</v>
      </c>
      <c r="H14" s="99">
        <f>SUM(I14:AF14)</f>
        <v>90.3</v>
      </c>
      <c r="I14" s="54">
        <f>'[3]HK - BDGT'!H14</f>
        <v>7</v>
      </c>
      <c r="J14" s="54">
        <f>'[3]HK - BDGT'!I14</f>
        <v>7</v>
      </c>
      <c r="K14" s="54">
        <f>'[3]HK - BDGT'!J14</f>
        <v>10</v>
      </c>
      <c r="L14" s="54">
        <f>'[3]HK - BDGT'!K14</f>
        <v>8</v>
      </c>
      <c r="M14" s="54">
        <f>'[3]HK - BDGT'!L14</f>
        <v>10</v>
      </c>
      <c r="N14" s="54">
        <f>'[3]HK - BDGT'!M14</f>
        <v>8</v>
      </c>
      <c r="O14" s="54">
        <f>'[3]HK - BDGT'!N14</f>
        <v>9</v>
      </c>
      <c r="P14" s="54">
        <f>'[3]HK - BDGT'!O14</f>
        <v>7</v>
      </c>
      <c r="Q14" s="54">
        <v>5.3</v>
      </c>
      <c r="R14" s="54">
        <f>'[3]HK - BDGT'!Q14</f>
        <v>0</v>
      </c>
      <c r="S14" s="54">
        <f>'[3]HK - BDGT'!R14</f>
        <v>9</v>
      </c>
      <c r="T14" s="54">
        <f>'[3]HK - BDGT'!S14</f>
        <v>10</v>
      </c>
      <c r="U14" s="54">
        <f>'[3]HK - BDGT'!T14</f>
        <v>0</v>
      </c>
      <c r="V14" s="54">
        <f>'[3]HK - BDGT'!U14</f>
        <v>0</v>
      </c>
      <c r="W14" s="54">
        <f>'[3]HK - BDGT'!V14</f>
        <v>0</v>
      </c>
      <c r="X14" s="54">
        <f>'[3]HK - BDGT'!W14</f>
        <v>0</v>
      </c>
      <c r="Y14" s="54">
        <f>'[3]HK - BDGT'!X14</f>
        <v>0</v>
      </c>
      <c r="Z14" s="54">
        <f>'[3]HK - BDGT'!Y14</f>
        <v>0</v>
      </c>
      <c r="AA14" s="54">
        <f>'[3]HK - BDGT'!Z14</f>
        <v>0</v>
      </c>
      <c r="AB14" s="54">
        <f>'[3]HK - BDGT'!AA14</f>
        <v>0</v>
      </c>
      <c r="AC14" s="54">
        <f>'[3]HK - BDGT'!AB14</f>
        <v>0</v>
      </c>
      <c r="AD14" s="54">
        <f>'[3]HK - BDGT'!AC14</f>
        <v>0</v>
      </c>
      <c r="AE14" s="54">
        <f>'[3]HK - BDGT'!AD14</f>
        <v>0</v>
      </c>
      <c r="AF14" s="54">
        <f>'[3]HK - BDGT'!AE14</f>
        <v>0</v>
      </c>
    </row>
    <row r="15" spans="2:32">
      <c r="B15" s="168" t="s">
        <v>89</v>
      </c>
      <c r="C15" s="169"/>
      <c r="D15" s="32" t="e">
        <f>(D5-D6)/D6</f>
        <v>#DIV/0!</v>
      </c>
      <c r="E15" s="51">
        <f>IFERROR((E5-E6)/E6,0)</f>
        <v>-5.5214723926380369E-2</v>
      </c>
      <c r="F15" s="71"/>
      <c r="G15" s="71"/>
      <c r="H15" s="71"/>
      <c r="I15" s="158">
        <f>IFERROR((I5-(SUM(I6:J6))/(SUM(I6:J6))),0)</f>
        <v>19</v>
      </c>
      <c r="J15" s="159"/>
      <c r="K15" s="158">
        <f>IFERROR((K5-(SUM(K6:L6))/(SUM(K6:L6))),0)</f>
        <v>17</v>
      </c>
      <c r="L15" s="159"/>
      <c r="M15" s="158">
        <f>IFERROR((M5-(SUM(M6:N6))/(SUM(M6:N6))),0)</f>
        <v>20</v>
      </c>
      <c r="N15" s="159"/>
      <c r="O15" s="158">
        <f>IFERROR((O5-(SUM(O6:P6))/(SUM(O6:P6))),0)</f>
        <v>22</v>
      </c>
      <c r="P15" s="159"/>
      <c r="Q15" s="158">
        <f>IFERROR((Q5-(SUM(Q6:R6))/(SUM(Q6:R6))),0)</f>
        <v>7</v>
      </c>
      <c r="R15" s="159"/>
      <c r="S15" s="158">
        <f>IFERROR((S5-(SUM(S6:T6))/(SUM(S6:T6))),0)</f>
        <v>17</v>
      </c>
      <c r="T15" s="159"/>
      <c r="U15" s="158">
        <f>IFERROR((U5-(SUM(U6:V6))/(SUM(U6:V6))),0)</f>
        <v>25</v>
      </c>
      <c r="V15" s="159"/>
      <c r="W15" s="158">
        <f>IFERROR((W5-(SUM(W6:X6))/(SUM(W6:X6))),0)</f>
        <v>0</v>
      </c>
      <c r="X15" s="159"/>
      <c r="Y15" s="158">
        <f>IFERROR((Y5-(SUM(Y6:Z6))/(SUM(Y6:Z6))),0)</f>
        <v>0</v>
      </c>
      <c r="Z15" s="159"/>
      <c r="AA15" s="158">
        <f>IFERROR((AA5-(SUM(AA6:AB6))/(SUM(AA6:AB6))),0)</f>
        <v>0</v>
      </c>
      <c r="AB15" s="159"/>
      <c r="AC15" s="158">
        <f>IFERROR((AC5-(SUM(AC6:AD6))/(SUM(AC6:AD6))),0)</f>
        <v>0</v>
      </c>
      <c r="AD15" s="159"/>
      <c r="AE15" s="158">
        <f>IFERROR((AE5-(SUM(AE6:AF6))/(SUM(AE6:AF6))),0)</f>
        <v>0</v>
      </c>
      <c r="AF15" s="159"/>
    </row>
    <row r="16" spans="2:32" ht="15.75" thickBot="1">
      <c r="B16" s="170" t="s">
        <v>90</v>
      </c>
      <c r="C16" s="171"/>
      <c r="D16" s="33" t="e">
        <f>(D7-D8)/D8</f>
        <v>#DIV/0!</v>
      </c>
      <c r="E16" s="33">
        <f>IFERROR((E7-E8)/E8,0)</f>
        <v>0</v>
      </c>
      <c r="F16" s="72"/>
      <c r="G16" s="72"/>
      <c r="H16" s="72"/>
      <c r="I16" s="162">
        <f>IFERROR((I7-(SUM(I8:J8))/(SUM(I8:J8))),0)</f>
        <v>-1</v>
      </c>
      <c r="J16" s="163"/>
      <c r="K16" s="162">
        <f>IFERROR((K7-(SUM(K8:L8))/(SUM(K8:L8))),0)</f>
        <v>-1</v>
      </c>
      <c r="L16" s="163"/>
      <c r="M16" s="162">
        <f>IFERROR((M7-(SUM(M8:N8))/(SUM(M8:N8))),0)</f>
        <v>-1</v>
      </c>
      <c r="N16" s="163"/>
      <c r="O16" s="162">
        <f>IFERROR((O7-(SUM(O8:P8))/(SUM(O8:P8))),0)</f>
        <v>-1</v>
      </c>
      <c r="P16" s="163"/>
      <c r="Q16" s="162">
        <f>IFERROR((Q7-(SUM(Q8:R8))/(SUM(Q8:R8))),0)</f>
        <v>-1</v>
      </c>
      <c r="R16" s="163"/>
      <c r="S16" s="162">
        <f>IFERROR((S7-(SUM(S8:T8))/(SUM(S8:T8))),0)</f>
        <v>-1</v>
      </c>
      <c r="T16" s="163"/>
      <c r="U16" s="162">
        <f>IFERROR((U7-(SUM(U8:V8))/(SUM(U8:V8))),0)</f>
        <v>0</v>
      </c>
      <c r="V16" s="163"/>
      <c r="W16" s="162">
        <f>IFERROR((W7-(SUM(W8:X8))/(SUM(W8:X8))),0)</f>
        <v>0</v>
      </c>
      <c r="X16" s="163"/>
      <c r="Y16" s="162">
        <f>IFERROR((Y7-(SUM(Y8:Z8))/(SUM(Y8:Z8))),0)</f>
        <v>0</v>
      </c>
      <c r="Z16" s="163"/>
      <c r="AA16" s="162">
        <f>IFERROR((AA7-(SUM(AA8:AB8))/(SUM(AA8:AB8))),0)</f>
        <v>0</v>
      </c>
      <c r="AB16" s="163"/>
      <c r="AC16" s="162">
        <f>IFERROR((AC7-(SUM(AC8:AD8))/(SUM(AC8:AD8))),0)</f>
        <v>0</v>
      </c>
      <c r="AD16" s="163"/>
      <c r="AE16" s="162">
        <f>IFERROR((AE7-(SUM(AE8:AF8))/(SUM(AE8:AF8))),0)</f>
        <v>0</v>
      </c>
      <c r="AF16" s="163"/>
    </row>
    <row r="17" spans="2:32" ht="6" customHeight="1"/>
    <row r="18" spans="2:32">
      <c r="B18" s="30" t="s">
        <v>91</v>
      </c>
    </row>
    <row r="19" spans="2:32">
      <c r="B19" s="178" t="s">
        <v>44</v>
      </c>
      <c r="C19" s="60" t="s">
        <v>85</v>
      </c>
      <c r="D19" s="61"/>
      <c r="E19" s="61"/>
      <c r="F19" s="61"/>
      <c r="G19" s="61">
        <v>722037.43738686189</v>
      </c>
      <c r="H19" s="100">
        <f>SUM(I19:AF19)</f>
        <v>367272.66900399863</v>
      </c>
      <c r="I19" s="176">
        <v>27870.488940004801</v>
      </c>
      <c r="J19" s="176"/>
      <c r="K19" s="176">
        <v>24938.5942454822</v>
      </c>
      <c r="L19" s="176"/>
      <c r="M19" s="176">
        <v>28443.549452941901</v>
      </c>
      <c r="N19" s="176"/>
      <c r="O19" s="176">
        <v>28500</v>
      </c>
      <c r="P19" s="176"/>
      <c r="Q19" s="176">
        <v>13800</v>
      </c>
      <c r="R19" s="176"/>
      <c r="S19" s="176">
        <v>30495.7482466531</v>
      </c>
      <c r="T19" s="176"/>
      <c r="U19" s="176">
        <v>42918.710332550501</v>
      </c>
      <c r="V19" s="176"/>
      <c r="W19" s="176">
        <v>36328.489264556098</v>
      </c>
      <c r="X19" s="176"/>
      <c r="Y19" s="176">
        <v>36746.223774884696</v>
      </c>
      <c r="Z19" s="176"/>
      <c r="AA19" s="176">
        <v>31931.926261403001</v>
      </c>
      <c r="AB19" s="176"/>
      <c r="AC19" s="176">
        <v>31921.970976065899</v>
      </c>
      <c r="AD19" s="176"/>
      <c r="AE19" s="176">
        <v>33376.967509456401</v>
      </c>
      <c r="AF19" s="176"/>
    </row>
    <row r="20" spans="2:32">
      <c r="B20" s="178"/>
      <c r="C20" s="62" t="s">
        <v>86</v>
      </c>
      <c r="D20" s="62"/>
      <c r="E20" s="62"/>
      <c r="F20" s="62"/>
      <c r="G20" s="62" t="e">
        <v>#DIV/0!</v>
      </c>
      <c r="H20" s="101" t="e">
        <f>SUM(I20:AF20)</f>
        <v>#DIV/0!</v>
      </c>
      <c r="I20" s="56">
        <f>'Konsumsi &amp; pareto'!H30/'Konsumsi &amp; pareto'!H29*'Konsumsi &amp; pareto'!H28*'HK - BDGT'!$C$33</f>
        <v>17018.742405266072</v>
      </c>
      <c r="J20" s="56">
        <f>'Konsumsi &amp; pareto'!I30/'Konsumsi &amp; pareto'!I29*'Konsumsi &amp; pareto'!I28*'HK - BDGT'!$C$33</f>
        <v>8539.6414553816121</v>
      </c>
      <c r="K20" s="56">
        <f>'Konsumsi &amp; pareto'!J30/'Konsumsi &amp; pareto'!J29*'Konsumsi &amp; pareto'!J28*'HK - BDGT'!$C$33</f>
        <v>8198.7472102249303</v>
      </c>
      <c r="L20" s="56">
        <f>'Konsumsi &amp; pareto'!K30/'Konsumsi &amp; pareto'!K29*'Konsumsi &amp; pareto'!K28*'HK - BDGT'!$C$33</f>
        <v>3954.1129820497363</v>
      </c>
      <c r="M20" s="56">
        <f>'Konsumsi &amp; pareto'!L30/'Konsumsi &amp; pareto'!L29*'Konsumsi &amp; pareto'!L28*'HK - BDGT'!$C$33</f>
        <v>8436.3353002926124</v>
      </c>
      <c r="N20" s="56">
        <f>'Konsumsi &amp; pareto'!M30/'Konsumsi &amp; pareto'!M29*'Konsumsi &amp; pareto'!M28*'HK - BDGT'!$C$33</f>
        <v>5551.0720184921684</v>
      </c>
      <c r="O20" s="56">
        <f>'Konsumsi &amp; pareto'!N30/'Konsumsi &amp; pareto'!N29*'Konsumsi &amp; pareto'!N28*'HK - BDGT'!$C$33</f>
        <v>9395.0629054159162</v>
      </c>
      <c r="P20" s="56">
        <f>'Konsumsi &amp; pareto'!O30/'Konsumsi &amp; pareto'!O29*'Konsumsi &amp; pareto'!O28*'HK - BDGT'!$C$33</f>
        <v>6402.4429599266823</v>
      </c>
      <c r="Q20" s="56">
        <f>'Konsumsi &amp; pareto'!P30/'Konsumsi &amp; pareto'!P29*'Konsumsi &amp; pareto'!P28*'HK - BDGT'!$C$33</f>
        <v>8665.2572108130698</v>
      </c>
      <c r="R20" s="56">
        <f>'Konsumsi &amp; pareto'!Q30/'Konsumsi &amp; pareto'!Q29*'Konsumsi &amp; pareto'!Q28*'HK - BDGT'!$C$33</f>
        <v>2326.8793922915988</v>
      </c>
      <c r="S20" s="56">
        <f>'Konsumsi &amp; pareto'!R30/'Konsumsi &amp; pareto'!R29*'Konsumsi &amp; pareto'!R28*'HK - BDGT'!$C$33</f>
        <v>6868.7552773937423</v>
      </c>
      <c r="T20" s="56">
        <f>'Konsumsi &amp; pareto'!S30/'Konsumsi &amp; pareto'!S29*'Konsumsi &amp; pareto'!S28*'HK - BDGT'!$C$33</f>
        <v>7256.2191113647714</v>
      </c>
      <c r="U20" s="56" t="e">
        <f>'Konsumsi &amp; pareto'!T30/'Konsumsi &amp; pareto'!T29*'Konsumsi &amp; pareto'!T28*'HK - BDGT'!$C$33</f>
        <v>#DIV/0!</v>
      </c>
      <c r="V20" s="56" t="e">
        <f>'Konsumsi &amp; pareto'!U30/'Konsumsi &amp; pareto'!U29*'Konsumsi &amp; pareto'!U28*'HK - BDGT'!$C$33</f>
        <v>#DIV/0!</v>
      </c>
      <c r="W20" s="56" t="e">
        <f>'Konsumsi &amp; pareto'!V30/'Konsumsi &amp; pareto'!V29*'Konsumsi &amp; pareto'!V28*'HK - BDGT'!$C$33</f>
        <v>#DIV/0!</v>
      </c>
      <c r="X20" s="56" t="e">
        <f>'Konsumsi &amp; pareto'!W30/'Konsumsi &amp; pareto'!W29*'Konsumsi &amp; pareto'!W28*'HK - BDGT'!$C$33</f>
        <v>#DIV/0!</v>
      </c>
      <c r="Y20" s="56" t="e">
        <f>'Konsumsi &amp; pareto'!X30/'Konsumsi &amp; pareto'!X29*'Konsumsi &amp; pareto'!X28*'HK - BDGT'!$C$33</f>
        <v>#DIV/0!</v>
      </c>
      <c r="Z20" s="56" t="e">
        <f>'Konsumsi &amp; pareto'!Y30/'Konsumsi &amp; pareto'!Y29*'Konsumsi &amp; pareto'!Y28*'HK - BDGT'!$C$33</f>
        <v>#DIV/0!</v>
      </c>
      <c r="AA20" s="56" t="e">
        <f>'Konsumsi &amp; pareto'!Z30/'Konsumsi &amp; pareto'!Z29*'Konsumsi &amp; pareto'!Z28*'HK - BDGT'!$C$33</f>
        <v>#DIV/0!</v>
      </c>
      <c r="AB20" s="56" t="e">
        <f>'Konsumsi &amp; pareto'!AA30/'Konsumsi &amp; pareto'!AA29*'Konsumsi &amp; pareto'!AA28*'HK - BDGT'!$C$33</f>
        <v>#DIV/0!</v>
      </c>
      <c r="AC20" s="56" t="e">
        <f>'Konsumsi &amp; pareto'!AB30/'Konsumsi &amp; pareto'!AB29*'Konsumsi &amp; pareto'!AB28*'HK - BDGT'!$C$33</f>
        <v>#DIV/0!</v>
      </c>
      <c r="AD20" s="56" t="e">
        <f>'Konsumsi &amp; pareto'!AC30/'Konsumsi &amp; pareto'!AC29*'Konsumsi &amp; pareto'!AC28*'HK - BDGT'!$C$33</f>
        <v>#DIV/0!</v>
      </c>
      <c r="AE20" s="56" t="e">
        <f>'Konsumsi &amp; pareto'!AD30/'Konsumsi &amp; pareto'!AD29*'Konsumsi &amp; pareto'!AD28*'HK - BDGT'!$C$33</f>
        <v>#DIV/0!</v>
      </c>
      <c r="AF20" s="56" t="e">
        <f>'Konsumsi &amp; pareto'!AE30/'Konsumsi &amp; pareto'!AE29*'Konsumsi &amp; pareto'!AE28*'HK - BDGT'!$C$33</f>
        <v>#DIV/0!</v>
      </c>
    </row>
    <row r="21" spans="2:32" ht="15" customHeight="1">
      <c r="B21" s="160" t="s">
        <v>92</v>
      </c>
      <c r="C21" s="160"/>
      <c r="D21" s="63"/>
      <c r="E21" s="63"/>
      <c r="F21" s="63"/>
      <c r="G21" s="63"/>
      <c r="H21" s="102"/>
      <c r="I21" s="161">
        <f t="shared" ref="I21:AE21" si="1">((I19-(SUM(I20:J20))))/(SUM(I20:J20))</f>
        <v>9.0463665150482001E-2</v>
      </c>
      <c r="J21" s="161"/>
      <c r="K21" s="161">
        <f t="shared" si="1"/>
        <v>1.0520761245435186</v>
      </c>
      <c r="L21" s="161"/>
      <c r="M21" s="161">
        <f t="shared" si="1"/>
        <v>1.0335112008029421</v>
      </c>
      <c r="N21" s="161"/>
      <c r="O21" s="161">
        <f t="shared" si="1"/>
        <v>0.80408225468836847</v>
      </c>
      <c r="P21" s="161"/>
      <c r="Q21" s="161">
        <f t="shared" si="1"/>
        <v>0.25544291326422064</v>
      </c>
      <c r="R21" s="161"/>
      <c r="S21" s="161">
        <f t="shared" si="1"/>
        <v>1.1589949409694797</v>
      </c>
      <c r="T21" s="161"/>
      <c r="U21" s="161" t="e">
        <f t="shared" si="1"/>
        <v>#DIV/0!</v>
      </c>
      <c r="V21" s="161"/>
      <c r="W21" s="161" t="e">
        <f t="shared" si="1"/>
        <v>#DIV/0!</v>
      </c>
      <c r="X21" s="161"/>
      <c r="Y21" s="161" t="e">
        <f t="shared" si="1"/>
        <v>#DIV/0!</v>
      </c>
      <c r="Z21" s="161"/>
      <c r="AA21" s="161" t="e">
        <f t="shared" si="1"/>
        <v>#DIV/0!</v>
      </c>
      <c r="AB21" s="161"/>
      <c r="AC21" s="161" t="e">
        <f t="shared" si="1"/>
        <v>#DIV/0!</v>
      </c>
      <c r="AD21" s="161"/>
      <c r="AE21" s="161" t="e">
        <f t="shared" si="1"/>
        <v>#DIV/0!</v>
      </c>
      <c r="AF21" s="161"/>
    </row>
    <row r="22" spans="2:32" ht="15" customHeight="1">
      <c r="B22" s="136"/>
      <c r="C22" s="136"/>
      <c r="D22" s="63"/>
      <c r="E22" s="63"/>
      <c r="F22" s="63"/>
      <c r="G22" s="63"/>
      <c r="H22" s="102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</row>
    <row r="23" spans="2:32">
      <c r="B23" s="177" t="s">
        <v>87</v>
      </c>
      <c r="C23" s="60" t="s">
        <v>85</v>
      </c>
      <c r="D23" s="61"/>
      <c r="E23" s="61"/>
      <c r="F23" s="61"/>
      <c r="G23" s="61">
        <v>135311.83853338691</v>
      </c>
      <c r="H23" s="100">
        <f>SUM(I23:AF23)</f>
        <v>109812.32851075627</v>
      </c>
      <c r="I23" s="176">
        <v>7877.8482528286404</v>
      </c>
      <c r="J23" s="176"/>
      <c r="K23" s="176">
        <v>7841.0994941905101</v>
      </c>
      <c r="L23" s="176"/>
      <c r="M23" s="176">
        <v>9171.7752526108306</v>
      </c>
      <c r="N23" s="176"/>
      <c r="O23" s="176">
        <v>9598.4619978996507</v>
      </c>
      <c r="P23" s="176"/>
      <c r="Q23" s="176">
        <v>9999.5659281558001</v>
      </c>
      <c r="R23" s="176"/>
      <c r="S23" s="176">
        <v>8352.8680339399398</v>
      </c>
      <c r="T23" s="176"/>
      <c r="U23" s="176">
        <v>9600.9481608289698</v>
      </c>
      <c r="V23" s="176"/>
      <c r="W23" s="176">
        <v>9779.2624543524998</v>
      </c>
      <c r="X23" s="176"/>
      <c r="Y23" s="176">
        <v>9139.2915929485407</v>
      </c>
      <c r="Z23" s="176"/>
      <c r="AA23" s="176">
        <v>9630.7896310247597</v>
      </c>
      <c r="AB23" s="176"/>
      <c r="AC23" s="176">
        <v>9393.1996564208202</v>
      </c>
      <c r="AD23" s="176"/>
      <c r="AE23" s="176">
        <v>9427.2180555553005</v>
      </c>
      <c r="AF23" s="176"/>
    </row>
    <row r="24" spans="2:32">
      <c r="B24" s="177"/>
      <c r="C24" s="62" t="s">
        <v>86</v>
      </c>
      <c r="D24" s="62"/>
      <c r="E24" s="62"/>
      <c r="F24" s="62"/>
      <c r="G24" s="62" t="e">
        <v>#DIV/0!</v>
      </c>
      <c r="H24" s="101" t="e">
        <f>SUM(I24:AF24)</f>
        <v>#DIV/0!</v>
      </c>
      <c r="I24" s="55">
        <f>'Konsumsi &amp; pareto'!H39/'Konsumsi &amp; pareto'!H29*'Konsumsi &amp; pareto'!H28*'HK - BDGT'!$C$33</f>
        <v>3975.2575947339255</v>
      </c>
      <c r="J24" s="55">
        <f>'Konsumsi &amp; pareto'!I39/'Konsumsi &amp; pareto'!I29*'Konsumsi &amp; pareto'!I28*'HK - BDGT'!$C$33</f>
        <v>3130.358544618387</v>
      </c>
      <c r="K24" s="55">
        <f>'Konsumsi &amp; pareto'!J39/'Konsumsi &amp; pareto'!J29*'Konsumsi &amp; pareto'!J28*'HK - BDGT'!$C$33</f>
        <v>2721.2527897750697</v>
      </c>
      <c r="L24" s="55">
        <f>'Konsumsi &amp; pareto'!K39/'Konsumsi &amp; pareto'!K29*'Konsumsi &amp; pareto'!K28*'HK - BDGT'!$C$33</f>
        <v>2003.8870179502637</v>
      </c>
      <c r="M24" s="55">
        <f>'Konsumsi &amp; pareto'!L39/'Konsumsi &amp; pareto'!L29*'Konsumsi &amp; pareto'!L28*'HK - BDGT'!$C$33</f>
        <v>2609.6646997073867</v>
      </c>
      <c r="N24" s="55">
        <f>'Konsumsi &amp; pareto'!M39/'Konsumsi &amp; pareto'!M29*'Konsumsi &amp; pareto'!M28*'HK - BDGT'!$C$33</f>
        <v>1996.9279815078319</v>
      </c>
      <c r="O24" s="55">
        <f>'Konsumsi &amp; pareto'!N39/'Konsumsi &amp; pareto'!N29*'Konsumsi &amp; pareto'!N28*'HK - BDGT'!$C$33</f>
        <v>2796.9370945840842</v>
      </c>
      <c r="P24" s="55">
        <f>'Konsumsi &amp; pareto'!O39/'Konsumsi &amp; pareto'!O29*'Konsumsi &amp; pareto'!O28*'HK - BDGT'!$C$33</f>
        <v>2507.5570400733177</v>
      </c>
      <c r="Q24" s="55">
        <f>'Konsumsi &amp; pareto'!P39/'Konsumsi &amp; pareto'!P29*'Konsumsi &amp; pareto'!P28*'HK - BDGT'!$C$33</f>
        <v>4300.7427891869311</v>
      </c>
      <c r="R24" s="55">
        <f>'Konsumsi &amp; pareto'!Q39/'Konsumsi &amp; pareto'!Q29*'Konsumsi &amp; pareto'!Q28*'HK - BDGT'!$C$33</f>
        <v>1033.1206077084012</v>
      </c>
      <c r="S24" s="55">
        <f>'Konsumsi &amp; pareto'!R39/'Konsumsi &amp; pareto'!R29*'Konsumsi &amp; pareto'!R28*'HK - BDGT'!$C$33</f>
        <v>2635.2447226062586</v>
      </c>
      <c r="T24" s="55">
        <f>'Konsumsi &amp; pareto'!S39/'Konsumsi &amp; pareto'!S29*'Konsumsi &amp; pareto'!S28*'HK - BDGT'!$C$33</f>
        <v>2505.7808886352295</v>
      </c>
      <c r="U24" s="55" t="e">
        <f>'Konsumsi &amp; pareto'!T39/'Konsumsi &amp; pareto'!T29*'Konsumsi &amp; pareto'!T28*'HK - BDGT'!$C$33</f>
        <v>#DIV/0!</v>
      </c>
      <c r="V24" s="55" t="e">
        <f>'Konsumsi &amp; pareto'!U39/'Konsumsi &amp; pareto'!U29*'Konsumsi &amp; pareto'!U28*'HK - BDGT'!$C$33</f>
        <v>#DIV/0!</v>
      </c>
      <c r="W24" s="55" t="e">
        <f>'Konsumsi &amp; pareto'!V39/'Konsumsi &amp; pareto'!V29*'Konsumsi &amp; pareto'!V28*'HK - BDGT'!$C$33</f>
        <v>#DIV/0!</v>
      </c>
      <c r="X24" s="55" t="e">
        <f>'Konsumsi &amp; pareto'!W39/'Konsumsi &amp; pareto'!W29*'Konsumsi &amp; pareto'!W28*'HK - BDGT'!$C$33</f>
        <v>#DIV/0!</v>
      </c>
      <c r="Y24" s="55" t="e">
        <f>'Konsumsi &amp; pareto'!X39/'Konsumsi &amp; pareto'!X29*'Konsumsi &amp; pareto'!X28*'HK - BDGT'!$C$33</f>
        <v>#DIV/0!</v>
      </c>
      <c r="Z24" s="55" t="e">
        <f>'Konsumsi &amp; pareto'!Y39/'Konsumsi &amp; pareto'!Y29*'Konsumsi &amp; pareto'!Y28*'HK - BDGT'!$C$33</f>
        <v>#DIV/0!</v>
      </c>
      <c r="AA24" s="55" t="e">
        <f>'Konsumsi &amp; pareto'!Z39/'Konsumsi &amp; pareto'!Z29*'Konsumsi &amp; pareto'!Z28*'HK - BDGT'!$C$33</f>
        <v>#DIV/0!</v>
      </c>
      <c r="AB24" s="55" t="e">
        <f>'Konsumsi &amp; pareto'!AA39/'Konsumsi &amp; pareto'!AA29*'Konsumsi &amp; pareto'!AA28*'HK - BDGT'!$C$33</f>
        <v>#DIV/0!</v>
      </c>
      <c r="AC24" s="55" t="e">
        <f>'Konsumsi &amp; pareto'!AB39/'Konsumsi &amp; pareto'!AB29*'Konsumsi &amp; pareto'!AB28*'HK - BDGT'!$C$33</f>
        <v>#DIV/0!</v>
      </c>
      <c r="AD24" s="55" t="e">
        <f>'Konsumsi &amp; pareto'!AC39/'Konsumsi &amp; pareto'!AC29*'Konsumsi &amp; pareto'!AC28*'HK - BDGT'!$C$33</f>
        <v>#DIV/0!</v>
      </c>
      <c r="AE24" s="55" t="e">
        <f>'Konsumsi &amp; pareto'!AD39/'Konsumsi &amp; pareto'!AD29*'Konsumsi &amp; pareto'!AD28*'HK - BDGT'!$C$33</f>
        <v>#DIV/0!</v>
      </c>
      <c r="AF24" s="55" t="e">
        <f>'Konsumsi &amp; pareto'!AE39/'Konsumsi &amp; pareto'!AE29*'Konsumsi &amp; pareto'!AE28*'HK - BDGT'!$C$33</f>
        <v>#DIV/0!</v>
      </c>
    </row>
    <row r="25" spans="2:32">
      <c r="B25" s="160" t="s">
        <v>92</v>
      </c>
      <c r="C25" s="160"/>
      <c r="D25" s="63"/>
      <c r="E25" s="63"/>
      <c r="F25" s="63"/>
      <c r="G25" s="63"/>
      <c r="H25" s="102"/>
      <c r="I25" s="161">
        <f t="shared" ref="I25:AE25" si="2">((I23-(SUM(I24:J24))))/(SUM(I24:J24))</f>
        <v>0.10867912061834485</v>
      </c>
      <c r="J25" s="161"/>
      <c r="K25" s="161">
        <f t="shared" si="2"/>
        <v>0.65944285529303504</v>
      </c>
      <c r="L25" s="161"/>
      <c r="M25" s="161">
        <f t="shared" si="2"/>
        <v>0.99101068562270145</v>
      </c>
      <c r="N25" s="161"/>
      <c r="O25" s="161">
        <f t="shared" si="2"/>
        <v>0.80949620345269391</v>
      </c>
      <c r="P25" s="161"/>
      <c r="Q25" s="161">
        <f t="shared" si="2"/>
        <v>0.87473228766530098</v>
      </c>
      <c r="R25" s="161"/>
      <c r="S25" s="161">
        <f t="shared" si="2"/>
        <v>0.62474740753583513</v>
      </c>
      <c r="T25" s="161"/>
      <c r="U25" s="161" t="e">
        <f t="shared" si="2"/>
        <v>#DIV/0!</v>
      </c>
      <c r="V25" s="161"/>
      <c r="W25" s="161" t="e">
        <f t="shared" si="2"/>
        <v>#DIV/0!</v>
      </c>
      <c r="X25" s="161"/>
      <c r="Y25" s="161" t="e">
        <f t="shared" si="2"/>
        <v>#DIV/0!</v>
      </c>
      <c r="Z25" s="161"/>
      <c r="AA25" s="161" t="e">
        <f t="shared" si="2"/>
        <v>#DIV/0!</v>
      </c>
      <c r="AB25" s="161"/>
      <c r="AC25" s="161" t="e">
        <f t="shared" si="2"/>
        <v>#DIV/0!</v>
      </c>
      <c r="AD25" s="161"/>
      <c r="AE25" s="161" t="e">
        <f t="shared" si="2"/>
        <v>#DIV/0!</v>
      </c>
      <c r="AF25" s="161"/>
    </row>
    <row r="26" spans="2:32">
      <c r="B26" s="136"/>
      <c r="C26" s="136"/>
      <c r="D26" s="63"/>
      <c r="E26" s="63"/>
      <c r="F26" s="63"/>
      <c r="G26" s="63"/>
      <c r="H26" s="102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</row>
    <row r="27" spans="2:32">
      <c r="B27" s="136" t="s">
        <v>93</v>
      </c>
      <c r="C27" s="136"/>
      <c r="D27" s="63"/>
      <c r="E27" s="63"/>
      <c r="F27" s="63"/>
      <c r="G27" s="63">
        <v>235674401</v>
      </c>
      <c r="H27" s="102">
        <f>SUM(I27:AF27)</f>
        <v>62623260</v>
      </c>
      <c r="I27" s="187" t="s">
        <v>94</v>
      </c>
      <c r="J27" s="187"/>
      <c r="K27" s="187">
        <v>10216476</v>
      </c>
      <c r="L27" s="187"/>
      <c r="M27" s="187">
        <v>12280689</v>
      </c>
      <c r="N27" s="187"/>
      <c r="O27" s="187">
        <v>16366923</v>
      </c>
      <c r="P27" s="187"/>
      <c r="Q27" s="187">
        <v>12378519</v>
      </c>
      <c r="R27" s="187"/>
      <c r="S27" s="187">
        <v>11380653</v>
      </c>
      <c r="T27" s="187"/>
      <c r="U27" s="187"/>
      <c r="V27" s="187"/>
      <c r="W27" s="187"/>
      <c r="X27" s="187"/>
      <c r="Y27" s="187"/>
      <c r="Z27" s="187"/>
      <c r="AA27" s="187"/>
      <c r="AB27" s="187"/>
      <c r="AC27" s="188"/>
      <c r="AD27" s="188"/>
      <c r="AE27" s="188"/>
      <c r="AF27" s="188"/>
    </row>
    <row r="28" spans="2:32">
      <c r="B28" s="2" t="s">
        <v>95</v>
      </c>
      <c r="C28" s="2"/>
      <c r="D28" s="2"/>
      <c r="E28" s="2"/>
      <c r="F28" s="2"/>
      <c r="G28" s="2" t="e">
        <v>#DIV/0!</v>
      </c>
      <c r="H28" s="76" t="e">
        <f>SUM(I28:AF28)</f>
        <v>#VALUE!</v>
      </c>
      <c r="I28" s="187" t="e">
        <f>(SUM(I20:J20))/(SUM(I20:J20,I24:J24))*I27</f>
        <v>#VALUE!</v>
      </c>
      <c r="J28" s="187"/>
      <c r="K28" s="187">
        <f>(SUM(K20:L20))/(SUM(K20:L20,K24:L24))*K27</f>
        <v>7356286.5556185283</v>
      </c>
      <c r="L28" s="187"/>
      <c r="M28" s="187">
        <f>(SUM(M20:N20))/(SUM(M20:N20,M24:N24))*M27</f>
        <v>9238195.0735893175</v>
      </c>
      <c r="N28" s="187"/>
      <c r="O28" s="187">
        <f>(SUM(O20:P20))/(SUM(O20:P20,O24:P24))*O27</f>
        <v>12252704.108146653</v>
      </c>
      <c r="P28" s="187"/>
      <c r="Q28" s="187">
        <f>(SUM(Q20:R20))/(SUM(Q20:R20,Q24:R24))*Q27</f>
        <v>8334336.1381922448</v>
      </c>
      <c r="R28" s="187"/>
      <c r="S28" s="187">
        <f>(SUM(S20:T20))/(SUM(S20:T20,S24:T24))*S27</f>
        <v>8343788.6511132428</v>
      </c>
      <c r="T28" s="187"/>
      <c r="U28" s="189" t="e">
        <f>(SUM(U20:V20))/(SUM(U20:V20,U24:V24))*U27</f>
        <v>#DIV/0!</v>
      </c>
      <c r="V28" s="189"/>
      <c r="W28" s="189" t="e">
        <f>(SUM(W20:X20))/(SUM(W20:X20,W24:X24))*W27</f>
        <v>#DIV/0!</v>
      </c>
      <c r="X28" s="189"/>
      <c r="Y28" s="189" t="e">
        <f>(SUM(Y20:Z20))/(SUM(Y20:Z20,Y24:Z24))*Y27</f>
        <v>#DIV/0!</v>
      </c>
      <c r="Z28" s="189"/>
      <c r="AA28" s="189" t="e">
        <f>(SUM(AA20:AB20))/(SUM(AA20:AB20,AA24:AB24))*AA27</f>
        <v>#DIV/0!</v>
      </c>
      <c r="AB28" s="189"/>
      <c r="AC28" s="189" t="e">
        <f>(SUM(AC20:AD20))/(SUM(AC20:AD20,AC24:AD24))*AC27</f>
        <v>#DIV/0!</v>
      </c>
      <c r="AD28" s="189"/>
      <c r="AE28" s="189" t="e">
        <f>(SUM(AE20:AF20))/(SUM(AE20:AF20,AE24:AF24))*AE27</f>
        <v>#DIV/0!</v>
      </c>
      <c r="AF28" s="189"/>
    </row>
    <row r="29" spans="2:32">
      <c r="B29" s="2" t="s">
        <v>96</v>
      </c>
      <c r="C29" s="2"/>
      <c r="D29" s="2"/>
      <c r="E29" s="2"/>
      <c r="F29" s="2"/>
      <c r="G29" s="2" t="e">
        <v>#DIV/0!</v>
      </c>
      <c r="H29" s="76" t="e">
        <f>SUM(I29:AF29)</f>
        <v>#VALUE!</v>
      </c>
      <c r="I29" s="187" t="e">
        <f>(SUM(I24:J24))/(SUM(I24:J24,I20:J20))*I27</f>
        <v>#VALUE!</v>
      </c>
      <c r="J29" s="187"/>
      <c r="K29" s="187">
        <f>(SUM(K24:L24))/(SUM(K24:L24,K20:L20))*K27</f>
        <v>2860189.4443814717</v>
      </c>
      <c r="L29" s="187"/>
      <c r="M29" s="187">
        <f>(SUM(M24:N24))/(SUM(M24:N24,M20:N20))*M27</f>
        <v>3042493.926410683</v>
      </c>
      <c r="N29" s="187"/>
      <c r="O29" s="187">
        <f>(SUM(O24:P24))/(SUM(O24:P24,O20:P20))*O27</f>
        <v>4114218.891853346</v>
      </c>
      <c r="P29" s="187"/>
      <c r="Q29" s="187">
        <f>(SUM(Q24:R24))/(SUM(Q24:R24,Q20:R20))*Q27</f>
        <v>4044182.8618077552</v>
      </c>
      <c r="R29" s="187"/>
      <c r="S29" s="187">
        <f>(SUM(S24:T24))/(SUM(S24:T24,S20:T20))*S27</f>
        <v>3036864.3488867581</v>
      </c>
      <c r="T29" s="187"/>
      <c r="U29" s="189" t="e">
        <f>(SUM(U24:V24))/(SUM(U24:V24,U20:V20))*U27</f>
        <v>#DIV/0!</v>
      </c>
      <c r="V29" s="189"/>
      <c r="W29" s="189" t="e">
        <f>(SUM(W24:X24))/(SUM(W24:X24,W20:X20))*W27</f>
        <v>#DIV/0!</v>
      </c>
      <c r="X29" s="189"/>
      <c r="Y29" s="189" t="e">
        <f>(SUM(Y24:Z24))/(SUM(Y24:Z24,Y20:Z20))*Y27</f>
        <v>#DIV/0!</v>
      </c>
      <c r="Z29" s="189"/>
      <c r="AA29" s="189" t="e">
        <f>(SUM(AA24:AB24))/(SUM(AA24:AB24,AA20:AB20))*AA27</f>
        <v>#DIV/0!</v>
      </c>
      <c r="AB29" s="189"/>
      <c r="AC29" s="189" t="e">
        <f>(SUM(AC24:AD24))/(SUM(AC24:AD24,AC20:AD20))*AC27</f>
        <v>#DIV/0!</v>
      </c>
      <c r="AD29" s="189"/>
      <c r="AE29" s="189" t="e">
        <f>(SUM(AE24:AF24))/(SUM(AE24:AF24,AE20:AF20))*AE27</f>
        <v>#DIV/0!</v>
      </c>
      <c r="AF29" s="189"/>
    </row>
    <row r="30" spans="2:32">
      <c r="B30" s="192" t="s">
        <v>97</v>
      </c>
      <c r="C30" s="192"/>
      <c r="D30" s="192"/>
      <c r="E30" s="192"/>
      <c r="F30" s="134"/>
      <c r="G30" s="134"/>
      <c r="H30" s="134"/>
      <c r="I30" s="191" t="e">
        <f>SUM(I23,I19)-(I27/1000)</f>
        <v>#VALUE!</v>
      </c>
      <c r="J30" s="187"/>
      <c r="K30" s="191">
        <f>SUM(K23,K19)-(K27/1000)</f>
        <v>22563.217739672706</v>
      </c>
      <c r="L30" s="187"/>
      <c r="M30" s="191">
        <f>SUM(M23,M19)-(M27/1000)</f>
        <v>25334.635705552733</v>
      </c>
      <c r="N30" s="187"/>
      <c r="O30" s="191">
        <f>SUM(O23,O19)-(O27/1000)</f>
        <v>21731.538997899646</v>
      </c>
      <c r="P30" s="187"/>
      <c r="Q30" s="191">
        <f>SUM(Q23,Q19)-(Q27/1000)</f>
        <v>11421.0469281558</v>
      </c>
      <c r="R30" s="187"/>
      <c r="S30" s="191">
        <f>SUM(S23,S19)-(S27/1000)</f>
        <v>27467.963280593038</v>
      </c>
      <c r="T30" s="187"/>
      <c r="U30" s="191">
        <f>SUM(U23,U19)-(U27/1000)</f>
        <v>52519.658493379473</v>
      </c>
      <c r="V30" s="187"/>
      <c r="W30" s="191">
        <f>SUM(W23,W19)-(W27/1000)</f>
        <v>46107.751718908599</v>
      </c>
      <c r="X30" s="187"/>
      <c r="Y30" s="191">
        <f>SUM(Y23,Y19)-(Y27/1000)</f>
        <v>45885.515367833235</v>
      </c>
      <c r="Z30" s="187"/>
      <c r="AA30" s="191">
        <f>SUM(AA23,AA19)-(AA27/1000)</f>
        <v>41562.715892427761</v>
      </c>
      <c r="AB30" s="187"/>
      <c r="AC30" s="191">
        <f>SUM(AC23,AC19)-(AC27/1000)</f>
        <v>41315.170632486719</v>
      </c>
      <c r="AD30" s="187"/>
      <c r="AE30" s="191">
        <f>SUM(AE23,AE19)-(AE27/1000)</f>
        <v>42804.1855650117</v>
      </c>
      <c r="AF30" s="187"/>
    </row>
    <row r="31" spans="2:32">
      <c r="J31" s="65"/>
      <c r="K31" s="65"/>
      <c r="L31" s="65"/>
      <c r="M31" s="65"/>
      <c r="N31" s="65"/>
      <c r="O31" s="65"/>
      <c r="P31" s="65"/>
      <c r="Q31" s="65"/>
      <c r="R31" s="65"/>
      <c r="S31" s="65"/>
    </row>
    <row r="32" spans="2:32" ht="15.75" thickBot="1">
      <c r="B32" s="30" t="s">
        <v>98</v>
      </c>
      <c r="I32" s="88"/>
      <c r="J32" s="88"/>
      <c r="K32" s="88"/>
      <c r="L32" s="88"/>
      <c r="M32" s="88"/>
      <c r="N32" s="88"/>
      <c r="O32" s="88"/>
      <c r="P32" s="88"/>
      <c r="Q32" s="131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</row>
    <row r="33" spans="2:32" ht="16.5" customHeight="1">
      <c r="B33" s="137" t="s">
        <v>99</v>
      </c>
      <c r="C33">
        <v>6</v>
      </c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AE33" s="190"/>
      <c r="AF33" s="190"/>
    </row>
    <row r="34" spans="2:32">
      <c r="K34" s="66"/>
      <c r="L34" s="66"/>
      <c r="AF34" s="66"/>
    </row>
    <row r="37" spans="2:32">
      <c r="X37" s="65"/>
      <c r="Y37" s="66"/>
    </row>
  </sheetData>
  <mergeCells count="211">
    <mergeCell ref="AE33:AF33"/>
    <mergeCell ref="F3:F4"/>
    <mergeCell ref="AA30:AB30"/>
    <mergeCell ref="AC30:AD30"/>
    <mergeCell ref="AE30:AF30"/>
    <mergeCell ref="B30:E30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AA28:AB28"/>
    <mergeCell ref="AC28:AD28"/>
    <mergeCell ref="AE28:AF28"/>
    <mergeCell ref="I29:J29"/>
    <mergeCell ref="K29:L29"/>
    <mergeCell ref="M29:N29"/>
    <mergeCell ref="O29:P29"/>
    <mergeCell ref="Q29:R29"/>
    <mergeCell ref="S29:T29"/>
    <mergeCell ref="U29:V29"/>
    <mergeCell ref="W29:X29"/>
    <mergeCell ref="Y29:Z29"/>
    <mergeCell ref="AA29:AB29"/>
    <mergeCell ref="AC29:AD29"/>
    <mergeCell ref="AE29:AF29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I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A13:AB13"/>
    <mergeCell ref="AC13:AD13"/>
    <mergeCell ref="AE13:AF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E25:AF25"/>
    <mergeCell ref="AA25:AB25"/>
    <mergeCell ref="AC25:AD25"/>
    <mergeCell ref="AC15:AD15"/>
    <mergeCell ref="AE15:AF15"/>
    <mergeCell ref="Q15:R15"/>
    <mergeCell ref="S15:T15"/>
    <mergeCell ref="U15:V15"/>
    <mergeCell ref="W15:X15"/>
    <mergeCell ref="AA9:AB9"/>
    <mergeCell ref="AC9:AD9"/>
    <mergeCell ref="AE9:AF9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I7:J7"/>
    <mergeCell ref="AC7:AD7"/>
    <mergeCell ref="AE7:AF7"/>
    <mergeCell ref="S5:T5"/>
    <mergeCell ref="U5:V5"/>
    <mergeCell ref="I5:J5"/>
    <mergeCell ref="K5:L5"/>
    <mergeCell ref="M5:N5"/>
    <mergeCell ref="O5:P5"/>
    <mergeCell ref="Q5:R5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E23:AF23"/>
    <mergeCell ref="AC3:AD3"/>
    <mergeCell ref="AE3:AF3"/>
    <mergeCell ref="B19:B20"/>
    <mergeCell ref="I19:J19"/>
    <mergeCell ref="K19:L19"/>
    <mergeCell ref="M19:N19"/>
    <mergeCell ref="O19:P19"/>
    <mergeCell ref="Q19:R19"/>
    <mergeCell ref="W5:X5"/>
    <mergeCell ref="B3:C4"/>
    <mergeCell ref="I3:J3"/>
    <mergeCell ref="K3:L3"/>
    <mergeCell ref="M3:N3"/>
    <mergeCell ref="O3:P3"/>
    <mergeCell ref="Q3:R3"/>
    <mergeCell ref="S3:T3"/>
    <mergeCell ref="U3:V3"/>
    <mergeCell ref="W3:X3"/>
    <mergeCell ref="B7:B8"/>
    <mergeCell ref="B9:B10"/>
    <mergeCell ref="AA5:AB5"/>
    <mergeCell ref="AC5:AD5"/>
    <mergeCell ref="AE5:AF5"/>
    <mergeCell ref="I21:J21"/>
    <mergeCell ref="AE19:AF19"/>
    <mergeCell ref="B23:B24"/>
    <mergeCell ref="I23:J23"/>
    <mergeCell ref="K23:L23"/>
    <mergeCell ref="M23:N23"/>
    <mergeCell ref="O23:P23"/>
    <mergeCell ref="Q23:R23"/>
    <mergeCell ref="S23:T23"/>
    <mergeCell ref="U23:V23"/>
    <mergeCell ref="W23:X23"/>
    <mergeCell ref="S19:T19"/>
    <mergeCell ref="U19:V19"/>
    <mergeCell ref="W19:X19"/>
    <mergeCell ref="Y19:Z19"/>
    <mergeCell ref="AA19:AB19"/>
    <mergeCell ref="AC19:AD19"/>
    <mergeCell ref="AC21:AD21"/>
    <mergeCell ref="AE21:AF21"/>
    <mergeCell ref="Y21:Z21"/>
    <mergeCell ref="AA21:AB21"/>
    <mergeCell ref="Y23:Z23"/>
    <mergeCell ref="AA23:AB23"/>
    <mergeCell ref="AC23:AD23"/>
    <mergeCell ref="AA3:AB3"/>
    <mergeCell ref="Y25:Z25"/>
    <mergeCell ref="AC16:AD16"/>
    <mergeCell ref="AE16:AF16"/>
    <mergeCell ref="I16:J16"/>
    <mergeCell ref="K16:L16"/>
    <mergeCell ref="M16:N16"/>
    <mergeCell ref="O16:P16"/>
    <mergeCell ref="Q16:R16"/>
    <mergeCell ref="S16:T16"/>
    <mergeCell ref="U16:V16"/>
    <mergeCell ref="W16:X16"/>
    <mergeCell ref="I25:J25"/>
    <mergeCell ref="K25:L25"/>
    <mergeCell ref="M25:N25"/>
    <mergeCell ref="O25:P25"/>
    <mergeCell ref="Q25:R25"/>
    <mergeCell ref="S25:T25"/>
    <mergeCell ref="U25:V25"/>
    <mergeCell ref="W25:X25"/>
    <mergeCell ref="Q21:R21"/>
    <mergeCell ref="S21:T21"/>
    <mergeCell ref="U21:V21"/>
    <mergeCell ref="W21:X21"/>
    <mergeCell ref="G3:G4"/>
    <mergeCell ref="H3:H4"/>
    <mergeCell ref="Y15:Z15"/>
    <mergeCell ref="AA15:AB15"/>
    <mergeCell ref="B21:C21"/>
    <mergeCell ref="B25:C25"/>
    <mergeCell ref="K21:L21"/>
    <mergeCell ref="M21:N21"/>
    <mergeCell ref="O21:P21"/>
    <mergeCell ref="Y16:Z16"/>
    <mergeCell ref="AA16:AB16"/>
    <mergeCell ref="E3:E4"/>
    <mergeCell ref="D3:D4"/>
    <mergeCell ref="B11:B12"/>
    <mergeCell ref="B13:B14"/>
    <mergeCell ref="B15:C15"/>
    <mergeCell ref="B16:C16"/>
    <mergeCell ref="I15:J15"/>
    <mergeCell ref="K15:L15"/>
    <mergeCell ref="M15:N15"/>
    <mergeCell ref="O15:P15"/>
    <mergeCell ref="B5:B6"/>
    <mergeCell ref="Y5:Z5"/>
    <mergeCell ref="Y3: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4"/>
  <sheetViews>
    <sheetView topLeftCell="A4" zoomScale="85" zoomScaleNormal="85" workbookViewId="0">
      <selection activeCell="P23" sqref="P23:Q23"/>
    </sheetView>
  </sheetViews>
  <sheetFormatPr defaultRowHeight="15"/>
  <cols>
    <col min="2" max="2" width="18.85546875" bestFit="1" customWidth="1"/>
    <col min="3" max="3" width="7.7109375" customWidth="1"/>
    <col min="4" max="5" width="8.5703125" customWidth="1"/>
    <col min="6" max="11" width="9.140625" customWidth="1"/>
  </cols>
  <sheetData>
    <row r="1" spans="1:29" ht="15.75" thickBot="1"/>
    <row r="2" spans="1:29">
      <c r="B2" s="206" t="s">
        <v>100</v>
      </c>
      <c r="C2" s="143" t="s">
        <v>3</v>
      </c>
      <c r="D2" s="143" t="s">
        <v>4</v>
      </c>
      <c r="E2" s="143" t="s">
        <v>5</v>
      </c>
      <c r="F2" s="205" t="s">
        <v>6</v>
      </c>
      <c r="G2" s="205"/>
      <c r="H2" s="205" t="s">
        <v>7</v>
      </c>
      <c r="I2" s="205"/>
      <c r="J2" s="205" t="s">
        <v>8</v>
      </c>
      <c r="K2" s="205"/>
      <c r="L2" s="205" t="s">
        <v>9</v>
      </c>
      <c r="M2" s="205"/>
      <c r="N2" s="205" t="s">
        <v>10</v>
      </c>
      <c r="O2" s="205"/>
      <c r="P2" s="205" t="s">
        <v>11</v>
      </c>
      <c r="Q2" s="205"/>
      <c r="R2" s="205" t="s">
        <v>12</v>
      </c>
      <c r="S2" s="205"/>
      <c r="T2" s="205" t="s">
        <v>13</v>
      </c>
      <c r="U2" s="205"/>
      <c r="V2" s="205" t="s">
        <v>14</v>
      </c>
      <c r="W2" s="205"/>
      <c r="X2" s="205" t="s">
        <v>15</v>
      </c>
      <c r="Y2" s="205"/>
      <c r="Z2" s="205" t="s">
        <v>16</v>
      </c>
      <c r="AA2" s="205"/>
      <c r="AB2" s="205" t="s">
        <v>17</v>
      </c>
      <c r="AC2" s="146"/>
    </row>
    <row r="3" spans="1:29" s="1" customFormat="1" ht="15.75" thickBot="1">
      <c r="A3" s="133"/>
      <c r="B3" s="207"/>
      <c r="C3" s="144"/>
      <c r="D3" s="144"/>
      <c r="E3" s="144"/>
      <c r="F3" s="38">
        <v>15</v>
      </c>
      <c r="G3" s="38">
        <v>31</v>
      </c>
      <c r="H3" s="38">
        <v>14</v>
      </c>
      <c r="I3" s="38">
        <v>28</v>
      </c>
      <c r="J3" s="38">
        <v>15</v>
      </c>
      <c r="K3" s="38">
        <v>31</v>
      </c>
      <c r="L3" s="38">
        <v>15</v>
      </c>
      <c r="M3" s="38">
        <v>30</v>
      </c>
      <c r="N3" s="38">
        <v>15</v>
      </c>
      <c r="O3" s="38">
        <v>31</v>
      </c>
      <c r="P3" s="38">
        <v>15</v>
      </c>
      <c r="Q3" s="38">
        <v>30</v>
      </c>
      <c r="R3" s="38">
        <v>15</v>
      </c>
      <c r="S3" s="38">
        <v>31</v>
      </c>
      <c r="T3" s="38">
        <v>15</v>
      </c>
      <c r="U3" s="38">
        <v>31</v>
      </c>
      <c r="V3" s="38">
        <v>15</v>
      </c>
      <c r="W3" s="38">
        <v>30</v>
      </c>
      <c r="X3" s="38">
        <v>15</v>
      </c>
      <c r="Y3" s="38">
        <v>31</v>
      </c>
      <c r="Z3" s="38">
        <v>15</v>
      </c>
      <c r="AA3" s="38">
        <v>30</v>
      </c>
      <c r="AB3" s="38">
        <v>15</v>
      </c>
      <c r="AC3" s="39">
        <v>31</v>
      </c>
    </row>
    <row r="4" spans="1:29" s="1" customFormat="1">
      <c r="A4" s="133"/>
      <c r="B4" s="43" t="s">
        <v>101</v>
      </c>
      <c r="C4" s="44"/>
      <c r="D4" s="108"/>
      <c r="E4" s="108">
        <f>SUM(F4:AC4)</f>
        <v>7227.5</v>
      </c>
      <c r="F4" s="202">
        <v>667.5</v>
      </c>
      <c r="G4" s="203"/>
      <c r="H4" s="202">
        <f>589</f>
        <v>589</v>
      </c>
      <c r="I4" s="203"/>
      <c r="J4" s="202">
        <f>712</f>
        <v>712</v>
      </c>
      <c r="K4" s="203"/>
      <c r="L4" s="202">
        <f>638</f>
        <v>638</v>
      </c>
      <c r="M4" s="203"/>
      <c r="N4" s="202">
        <f>526/2</f>
        <v>263</v>
      </c>
      <c r="O4" s="203"/>
      <c r="P4" s="202">
        <v>548</v>
      </c>
      <c r="Q4" s="203"/>
      <c r="R4" s="202">
        <v>624</v>
      </c>
      <c r="S4" s="203"/>
      <c r="T4" s="202">
        <v>638</v>
      </c>
      <c r="U4" s="203"/>
      <c r="V4" s="202">
        <v>687</v>
      </c>
      <c r="W4" s="203"/>
      <c r="X4" s="202">
        <v>599</v>
      </c>
      <c r="Y4" s="203"/>
      <c r="Z4" s="202">
        <v>634</v>
      </c>
      <c r="AA4" s="203"/>
      <c r="AB4" s="202">
        <v>628</v>
      </c>
      <c r="AC4" s="204"/>
    </row>
    <row r="5" spans="1:29" s="1" customFormat="1" ht="15.75" thickBot="1">
      <c r="A5" s="133"/>
      <c r="B5" s="45" t="s">
        <v>102</v>
      </c>
      <c r="C5" s="46"/>
      <c r="D5" s="109"/>
      <c r="E5" s="109"/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 t="s">
        <v>103</v>
      </c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2"/>
    </row>
    <row r="6" spans="1:29">
      <c r="B6" s="9" t="s">
        <v>104</v>
      </c>
      <c r="C6" s="34"/>
      <c r="D6" s="110"/>
      <c r="E6" s="110">
        <f>SUM(F6:AC6)</f>
        <v>5360.1629116000013</v>
      </c>
      <c r="F6" s="52">
        <f>[4]Tonase!F6</f>
        <v>306.01180160000001</v>
      </c>
      <c r="G6" s="52">
        <f>[4]Tonase!G6</f>
        <v>130.24698000000001</v>
      </c>
      <c r="H6" s="52">
        <f>[4]Tonase!H6</f>
        <v>166.99544</v>
      </c>
      <c r="I6" s="52">
        <f>[4]Tonase!I6</f>
        <v>58.661239999999999</v>
      </c>
      <c r="J6" s="52">
        <f>[4]Tonase!J6</f>
        <v>161.94</v>
      </c>
      <c r="K6" s="52">
        <f>[4]Tonase!K6</f>
        <v>97.771000000000001</v>
      </c>
      <c r="L6" s="52">
        <f>[4]Tonase!L6</f>
        <v>244.05600000000001</v>
      </c>
      <c r="M6" s="52">
        <f>[4]Tonase!M6</f>
        <v>295.01099999999997</v>
      </c>
      <c r="N6" s="52">
        <f>[4]Tonase!N6</f>
        <v>406.88407999999998</v>
      </c>
      <c r="O6" s="52">
        <f>[4]Tonase!O6</f>
        <v>302.83416</v>
      </c>
      <c r="P6" s="52">
        <f>[4]Tonase!P6</f>
        <v>4.1710000000000003</v>
      </c>
      <c r="Q6" s="52">
        <f>[4]Tonase!Q6</f>
        <v>379.51553999999999</v>
      </c>
      <c r="R6" s="52">
        <f>[4]Tonase!R6</f>
        <v>345.49703999999997</v>
      </c>
      <c r="S6" s="52">
        <f>[4]Tonase!S6</f>
        <v>323.72309999999999</v>
      </c>
      <c r="T6" s="52">
        <f>[4]Tonase!T6</f>
        <v>380.57632999999998</v>
      </c>
      <c r="U6" s="52">
        <f>[4]Tonase!U6</f>
        <v>240.65360000000001</v>
      </c>
      <c r="V6" s="52">
        <f>[4]Tonase!V6</f>
        <v>166.56728000000001</v>
      </c>
      <c r="W6" s="52">
        <f>[4]Tonase!W6</f>
        <v>278.63146</v>
      </c>
      <c r="X6" s="52">
        <f>[4]Tonase!X6</f>
        <v>312.69615999999996</v>
      </c>
      <c r="Y6" s="52">
        <f>[4]Tonase!Y6</f>
        <v>224.81108</v>
      </c>
      <c r="Z6" s="52">
        <f>[4]Tonase!Z6</f>
        <v>307.62018</v>
      </c>
      <c r="AA6" s="52">
        <f>[4]Tonase!AA6</f>
        <v>225.28844000000001</v>
      </c>
      <c r="AB6" s="52">
        <f>[4]Tonase!AB6</f>
        <v>0</v>
      </c>
      <c r="AC6" s="52">
        <f>[4]Tonase!AC6</f>
        <v>0</v>
      </c>
    </row>
    <row r="7" spans="1:29">
      <c r="B7" s="10" t="s">
        <v>95</v>
      </c>
      <c r="C7" s="36"/>
      <c r="D7" s="111"/>
      <c r="E7" s="111">
        <f t="shared" ref="E7:E11" si="0">SUM(F7:AC7)</f>
        <v>0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</row>
    <row r="8" spans="1:29">
      <c r="B8" s="10" t="s">
        <v>105</v>
      </c>
      <c r="C8" s="36"/>
      <c r="D8" s="111"/>
      <c r="E8" s="111">
        <f t="shared" si="0"/>
        <v>2204.9615940027275</v>
      </c>
      <c r="F8" s="201">
        <f>[3]Tonase!F8</f>
        <v>386.44890438554552</v>
      </c>
      <c r="G8" s="194"/>
      <c r="H8" s="201">
        <f>[3]Tonase!H8</f>
        <v>403.87632188100002</v>
      </c>
      <c r="I8" s="194"/>
      <c r="J8" s="201">
        <f>[3]Tonase!J8</f>
        <v>448.30798180345454</v>
      </c>
      <c r="K8" s="194"/>
      <c r="L8" s="201">
        <f>[3]Tonase!L8</f>
        <v>504.9</v>
      </c>
      <c r="M8" s="194"/>
      <c r="N8" s="201">
        <f>[3]Tonase!N8</f>
        <v>127.47725369381817</v>
      </c>
      <c r="O8" s="194"/>
      <c r="P8" s="201">
        <f>[3]Tonase!P8</f>
        <v>307.33271644800004</v>
      </c>
      <c r="Q8" s="194"/>
      <c r="R8" s="201">
        <f>[3]Tonase!R8</f>
        <v>26.61841579090909</v>
      </c>
      <c r="S8" s="194"/>
      <c r="T8" s="201">
        <f>[3]Tonase!T8</f>
        <v>0</v>
      </c>
      <c r="U8" s="194"/>
      <c r="V8" s="201">
        <f>[3]Tonase!V8</f>
        <v>0</v>
      </c>
      <c r="W8" s="194"/>
      <c r="X8" s="201">
        <f>[3]Tonase!X8</f>
        <v>0</v>
      </c>
      <c r="Y8" s="194"/>
      <c r="Z8" s="201">
        <f>[3]Tonase!Z8</f>
        <v>0</v>
      </c>
      <c r="AA8" s="194"/>
      <c r="AB8" s="201">
        <f>[3]Tonase!AB8</f>
        <v>0</v>
      </c>
      <c r="AC8" s="194"/>
    </row>
    <row r="9" spans="1:29">
      <c r="B9" s="17" t="s">
        <v>96</v>
      </c>
      <c r="C9" s="103"/>
      <c r="D9" s="112"/>
      <c r="E9" s="112">
        <f t="shared" si="0"/>
        <v>204.376</v>
      </c>
      <c r="F9" s="52">
        <f>SUM(F10:F11)</f>
        <v>13.939</v>
      </c>
      <c r="G9" s="52">
        <f t="shared" ref="G9:L9" si="1">SUM(G10:G11)</f>
        <v>18.773</v>
      </c>
      <c r="H9" s="52">
        <f t="shared" si="1"/>
        <v>12.420999999999999</v>
      </c>
      <c r="I9" s="52">
        <f t="shared" si="1"/>
        <v>15.66</v>
      </c>
      <c r="J9" s="52">
        <f t="shared" si="1"/>
        <v>28.380000000000003</v>
      </c>
      <c r="K9" s="52">
        <f t="shared" si="1"/>
        <v>21.832999999999998</v>
      </c>
      <c r="L9" s="193">
        <f t="shared" si="1"/>
        <v>38.57</v>
      </c>
      <c r="M9" s="194"/>
      <c r="N9" s="193">
        <f t="shared" ref="N9" si="2">SUM(N10:N11)</f>
        <v>17.3</v>
      </c>
      <c r="O9" s="194"/>
      <c r="P9" s="193">
        <f t="shared" ref="P9" si="3">SUM(P10:P11)</f>
        <v>37.5</v>
      </c>
      <c r="Q9" s="194"/>
      <c r="R9" s="193">
        <f t="shared" ref="R9" si="4">SUM(R10:R11)</f>
        <v>0</v>
      </c>
      <c r="S9" s="194"/>
      <c r="T9" s="193">
        <f t="shared" ref="T9" si="5">SUM(T10:T11)</f>
        <v>0</v>
      </c>
      <c r="U9" s="194"/>
      <c r="V9" s="193">
        <f t="shared" ref="V9" si="6">SUM(V10:V11)</f>
        <v>0</v>
      </c>
      <c r="W9" s="194"/>
      <c r="X9" s="193">
        <f t="shared" ref="X9" si="7">SUM(X10:X11)</f>
        <v>0</v>
      </c>
      <c r="Y9" s="194"/>
      <c r="Z9" s="193">
        <f t="shared" ref="Z9" si="8">SUM(Z10:Z11)</f>
        <v>0</v>
      </c>
      <c r="AA9" s="194"/>
      <c r="AB9" s="193">
        <f t="shared" ref="AB9" si="9">SUM(AB10:AB11)</f>
        <v>0</v>
      </c>
      <c r="AC9" s="194"/>
    </row>
    <row r="10" spans="1:29">
      <c r="B10" s="12" t="s">
        <v>106</v>
      </c>
      <c r="C10" s="27"/>
      <c r="D10" s="112"/>
      <c r="E10" s="112">
        <f t="shared" si="0"/>
        <v>116</v>
      </c>
      <c r="F10" s="52">
        <f>[3]Tonase!F$10</f>
        <v>5.3689999999999998</v>
      </c>
      <c r="G10" s="52">
        <f>[3]Tonase!G$10</f>
        <v>11.9</v>
      </c>
      <c r="H10" s="52">
        <f>[3]Tonase!H$10</f>
        <v>6.351</v>
      </c>
      <c r="I10" s="52">
        <f>[3]Tonase!I$10</f>
        <v>9.67</v>
      </c>
      <c r="J10" s="52">
        <f>[3]Tonase!J$10</f>
        <v>21.98</v>
      </c>
      <c r="K10" s="52">
        <f>[3]Tonase!K$10</f>
        <v>13.6</v>
      </c>
      <c r="L10" s="193">
        <f>[3]Tonase!L$10</f>
        <v>23.73</v>
      </c>
      <c r="M10" s="194"/>
      <c r="N10" s="193">
        <f>[3]Tonase!N$10</f>
        <v>6.3</v>
      </c>
      <c r="O10" s="194"/>
      <c r="P10" s="193">
        <f>[3]Tonase!P$10</f>
        <v>17.100000000000001</v>
      </c>
      <c r="Q10" s="194"/>
      <c r="R10" s="193">
        <f>[3]Tonase!R$10</f>
        <v>0</v>
      </c>
      <c r="S10" s="194"/>
      <c r="T10" s="193">
        <f>[3]Tonase!T$10</f>
        <v>0</v>
      </c>
      <c r="U10" s="194"/>
      <c r="V10" s="193">
        <f>[3]Tonase!V$10</f>
        <v>0</v>
      </c>
      <c r="W10" s="194"/>
      <c r="X10" s="193">
        <f>[3]Tonase!X$10</f>
        <v>0</v>
      </c>
      <c r="Y10" s="194"/>
      <c r="Z10" s="193">
        <f>[3]Tonase!Z$10</f>
        <v>0</v>
      </c>
      <c r="AA10" s="194"/>
      <c r="AB10" s="193">
        <f>[3]Tonase!AB$10</f>
        <v>0</v>
      </c>
      <c r="AC10" s="194"/>
    </row>
    <row r="11" spans="1:29">
      <c r="B11" s="12" t="s">
        <v>107</v>
      </c>
      <c r="C11" s="27"/>
      <c r="D11" s="112"/>
      <c r="E11" s="112">
        <f t="shared" si="0"/>
        <v>88.376000000000005</v>
      </c>
      <c r="F11" s="52">
        <f>[3]Tonase!F$11</f>
        <v>8.57</v>
      </c>
      <c r="G11" s="52">
        <f>[3]Tonase!G$11</f>
        <v>6.8730000000000002</v>
      </c>
      <c r="H11" s="52">
        <f>[3]Tonase!H$11</f>
        <v>6.07</v>
      </c>
      <c r="I11" s="52">
        <f>[3]Tonase!I$11</f>
        <v>5.99</v>
      </c>
      <c r="J11" s="52">
        <f>[3]Tonase!J$11</f>
        <v>6.4</v>
      </c>
      <c r="K11" s="52">
        <f>[3]Tonase!K$11</f>
        <v>8.2330000000000005</v>
      </c>
      <c r="L11" s="193">
        <f>[3]Tonase!L$11</f>
        <v>14.84</v>
      </c>
      <c r="M11" s="194"/>
      <c r="N11" s="193">
        <f>[3]Tonase!N$11</f>
        <v>11</v>
      </c>
      <c r="O11" s="194"/>
      <c r="P11" s="193">
        <f>[3]Tonase!P$11</f>
        <v>20.399999999999999</v>
      </c>
      <c r="Q11" s="194"/>
      <c r="R11" s="193">
        <f>[3]Tonase!R$11</f>
        <v>0</v>
      </c>
      <c r="S11" s="194"/>
      <c r="T11" s="193">
        <f>[3]Tonase!T$11</f>
        <v>0</v>
      </c>
      <c r="U11" s="194"/>
      <c r="V11" s="193">
        <f>[3]Tonase!V$11</f>
        <v>0</v>
      </c>
      <c r="W11" s="194"/>
      <c r="X11" s="193">
        <f>[3]Tonase!X$11</f>
        <v>0</v>
      </c>
      <c r="Y11" s="194"/>
      <c r="Z11" s="193">
        <f>[3]Tonase!Z$11</f>
        <v>0</v>
      </c>
      <c r="AA11" s="194"/>
      <c r="AB11" s="193">
        <f>[3]Tonase!AB$11</f>
        <v>0</v>
      </c>
      <c r="AC11" s="194"/>
    </row>
    <row r="12" spans="1:29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>
      <c r="B13" s="30" t="s">
        <v>108</v>
      </c>
      <c r="C13" s="30"/>
      <c r="D13" s="30"/>
      <c r="E13" s="30"/>
    </row>
    <row r="14" spans="1:29">
      <c r="B14" s="13" t="s">
        <v>104</v>
      </c>
      <c r="C14" s="104"/>
      <c r="D14" s="104"/>
      <c r="E14" s="104"/>
      <c r="F14" s="195">
        <f>IFERROR(SUM(F15,F16),0)</f>
        <v>192.93399488755122</v>
      </c>
      <c r="G14" s="196"/>
      <c r="H14" s="195">
        <f>IFERROR(SUM(H15,H16),0)</f>
        <v>239.41795455372187</v>
      </c>
      <c r="I14" s="196"/>
      <c r="J14" s="195">
        <f>IFERROR(SUM(J15,J16),0)</f>
        <v>155.60733045093855</v>
      </c>
      <c r="K14" s="196">
        <f t="shared" ref="K14:AC14" si="10">IFERROR(SUM(K15,K16),0)</f>
        <v>0</v>
      </c>
      <c r="L14" s="195">
        <f t="shared" si="10"/>
        <v>98.152758976721287</v>
      </c>
      <c r="M14" s="196">
        <f t="shared" si="10"/>
        <v>0</v>
      </c>
      <c r="N14" s="195">
        <f t="shared" si="10"/>
        <v>131.97821011417335</v>
      </c>
      <c r="O14" s="196">
        <f t="shared" si="10"/>
        <v>0</v>
      </c>
      <c r="P14" s="195">
        <f t="shared" si="10"/>
        <v>91.117293823099374</v>
      </c>
      <c r="Q14" s="196">
        <f t="shared" si="10"/>
        <v>0</v>
      </c>
      <c r="R14" s="195">
        <f t="shared" si="10"/>
        <v>0</v>
      </c>
      <c r="S14" s="196">
        <f t="shared" si="10"/>
        <v>0</v>
      </c>
      <c r="T14" s="195">
        <f t="shared" si="10"/>
        <v>0</v>
      </c>
      <c r="U14" s="196">
        <f t="shared" si="10"/>
        <v>0</v>
      </c>
      <c r="V14" s="195">
        <f t="shared" si="10"/>
        <v>0</v>
      </c>
      <c r="W14" s="196">
        <f t="shared" si="10"/>
        <v>0</v>
      </c>
      <c r="X14" s="195">
        <f t="shared" si="10"/>
        <v>0</v>
      </c>
      <c r="Y14" s="196">
        <f t="shared" si="10"/>
        <v>0</v>
      </c>
      <c r="Z14" s="195">
        <f t="shared" si="10"/>
        <v>0</v>
      </c>
      <c r="AA14" s="196">
        <f t="shared" si="10"/>
        <v>0</v>
      </c>
      <c r="AB14" s="195">
        <f t="shared" si="10"/>
        <v>0</v>
      </c>
      <c r="AC14" s="196">
        <f t="shared" si="10"/>
        <v>0</v>
      </c>
    </row>
    <row r="15" spans="1:29">
      <c r="B15" s="14" t="s">
        <v>109</v>
      </c>
      <c r="C15" s="105"/>
      <c r="D15" s="105"/>
      <c r="E15" s="105"/>
      <c r="F15" s="208">
        <f>('Konsumsi &amp; pareto'!H64+'Konsumsi &amp; pareto'!I64)/Tonase!F8</f>
        <v>15.298870934651669</v>
      </c>
      <c r="G15" s="209"/>
      <c r="H15" s="208">
        <f>('Konsumsi &amp; pareto'!J64+'Konsumsi &amp; pareto'!K64)/Tonase!H8</f>
        <v>11.143771194696805</v>
      </c>
      <c r="I15" s="209"/>
      <c r="J15" s="197">
        <f>('Konsumsi &amp; pareto'!L64+'Konsumsi &amp; pareto'!M64)/Tonase!J8</f>
        <v>12.122541436688559</v>
      </c>
      <c r="K15" s="198"/>
      <c r="L15" s="197">
        <f>('Konsumsi &amp; pareto'!N64+'Konsumsi &amp; pareto'!O64)/Tonase!L8</f>
        <v>12.005655098617122</v>
      </c>
      <c r="M15" s="196"/>
      <c r="N15" s="197">
        <f>('Konsumsi &amp; pareto'!P64+'Konsumsi &amp; pareto'!Q64)/Tonase!N8</f>
        <v>21.002453433184535</v>
      </c>
      <c r="O15" s="198"/>
      <c r="P15" s="197">
        <f>('Konsumsi &amp; pareto'!R64+'Konsumsi &amp; pareto'!S64)/Tonase!P8</f>
        <v>16.173629483857258</v>
      </c>
      <c r="Q15" s="196"/>
      <c r="R15" s="197">
        <f>('Konsumsi &amp; pareto'!T64+'Konsumsi &amp; pareto'!U64)/Tonase!R8</f>
        <v>0</v>
      </c>
      <c r="S15" s="198"/>
      <c r="T15" s="197" t="e">
        <f>('Konsumsi &amp; pareto'!V64+'Konsumsi &amp; pareto'!W64)/Tonase!T8</f>
        <v>#DIV/0!</v>
      </c>
      <c r="U15" s="196"/>
      <c r="V15" s="197" t="e">
        <f>('Konsumsi &amp; pareto'!X64+'Konsumsi &amp; pareto'!Y64)/Tonase!V8</f>
        <v>#DIV/0!</v>
      </c>
      <c r="W15" s="198"/>
      <c r="X15" s="197" t="e">
        <f>('Konsumsi &amp; pareto'!Z64+'Konsumsi &amp; pareto'!AA64)/Tonase!X8</f>
        <v>#DIV/0!</v>
      </c>
      <c r="Y15" s="196"/>
      <c r="Z15" s="197" t="e">
        <f>('Konsumsi &amp; pareto'!AB64+'Konsumsi &amp; pareto'!AC64)/Tonase!Z8</f>
        <v>#DIV/0!</v>
      </c>
      <c r="AA15" s="198"/>
      <c r="AB15" s="197" t="e">
        <f>('Konsumsi &amp; pareto'!AD64+'Konsumsi &amp; pareto'!AE64)/Tonase!AB8</f>
        <v>#DIV/0!</v>
      </c>
      <c r="AC15" s="196"/>
    </row>
    <row r="16" spans="1:29">
      <c r="B16" s="15" t="s">
        <v>96</v>
      </c>
      <c r="C16" s="106"/>
      <c r="D16" s="106"/>
      <c r="E16" s="106"/>
      <c r="F16" s="195">
        <f>IFERROR(SUM(F17:F19),0)</f>
        <v>177.63512395289956</v>
      </c>
      <c r="G16" s="196"/>
      <c r="H16" s="195">
        <f t="shared" ref="H16" si="11">IFERROR(SUM(H17:H19),0)</f>
        <v>228.27418335902507</v>
      </c>
      <c r="I16" s="196"/>
      <c r="J16" s="195">
        <f t="shared" ref="J16" si="12">IFERROR(SUM(J17:J19),0)</f>
        <v>143.48478901425</v>
      </c>
      <c r="K16" s="196"/>
      <c r="L16" s="195">
        <f t="shared" ref="L16" si="13">IFERROR(SUM(L17:L19),0)</f>
        <v>86.147103878104161</v>
      </c>
      <c r="M16" s="196"/>
      <c r="N16" s="195">
        <f t="shared" ref="N16" si="14">IFERROR(SUM(N17:N19),0)</f>
        <v>110.97575668098881</v>
      </c>
      <c r="O16" s="196"/>
      <c r="P16" s="195">
        <f t="shared" ref="P16" si="15">IFERROR(SUM(P17:P19),0)</f>
        <v>74.943664339242119</v>
      </c>
      <c r="Q16" s="196"/>
      <c r="R16" s="195">
        <f t="shared" ref="R16" si="16">IFERROR(SUM(R17:R19),0)</f>
        <v>0</v>
      </c>
      <c r="S16" s="196"/>
      <c r="T16" s="195">
        <f t="shared" ref="T16" si="17">IFERROR(SUM(T17:T19),0)</f>
        <v>0</v>
      </c>
      <c r="U16" s="196"/>
      <c r="V16" s="195">
        <f t="shared" ref="V16" si="18">IFERROR(SUM(V17:V19),0)</f>
        <v>0</v>
      </c>
      <c r="W16" s="196"/>
      <c r="X16" s="195">
        <f t="shared" ref="X16" si="19">IFERROR(SUM(X17:X19),0)</f>
        <v>0</v>
      </c>
      <c r="Y16" s="196"/>
      <c r="Z16" s="195">
        <f t="shared" ref="Z16" si="20">IFERROR(SUM(Z17:Z19),0)</f>
        <v>0</v>
      </c>
      <c r="AA16" s="196"/>
      <c r="AB16" s="195">
        <f t="shared" ref="AB16" si="21">IFERROR(SUM(AB17:AB19),0)</f>
        <v>0</v>
      </c>
      <c r="AC16" s="196"/>
    </row>
    <row r="17" spans="2:29">
      <c r="B17" s="16" t="s">
        <v>106</v>
      </c>
      <c r="C17" s="107"/>
      <c r="D17" s="107"/>
      <c r="E17" s="107"/>
      <c r="F17" s="195">
        <f>SUM('Konsumsi &amp; pareto'!H55:I55)/Tonase!F10:G10</f>
        <v>83.789375671252643</v>
      </c>
      <c r="G17" s="196"/>
      <c r="H17" s="195">
        <f>SUM('Konsumsi &amp; pareto'!J55:K55)/Tonase!H10:I10</f>
        <v>103.29535927835671</v>
      </c>
      <c r="I17" s="196"/>
      <c r="J17" s="195">
        <f>SUM('Konsumsi &amp; pareto'!L55:M55)/Tonase!J10:K10</f>
        <v>29.834770670839873</v>
      </c>
      <c r="K17" s="196"/>
      <c r="L17" s="195">
        <f>SUM('Konsumsi &amp; pareto'!N55:O55)/Tonase!L10:M10</f>
        <v>37.769810368031202</v>
      </c>
      <c r="M17" s="196"/>
      <c r="N17" s="195">
        <f>SUM('Konsumsi &amp; pareto'!P55:Q55)/Tonase!N10:O10</f>
        <v>66.431810410963294</v>
      </c>
      <c r="O17" s="196"/>
      <c r="P17" s="195">
        <f>SUM('Konsumsi &amp; pareto'!R55:S55)/(P10+Q10)</f>
        <v>39.09435056305346</v>
      </c>
      <c r="Q17" s="196"/>
      <c r="R17" s="195" t="e">
        <f>SUM('Konsumsi &amp; pareto'!T55:U55)/Tonase!R10:S10</f>
        <v>#DIV/0!</v>
      </c>
      <c r="S17" s="196"/>
      <c r="T17" s="195" t="e">
        <f>('Konsumsi &amp; pareto'!V55+'Konsumsi &amp; pareto'!W55)/(Tonase!T10+Tonase!U10)</f>
        <v>#DIV/0!</v>
      </c>
      <c r="U17" s="196"/>
      <c r="V17" s="195" t="e">
        <f>('Konsumsi &amp; pareto'!X55+'Konsumsi &amp; pareto'!Y55)/(Tonase!V10+Tonase!W10)</f>
        <v>#DIV/0!</v>
      </c>
      <c r="W17" s="196"/>
      <c r="X17" s="195" t="e">
        <f>('Konsumsi &amp; pareto'!Z55+'Konsumsi &amp; pareto'!AA55)/(Tonase!X10+Tonase!Y10)</f>
        <v>#DIV/0!</v>
      </c>
      <c r="Y17" s="196"/>
      <c r="Z17" s="195" t="e">
        <f>('Konsumsi &amp; pareto'!AB55+'Konsumsi &amp; pareto'!AC55)/(Tonase!Z10+Tonase!AA10)</f>
        <v>#DIV/0!</v>
      </c>
      <c r="AA17" s="196"/>
      <c r="AB17" s="195" t="e">
        <f>('Konsumsi &amp; pareto'!AD55+'Konsumsi &amp; pareto'!AE55)/(Tonase!AB10+Tonase!AC10)</f>
        <v>#DIV/0!</v>
      </c>
      <c r="AC17" s="196"/>
    </row>
    <row r="18" spans="2:29">
      <c r="B18" s="16" t="s">
        <v>107</v>
      </c>
      <c r="C18" s="107"/>
      <c r="D18" s="107"/>
      <c r="E18" s="107"/>
      <c r="F18" s="195">
        <f>SUM('Konsumsi &amp; pareto'!H56:I56)/Tonase!F11:G11</f>
        <v>93.845748281646934</v>
      </c>
      <c r="G18" s="196"/>
      <c r="H18" s="195">
        <f>SUM('Konsumsi &amp; pareto'!J56:K56)/Tonase!H11:I11</f>
        <v>124.97882408066837</v>
      </c>
      <c r="I18" s="196"/>
      <c r="J18" s="195">
        <f>SUM('Konsumsi &amp; pareto'!L56:M56)/Tonase!J11:K11</f>
        <v>113.65001834341012</v>
      </c>
      <c r="K18" s="196"/>
      <c r="L18" s="195">
        <f>SUM('Konsumsi &amp; pareto'!N56:O56)/Tonase!L11:M11</f>
        <v>48.377293510072953</v>
      </c>
      <c r="M18" s="196"/>
      <c r="N18" s="195">
        <f>SUM('Konsumsi &amp; pareto'!P56:Q56)/Tonase!N11:O11</f>
        <v>44.543946270025522</v>
      </c>
      <c r="O18" s="196"/>
      <c r="P18" s="195">
        <f>SUM('Konsumsi &amp; pareto'!R56:S56)/Tonase!P11:Q11</f>
        <v>35.849313776188659</v>
      </c>
      <c r="Q18" s="196"/>
      <c r="R18" s="195" t="e">
        <f>SUM('Konsumsi &amp; pareto'!T56:U56)/Tonase!R11:S11</f>
        <v>#DIV/0!</v>
      </c>
      <c r="S18" s="196"/>
      <c r="T18" s="195" t="e">
        <f>SUM('Konsumsi &amp; pareto'!V56:W56)/Tonase!T11:U11</f>
        <v>#DIV/0!</v>
      </c>
      <c r="U18" s="196"/>
      <c r="V18" s="195" t="e">
        <f>SUM('Konsumsi &amp; pareto'!X56:Y56)/Tonase!V11:W11</f>
        <v>#DIV/0!</v>
      </c>
      <c r="W18" s="196"/>
      <c r="X18" s="195" t="e">
        <f>SUM('Konsumsi &amp; pareto'!Z56:AA56)/Tonase!X11:Y11</f>
        <v>#DIV/0!</v>
      </c>
      <c r="Y18" s="196"/>
      <c r="Z18" s="195" t="e">
        <f>SUM('Konsumsi &amp; pareto'!AB56:AC56)/Tonase!Z11:AA11</f>
        <v>#DIV/0!</v>
      </c>
      <c r="AA18" s="196"/>
      <c r="AB18" s="195" t="e">
        <f>SUM('Konsumsi &amp; pareto'!AD56:AE56)/Tonase!AB11:AC11</f>
        <v>#DIV/0!</v>
      </c>
      <c r="AC18" s="196"/>
    </row>
    <row r="19" spans="2:29">
      <c r="B19" s="57" t="s">
        <v>110</v>
      </c>
      <c r="C19" s="57"/>
      <c r="D19" s="57"/>
      <c r="E19" s="57"/>
      <c r="F19" s="58">
        <f>IFERROR('[5]Konsumsi &amp; pareto'!G15/[5]Tonase!E13,0)</f>
        <v>0</v>
      </c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</row>
    <row r="21" spans="2:29">
      <c r="B21" s="30" t="s">
        <v>111</v>
      </c>
      <c r="C21" s="30"/>
      <c r="D21" s="30"/>
      <c r="E21" s="30"/>
      <c r="F21" s="199"/>
      <c r="G21" s="200"/>
      <c r="H21" s="199"/>
      <c r="I21" s="200"/>
      <c r="J21" s="199"/>
      <c r="K21" s="200"/>
      <c r="L21" s="199"/>
      <c r="M21" s="200"/>
      <c r="N21" s="199"/>
      <c r="O21" s="200"/>
      <c r="P21" s="199"/>
      <c r="Q21" s="200"/>
      <c r="R21" s="199"/>
      <c r="S21" s="200"/>
      <c r="T21" s="199"/>
      <c r="U21" s="200"/>
      <c r="V21" s="199"/>
      <c r="W21" s="200"/>
      <c r="X21" s="199"/>
      <c r="Y21" s="200"/>
      <c r="Z21" s="199"/>
      <c r="AA21" s="200"/>
      <c r="AB21" s="199"/>
      <c r="AC21" s="200"/>
    </row>
    <row r="22" spans="2:29">
      <c r="B22" s="13" t="s">
        <v>112</v>
      </c>
      <c r="C22" s="104"/>
      <c r="D22" s="104"/>
      <c r="E22" s="104"/>
      <c r="F22" s="195">
        <v>22</v>
      </c>
      <c r="G22" s="196"/>
      <c r="H22" s="195">
        <v>17</v>
      </c>
      <c r="I22" s="196"/>
      <c r="J22" s="195">
        <v>20</v>
      </c>
      <c r="K22" s="196"/>
      <c r="L22" s="195">
        <v>20</v>
      </c>
      <c r="M22" s="196"/>
      <c r="N22" s="195">
        <v>14</v>
      </c>
      <c r="O22" s="196"/>
      <c r="P22" s="195">
        <v>21</v>
      </c>
      <c r="Q22" s="196"/>
      <c r="R22" s="195">
        <v>23</v>
      </c>
      <c r="S22" s="196"/>
      <c r="T22" s="195">
        <v>22</v>
      </c>
      <c r="U22" s="196"/>
      <c r="V22" s="195">
        <v>21</v>
      </c>
      <c r="W22" s="196"/>
      <c r="X22" s="195">
        <v>23</v>
      </c>
      <c r="Y22" s="196"/>
      <c r="Z22" s="195">
        <v>21</v>
      </c>
      <c r="AA22" s="196"/>
      <c r="AB22" s="195">
        <v>19</v>
      </c>
      <c r="AC22" s="196"/>
    </row>
    <row r="23" spans="2:29">
      <c r="B23" s="14" t="s">
        <v>113</v>
      </c>
      <c r="C23" s="105"/>
      <c r="D23" s="105"/>
      <c r="E23" s="105"/>
      <c r="F23" s="197">
        <f>SUM('Konsumsi &amp; pareto'!H67:I67)/Tonase!F22</f>
        <v>16.681818181818183</v>
      </c>
      <c r="G23" s="196"/>
      <c r="H23" s="197">
        <f>SUM('Konsumsi &amp; pareto'!J67:K67)/Tonase!H22</f>
        <v>18.882352941176471</v>
      </c>
      <c r="I23" s="196"/>
      <c r="J23" s="197">
        <f>SUM('Konsumsi &amp; pareto'!L67:M67)/Tonase!J22</f>
        <v>17.55</v>
      </c>
      <c r="K23" s="196"/>
      <c r="L23" s="197">
        <f>SUM('Konsumsi &amp; pareto'!N67:O67)/Tonase!L22</f>
        <v>17.05</v>
      </c>
      <c r="M23" s="196"/>
      <c r="N23" s="197">
        <f>SUM('Konsumsi &amp; pareto'!P67:Q67)/Tonase!N22</f>
        <v>17.214285714285715</v>
      </c>
      <c r="O23" s="196"/>
      <c r="P23" s="197">
        <f>SUM('Konsumsi &amp; pareto'!R67:S67)/Tonase!P22</f>
        <v>30.095238095238095</v>
      </c>
      <c r="Q23" s="196"/>
      <c r="R23" s="197">
        <f>SUM('Konsumsi &amp; pareto'!T67:U67)/Tonase!R22</f>
        <v>0</v>
      </c>
      <c r="S23" s="196"/>
      <c r="T23" s="197">
        <f>SUM('Konsumsi &amp; pareto'!V67:W67)/Tonase!T22</f>
        <v>0</v>
      </c>
      <c r="U23" s="196"/>
      <c r="V23" s="197">
        <f>SUM('Konsumsi &amp; pareto'!X67:Y67)/Tonase!V22</f>
        <v>0</v>
      </c>
      <c r="W23" s="196"/>
      <c r="X23" s="197">
        <f>SUM('Konsumsi &amp; pareto'!Z67:AA67)/Tonase!X22</f>
        <v>0</v>
      </c>
      <c r="Y23" s="196"/>
      <c r="Z23" s="197">
        <f>SUM('Konsumsi &amp; pareto'!AB67:AC67)/Tonase!Z22</f>
        <v>0</v>
      </c>
      <c r="AA23" s="196"/>
      <c r="AB23" s="197">
        <f>SUM('Konsumsi &amp; pareto'!AD67:AE67)/Tonase!AB22</f>
        <v>0</v>
      </c>
      <c r="AC23" s="196"/>
    </row>
    <row r="24" spans="2:29">
      <c r="B24" s="14" t="s">
        <v>109</v>
      </c>
      <c r="C24" s="105"/>
      <c r="D24" s="105"/>
      <c r="E24" s="105"/>
      <c r="F24" s="197">
        <f>SUM('Konsumsi &amp; pareto'!H66:I66)/SUM('HK - BDGT'!I6:J6)</f>
        <v>328.45732839066687</v>
      </c>
      <c r="G24" s="196"/>
      <c r="H24" s="197">
        <f>SUM('Konsumsi &amp; pareto'!J66:K66)/SUM('HK - BDGT'!K6:L6)</f>
        <v>251.20215750684184</v>
      </c>
      <c r="I24" s="196"/>
      <c r="J24" s="197">
        <f>SUM('Konsumsi &amp; pareto'!L66:M66)/SUM('HK - BDGT'!M6:N6)</f>
        <v>284.7842141036121</v>
      </c>
      <c r="K24" s="196"/>
      <c r="L24" s="197">
        <f>SUM('Konsumsi &amp; pareto'!N66:O66)/SUM('HK - BDGT'!O6:P6)</f>
        <v>309.03818634732409</v>
      </c>
      <c r="M24" s="196"/>
      <c r="N24" s="197">
        <f>SUM('Konsumsi &amp; pareto'!P66:Q66)/SUM('HK - BDGT'!Q6:R6)</f>
        <v>294.75248636638543</v>
      </c>
      <c r="O24" s="196"/>
      <c r="P24" s="197">
        <f>SUM('Konsumsi &amp; pareto'!R66:S66)/SUM('HK - BDGT'!S6:T6)</f>
        <v>244.96191297399506</v>
      </c>
      <c r="Q24" s="196"/>
      <c r="R24" s="197">
        <f>SUM('Konsumsi &amp; pareto'!T66:U66)/SUM('HK - BDGT'!U6:V6)</f>
        <v>0</v>
      </c>
      <c r="S24" s="196"/>
      <c r="T24" s="197" t="e">
        <f>SUM('Konsumsi &amp; pareto'!V66:W66)/SUM('HK - BDGT'!W6:X6)</f>
        <v>#DIV/0!</v>
      </c>
      <c r="U24" s="196"/>
      <c r="V24" s="197" t="e">
        <f>SUM('Konsumsi &amp; pareto'!X66:Y66)/SUM('HK - BDGT'!Y6:Z6)</f>
        <v>#DIV/0!</v>
      </c>
      <c r="W24" s="196"/>
      <c r="X24" s="197" t="e">
        <f>SUM('Konsumsi &amp; pareto'!Z66:AA66)/SUM('HK - BDGT'!AA6:AB6)</f>
        <v>#DIV/0!</v>
      </c>
      <c r="Y24" s="196"/>
      <c r="Z24" s="197" t="e">
        <f>SUM('Konsumsi &amp; pareto'!AB66:AC66)/SUM('HK - BDGT'!AC6:AD6)</f>
        <v>#DIV/0!</v>
      </c>
      <c r="AA24" s="196"/>
      <c r="AB24" s="197" t="e">
        <f>SUM('Konsumsi &amp; pareto'!AD66:AE66)/SUM('HK - BDGT'!AE6:AF6)</f>
        <v>#DIV/0!</v>
      </c>
      <c r="AC24" s="196"/>
    </row>
    <row r="25" spans="2:29">
      <c r="B25" s="15" t="s">
        <v>96</v>
      </c>
      <c r="C25" s="15"/>
      <c r="D25" s="15"/>
      <c r="E25" s="15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</row>
    <row r="26" spans="2:29">
      <c r="B26" s="16" t="s">
        <v>106</v>
      </c>
      <c r="C26" s="107"/>
      <c r="D26" s="107"/>
      <c r="E26" s="107"/>
      <c r="F26" s="197">
        <f>SUM('Konsumsi &amp; pareto'!H55:I55)/SUM('HK - BDGT'!I14:J14)</f>
        <v>32.133225569925386</v>
      </c>
      <c r="G26" s="196">
        <f>IFERROR(('Konsumsi &amp; pareto'!I13+'Konsumsi &amp; pareto'!I18+('Konsumsi &amp; pareto'!I12*0.2)+('Konsumsi &amp; pareto'!C22*0.2)+('Konsumsi &amp; pareto'!I23*0.2))/'HK - BDGT'!J10,0)</f>
        <v>0</v>
      </c>
      <c r="H26" s="197">
        <f>SUM('Konsumsi &amp; pareto'!J55:K55)/SUM('HK - BDGT'!K14:L14)</f>
        <v>36.446045932046864</v>
      </c>
      <c r="I26" s="196">
        <f>IFERROR(('Konsumsi &amp; pareto'!K13+'Konsumsi &amp; pareto'!K18+('Konsumsi &amp; pareto'!K12*0.2)+('Konsumsi &amp; pareto'!E22*0.2)+('Konsumsi &amp; pareto'!K23*0.2))/'HK - BDGT'!L10,0)</f>
        <v>0</v>
      </c>
      <c r="J26" s="197">
        <f>SUM('Konsumsi &amp; pareto'!L55:M55)/SUM('HK - BDGT'!M14:N14)</f>
        <v>36.431569963614464</v>
      </c>
      <c r="K26" s="196">
        <f>IFERROR(('Konsumsi &amp; pareto'!M13+'Konsumsi &amp; pareto'!M18+('Konsumsi &amp; pareto'!M12*0.2)+('Konsumsi &amp; pareto'!G22*0.2)+('Konsumsi &amp; pareto'!M23*0.2))/'HK - BDGT'!N10,0)</f>
        <v>0</v>
      </c>
      <c r="L26" s="197">
        <f>SUM('Konsumsi &amp; pareto'!N55:O55)/SUM('HK - BDGT'!O14:P14)</f>
        <v>56.017350002086275</v>
      </c>
      <c r="M26" s="196">
        <f>IFERROR(('Konsumsi &amp; pareto'!O13+'Konsumsi &amp; pareto'!O18+('Konsumsi &amp; pareto'!O12*0.2)+('Konsumsi &amp; pareto'!I22*0.2)+('Konsumsi &amp; pareto'!O23*0.2))/'HK - BDGT'!P10,0)</f>
        <v>0</v>
      </c>
      <c r="N26" s="197">
        <f>SUM('Konsumsi &amp; pareto'!P55:Q55)/SUM('HK - BDGT'!Q14:R14)</f>
        <v>78.966114262088439</v>
      </c>
      <c r="O26" s="196">
        <f>IFERROR(('Konsumsi &amp; pareto'!Q13+'Konsumsi &amp; pareto'!Q18+('Konsumsi &amp; pareto'!Q12*0.2)+('Konsumsi &amp; pareto'!K22*0.2)+('Konsumsi &amp; pareto'!Q23*0.2))/'HK - BDGT'!R10,0)</f>
        <v>0</v>
      </c>
      <c r="P26" s="197">
        <f>SUM('Konsumsi &amp; pareto'!R55:S55)/SUM('HK - BDGT'!S14:T14)</f>
        <v>35.184915506748119</v>
      </c>
      <c r="Q26" s="196">
        <f>IFERROR(('Konsumsi &amp; pareto'!S13+'Konsumsi &amp; pareto'!S18+('Konsumsi &amp; pareto'!S12*0.2)+('Konsumsi &amp; pareto'!M22*0.2)+('Konsumsi &amp; pareto'!S23*0.2))/'HK - BDGT'!T10,0)</f>
        <v>0</v>
      </c>
      <c r="R26" s="197" t="e">
        <f>SUM('Konsumsi &amp; pareto'!T55:U55)/SUM('HK - BDGT'!U14:V14)</f>
        <v>#DIV/0!</v>
      </c>
      <c r="S26" s="196">
        <f>IFERROR(('Konsumsi &amp; pareto'!U13+'Konsumsi &amp; pareto'!U18+('Konsumsi &amp; pareto'!U12*0.2)+('Konsumsi &amp; pareto'!O22*0.2)+('Konsumsi &amp; pareto'!U23*0.2))/'HK - BDGT'!V10,0)</f>
        <v>0</v>
      </c>
      <c r="T26" s="197" t="e">
        <f>SUM('Konsumsi &amp; pareto'!V55:W55)/SUM('HK - BDGT'!W14:X14)</f>
        <v>#DIV/0!</v>
      </c>
      <c r="U26" s="196">
        <f>IFERROR(('Konsumsi &amp; pareto'!W13+'Konsumsi &amp; pareto'!W18+('Konsumsi &amp; pareto'!W12*0.2)+('Konsumsi &amp; pareto'!Q22*0.2)+('Konsumsi &amp; pareto'!W23*0.2))/'HK - BDGT'!X10,0)</f>
        <v>0</v>
      </c>
      <c r="V26" s="197" t="e">
        <f>SUM('Konsumsi &amp; pareto'!X55:Y55)/SUM('HK - BDGT'!Y14:Z14)</f>
        <v>#DIV/0!</v>
      </c>
      <c r="W26" s="196">
        <f>IFERROR(('Konsumsi &amp; pareto'!Y13+'Konsumsi &amp; pareto'!Y18+('Konsumsi &amp; pareto'!Y12*0.2)+('Konsumsi &amp; pareto'!S22*0.2)+('Konsumsi &amp; pareto'!Y23*0.2))/'HK - BDGT'!Z10,0)</f>
        <v>0</v>
      </c>
      <c r="X26" s="197" t="e">
        <f>SUM('Konsumsi &amp; pareto'!Z55:AA55)/SUM('HK - BDGT'!AA14:AB14)</f>
        <v>#DIV/0!</v>
      </c>
      <c r="Y26" s="196">
        <f>IFERROR(('Konsumsi &amp; pareto'!AA13+'Konsumsi &amp; pareto'!AA18+('Konsumsi &amp; pareto'!AA12*0.2)+('Konsumsi &amp; pareto'!U22*0.2)+('Konsumsi &amp; pareto'!AA23*0.2))/'HK - BDGT'!AB10,0)</f>
        <v>0</v>
      </c>
      <c r="Z26" s="197" t="e">
        <f>SUM('Konsumsi &amp; pareto'!AB55:AC55)/SUM('HK - BDGT'!AC14:AD14)</f>
        <v>#DIV/0!</v>
      </c>
      <c r="AA26" s="196">
        <f>IFERROR(('Konsumsi &amp; pareto'!AC13+'Konsumsi &amp; pareto'!AC18+('Konsumsi &amp; pareto'!AC12*0.2)+('Konsumsi &amp; pareto'!W22*0.2)+('Konsumsi &amp; pareto'!AC23*0.2))/'HK - BDGT'!AD10,0)</f>
        <v>0</v>
      </c>
      <c r="AB26" s="197" t="e">
        <f>SUM('Konsumsi &amp; pareto'!AD55:AE55)/SUM('HK - BDGT'!AE14:AF14)</f>
        <v>#DIV/0!</v>
      </c>
      <c r="AC26" s="196">
        <f>IFERROR(('Konsumsi &amp; pareto'!AE13+'Konsumsi &amp; pareto'!AE18+('Konsumsi &amp; pareto'!AE12*0.2)+('Konsumsi &amp; pareto'!Y22*0.2)+('Konsumsi &amp; pareto'!AE23*0.2))/'HK - BDGT'!AF10,0)</f>
        <v>0</v>
      </c>
    </row>
    <row r="27" spans="2:29">
      <c r="B27" s="16" t="s">
        <v>107</v>
      </c>
      <c r="C27" s="107"/>
      <c r="D27" s="107"/>
      <c r="E27" s="107"/>
      <c r="F27" s="197">
        <f>SUM('Konsumsi &amp; pareto'!H56:I56)/SUM('HK - BDGT'!I12:J12)</f>
        <v>38.298002989224493</v>
      </c>
      <c r="G27" s="196">
        <f>IFERROR(('Konsumsi &amp; pareto'!I14+'Konsumsi &amp; pareto'!I20+'Konsumsi &amp; pareto'!I21+('Konsumsi &amp; pareto'!I12*0.1)+('Konsumsi &amp; pareto'!I23*0.1))/'HK - BDGT'!J12,0)</f>
        <v>37.472727272727269</v>
      </c>
      <c r="H27" s="197">
        <f>SUM('Konsumsi &amp; pareto'!J56:K56)/SUM('HK - BDGT'!K12:L12)</f>
        <v>37.931073108482856</v>
      </c>
      <c r="I27" s="196">
        <f>IFERROR(('Konsumsi &amp; pareto'!K14+'Konsumsi &amp; pareto'!K20+'Konsumsi &amp; pareto'!K21+('Konsumsi &amp; pareto'!K12*0.1)+('Konsumsi &amp; pareto'!K23*0.1))/'HK - BDGT'!L12,0)</f>
        <v>42.47</v>
      </c>
      <c r="J27" s="197">
        <f>SUM('Konsumsi &amp; pareto'!L56:M56)/SUM('HK - BDGT'!M12:N12)</f>
        <v>36.368005869891242</v>
      </c>
      <c r="K27" s="196">
        <f>IFERROR(('Konsumsi &amp; pareto'!M14+'Konsumsi &amp; pareto'!M20+'Konsumsi &amp; pareto'!M21+('Konsumsi &amp; pareto'!M12*0.1)+('Konsumsi &amp; pareto'!M23*0.1))/'HK - BDGT'!N12,0)</f>
        <v>37.055</v>
      </c>
      <c r="L27" s="197">
        <f>SUM('Konsumsi &amp; pareto'!N56:O56)/SUM('HK - BDGT'!O12:P12)</f>
        <v>37.785212404709611</v>
      </c>
      <c r="M27" s="196">
        <f>IFERROR(('Konsumsi &amp; pareto'!O14+'Konsumsi &amp; pareto'!O20+'Konsumsi &amp; pareto'!O21+('Konsumsi &amp; pareto'!O12*0.1)+('Konsumsi &amp; pareto'!O23*0.1))/'HK - BDGT'!P12,0)</f>
        <v>39.835555555555544</v>
      </c>
      <c r="N27" s="197">
        <f>SUM('Konsumsi &amp; pareto'!P56:Q56)/SUM('HK - BDGT'!Q12:R12)</f>
        <v>40.831950747523393</v>
      </c>
      <c r="O27" s="196">
        <f>IFERROR(('Konsumsi &amp; pareto'!Q14+'Konsumsi &amp; pareto'!Q20+'Konsumsi &amp; pareto'!Q21+('Konsumsi &amp; pareto'!Q12*0.1)+('Konsumsi &amp; pareto'!Q23*0.1))/'HK - BDGT'!R12,0)</f>
        <v>40.896666666666654</v>
      </c>
      <c r="P27" s="197">
        <f>SUM('Konsumsi &amp; pareto'!R56:S56)/SUM('HK - BDGT'!S12:T12)</f>
        <v>38.490842159697287</v>
      </c>
      <c r="Q27" s="196">
        <f>IFERROR(('Konsumsi &amp; pareto'!S14+'Konsumsi &amp; pareto'!S20+'Konsumsi &amp; pareto'!S21+('Konsumsi &amp; pareto'!S12*0.1)+('Konsumsi &amp; pareto'!S23*0.1))/'HK - BDGT'!T12,0)</f>
        <v>38.123999999999995</v>
      </c>
      <c r="R27" s="197" t="e">
        <f>SUM('Konsumsi &amp; pareto'!T56:U56)/SUM('HK - BDGT'!U12:V12)</f>
        <v>#DIV/0!</v>
      </c>
      <c r="S27" s="196">
        <f>IFERROR(('Konsumsi &amp; pareto'!U14+'Konsumsi &amp; pareto'!U20+'Konsumsi &amp; pareto'!U21+('Konsumsi &amp; pareto'!U12*0.1)+('Konsumsi &amp; pareto'!U23*0.1))/'HK - BDGT'!V12,0)</f>
        <v>0</v>
      </c>
      <c r="T27" s="197" t="e">
        <f>SUM('Konsumsi &amp; pareto'!V56:W56)/SUM('HK - BDGT'!W12:X12)</f>
        <v>#DIV/0!</v>
      </c>
      <c r="U27" s="196">
        <f>IFERROR(('Konsumsi &amp; pareto'!W14+'Konsumsi &amp; pareto'!W20+'Konsumsi &amp; pareto'!W21+('Konsumsi &amp; pareto'!W12*0.1)+('Konsumsi &amp; pareto'!W23*0.1))/'HK - BDGT'!X12,0)</f>
        <v>0</v>
      </c>
      <c r="V27" s="197" t="e">
        <f>SUM('Konsumsi &amp; pareto'!X56:Y56)/SUM('HK - BDGT'!Y12:Z12)</f>
        <v>#DIV/0!</v>
      </c>
      <c r="W27" s="196">
        <f>IFERROR(('Konsumsi &amp; pareto'!Y14+'Konsumsi &amp; pareto'!Y20+'Konsumsi &amp; pareto'!Y21+('Konsumsi &amp; pareto'!Y12*0.1)+('Konsumsi &amp; pareto'!Y23*0.1))/'HK - BDGT'!Z12,0)</f>
        <v>0</v>
      </c>
      <c r="X27" s="197" t="e">
        <f>SUM('Konsumsi &amp; pareto'!Z56:AA56)/SUM('HK - BDGT'!AA12:AB12)</f>
        <v>#DIV/0!</v>
      </c>
      <c r="Y27" s="196">
        <f>IFERROR(('Konsumsi &amp; pareto'!AA14+'Konsumsi &amp; pareto'!AA20+'Konsumsi &amp; pareto'!AA21+('Konsumsi &amp; pareto'!AA12*0.1)+('Konsumsi &amp; pareto'!AA23*0.1))/'HK - BDGT'!AB12,0)</f>
        <v>0</v>
      </c>
      <c r="Z27" s="197" t="e">
        <f>SUM('Konsumsi &amp; pareto'!AB56:AC56)/SUM('HK - BDGT'!AC12:AD12)</f>
        <v>#DIV/0!</v>
      </c>
      <c r="AA27" s="196">
        <f>IFERROR(('Konsumsi &amp; pareto'!AC14+'Konsumsi &amp; pareto'!AC20+'Konsumsi &amp; pareto'!AC21+('Konsumsi &amp; pareto'!AC12*0.1)+('Konsumsi &amp; pareto'!AC23*0.1))/'HK - BDGT'!AD12,0)</f>
        <v>0</v>
      </c>
      <c r="AB27" s="197" t="e">
        <f>SUM('Konsumsi &amp; pareto'!AD56:AE56)/SUM('HK - BDGT'!AE12:AF12)</f>
        <v>#DIV/0!</v>
      </c>
      <c r="AC27" s="196">
        <f>IFERROR(('Konsumsi &amp; pareto'!AE14+'Konsumsi &amp; pareto'!AE20+'Konsumsi &amp; pareto'!AE21+('Konsumsi &amp; pareto'!AE12*0.1)+('Konsumsi &amp; pareto'!AE23*0.1))/'HK - BDGT'!AF12,0)</f>
        <v>0</v>
      </c>
    </row>
    <row r="28" spans="2:29">
      <c r="B28" s="57" t="s">
        <v>110</v>
      </c>
      <c r="C28" s="57"/>
      <c r="D28" s="57"/>
      <c r="E28" s="57"/>
      <c r="F28" s="58">
        <f>IFERROR('[5]Konsumsi &amp; pareto'!G25/[5]Tonase!E23,0)</f>
        <v>0</v>
      </c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</row>
    <row r="30" spans="2:29">
      <c r="B30" s="67" t="s">
        <v>114</v>
      </c>
    </row>
    <row r="31" spans="2:29">
      <c r="B31" s="67" t="s">
        <v>95</v>
      </c>
      <c r="F31" s="68"/>
    </row>
    <row r="32" spans="2:29">
      <c r="B32" s="67" t="s">
        <v>96</v>
      </c>
    </row>
    <row r="33" spans="2:6">
      <c r="B33" s="69" t="s">
        <v>115</v>
      </c>
      <c r="F33" s="68"/>
    </row>
    <row r="34" spans="2:6">
      <c r="B34" s="69" t="s">
        <v>116</v>
      </c>
      <c r="F34" s="68"/>
    </row>
  </sheetData>
  <mergeCells count="199">
    <mergeCell ref="AB14:AC14"/>
    <mergeCell ref="J14:K14"/>
    <mergeCell ref="L14:M14"/>
    <mergeCell ref="N14:O14"/>
    <mergeCell ref="P14:Q14"/>
    <mergeCell ref="R14:S14"/>
    <mergeCell ref="T14:U14"/>
    <mergeCell ref="V14:W14"/>
    <mergeCell ref="X14:Y14"/>
    <mergeCell ref="Z14:AA14"/>
    <mergeCell ref="X8:Y8"/>
    <mergeCell ref="Z8:AA8"/>
    <mergeCell ref="AB8:AC8"/>
    <mergeCell ref="N8:O8"/>
    <mergeCell ref="P8:Q8"/>
    <mergeCell ref="F16:G16"/>
    <mergeCell ref="T24:U24"/>
    <mergeCell ref="V24:W24"/>
    <mergeCell ref="X24:Y24"/>
    <mergeCell ref="F24:G24"/>
    <mergeCell ref="H24:I24"/>
    <mergeCell ref="J24:K24"/>
    <mergeCell ref="L24:M24"/>
    <mergeCell ref="N24:O24"/>
    <mergeCell ref="Z24:AA24"/>
    <mergeCell ref="AB24:AC24"/>
    <mergeCell ref="P24:Q24"/>
    <mergeCell ref="R24:S24"/>
    <mergeCell ref="F15:G15"/>
    <mergeCell ref="H15:I15"/>
    <mergeCell ref="J15:K15"/>
    <mergeCell ref="L15:M15"/>
    <mergeCell ref="N15:O15"/>
    <mergeCell ref="R8:S8"/>
    <mergeCell ref="N2:O2"/>
    <mergeCell ref="B2:B3"/>
    <mergeCell ref="F2:G2"/>
    <mergeCell ref="H2:I2"/>
    <mergeCell ref="J2:K2"/>
    <mergeCell ref="L2:M2"/>
    <mergeCell ref="AB2:AC2"/>
    <mergeCell ref="P2:Q2"/>
    <mergeCell ref="R2:S2"/>
    <mergeCell ref="T2:U2"/>
    <mergeCell ref="V2:W2"/>
    <mergeCell ref="X2:Y2"/>
    <mergeCell ref="Z2:AA2"/>
    <mergeCell ref="C2:C3"/>
    <mergeCell ref="E2:E3"/>
    <mergeCell ref="D2:D3"/>
    <mergeCell ref="Z4:AA4"/>
    <mergeCell ref="AB4:AC4"/>
    <mergeCell ref="P4:Q4"/>
    <mergeCell ref="R4:S4"/>
    <mergeCell ref="T4:U4"/>
    <mergeCell ref="V4:W4"/>
    <mergeCell ref="X4:Y4"/>
    <mergeCell ref="F4:G4"/>
    <mergeCell ref="H4:I4"/>
    <mergeCell ref="J4:K4"/>
    <mergeCell ref="L4:M4"/>
    <mergeCell ref="N4:O4"/>
    <mergeCell ref="T8:U8"/>
    <mergeCell ref="V8:W8"/>
    <mergeCell ref="F8:G8"/>
    <mergeCell ref="H8:I8"/>
    <mergeCell ref="J8:K8"/>
    <mergeCell ref="L8:M8"/>
    <mergeCell ref="J22:K22"/>
    <mergeCell ref="L22:M22"/>
    <mergeCell ref="N22:O22"/>
    <mergeCell ref="F14:G14"/>
    <mergeCell ref="N16:O16"/>
    <mergeCell ref="P16:Q16"/>
    <mergeCell ref="R16:S16"/>
    <mergeCell ref="T16:U16"/>
    <mergeCell ref="V16:W16"/>
    <mergeCell ref="H18:I18"/>
    <mergeCell ref="J18:K18"/>
    <mergeCell ref="L18:M18"/>
    <mergeCell ref="N18:O18"/>
    <mergeCell ref="P18:Q18"/>
    <mergeCell ref="R18:S18"/>
    <mergeCell ref="T18:U18"/>
    <mergeCell ref="V18:W18"/>
    <mergeCell ref="H14:I14"/>
    <mergeCell ref="Z15:AA15"/>
    <mergeCell ref="AB15:AC15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F17:G17"/>
    <mergeCell ref="F18:G18"/>
    <mergeCell ref="P15:Q15"/>
    <mergeCell ref="R15:S15"/>
    <mergeCell ref="T15:U15"/>
    <mergeCell ref="V15:W15"/>
    <mergeCell ref="X15:Y15"/>
    <mergeCell ref="H16:I16"/>
    <mergeCell ref="J16:K16"/>
    <mergeCell ref="L16:M16"/>
    <mergeCell ref="F26:G26"/>
    <mergeCell ref="F27:G27"/>
    <mergeCell ref="Z22:AA22"/>
    <mergeCell ref="AB22:AC22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P22:Q22"/>
    <mergeCell ref="R22:S22"/>
    <mergeCell ref="T22:U22"/>
    <mergeCell ref="V22:W22"/>
    <mergeCell ref="X22:Y22"/>
    <mergeCell ref="F22:G22"/>
    <mergeCell ref="H22:I22"/>
    <mergeCell ref="H26:I26"/>
    <mergeCell ref="AB26:AC26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J26:K26"/>
    <mergeCell ref="L26:M26"/>
    <mergeCell ref="N26:O26"/>
    <mergeCell ref="P26:Q26"/>
    <mergeCell ref="R26:S26"/>
    <mergeCell ref="T26:U26"/>
    <mergeCell ref="V26:W26"/>
    <mergeCell ref="X26:Y26"/>
    <mergeCell ref="Z26:AA26"/>
    <mergeCell ref="X18:Y18"/>
    <mergeCell ref="Z18:AA18"/>
    <mergeCell ref="AB18:AC18"/>
    <mergeCell ref="X16:Y16"/>
    <mergeCell ref="Z16:AA16"/>
    <mergeCell ref="AB16:AC16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L9:M9"/>
    <mergeCell ref="L10:M10"/>
    <mergeCell ref="L11:M11"/>
    <mergeCell ref="N9:O9"/>
    <mergeCell ref="P9:Q9"/>
    <mergeCell ref="R9:S9"/>
    <mergeCell ref="T9:U9"/>
    <mergeCell ref="V9:W9"/>
    <mergeCell ref="X9:Y9"/>
    <mergeCell ref="N11:O11"/>
    <mergeCell ref="P11:Q11"/>
    <mergeCell ref="R11:S11"/>
    <mergeCell ref="T11:U11"/>
    <mergeCell ref="V11:W11"/>
    <mergeCell ref="X11:Y11"/>
    <mergeCell ref="Z11:AA11"/>
    <mergeCell ref="AB11:AC11"/>
    <mergeCell ref="Z9:AA9"/>
    <mergeCell ref="AB9:AC9"/>
    <mergeCell ref="N10:O10"/>
    <mergeCell ref="P10:Q10"/>
    <mergeCell ref="R10:S10"/>
    <mergeCell ref="T10:U10"/>
    <mergeCell ref="V10:W10"/>
    <mergeCell ref="X10:Y10"/>
    <mergeCell ref="Z10:AA10"/>
    <mergeCell ref="AB10:AC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55" zoomScaleNormal="55" workbookViewId="0">
      <selection activeCell="AD12" sqref="AD1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prathama.sindhu</dc:creator>
  <cp:keywords/>
  <dc:description/>
  <cp:lastModifiedBy>Nesta Maulana</cp:lastModifiedBy>
  <cp:revision/>
  <dcterms:created xsi:type="dcterms:W3CDTF">2018-03-29T07:06:29Z</dcterms:created>
  <dcterms:modified xsi:type="dcterms:W3CDTF">2020-07-23T08:06:51Z</dcterms:modified>
  <cp:category/>
  <cp:contentStatus/>
</cp:coreProperties>
</file>