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5" yWindow="-105" windowWidth="20730" windowHeight="11760" activeTab="3"/>
  </bookViews>
  <sheets>
    <sheet name="dasboard" sheetId="6" r:id="rId1"/>
    <sheet name="Konsumsi &amp; Pareto Bulanan" sheetId="7" r:id="rId2"/>
    <sheet name="Konsumsi &amp; Pareto 2 Mingguan" sheetId="3" r:id="rId3"/>
    <sheet name="HK - BDGT" sheetId="4" r:id="rId4"/>
    <sheet name="Tonase" sheetId="2" r:id="rId5"/>
    <sheet name="Summary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'Konsumsi &amp; Pareto Bulanan'!$U$3:$AI$16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0" i="3"/>
  <c r="R77"/>
  <c r="P12" i="4" l="1"/>
  <c r="X8" i="2"/>
  <c r="N8"/>
  <c r="V8"/>
  <c r="H8"/>
  <c r="J8"/>
  <c r="T8"/>
  <c r="AB8"/>
  <c r="P8"/>
  <c r="F8"/>
  <c r="R8"/>
  <c r="Z8"/>
  <c r="M16" i="5"/>
  <c r="N16"/>
  <c r="O16"/>
  <c r="P16"/>
  <c r="Q16"/>
  <c r="R16"/>
  <c r="S16"/>
  <c r="T16"/>
  <c r="U16"/>
  <c r="V16"/>
  <c r="W16"/>
  <c r="X16"/>
  <c r="Y16"/>
  <c r="Z16"/>
  <c r="AA16"/>
  <c r="AB64"/>
  <c r="AC64"/>
  <c r="AD64"/>
  <c r="AE64"/>
  <c r="AW64" s="1"/>
  <c r="AC6" i="4" s="1"/>
  <c r="AF64" i="5"/>
  <c r="AG64"/>
  <c r="AH64"/>
  <c r="AI64"/>
  <c r="AJ64"/>
  <c r="AK64"/>
  <c r="AL64"/>
  <c r="AM64"/>
  <c r="AN64"/>
  <c r="AO64"/>
  <c r="AP64"/>
  <c r="AQ64"/>
  <c r="M40"/>
  <c r="N40"/>
  <c r="O40"/>
  <c r="AV40" s="1"/>
  <c r="T6" i="4" s="1"/>
  <c r="P40" i="5"/>
  <c r="Q40"/>
  <c r="R40"/>
  <c r="S40"/>
  <c r="T40"/>
  <c r="U40"/>
  <c r="V40"/>
  <c r="W40"/>
  <c r="X40"/>
  <c r="Y40"/>
  <c r="Z40"/>
  <c r="AA40"/>
  <c r="AB70"/>
  <c r="AC70"/>
  <c r="AD70"/>
  <c r="AE70"/>
  <c r="AF70"/>
  <c r="AG70"/>
  <c r="AH70"/>
  <c r="AI70"/>
  <c r="AJ70"/>
  <c r="AK70"/>
  <c r="AL70"/>
  <c r="AM70"/>
  <c r="AN70"/>
  <c r="AO70"/>
  <c r="AP70"/>
  <c r="AQ70"/>
  <c r="M46"/>
  <c r="N46"/>
  <c r="O46"/>
  <c r="AV46" s="1"/>
  <c r="V6" i="4" s="1"/>
  <c r="P46" i="5"/>
  <c r="Q46"/>
  <c r="R46"/>
  <c r="S46"/>
  <c r="T46"/>
  <c r="U46"/>
  <c r="V46"/>
  <c r="W46"/>
  <c r="X46"/>
  <c r="Y46"/>
  <c r="Z46"/>
  <c r="AA46"/>
  <c r="AB10"/>
  <c r="AC10"/>
  <c r="AD10"/>
  <c r="AE10"/>
  <c r="AF10"/>
  <c r="AG10"/>
  <c r="AH10"/>
  <c r="AI10"/>
  <c r="AJ10"/>
  <c r="AK10"/>
  <c r="AL10"/>
  <c r="AM10"/>
  <c r="AN10"/>
  <c r="AO10"/>
  <c r="AP10"/>
  <c r="AQ10"/>
  <c r="AB28"/>
  <c r="AC28"/>
  <c r="AD28"/>
  <c r="AW28" s="1"/>
  <c r="Q6" i="4" s="1"/>
  <c r="AE28" i="5"/>
  <c r="AF28"/>
  <c r="AG28"/>
  <c r="AH28"/>
  <c r="AI28"/>
  <c r="AJ28"/>
  <c r="AK28"/>
  <c r="AL28"/>
  <c r="AM28"/>
  <c r="AN28"/>
  <c r="AO28"/>
  <c r="AP28"/>
  <c r="AQ28"/>
  <c r="AB58"/>
  <c r="AC58"/>
  <c r="AD58"/>
  <c r="AE58"/>
  <c r="AF58"/>
  <c r="AG58"/>
  <c r="AH58"/>
  <c r="AI58"/>
  <c r="AJ58"/>
  <c r="AK58"/>
  <c r="AL58"/>
  <c r="AM58"/>
  <c r="AN58"/>
  <c r="AO58"/>
  <c r="AP58"/>
  <c r="AQ58"/>
  <c r="AB46"/>
  <c r="AC46"/>
  <c r="AD46"/>
  <c r="AE46"/>
  <c r="AF46"/>
  <c r="AG46"/>
  <c r="AW46" s="1"/>
  <c r="W6" i="4" s="1"/>
  <c r="AH46" i="5"/>
  <c r="AI46"/>
  <c r="AJ46"/>
  <c r="AK46"/>
  <c r="AL46"/>
  <c r="AM46"/>
  <c r="AN46"/>
  <c r="AO46"/>
  <c r="AP46"/>
  <c r="AQ46"/>
  <c r="M28"/>
  <c r="N28"/>
  <c r="O28"/>
  <c r="P28"/>
  <c r="Q28"/>
  <c r="R28"/>
  <c r="S28"/>
  <c r="T28"/>
  <c r="U28"/>
  <c r="V28"/>
  <c r="W28"/>
  <c r="X28"/>
  <c r="Y28"/>
  <c r="Z28"/>
  <c r="AA28"/>
  <c r="AV28" s="1"/>
  <c r="P6" i="4" s="1"/>
  <c r="M64" i="5"/>
  <c r="N64"/>
  <c r="O64"/>
  <c r="P64"/>
  <c r="Q64"/>
  <c r="R64"/>
  <c r="S64"/>
  <c r="T64"/>
  <c r="U64"/>
  <c r="V64"/>
  <c r="W64"/>
  <c r="X64"/>
  <c r="Y64"/>
  <c r="Z64"/>
  <c r="AA64"/>
  <c r="M4"/>
  <c r="N4"/>
  <c r="O4"/>
  <c r="P4"/>
  <c r="Q4"/>
  <c r="R4"/>
  <c r="S4"/>
  <c r="T4"/>
  <c r="U4"/>
  <c r="V4"/>
  <c r="W4"/>
  <c r="X4"/>
  <c r="Y4"/>
  <c r="Z4"/>
  <c r="AA4"/>
  <c r="AB16"/>
  <c r="AC16"/>
  <c r="AW16" s="1"/>
  <c r="M6" i="4" s="1"/>
  <c r="AD16" i="5"/>
  <c r="AE16"/>
  <c r="AF16"/>
  <c r="AG16"/>
  <c r="AH16"/>
  <c r="AI16"/>
  <c r="AJ16"/>
  <c r="AK16"/>
  <c r="AL16"/>
  <c r="AM16"/>
  <c r="AN16"/>
  <c r="AO16"/>
  <c r="AP16"/>
  <c r="AQ16"/>
  <c r="M70"/>
  <c r="N70"/>
  <c r="O70"/>
  <c r="P70"/>
  <c r="Q70"/>
  <c r="R70"/>
  <c r="S70"/>
  <c r="T70"/>
  <c r="U70"/>
  <c r="V70"/>
  <c r="W70"/>
  <c r="X70"/>
  <c r="Y70"/>
  <c r="Z70"/>
  <c r="AA70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W52" s="1"/>
  <c r="Y6" i="4" s="1"/>
  <c r="M10" i="5"/>
  <c r="N10"/>
  <c r="O10"/>
  <c r="P10"/>
  <c r="Q10"/>
  <c r="R10"/>
  <c r="S10"/>
  <c r="T10"/>
  <c r="U10"/>
  <c r="V10"/>
  <c r="W10"/>
  <c r="X10"/>
  <c r="Y10"/>
  <c r="Z10"/>
  <c r="AA10"/>
  <c r="AB34"/>
  <c r="AC34"/>
  <c r="AD34"/>
  <c r="AE34"/>
  <c r="AF34"/>
  <c r="AG34"/>
  <c r="AH34"/>
  <c r="AI34"/>
  <c r="AJ34"/>
  <c r="AK34"/>
  <c r="AL34"/>
  <c r="AM34"/>
  <c r="AN34"/>
  <c r="AO34"/>
  <c r="AP34"/>
  <c r="AQ34"/>
  <c r="AW34"/>
  <c r="S6" i="4" s="1"/>
  <c r="AB4" i="5"/>
  <c r="AC4"/>
  <c r="AD4"/>
  <c r="AE4"/>
  <c r="AF4"/>
  <c r="AG4"/>
  <c r="AH4"/>
  <c r="AI4"/>
  <c r="AJ4"/>
  <c r="AK4"/>
  <c r="AL4"/>
  <c r="AM4"/>
  <c r="AN4"/>
  <c r="AO4"/>
  <c r="AP4"/>
  <c r="AQ4"/>
  <c r="M58"/>
  <c r="N58"/>
  <c r="O58"/>
  <c r="P58"/>
  <c r="Q58"/>
  <c r="R58"/>
  <c r="S58"/>
  <c r="T58"/>
  <c r="U58"/>
  <c r="V58"/>
  <c r="W58"/>
  <c r="X58"/>
  <c r="Y58"/>
  <c r="Z58"/>
  <c r="AA58"/>
  <c r="M34"/>
  <c r="N34"/>
  <c r="O34"/>
  <c r="P34"/>
  <c r="Q34"/>
  <c r="R34"/>
  <c r="S34"/>
  <c r="T34"/>
  <c r="U34"/>
  <c r="V34"/>
  <c r="W34"/>
  <c r="X34"/>
  <c r="Y34"/>
  <c r="Z34"/>
  <c r="AA34"/>
  <c r="AV34"/>
  <c r="R6" i="4" s="1"/>
  <c r="AB22" i="5"/>
  <c r="AC22"/>
  <c r="AD22"/>
  <c r="AE22"/>
  <c r="AF22"/>
  <c r="AG22"/>
  <c r="AH22"/>
  <c r="AI22"/>
  <c r="AJ22"/>
  <c r="AK22"/>
  <c r="AL22"/>
  <c r="AM22"/>
  <c r="AN22"/>
  <c r="AO22"/>
  <c r="AP22"/>
  <c r="AQ22"/>
  <c r="AB40"/>
  <c r="AC40"/>
  <c r="AD40"/>
  <c r="AE40"/>
  <c r="AF40"/>
  <c r="AG40"/>
  <c r="AH40"/>
  <c r="AI40"/>
  <c r="AJ40"/>
  <c r="AK40"/>
  <c r="AL40"/>
  <c r="AM40"/>
  <c r="AN40"/>
  <c r="AO40"/>
  <c r="AP40"/>
  <c r="AQ40"/>
  <c r="AW40"/>
  <c r="U6" i="4" s="1"/>
  <c r="M22" i="5"/>
  <c r="N22"/>
  <c r="O22"/>
  <c r="P22"/>
  <c r="Q22"/>
  <c r="R22"/>
  <c r="S22"/>
  <c r="T22"/>
  <c r="U22"/>
  <c r="V22"/>
  <c r="W22"/>
  <c r="X22"/>
  <c r="Y22"/>
  <c r="Z22"/>
  <c r="AA22"/>
  <c r="O9" i="2"/>
  <c r="O6"/>
  <c r="N9"/>
  <c r="N6" s="1"/>
  <c r="L9"/>
  <c r="L6"/>
  <c r="P33" i="3"/>
  <c r="P32"/>
  <c r="P31"/>
  <c r="P30"/>
  <c r="P28"/>
  <c r="P27"/>
  <c r="P26"/>
  <c r="P25"/>
  <c r="P29" s="1"/>
  <c r="P24"/>
  <c r="P23"/>
  <c r="P22"/>
  <c r="P21"/>
  <c r="P20"/>
  <c r="P19"/>
  <c r="P18"/>
  <c r="P17"/>
  <c r="P16"/>
  <c r="P15"/>
  <c r="P14"/>
  <c r="P13"/>
  <c r="P12"/>
  <c r="P11"/>
  <c r="P10"/>
  <c r="P9"/>
  <c r="P6"/>
  <c r="P5"/>
  <c r="P7" s="1"/>
  <c r="L8" i="2"/>
  <c r="O33" i="3"/>
  <c r="N33"/>
  <c r="O32"/>
  <c r="O62" s="1"/>
  <c r="N32"/>
  <c r="O31"/>
  <c r="N31"/>
  <c r="J32" i="7" s="1"/>
  <c r="O30" i="3"/>
  <c r="O51" s="1"/>
  <c r="N30"/>
  <c r="O28"/>
  <c r="N28"/>
  <c r="J29" i="7" s="1"/>
  <c r="O27" i="3"/>
  <c r="N27"/>
  <c r="O26"/>
  <c r="N26"/>
  <c r="O25"/>
  <c r="N25"/>
  <c r="O24"/>
  <c r="N24"/>
  <c r="O23"/>
  <c r="N23"/>
  <c r="O22"/>
  <c r="O52" s="1"/>
  <c r="M46" i="2" s="1"/>
  <c r="N22" i="3"/>
  <c r="N52" s="1"/>
  <c r="O21"/>
  <c r="N21"/>
  <c r="O20"/>
  <c r="O53" s="1"/>
  <c r="J52" i="7" s="1"/>
  <c r="N20" i="3"/>
  <c r="O19"/>
  <c r="N19"/>
  <c r="J20" i="7" s="1"/>
  <c r="O18" i="3"/>
  <c r="N18"/>
  <c r="O17"/>
  <c r="O60" s="1"/>
  <c r="N17"/>
  <c r="O16"/>
  <c r="J17" i="7" s="1"/>
  <c r="AA9" s="1"/>
  <c r="N16" i="3"/>
  <c r="O15"/>
  <c r="N15"/>
  <c r="O14"/>
  <c r="N14"/>
  <c r="O13"/>
  <c r="N13"/>
  <c r="J16" i="7" s="1"/>
  <c r="AA8" s="1"/>
  <c r="O12" i="3"/>
  <c r="J12" i="7" s="1"/>
  <c r="N12" i="3"/>
  <c r="O11"/>
  <c r="N11"/>
  <c r="O10"/>
  <c r="N10"/>
  <c r="O9"/>
  <c r="N9"/>
  <c r="O6"/>
  <c r="N6"/>
  <c r="N5"/>
  <c r="O5"/>
  <c r="N29"/>
  <c r="N7"/>
  <c r="M20" i="5"/>
  <c r="O20"/>
  <c r="Q20"/>
  <c r="S20"/>
  <c r="W20"/>
  <c r="Y20"/>
  <c r="AA20"/>
  <c r="AC20"/>
  <c r="AE20"/>
  <c r="M34" i="7"/>
  <c r="Y77" s="1"/>
  <c r="N34"/>
  <c r="O34"/>
  <c r="P34"/>
  <c r="Q34"/>
  <c r="R34"/>
  <c r="M33"/>
  <c r="Y76" s="1"/>
  <c r="N33"/>
  <c r="O33"/>
  <c r="P33"/>
  <c r="Q33"/>
  <c r="R33"/>
  <c r="M32"/>
  <c r="N32"/>
  <c r="O32"/>
  <c r="P32"/>
  <c r="Q32"/>
  <c r="R32"/>
  <c r="Y75" s="1"/>
  <c r="M31"/>
  <c r="N31"/>
  <c r="O31"/>
  <c r="P31"/>
  <c r="Q31"/>
  <c r="R31"/>
  <c r="Y74"/>
  <c r="M30"/>
  <c r="Y73" s="1"/>
  <c r="N30"/>
  <c r="O30"/>
  <c r="P30"/>
  <c r="Q30"/>
  <c r="R30"/>
  <c r="M29"/>
  <c r="Y72" s="1"/>
  <c r="N29"/>
  <c r="O29"/>
  <c r="P29"/>
  <c r="Q29"/>
  <c r="R29"/>
  <c r="M28"/>
  <c r="N28"/>
  <c r="O28"/>
  <c r="P28"/>
  <c r="Q28"/>
  <c r="R28"/>
  <c r="Y71"/>
  <c r="M27"/>
  <c r="N27"/>
  <c r="O27"/>
  <c r="P27"/>
  <c r="Q27"/>
  <c r="R27"/>
  <c r="Y70"/>
  <c r="M26"/>
  <c r="Y69" s="1"/>
  <c r="N26"/>
  <c r="O26"/>
  <c r="P26"/>
  <c r="Q26"/>
  <c r="R26"/>
  <c r="M24"/>
  <c r="N24"/>
  <c r="O24"/>
  <c r="P24"/>
  <c r="Q24"/>
  <c r="Y68" s="1"/>
  <c r="R24"/>
  <c r="M23"/>
  <c r="N23"/>
  <c r="O23"/>
  <c r="P23"/>
  <c r="Q23"/>
  <c r="R23"/>
  <c r="Y67"/>
  <c r="M22"/>
  <c r="N22"/>
  <c r="O22"/>
  <c r="P22"/>
  <c r="Y66" s="1"/>
  <c r="Q22"/>
  <c r="R22"/>
  <c r="M21"/>
  <c r="Y65" s="1"/>
  <c r="N21"/>
  <c r="O21"/>
  <c r="P21"/>
  <c r="Q21"/>
  <c r="R21"/>
  <c r="M20"/>
  <c r="N20"/>
  <c r="Y64" s="1"/>
  <c r="O20"/>
  <c r="P20"/>
  <c r="Q20"/>
  <c r="R20"/>
  <c r="AA38" s="1"/>
  <c r="M19"/>
  <c r="N19"/>
  <c r="O19"/>
  <c r="P19"/>
  <c r="Q19"/>
  <c r="R19"/>
  <c r="Y63"/>
  <c r="M18"/>
  <c r="N18"/>
  <c r="O18"/>
  <c r="P18"/>
  <c r="Q18"/>
  <c r="R18"/>
  <c r="Y62"/>
  <c r="M17"/>
  <c r="Y61" s="1"/>
  <c r="N17"/>
  <c r="O17"/>
  <c r="P17"/>
  <c r="Q17"/>
  <c r="R17"/>
  <c r="M16"/>
  <c r="N16"/>
  <c r="O16"/>
  <c r="P16"/>
  <c r="Q16"/>
  <c r="Y60" s="1"/>
  <c r="R16"/>
  <c r="M15"/>
  <c r="N15"/>
  <c r="O15"/>
  <c r="P15"/>
  <c r="Q15"/>
  <c r="R15"/>
  <c r="Y59"/>
  <c r="M14"/>
  <c r="N14"/>
  <c r="O14"/>
  <c r="P14"/>
  <c r="Q14"/>
  <c r="R14"/>
  <c r="Y58"/>
  <c r="AA32"/>
  <c r="AA51"/>
  <c r="AA50"/>
  <c r="AA49"/>
  <c r="AA48"/>
  <c r="AA47"/>
  <c r="AA46"/>
  <c r="AA45"/>
  <c r="AA44"/>
  <c r="AA43"/>
  <c r="AA42"/>
  <c r="AA41"/>
  <c r="AA40"/>
  <c r="AA39"/>
  <c r="AA37"/>
  <c r="AA36"/>
  <c r="AA35"/>
  <c r="AA33"/>
  <c r="P12"/>
  <c r="P13"/>
  <c r="AA31" s="1"/>
  <c r="Q12"/>
  <c r="Q13"/>
  <c r="R12"/>
  <c r="R13"/>
  <c r="AH5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M12"/>
  <c r="M13"/>
  <c r="N12"/>
  <c r="N13"/>
  <c r="O12"/>
  <c r="O13"/>
  <c r="J31"/>
  <c r="J28"/>
  <c r="J19"/>
  <c r="J15"/>
  <c r="H31" i="3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E13" i="7"/>
  <c r="D13"/>
  <c r="N50" i="3"/>
  <c r="N51"/>
  <c r="J50" i="7" s="1"/>
  <c r="N53" i="3"/>
  <c r="N46"/>
  <c r="N58"/>
  <c r="N42"/>
  <c r="L37" i="2" s="1"/>
  <c r="O50" i="3"/>
  <c r="J49" i="7"/>
  <c r="O42" i="3"/>
  <c r="P50"/>
  <c r="P51"/>
  <c r="P52"/>
  <c r="P53"/>
  <c r="P46"/>
  <c r="P58"/>
  <c r="P42"/>
  <c r="T50"/>
  <c r="T51"/>
  <c r="T52"/>
  <c r="T53"/>
  <c r="T46"/>
  <c r="T58"/>
  <c r="T42"/>
  <c r="U50"/>
  <c r="U51"/>
  <c r="U52"/>
  <c r="U53"/>
  <c r="U46"/>
  <c r="U58"/>
  <c r="U42"/>
  <c r="V50"/>
  <c r="V51"/>
  <c r="V52"/>
  <c r="V53"/>
  <c r="V46"/>
  <c r="V58"/>
  <c r="V47" s="1"/>
  <c r="N46" i="7" s="1"/>
  <c r="N76" s="1"/>
  <c r="V42" i="3"/>
  <c r="W50"/>
  <c r="W51"/>
  <c r="W52"/>
  <c r="W53"/>
  <c r="W46"/>
  <c r="W58"/>
  <c r="W42"/>
  <c r="X50"/>
  <c r="X51"/>
  <c r="X52"/>
  <c r="X53"/>
  <c r="X46"/>
  <c r="X58"/>
  <c r="X42"/>
  <c r="Y50"/>
  <c r="Y51"/>
  <c r="Y52"/>
  <c r="Y53"/>
  <c r="Y46"/>
  <c r="Y58"/>
  <c r="Y42"/>
  <c r="Z50"/>
  <c r="Z51"/>
  <c r="Z52"/>
  <c r="Z53"/>
  <c r="Z46"/>
  <c r="Z58"/>
  <c r="Z42"/>
  <c r="AA50"/>
  <c r="AA51"/>
  <c r="AA52"/>
  <c r="AA53"/>
  <c r="AA46"/>
  <c r="AA58"/>
  <c r="AA47" s="1"/>
  <c r="AA42"/>
  <c r="AB50"/>
  <c r="AB51"/>
  <c r="AB52"/>
  <c r="AB53"/>
  <c r="AB46"/>
  <c r="AB58"/>
  <c r="AB42"/>
  <c r="AC50"/>
  <c r="AC51"/>
  <c r="AC52"/>
  <c r="AC53"/>
  <c r="AC46"/>
  <c r="AC58"/>
  <c r="AC42"/>
  <c r="AD50"/>
  <c r="AD51"/>
  <c r="AD52"/>
  <c r="AD53"/>
  <c r="AD46"/>
  <c r="AD58"/>
  <c r="AD42"/>
  <c r="AE50"/>
  <c r="AE51"/>
  <c r="AE52"/>
  <c r="AE53"/>
  <c r="AE46"/>
  <c r="AE58"/>
  <c r="AE42"/>
  <c r="N40"/>
  <c r="P40"/>
  <c r="T40"/>
  <c r="U40"/>
  <c r="V40"/>
  <c r="W40"/>
  <c r="X40"/>
  <c r="Y40"/>
  <c r="Z40"/>
  <c r="AA40"/>
  <c r="AB40"/>
  <c r="AC40"/>
  <c r="AD40"/>
  <c r="AE40"/>
  <c r="N41"/>
  <c r="O41"/>
  <c r="P41"/>
  <c r="T41"/>
  <c r="U41"/>
  <c r="V41"/>
  <c r="W41"/>
  <c r="X41"/>
  <c r="Y41"/>
  <c r="Z41"/>
  <c r="AA41"/>
  <c r="AB41"/>
  <c r="AC41"/>
  <c r="AD41"/>
  <c r="AE41"/>
  <c r="M26" i="5"/>
  <c r="M32"/>
  <c r="M38"/>
  <c r="N39" i="3"/>
  <c r="L36" i="2" s="1"/>
  <c r="P39" i="3"/>
  <c r="T39"/>
  <c r="U39"/>
  <c r="V39"/>
  <c r="W39"/>
  <c r="X39"/>
  <c r="Y39"/>
  <c r="Z39"/>
  <c r="AA39"/>
  <c r="AB39"/>
  <c r="AC39"/>
  <c r="Q40" i="7" s="1"/>
  <c r="AD39" i="3"/>
  <c r="R40" i="7" s="1"/>
  <c r="AE39" i="3"/>
  <c r="N41" i="7"/>
  <c r="O41"/>
  <c r="Q41"/>
  <c r="W60" i="3"/>
  <c r="W70"/>
  <c r="U19" i="2" s="1"/>
  <c r="U17" s="1"/>
  <c r="Y60" i="3"/>
  <c r="Y71"/>
  <c r="W61" i="2" s="1"/>
  <c r="Z60" i="3"/>
  <c r="Z71" s="1"/>
  <c r="Q45" i="7"/>
  <c r="AE60" i="3"/>
  <c r="AE71"/>
  <c r="AC61" i="2" s="1"/>
  <c r="N48" i="3"/>
  <c r="P48"/>
  <c r="T48"/>
  <c r="U48"/>
  <c r="V48"/>
  <c r="N47" i="7" s="1"/>
  <c r="W48" i="3"/>
  <c r="X48"/>
  <c r="Y48"/>
  <c r="Z48"/>
  <c r="AA48"/>
  <c r="AB48"/>
  <c r="AC48"/>
  <c r="AD48"/>
  <c r="R47" i="7" s="1"/>
  <c r="AE48" i="3"/>
  <c r="M49" i="7"/>
  <c r="N49"/>
  <c r="P49"/>
  <c r="R49"/>
  <c r="M50"/>
  <c r="O50"/>
  <c r="P50"/>
  <c r="R50"/>
  <c r="M51"/>
  <c r="O51"/>
  <c r="P51"/>
  <c r="R51"/>
  <c r="M52"/>
  <c r="O52"/>
  <c r="Q52"/>
  <c r="R52"/>
  <c r="T60" i="3"/>
  <c r="T70" s="1"/>
  <c r="U59"/>
  <c r="V59"/>
  <c r="O57" i="7"/>
  <c r="Z59" i="3"/>
  <c r="AB60"/>
  <c r="AB71" s="1"/>
  <c r="Q57" i="7"/>
  <c r="R57"/>
  <c r="Y59" i="3"/>
  <c r="N60"/>
  <c r="L51" i="2"/>
  <c r="P60" i="3"/>
  <c r="U60"/>
  <c r="U71" s="1"/>
  <c r="V60"/>
  <c r="N59" i="7"/>
  <c r="X60" i="3"/>
  <c r="AA60"/>
  <c r="AC60"/>
  <c r="AD60"/>
  <c r="R59" i="7" s="1"/>
  <c r="N61" i="3"/>
  <c r="O61"/>
  <c r="M52" i="2" s="1"/>
  <c r="P61" i="3"/>
  <c r="T61"/>
  <c r="U61"/>
  <c r="V61"/>
  <c r="W61"/>
  <c r="X61"/>
  <c r="Y61"/>
  <c r="Z61"/>
  <c r="AA61"/>
  <c r="AB61"/>
  <c r="AC61"/>
  <c r="AD61"/>
  <c r="AE61"/>
  <c r="N62"/>
  <c r="L53" i="2" s="1"/>
  <c r="P62" i="3"/>
  <c r="T62"/>
  <c r="U62"/>
  <c r="V62"/>
  <c r="W62"/>
  <c r="X62"/>
  <c r="Y62"/>
  <c r="Z62"/>
  <c r="P61" i="7" s="1"/>
  <c r="AA62" i="3"/>
  <c r="AB62"/>
  <c r="AC62"/>
  <c r="AD62"/>
  <c r="AE62"/>
  <c r="N63"/>
  <c r="P63"/>
  <c r="T63"/>
  <c r="U63"/>
  <c r="V63"/>
  <c r="W63"/>
  <c r="X63"/>
  <c r="Y63"/>
  <c r="Z63"/>
  <c r="AA63"/>
  <c r="P62" i="7" s="1"/>
  <c r="AB63" i="3"/>
  <c r="AC63"/>
  <c r="AD63"/>
  <c r="AE63"/>
  <c r="N67"/>
  <c r="P67"/>
  <c r="T67"/>
  <c r="U67"/>
  <c r="M66" i="7" s="1"/>
  <c r="V67" i="3"/>
  <c r="W67"/>
  <c r="X67"/>
  <c r="Y67"/>
  <c r="Z67"/>
  <c r="AA67"/>
  <c r="AB67"/>
  <c r="AC67"/>
  <c r="AD67"/>
  <c r="AE67"/>
  <c r="X70"/>
  <c r="Y70"/>
  <c r="Y69" s="1"/>
  <c r="AA70"/>
  <c r="X71"/>
  <c r="V20" i="2" s="1"/>
  <c r="V17" s="1"/>
  <c r="AA71" i="3"/>
  <c r="Y61" i="2" s="1"/>
  <c r="M41" i="7"/>
  <c r="P41"/>
  <c r="R41"/>
  <c r="H44"/>
  <c r="I44"/>
  <c r="J44"/>
  <c r="K44"/>
  <c r="L44"/>
  <c r="M44"/>
  <c r="N44"/>
  <c r="O44"/>
  <c r="P44"/>
  <c r="Q44"/>
  <c r="R44"/>
  <c r="M45"/>
  <c r="O45"/>
  <c r="R45"/>
  <c r="O47"/>
  <c r="O49"/>
  <c r="Q49"/>
  <c r="N50"/>
  <c r="Q50"/>
  <c r="N51"/>
  <c r="Q51"/>
  <c r="N52"/>
  <c r="P52"/>
  <c r="M57"/>
  <c r="P57"/>
  <c r="M59"/>
  <c r="O59"/>
  <c r="P59"/>
  <c r="R60"/>
  <c r="Q61"/>
  <c r="O62"/>
  <c r="M40"/>
  <c r="AI25"/>
  <c r="AI24"/>
  <c r="AI23"/>
  <c r="AI22"/>
  <c r="AI21"/>
  <c r="AI20"/>
  <c r="AI19"/>
  <c r="AI18"/>
  <c r="AI17"/>
  <c r="R25"/>
  <c r="AI16"/>
  <c r="AI15"/>
  <c r="AI14"/>
  <c r="AI13"/>
  <c r="AI12"/>
  <c r="AI11"/>
  <c r="AI10"/>
  <c r="AI9"/>
  <c r="AI7"/>
  <c r="AI6"/>
  <c r="AI8"/>
  <c r="R11"/>
  <c r="R10"/>
  <c r="R9"/>
  <c r="R6"/>
  <c r="R5"/>
  <c r="R7"/>
  <c r="AH25"/>
  <c r="AH24"/>
  <c r="AH23"/>
  <c r="AH22"/>
  <c r="AH21"/>
  <c r="AH20"/>
  <c r="AH19"/>
  <c r="AH18"/>
  <c r="AH17"/>
  <c r="Q25"/>
  <c r="AH16"/>
  <c r="AH15"/>
  <c r="AH14"/>
  <c r="AH13"/>
  <c r="AH12"/>
  <c r="AH11"/>
  <c r="AH10"/>
  <c r="AH9"/>
  <c r="AH7"/>
  <c r="AH6"/>
  <c r="AH8"/>
  <c r="Q11"/>
  <c r="Q10"/>
  <c r="Q9"/>
  <c r="Q6"/>
  <c r="Q5"/>
  <c r="P25"/>
  <c r="P11"/>
  <c r="P10"/>
  <c r="P9"/>
  <c r="P6"/>
  <c r="P5"/>
  <c r="P7" s="1"/>
  <c r="AF25"/>
  <c r="AF24"/>
  <c r="AF23"/>
  <c r="AF22"/>
  <c r="AF21"/>
  <c r="AF20"/>
  <c r="AF19"/>
  <c r="AF18"/>
  <c r="AF17"/>
  <c r="O25"/>
  <c r="AF16"/>
  <c r="AF15"/>
  <c r="AF14"/>
  <c r="AF13"/>
  <c r="AF12"/>
  <c r="AF11"/>
  <c r="AF10"/>
  <c r="AF9"/>
  <c r="AF7"/>
  <c r="AF6"/>
  <c r="AF8"/>
  <c r="O11"/>
  <c r="O10"/>
  <c r="O9"/>
  <c r="O6"/>
  <c r="O5"/>
  <c r="O7"/>
  <c r="AE25"/>
  <c r="AE24"/>
  <c r="AE23"/>
  <c r="AE22"/>
  <c r="AE21"/>
  <c r="AE20"/>
  <c r="AE19"/>
  <c r="AE18"/>
  <c r="AE17"/>
  <c r="N25"/>
  <c r="AE16"/>
  <c r="AE15"/>
  <c r="AE14"/>
  <c r="AE13"/>
  <c r="AE12"/>
  <c r="AE11"/>
  <c r="AE10"/>
  <c r="AE9"/>
  <c r="AE7"/>
  <c r="AE6"/>
  <c r="AE8"/>
  <c r="N11"/>
  <c r="N10"/>
  <c r="N9"/>
  <c r="N6"/>
  <c r="N5"/>
  <c r="N7" s="1"/>
  <c r="M25"/>
  <c r="M11"/>
  <c r="M10"/>
  <c r="M9"/>
  <c r="M6"/>
  <c r="M8" s="1"/>
  <c r="M5"/>
  <c r="J9"/>
  <c r="D7"/>
  <c r="D8"/>
  <c r="AD9"/>
  <c r="AD13"/>
  <c r="AD20"/>
  <c r="AD24"/>
  <c r="AG7"/>
  <c r="AG12"/>
  <c r="AG16"/>
  <c r="AG19"/>
  <c r="AG23"/>
  <c r="AD7"/>
  <c r="AD12"/>
  <c r="AD16"/>
  <c r="AD19"/>
  <c r="AD23"/>
  <c r="AG6"/>
  <c r="AG11"/>
  <c r="AG15"/>
  <c r="AG18"/>
  <c r="AG22"/>
  <c r="AD6"/>
  <c r="AD11"/>
  <c r="AD15"/>
  <c r="AD18"/>
  <c r="AD22"/>
  <c r="AG8"/>
  <c r="AG10"/>
  <c r="AG14"/>
  <c r="AG17"/>
  <c r="AG21"/>
  <c r="AG25"/>
  <c r="AD8"/>
  <c r="AD10"/>
  <c r="AD14"/>
  <c r="AD17"/>
  <c r="AD21"/>
  <c r="AD25"/>
  <c r="AG9"/>
  <c r="AG13"/>
  <c r="AG20"/>
  <c r="AG24"/>
  <c r="AF5"/>
  <c r="AI5"/>
  <c r="Q8"/>
  <c r="Q7"/>
  <c r="V70" i="3"/>
  <c r="W71"/>
  <c r="AC70"/>
  <c r="AA19" i="2" s="1"/>
  <c r="AA17" s="1"/>
  <c r="U70" i="3"/>
  <c r="N57" i="7"/>
  <c r="P45"/>
  <c r="V71" i="3"/>
  <c r="V69" s="1"/>
  <c r="AD59"/>
  <c r="AC71"/>
  <c r="AC59"/>
  <c r="N45" i="7"/>
  <c r="Z70" i="3"/>
  <c r="M7" i="7"/>
  <c r="P8"/>
  <c r="O8"/>
  <c r="AB59" i="3"/>
  <c r="Q58" i="7" s="1"/>
  <c r="X59" i="3"/>
  <c r="T59"/>
  <c r="P59"/>
  <c r="AE59"/>
  <c r="AA59"/>
  <c r="W59"/>
  <c r="N58" i="7" s="1"/>
  <c r="R8"/>
  <c r="N8"/>
  <c r="AG5"/>
  <c r="AD5"/>
  <c r="O58"/>
  <c r="M58"/>
  <c r="P58"/>
  <c r="G48" i="4"/>
  <c r="G38"/>
  <c r="G36"/>
  <c r="G34"/>
  <c r="G10" i="2"/>
  <c r="G9" s="1"/>
  <c r="G6" s="1"/>
  <c r="F10"/>
  <c r="F9"/>
  <c r="H9"/>
  <c r="I9"/>
  <c r="J9"/>
  <c r="K9"/>
  <c r="P9"/>
  <c r="Q9"/>
  <c r="R9"/>
  <c r="S9"/>
  <c r="T9"/>
  <c r="U9"/>
  <c r="V9"/>
  <c r="W9"/>
  <c r="X9"/>
  <c r="Y9"/>
  <c r="Z9"/>
  <c r="AA9"/>
  <c r="AB9"/>
  <c r="AC9"/>
  <c r="M14" i="5"/>
  <c r="N14"/>
  <c r="O14"/>
  <c r="P14"/>
  <c r="Q14"/>
  <c r="R14"/>
  <c r="S14"/>
  <c r="T14"/>
  <c r="U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V14"/>
  <c r="N20"/>
  <c r="P20"/>
  <c r="R20"/>
  <c r="T20"/>
  <c r="U20"/>
  <c r="V20"/>
  <c r="X20"/>
  <c r="Z20"/>
  <c r="AB20"/>
  <c r="AD20"/>
  <c r="AF20"/>
  <c r="AG20"/>
  <c r="AH20"/>
  <c r="AI20"/>
  <c r="AJ20"/>
  <c r="AK20"/>
  <c r="AL20"/>
  <c r="AM20"/>
  <c r="AN20"/>
  <c r="AO20"/>
  <c r="AP20"/>
  <c r="AQ20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H26"/>
  <c r="AI26"/>
  <c r="AJ26"/>
  <c r="AK26"/>
  <c r="AL26"/>
  <c r="AM26"/>
  <c r="AN26"/>
  <c r="AO26"/>
  <c r="AP26"/>
  <c r="AQ26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Q38"/>
  <c r="R38"/>
  <c r="V38"/>
  <c r="Y38"/>
  <c r="Z38"/>
  <c r="AC38"/>
  <c r="AG38"/>
  <c r="AH38"/>
  <c r="AL38"/>
  <c r="AO38"/>
  <c r="AP38"/>
  <c r="H32" i="3"/>
  <c r="H33"/>
  <c r="H30"/>
  <c r="H10"/>
  <c r="H11"/>
  <c r="H12"/>
  <c r="H13"/>
  <c r="H14"/>
  <c r="H58" s="1"/>
  <c r="H15"/>
  <c r="H16"/>
  <c r="H17"/>
  <c r="H60" s="1"/>
  <c r="F51" i="2" s="1"/>
  <c r="H18" i="3"/>
  <c r="H19"/>
  <c r="H20"/>
  <c r="H21"/>
  <c r="H22"/>
  <c r="H23"/>
  <c r="H24"/>
  <c r="H25"/>
  <c r="H26"/>
  <c r="H27"/>
  <c r="H28"/>
  <c r="H9"/>
  <c r="H6"/>
  <c r="H41" s="1"/>
  <c r="H5"/>
  <c r="H40" s="1"/>
  <c r="N74" i="5"/>
  <c r="R74"/>
  <c r="V74"/>
  <c r="Z74"/>
  <c r="AD74"/>
  <c r="AE74"/>
  <c r="AH74"/>
  <c r="AI74"/>
  <c r="AM74"/>
  <c r="AP74"/>
  <c r="AQ74"/>
  <c r="AU64"/>
  <c r="AX64"/>
  <c r="Q68"/>
  <c r="T68"/>
  <c r="U68"/>
  <c r="X68"/>
  <c r="Y68"/>
  <c r="AB68"/>
  <c r="AF68"/>
  <c r="AJ68"/>
  <c r="AN68"/>
  <c r="N62"/>
  <c r="O62"/>
  <c r="R62"/>
  <c r="S62"/>
  <c r="W62"/>
  <c r="Z62"/>
  <c r="AA62"/>
  <c r="AD62"/>
  <c r="AI62"/>
  <c r="AL62"/>
  <c r="AM62"/>
  <c r="AP62"/>
  <c r="AQ62"/>
  <c r="P56"/>
  <c r="T56"/>
  <c r="U56"/>
  <c r="X56"/>
  <c r="Y56"/>
  <c r="AJ56"/>
  <c r="AK56"/>
  <c r="AN56"/>
  <c r="AO56"/>
  <c r="R50"/>
  <c r="S50"/>
  <c r="V50"/>
  <c r="W50"/>
  <c r="Z50"/>
  <c r="AA50"/>
  <c r="AD50"/>
  <c r="AH50"/>
  <c r="AI50"/>
  <c r="AL50"/>
  <c r="AM50"/>
  <c r="AQ50"/>
  <c r="P44"/>
  <c r="Q44"/>
  <c r="U44"/>
  <c r="X44"/>
  <c r="Y44"/>
  <c r="AB44"/>
  <c r="AF44"/>
  <c r="AG44"/>
  <c r="AJ44"/>
  <c r="AK44"/>
  <c r="AO44"/>
  <c r="AU70"/>
  <c r="AX70" s="1"/>
  <c r="M50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H67" i="3"/>
  <c r="G22" i="4"/>
  <c r="G19"/>
  <c r="G7"/>
  <c r="G9"/>
  <c r="G11"/>
  <c r="G13"/>
  <c r="G5"/>
  <c r="W8" i="3"/>
  <c r="AA8"/>
  <c r="AE8"/>
  <c r="U7"/>
  <c r="Y7"/>
  <c r="AC7"/>
  <c r="T7"/>
  <c r="V7"/>
  <c r="W7"/>
  <c r="X7"/>
  <c r="Z7"/>
  <c r="AA7"/>
  <c r="AB7"/>
  <c r="AD7"/>
  <c r="AE7"/>
  <c r="T8"/>
  <c r="U8"/>
  <c r="V8"/>
  <c r="X8"/>
  <c r="Y8"/>
  <c r="Z8"/>
  <c r="AB8"/>
  <c r="AC8"/>
  <c r="AD8"/>
  <c r="G43"/>
  <c r="G45"/>
  <c r="G56"/>
  <c r="AW23" i="5"/>
  <c r="AV23"/>
  <c r="AU23"/>
  <c r="AX23" s="1"/>
  <c r="AE14" i="4"/>
  <c r="AD14"/>
  <c r="W123" i="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S123"/>
  <c r="S122"/>
  <c r="S121"/>
  <c r="S120"/>
  <c r="S119"/>
  <c r="S118"/>
  <c r="S117"/>
  <c r="S116"/>
  <c r="S115"/>
  <c r="S114"/>
  <c r="S113"/>
  <c r="S112"/>
  <c r="S111"/>
  <c r="S110"/>
  <c r="R123"/>
  <c r="R122"/>
  <c r="R121"/>
  <c r="R120"/>
  <c r="R119"/>
  <c r="R118"/>
  <c r="R117"/>
  <c r="R116"/>
  <c r="R115"/>
  <c r="R114"/>
  <c r="R113"/>
  <c r="R112"/>
  <c r="R111"/>
  <c r="R110"/>
  <c r="Q123"/>
  <c r="P123"/>
  <c r="Q122"/>
  <c r="P122"/>
  <c r="Q121"/>
  <c r="P121"/>
  <c r="Q120"/>
  <c r="P120"/>
  <c r="Q119"/>
  <c r="P119"/>
  <c r="Q118"/>
  <c r="P118"/>
  <c r="Q117"/>
  <c r="P117"/>
  <c r="Q116"/>
  <c r="P116"/>
  <c r="Q115"/>
  <c r="P115"/>
  <c r="Q114"/>
  <c r="P114"/>
  <c r="Q113"/>
  <c r="P113"/>
  <c r="Q112"/>
  <c r="P112"/>
  <c r="Q111"/>
  <c r="P111"/>
  <c r="Q110"/>
  <c r="P110"/>
  <c r="O123"/>
  <c r="N123"/>
  <c r="O122"/>
  <c r="N122"/>
  <c r="O121"/>
  <c r="N121"/>
  <c r="O120"/>
  <c r="N120"/>
  <c r="O119"/>
  <c r="N119"/>
  <c r="O118"/>
  <c r="N118"/>
  <c r="O117"/>
  <c r="N117"/>
  <c r="O116"/>
  <c r="N116"/>
  <c r="O115"/>
  <c r="N115"/>
  <c r="O114"/>
  <c r="N114"/>
  <c r="O113"/>
  <c r="N113"/>
  <c r="O112"/>
  <c r="N112"/>
  <c r="O111"/>
  <c r="N111"/>
  <c r="O110"/>
  <c r="N110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I110"/>
  <c r="H110"/>
  <c r="AA112"/>
  <c r="AC111"/>
  <c r="AA111"/>
  <c r="Y112"/>
  <c r="Y111"/>
  <c r="AC112"/>
  <c r="AE111"/>
  <c r="AC122"/>
  <c r="AE122"/>
  <c r="AE119"/>
  <c r="AC119"/>
  <c r="AA119"/>
  <c r="Y122"/>
  <c r="Y119"/>
  <c r="AA122"/>
  <c r="Z111"/>
  <c r="AD114"/>
  <c r="AD111"/>
  <c r="AB112"/>
  <c r="AB122"/>
  <c r="AB111"/>
  <c r="Z119"/>
  <c r="Z122"/>
  <c r="Z112"/>
  <c r="AB119"/>
  <c r="AB114"/>
  <c r="Z114"/>
  <c r="AE113"/>
  <c r="AD122"/>
  <c r="AD119"/>
  <c r="AB117"/>
  <c r="AB118"/>
  <c r="Z117"/>
  <c r="Z118"/>
  <c r="X111"/>
  <c r="AE112"/>
  <c r="AD118"/>
  <c r="AC113"/>
  <c r="AD112"/>
  <c r="AE114"/>
  <c r="AA113"/>
  <c r="Z113"/>
  <c r="AA117"/>
  <c r="AE117"/>
  <c r="AE118"/>
  <c r="AC114"/>
  <c r="AB113"/>
  <c r="AA114"/>
  <c r="AA118"/>
  <c r="Y114"/>
  <c r="AC117"/>
  <c r="AC118"/>
  <c r="Y113"/>
  <c r="Y117"/>
  <c r="Y118"/>
  <c r="X114"/>
  <c r="X117"/>
  <c r="X119"/>
  <c r="AD117"/>
  <c r="X122"/>
  <c r="X118"/>
  <c r="X112"/>
  <c r="AD113"/>
  <c r="X113"/>
  <c r="X115"/>
  <c r="X116"/>
  <c r="Y116"/>
  <c r="Y115"/>
  <c r="Z115"/>
  <c r="Z116"/>
  <c r="AA115"/>
  <c r="AA116"/>
  <c r="V110"/>
  <c r="AB115"/>
  <c r="AB116"/>
  <c r="W110"/>
  <c r="AC115"/>
  <c r="AC116"/>
  <c r="X121"/>
  <c r="X120"/>
  <c r="X123"/>
  <c r="X110"/>
  <c r="AD116"/>
  <c r="AD115"/>
  <c r="Y120"/>
  <c r="Y121"/>
  <c r="Y123"/>
  <c r="Y110"/>
  <c r="AE116"/>
  <c r="AE115"/>
  <c r="Z120"/>
  <c r="Z121"/>
  <c r="Z123"/>
  <c r="Z110"/>
  <c r="AA123"/>
  <c r="AA120"/>
  <c r="AA121"/>
  <c r="AA110"/>
  <c r="AB121"/>
  <c r="AB123"/>
  <c r="AB120"/>
  <c r="AB110"/>
  <c r="AC123"/>
  <c r="AC120"/>
  <c r="AC121"/>
  <c r="AC110"/>
  <c r="AD121"/>
  <c r="AD123"/>
  <c r="AD120"/>
  <c r="AD110"/>
  <c r="AE123"/>
  <c r="AE120"/>
  <c r="AE121"/>
  <c r="AE110"/>
  <c r="AV73" i="5"/>
  <c r="AV72"/>
  <c r="AV71"/>
  <c r="AU73"/>
  <c r="AU72"/>
  <c r="AX72" s="1"/>
  <c r="AU71"/>
  <c r="AE12" i="4"/>
  <c r="AD12"/>
  <c r="AR64" i="5"/>
  <c r="AT64"/>
  <c r="H52" i="3"/>
  <c r="G25" i="4"/>
  <c r="G23" i="2"/>
  <c r="F23"/>
  <c r="E23"/>
  <c r="E8" i="3"/>
  <c r="E7"/>
  <c r="AC14" i="4"/>
  <c r="AB14"/>
  <c r="AC12"/>
  <c r="AB12"/>
  <c r="AC10"/>
  <c r="AC8"/>
  <c r="AB10"/>
  <c r="AB8" s="1"/>
  <c r="AB16" s="1"/>
  <c r="AA14"/>
  <c r="Z14"/>
  <c r="AA12"/>
  <c r="Z12"/>
  <c r="AA10"/>
  <c r="AA8" s="1"/>
  <c r="Z10"/>
  <c r="Z8" s="1"/>
  <c r="AW73" i="5"/>
  <c r="AX73"/>
  <c r="AW72"/>
  <c r="AW71"/>
  <c r="AX71"/>
  <c r="AW67"/>
  <c r="AV67"/>
  <c r="AU67"/>
  <c r="AX67" s="1"/>
  <c r="AW66"/>
  <c r="AV66"/>
  <c r="AU66"/>
  <c r="AX66" s="1"/>
  <c r="AW65"/>
  <c r="AV65"/>
  <c r="AU65"/>
  <c r="AX65" s="1"/>
  <c r="AW61"/>
  <c r="AV61"/>
  <c r="AU61"/>
  <c r="AX61" s="1"/>
  <c r="AW60"/>
  <c r="AV60"/>
  <c r="AU60"/>
  <c r="AX60" s="1"/>
  <c r="AW59"/>
  <c r="AV59"/>
  <c r="AU59"/>
  <c r="AX59" s="1"/>
  <c r="AW55"/>
  <c r="AV55"/>
  <c r="AU55"/>
  <c r="AX55" s="1"/>
  <c r="AW54"/>
  <c r="AV54"/>
  <c r="AU54"/>
  <c r="AX54" s="1"/>
  <c r="AW53"/>
  <c r="AV53"/>
  <c r="AU53"/>
  <c r="AX53" s="1"/>
  <c r="AW49"/>
  <c r="AV49"/>
  <c r="AU49"/>
  <c r="AX49" s="1"/>
  <c r="AW48"/>
  <c r="AV48"/>
  <c r="AU48"/>
  <c r="AX48" s="1"/>
  <c r="AW47"/>
  <c r="AV47"/>
  <c r="AU47"/>
  <c r="AX47" s="1"/>
  <c r="AW43"/>
  <c r="AV43"/>
  <c r="AU43"/>
  <c r="AX43" s="1"/>
  <c r="AW42"/>
  <c r="AV42"/>
  <c r="AU42"/>
  <c r="AX42" s="1"/>
  <c r="AW41"/>
  <c r="AV41"/>
  <c r="AU41"/>
  <c r="AX41" s="1"/>
  <c r="AW37"/>
  <c r="AV37"/>
  <c r="AU37"/>
  <c r="AX37" s="1"/>
  <c r="AW36"/>
  <c r="AV36"/>
  <c r="AU36"/>
  <c r="AX36" s="1"/>
  <c r="AW35"/>
  <c r="AV35"/>
  <c r="AU35"/>
  <c r="AX35" s="1"/>
  <c r="AW31"/>
  <c r="AV31"/>
  <c r="AU31"/>
  <c r="AX31" s="1"/>
  <c r="AW30"/>
  <c r="AV30"/>
  <c r="AU30"/>
  <c r="AX30" s="1"/>
  <c r="AW29"/>
  <c r="AV29"/>
  <c r="AU29"/>
  <c r="AX29" s="1"/>
  <c r="AW25"/>
  <c r="AV25"/>
  <c r="AU25"/>
  <c r="AX25" s="1"/>
  <c r="AW24"/>
  <c r="AV24"/>
  <c r="AU24"/>
  <c r="AX24" s="1"/>
  <c r="AW19"/>
  <c r="AV19"/>
  <c r="AU19"/>
  <c r="AX19" s="1"/>
  <c r="AW18"/>
  <c r="AV18"/>
  <c r="AU18"/>
  <c r="AX18" s="1"/>
  <c r="AV17"/>
  <c r="AW13"/>
  <c r="AV13"/>
  <c r="AU13"/>
  <c r="AX13" s="1"/>
  <c r="AW12"/>
  <c r="AV12"/>
  <c r="AU12"/>
  <c r="AX12" s="1"/>
  <c r="AW11"/>
  <c r="AV11"/>
  <c r="AU11"/>
  <c r="AX11" s="1"/>
  <c r="AU5"/>
  <c r="AX5"/>
  <c r="AV5"/>
  <c r="H10" i="4" s="1"/>
  <c r="AV6" i="5"/>
  <c r="H12" i="4"/>
  <c r="AV7" i="5"/>
  <c r="H14" i="4" s="1"/>
  <c r="AW5" i="5"/>
  <c r="I10" i="4" s="1"/>
  <c r="I8" s="1"/>
  <c r="AW6" i="5"/>
  <c r="I12" i="4"/>
  <c r="AW7" i="5"/>
  <c r="I14" i="4" s="1"/>
  <c r="AU6" i="5"/>
  <c r="AX6"/>
  <c r="AU7"/>
  <c r="AX7" s="1"/>
  <c r="G40" i="2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L54"/>
  <c r="Z54"/>
  <c r="AA54"/>
  <c r="AB54"/>
  <c r="F40"/>
  <c r="AO62" i="5"/>
  <c r="AN62"/>
  <c r="AK62"/>
  <c r="AJ62"/>
  <c r="AH62"/>
  <c r="AG62"/>
  <c r="AF62"/>
  <c r="AC62"/>
  <c r="Y62"/>
  <c r="X62"/>
  <c r="V62"/>
  <c r="U62"/>
  <c r="T62"/>
  <c r="Q62"/>
  <c r="P62"/>
  <c r="M62"/>
  <c r="AU58"/>
  <c r="AX58" s="1"/>
  <c r="AB62"/>
  <c r="E15" i="2"/>
  <c r="Y12" i="4"/>
  <c r="X12"/>
  <c r="W12"/>
  <c r="V12"/>
  <c r="U12"/>
  <c r="T12"/>
  <c r="S12"/>
  <c r="R12"/>
  <c r="Q12"/>
  <c r="O12"/>
  <c r="N12"/>
  <c r="M12"/>
  <c r="L12"/>
  <c r="L8" s="1"/>
  <c r="L16" s="1"/>
  <c r="L10"/>
  <c r="L14"/>
  <c r="K12"/>
  <c r="K8" s="1"/>
  <c r="J16" s="1"/>
  <c r="J12"/>
  <c r="J10"/>
  <c r="J14"/>
  <c r="J8"/>
  <c r="K10"/>
  <c r="K14"/>
  <c r="Y14"/>
  <c r="X14"/>
  <c r="W14"/>
  <c r="V14"/>
  <c r="U14"/>
  <c r="T14"/>
  <c r="S14"/>
  <c r="R14"/>
  <c r="Q14"/>
  <c r="P14"/>
  <c r="O14"/>
  <c r="M14"/>
  <c r="N14"/>
  <c r="Y10"/>
  <c r="X10"/>
  <c r="X8" s="1"/>
  <c r="X16" s="1"/>
  <c r="W10"/>
  <c r="V10"/>
  <c r="V8"/>
  <c r="V16" s="1"/>
  <c r="W8"/>
  <c r="U10"/>
  <c r="T10"/>
  <c r="T8"/>
  <c r="T16" s="1"/>
  <c r="U8"/>
  <c r="S10"/>
  <c r="R10"/>
  <c r="Q10"/>
  <c r="P10"/>
  <c r="O10"/>
  <c r="N10"/>
  <c r="N8" s="1"/>
  <c r="N16" s="1"/>
  <c r="Y8"/>
  <c r="AE8"/>
  <c r="AD8"/>
  <c r="AD16" s="1"/>
  <c r="J17" i="5"/>
  <c r="H40"/>
  <c r="G40"/>
  <c r="F40"/>
  <c r="E40"/>
  <c r="D40"/>
  <c r="C40"/>
  <c r="H19"/>
  <c r="G19"/>
  <c r="F19"/>
  <c r="E19"/>
  <c r="D19"/>
  <c r="C19"/>
  <c r="AO74"/>
  <c r="AN74"/>
  <c r="AL74"/>
  <c r="AK74"/>
  <c r="AJ74"/>
  <c r="AG74"/>
  <c r="AF74"/>
  <c r="AC74"/>
  <c r="AA74"/>
  <c r="Y74"/>
  <c r="X74"/>
  <c r="W74"/>
  <c r="U74"/>
  <c r="T74"/>
  <c r="S74"/>
  <c r="Q74"/>
  <c r="P74"/>
  <c r="O74"/>
  <c r="AQ68"/>
  <c r="AP68"/>
  <c r="AO68"/>
  <c r="AM68"/>
  <c r="AL68"/>
  <c r="AK68"/>
  <c r="AI68"/>
  <c r="AH68"/>
  <c r="AG68"/>
  <c r="AE68"/>
  <c r="AD68"/>
  <c r="AC68"/>
  <c r="AA68"/>
  <c r="Z68"/>
  <c r="W68"/>
  <c r="V68"/>
  <c r="S68"/>
  <c r="R68"/>
  <c r="O68"/>
  <c r="N68"/>
  <c r="AP50"/>
  <c r="AO50"/>
  <c r="AN50"/>
  <c r="AK50"/>
  <c r="AJ50"/>
  <c r="AG50"/>
  <c r="AF50"/>
  <c r="AC50"/>
  <c r="Y50"/>
  <c r="X50"/>
  <c r="U50"/>
  <c r="T50"/>
  <c r="Q50"/>
  <c r="P50"/>
  <c r="N50"/>
  <c r="AW17"/>
  <c r="AU17"/>
  <c r="AX17" s="1"/>
  <c r="U38"/>
  <c r="AK38"/>
  <c r="N44"/>
  <c r="R44"/>
  <c r="V44"/>
  <c r="Z44"/>
  <c r="AD44"/>
  <c r="AH44"/>
  <c r="AL44"/>
  <c r="AP44"/>
  <c r="N56"/>
  <c r="R56"/>
  <c r="V56"/>
  <c r="Z56"/>
  <c r="AD56"/>
  <c r="AH56"/>
  <c r="AL56"/>
  <c r="AP56"/>
  <c r="P38"/>
  <c r="T38"/>
  <c r="X38"/>
  <c r="AF38"/>
  <c r="AJ38"/>
  <c r="AN38"/>
  <c r="AC44"/>
  <c r="Q56"/>
  <c r="AG56"/>
  <c r="O38"/>
  <c r="S38"/>
  <c r="W38"/>
  <c r="AA38"/>
  <c r="AE38"/>
  <c r="AI38"/>
  <c r="AM38"/>
  <c r="AQ38"/>
  <c r="T44"/>
  <c r="AN44"/>
  <c r="AF56"/>
  <c r="N38"/>
  <c r="AD38"/>
  <c r="O44"/>
  <c r="S44"/>
  <c r="W44"/>
  <c r="AA44"/>
  <c r="AE44"/>
  <c r="AI44"/>
  <c r="AM44"/>
  <c r="AQ44"/>
  <c r="O56"/>
  <c r="S56"/>
  <c r="W56"/>
  <c r="AA56"/>
  <c r="AE56"/>
  <c r="AI56"/>
  <c r="AM56"/>
  <c r="AQ56"/>
  <c r="AB74"/>
  <c r="AB50"/>
  <c r="AB56"/>
  <c r="AB38"/>
  <c r="M10" i="4"/>
  <c r="M8"/>
  <c r="M44" i="5"/>
  <c r="M56"/>
  <c r="J6" i="2"/>
  <c r="S6"/>
  <c r="W6"/>
  <c r="AA6"/>
  <c r="R6"/>
  <c r="V6"/>
  <c r="Z6"/>
  <c r="F6"/>
  <c r="M6"/>
  <c r="Q6"/>
  <c r="U6"/>
  <c r="Y6"/>
  <c r="AC6"/>
  <c r="P6"/>
  <c r="T6"/>
  <c r="X6"/>
  <c r="AB6"/>
  <c r="H6"/>
  <c r="AW26" i="5"/>
  <c r="AU26"/>
  <c r="AX26" s="1"/>
  <c r="AV26"/>
  <c r="K6" i="2"/>
  <c r="I6"/>
  <c r="L44"/>
  <c r="E24"/>
  <c r="Z45"/>
  <c r="AA45"/>
  <c r="AB45"/>
  <c r="Z44"/>
  <c r="AA44"/>
  <c r="AB44"/>
  <c r="Z53"/>
  <c r="AB53"/>
  <c r="AA53"/>
  <c r="H62" i="3"/>
  <c r="H50"/>
  <c r="H63"/>
  <c r="H51"/>
  <c r="H61"/>
  <c r="F52" i="2" s="1"/>
  <c r="F58"/>
  <c r="N44"/>
  <c r="N45"/>
  <c r="N54"/>
  <c r="N53"/>
  <c r="L50"/>
  <c r="L41"/>
  <c r="L42"/>
  <c r="L52"/>
  <c r="L58"/>
  <c r="V45"/>
  <c r="V53"/>
  <c r="V44"/>
  <c r="V54"/>
  <c r="W54"/>
  <c r="W44"/>
  <c r="W53"/>
  <c r="W45"/>
  <c r="X44"/>
  <c r="X54"/>
  <c r="X45"/>
  <c r="X53"/>
  <c r="S44"/>
  <c r="R44"/>
  <c r="S53"/>
  <c r="R53"/>
  <c r="S45"/>
  <c r="S54"/>
  <c r="R54"/>
  <c r="R45"/>
  <c r="U44"/>
  <c r="T44"/>
  <c r="U45"/>
  <c r="U53"/>
  <c r="T45"/>
  <c r="T54"/>
  <c r="T53"/>
  <c r="U54"/>
  <c r="Y44"/>
  <c r="Y45"/>
  <c r="Y53"/>
  <c r="Y54"/>
  <c r="AC58"/>
  <c r="AC46"/>
  <c r="AC36"/>
  <c r="AC54"/>
  <c r="AC41"/>
  <c r="AC45"/>
  <c r="AC44"/>
  <c r="AC53"/>
  <c r="AC50"/>
  <c r="N58"/>
  <c r="N46"/>
  <c r="N51"/>
  <c r="S51"/>
  <c r="S52"/>
  <c r="S36"/>
  <c r="T52"/>
  <c r="T51"/>
  <c r="T36"/>
  <c r="N50"/>
  <c r="U52"/>
  <c r="U51"/>
  <c r="U36"/>
  <c r="N41"/>
  <c r="R50"/>
  <c r="S50"/>
  <c r="S41"/>
  <c r="T50"/>
  <c r="T41"/>
  <c r="T19"/>
  <c r="U50"/>
  <c r="U41"/>
  <c r="V51"/>
  <c r="V52"/>
  <c r="U61"/>
  <c r="U20"/>
  <c r="V36"/>
  <c r="R41"/>
  <c r="V19"/>
  <c r="V50"/>
  <c r="V41"/>
  <c r="W50"/>
  <c r="V61"/>
  <c r="W41"/>
  <c r="V60"/>
  <c r="W52"/>
  <c r="W51"/>
  <c r="X41"/>
  <c r="W19"/>
  <c r="X50"/>
  <c r="N36"/>
  <c r="N42"/>
  <c r="N37"/>
  <c r="W36"/>
  <c r="N52"/>
  <c r="X52"/>
  <c r="X51"/>
  <c r="X36"/>
  <c r="X60"/>
  <c r="X19"/>
  <c r="Y50"/>
  <c r="Y41"/>
  <c r="Y52"/>
  <c r="Y51"/>
  <c r="Y20"/>
  <c r="Y60"/>
  <c r="Y19"/>
  <c r="Y17" s="1"/>
  <c r="Y36"/>
  <c r="Z50"/>
  <c r="Z41"/>
  <c r="Z52"/>
  <c r="Z51"/>
  <c r="Z36"/>
  <c r="AA50"/>
  <c r="AA41"/>
  <c r="R52"/>
  <c r="R36"/>
  <c r="AB50"/>
  <c r="R51"/>
  <c r="AB41"/>
  <c r="R46"/>
  <c r="R58"/>
  <c r="AA52"/>
  <c r="AA51"/>
  <c r="AA20"/>
  <c r="AA60"/>
  <c r="AA61"/>
  <c r="R42"/>
  <c r="AA36"/>
  <c r="R37"/>
  <c r="AB36"/>
  <c r="S46"/>
  <c r="S58"/>
  <c r="AB51"/>
  <c r="AB52"/>
  <c r="S42"/>
  <c r="S37"/>
  <c r="T46"/>
  <c r="T58"/>
  <c r="AC52"/>
  <c r="AC51"/>
  <c r="T42"/>
  <c r="T37"/>
  <c r="U46"/>
  <c r="U58"/>
  <c r="U42"/>
  <c r="U37"/>
  <c r="V46"/>
  <c r="V58"/>
  <c r="V42"/>
  <c r="V37"/>
  <c r="W58"/>
  <c r="W46"/>
  <c r="W42"/>
  <c r="W37"/>
  <c r="X58"/>
  <c r="X46"/>
  <c r="X42"/>
  <c r="X37"/>
  <c r="Y58"/>
  <c r="Y46"/>
  <c r="Y42"/>
  <c r="Y37"/>
  <c r="Z58"/>
  <c r="Z46"/>
  <c r="Z42"/>
  <c r="Z37"/>
  <c r="AA58"/>
  <c r="AA46"/>
  <c r="AB58"/>
  <c r="AB46"/>
  <c r="AA42"/>
  <c r="AA37"/>
  <c r="AB42"/>
  <c r="AB37"/>
  <c r="AC42"/>
  <c r="AC37"/>
  <c r="R61" i="7"/>
  <c r="P66"/>
  <c r="N60"/>
  <c r="T71" i="3"/>
  <c r="P40" i="7"/>
  <c r="U47" i="3"/>
  <c r="U77"/>
  <c r="S24" i="2" s="1"/>
  <c r="Q66" i="7"/>
  <c r="M62"/>
  <c r="N61"/>
  <c r="AB47" i="3"/>
  <c r="W47"/>
  <c r="R58" i="7"/>
  <c r="AC47" i="3"/>
  <c r="Z47"/>
  <c r="X47"/>
  <c r="W77"/>
  <c r="U24" i="2" s="1"/>
  <c r="M74" i="5"/>
  <c r="AU10"/>
  <c r="AX10" s="1"/>
  <c r="P68"/>
  <c r="P8" i="4"/>
  <c r="P16" s="1"/>
  <c r="Q8"/>
  <c r="AU22" i="5"/>
  <c r="AX22" s="1"/>
  <c r="AU40"/>
  <c r="AX40" s="1"/>
  <c r="AW8"/>
  <c r="AU52"/>
  <c r="AX52"/>
  <c r="AV20"/>
  <c r="J23" i="7"/>
  <c r="AA11"/>
  <c r="J21"/>
  <c r="H8" i="3"/>
  <c r="H48"/>
  <c r="J41" i="7"/>
  <c r="N59" i="3"/>
  <c r="O8"/>
  <c r="O46"/>
  <c r="M41" i="2" s="1"/>
  <c r="H42" i="3"/>
  <c r="R61" i="2"/>
  <c r="W20"/>
  <c r="S19"/>
  <c r="R20"/>
  <c r="T60"/>
  <c r="T61"/>
  <c r="S60"/>
  <c r="AC20"/>
  <c r="W60"/>
  <c r="T20"/>
  <c r="T17" s="1"/>
  <c r="AW44" i="5"/>
  <c r="AU44"/>
  <c r="AX44" s="1"/>
  <c r="AU74"/>
  <c r="AX74" s="1"/>
  <c r="AW74"/>
  <c r="AU46"/>
  <c r="AX46" s="1"/>
  <c r="AE50"/>
  <c r="AE62"/>
  <c r="AW62"/>
  <c r="AW68"/>
  <c r="AC56"/>
  <c r="AW56" s="1"/>
  <c r="AU4"/>
  <c r="AX4" s="1"/>
  <c r="AU16"/>
  <c r="AX16" s="1"/>
  <c r="AU28"/>
  <c r="AX28" s="1"/>
  <c r="M68"/>
  <c r="AV68" s="1"/>
  <c r="AU34"/>
  <c r="AX34" s="1"/>
  <c r="O50"/>
  <c r="F37" i="2"/>
  <c r="O40" i="3"/>
  <c r="J33" i="7"/>
  <c r="H53" i="3"/>
  <c r="AA19" i="7"/>
  <c r="J5"/>
  <c r="H7" i="3"/>
  <c r="M44" i="2"/>
  <c r="F46"/>
  <c r="F45"/>
  <c r="L45"/>
  <c r="AA22" i="7"/>
  <c r="AA7"/>
  <c r="O67" i="3"/>
  <c r="M58" i="2" s="1"/>
  <c r="O48" i="3"/>
  <c r="M42" i="2" s="1"/>
  <c r="O39" i="3"/>
  <c r="M36" i="2" s="1"/>
  <c r="O58" i="3"/>
  <c r="J57" i="7" s="1"/>
  <c r="J18"/>
  <c r="O29" i="3"/>
  <c r="J30" i="7" s="1"/>
  <c r="AA21" s="1"/>
  <c r="M37" i="2"/>
  <c r="F42"/>
  <c r="AA15" i="7"/>
  <c r="O63" i="3"/>
  <c r="O8" i="4"/>
  <c r="G12"/>
  <c r="W17" i="2"/>
  <c r="N47" i="3"/>
  <c r="O7"/>
  <c r="J60" i="7"/>
  <c r="J66"/>
  <c r="AU8" i="5"/>
  <c r="AX8" s="1"/>
  <c r="AV8"/>
  <c r="AV62"/>
  <c r="G119" i="3"/>
  <c r="AS16" i="5"/>
  <c r="G117" i="3"/>
  <c r="AW32" i="5"/>
  <c r="G110" i="3"/>
  <c r="G122"/>
  <c r="G120"/>
  <c r="G118"/>
  <c r="G116"/>
  <c r="G114"/>
  <c r="G112"/>
  <c r="H46"/>
  <c r="F54" i="2"/>
  <c r="AW50" i="5"/>
  <c r="G123" i="3"/>
  <c r="G121"/>
  <c r="G115"/>
  <c r="G113"/>
  <c r="G111"/>
  <c r="AV44" i="5"/>
  <c r="AV38"/>
  <c r="AT16"/>
  <c r="O69" i="7"/>
  <c r="AA69" i="3"/>
  <c r="Y59" i="2" s="1"/>
  <c r="P69" i="7"/>
  <c r="AV14" i="5"/>
  <c r="AU14"/>
  <c r="AX14" s="1"/>
  <c r="AE5" i="7"/>
  <c r="Z31"/>
  <c r="AW20" i="5"/>
  <c r="AU20"/>
  <c r="AX20" s="1"/>
  <c r="AB77" i="3"/>
  <c r="Q46" i="7"/>
  <c r="Q76" s="1"/>
  <c r="AC77" i="3"/>
  <c r="AA24" i="2" s="1"/>
  <c r="X77" i="3"/>
  <c r="F53" i="2"/>
  <c r="F41"/>
  <c r="AW14" i="5"/>
  <c r="Z77" i="3"/>
  <c r="AU68" i="5"/>
  <c r="AX68" s="1"/>
  <c r="AV56"/>
  <c r="AV74"/>
  <c r="H39" i="3"/>
  <c r="X69"/>
  <c r="X55" s="1"/>
  <c r="V47" i="2" s="1"/>
  <c r="AD71" i="3"/>
  <c r="R70" i="7" s="1"/>
  <c r="Q59"/>
  <c r="AB70" i="3"/>
  <c r="AE70"/>
  <c r="AE69" s="1"/>
  <c r="AD70"/>
  <c r="R69" i="7" s="1"/>
  <c r="AU62" i="5"/>
  <c r="AX62" s="1"/>
  <c r="AA13" i="7"/>
  <c r="J45"/>
  <c r="J40"/>
  <c r="AV50" i="5"/>
  <c r="AU50"/>
  <c r="AX50"/>
  <c r="AU56"/>
  <c r="AX56" s="1"/>
  <c r="AA55" i="3"/>
  <c r="J62" i="7"/>
  <c r="M54" i="2"/>
  <c r="AA10" i="7"/>
  <c r="J47"/>
  <c r="O59" i="3"/>
  <c r="J58" i="7" s="1"/>
  <c r="M50" i="2"/>
  <c r="AA24" i="7"/>
  <c r="O47" i="3"/>
  <c r="J46" i="7" s="1"/>
  <c r="X24" i="2"/>
  <c r="AB19"/>
  <c r="AB17" s="1"/>
  <c r="AC60"/>
  <c r="AB20"/>
  <c r="Z24"/>
  <c r="AB79" i="3"/>
  <c r="Y47" i="2"/>
  <c r="Z19"/>
  <c r="Q69" i="7"/>
  <c r="Z60" i="2"/>
  <c r="F36"/>
  <c r="V24"/>
  <c r="N70" i="3"/>
  <c r="L60" i="2" s="1"/>
  <c r="N71" i="3"/>
  <c r="L61" i="2" s="1"/>
  <c r="M17"/>
  <c r="AC59" l="1"/>
  <c r="AE55" i="3"/>
  <c r="AC47" i="2" s="1"/>
  <c r="V59"/>
  <c r="AB61"/>
  <c r="AC19"/>
  <c r="AC17" s="1"/>
  <c r="AD69" i="3"/>
  <c r="W69"/>
  <c r="N70" i="7"/>
  <c r="N69"/>
  <c r="U60" i="2"/>
  <c r="AB60"/>
  <c r="AC69" i="3"/>
  <c r="O70" i="7"/>
  <c r="AU32" i="5"/>
  <c r="AX32" s="1"/>
  <c r="AV32"/>
  <c r="P15" i="4"/>
  <c r="AW4" i="5"/>
  <c r="I6" i="4" s="1"/>
  <c r="AV70" i="5"/>
  <c r="AD6" i="4" s="1"/>
  <c r="AV4" i="5"/>
  <c r="H6" i="4" s="1"/>
  <c r="AV16" i="5"/>
  <c r="L6" i="4" s="1"/>
  <c r="R15"/>
  <c r="AV22" i="5"/>
  <c r="N6" i="4" s="1"/>
  <c r="AV64" i="5"/>
  <c r="AB6" i="4" s="1"/>
  <c r="AW10" i="5"/>
  <c r="K6" i="4" s="1"/>
  <c r="AV10" i="5"/>
  <c r="J6" i="4" s="1"/>
  <c r="AW58" i="5"/>
  <c r="AA6" i="4" s="1"/>
  <c r="AW70" i="5"/>
  <c r="AE6" i="4" s="1"/>
  <c r="AW22" i="5"/>
  <c r="O6" i="4" s="1"/>
  <c r="AV58" i="5"/>
  <c r="Z6" i="4" s="1"/>
  <c r="AV52" i="5"/>
  <c r="X6" i="4" s="1"/>
  <c r="J26" i="7"/>
  <c r="J14"/>
  <c r="J34"/>
  <c r="P70" i="3"/>
  <c r="N19" i="2" s="1"/>
  <c r="AA20" i="7"/>
  <c r="AA23"/>
  <c r="M51" i="2"/>
  <c r="J59" i="7"/>
  <c r="O71" i="3"/>
  <c r="O70"/>
  <c r="J69" i="7" s="1"/>
  <c r="AA12"/>
  <c r="AA17"/>
  <c r="O66"/>
  <c r="Q60"/>
  <c r="O60"/>
  <c r="J6"/>
  <c r="J7" s="1"/>
  <c r="J10"/>
  <c r="J24"/>
  <c r="Q62"/>
  <c r="O40"/>
  <c r="J27"/>
  <c r="P46"/>
  <c r="P76" s="1"/>
  <c r="F44" i="2"/>
  <c r="P71" i="3"/>
  <c r="J11" i="7"/>
  <c r="P8" i="3"/>
  <c r="N66" i="7"/>
  <c r="P60"/>
  <c r="Q47"/>
  <c r="AD47" i="3"/>
  <c r="R8" i="4"/>
  <c r="S8"/>
  <c r="AW38" i="5"/>
  <c r="AU38"/>
  <c r="AX38" s="1"/>
  <c r="W59" i="2"/>
  <c r="Y55" i="3"/>
  <c r="O68" i="7"/>
  <c r="M53" i="2"/>
  <c r="J61" i="7"/>
  <c r="AA18"/>
  <c r="F50" i="2"/>
  <c r="H47" i="3"/>
  <c r="H59"/>
  <c r="S20" i="2"/>
  <c r="S17" s="1"/>
  <c r="S61"/>
  <c r="N20"/>
  <c r="O69" i="3"/>
  <c r="Z26" i="2"/>
  <c r="M70" i="7"/>
  <c r="H29" i="3"/>
  <c r="P47" i="7"/>
  <c r="J22"/>
  <c r="AA14" s="1"/>
  <c r="AD77" i="3"/>
  <c r="AA77"/>
  <c r="V77"/>
  <c r="J8" i="7"/>
  <c r="J25"/>
  <c r="U69" i="3"/>
  <c r="S59" i="2" s="1"/>
  <c r="M47" i="7"/>
  <c r="N40"/>
  <c r="AE47" i="3"/>
  <c r="Y47"/>
  <c r="T47"/>
  <c r="P47"/>
  <c r="P77" s="1"/>
  <c r="N8"/>
  <c r="O46" i="7"/>
  <c r="O76" s="1"/>
  <c r="R66"/>
  <c r="R62"/>
  <c r="N62"/>
  <c r="O61"/>
  <c r="M61"/>
  <c r="M60"/>
  <c r="N68"/>
  <c r="T59" i="2"/>
  <c r="V55" i="3"/>
  <c r="X20" i="2"/>
  <c r="X17" s="1"/>
  <c r="X61"/>
  <c r="Z69" i="3"/>
  <c r="P70" i="7"/>
  <c r="R46"/>
  <c r="R76" s="1"/>
  <c r="T77" i="3"/>
  <c r="M46" i="7"/>
  <c r="M76" s="1"/>
  <c r="J51"/>
  <c r="L46" i="2"/>
  <c r="N77" i="3"/>
  <c r="G6" i="4"/>
  <c r="H15"/>
  <c r="F12" i="2"/>
  <c r="J12"/>
  <c r="L15" i="4"/>
  <c r="G14"/>
  <c r="Z16"/>
  <c r="AD15"/>
  <c r="H8"/>
  <c r="G10"/>
  <c r="J13" i="7"/>
  <c r="AA6"/>
  <c r="AA16"/>
  <c r="O77" i="3"/>
  <c r="M24" i="2" s="1"/>
  <c r="M45"/>
  <c r="AA25" i="7"/>
  <c r="H70" i="3"/>
  <c r="H71"/>
  <c r="R60" i="2"/>
  <c r="T69" i="3"/>
  <c r="R19" i="2"/>
  <c r="R17" s="1"/>
  <c r="M69" i="7"/>
  <c r="H12" i="2"/>
  <c r="J15" i="4"/>
  <c r="Z61" i="2"/>
  <c r="Q70" i="7"/>
  <c r="Z20" i="2"/>
  <c r="Z17" s="1"/>
  <c r="AB69" i="3"/>
  <c r="AB24" i="2"/>
  <c r="Y24"/>
  <c r="X26" s="1"/>
  <c r="Z79" i="3"/>
  <c r="T24" i="2"/>
  <c r="T26" s="1"/>
  <c r="V79" i="3"/>
  <c r="J76" i="7"/>
  <c r="Z15" i="4"/>
  <c r="X15"/>
  <c r="V15"/>
  <c r="T15"/>
  <c r="L19" i="2"/>
  <c r="N69" i="3"/>
  <c r="AA34" i="7"/>
  <c r="U55" i="3" l="1"/>
  <c r="R68" i="7"/>
  <c r="AD55" i="3"/>
  <c r="AB59" i="2"/>
  <c r="N17"/>
  <c r="U59"/>
  <c r="W55" i="3"/>
  <c r="U47" i="2" s="1"/>
  <c r="N60"/>
  <c r="AC55" i="3"/>
  <c r="AA47" i="2" s="1"/>
  <c r="AA59"/>
  <c r="P69" i="3"/>
  <c r="P55" s="1"/>
  <c r="N61" i="2"/>
  <c r="N15" i="4"/>
  <c r="AB15"/>
  <c r="R16"/>
  <c r="L20" i="2"/>
  <c r="L17" s="1"/>
  <c r="M61"/>
  <c r="J70" i="7"/>
  <c r="AE77" i="3"/>
  <c r="M60" i="2"/>
  <c r="M59"/>
  <c r="O55" i="3"/>
  <c r="O54" i="7"/>
  <c r="W47" i="2"/>
  <c r="Y77" i="3"/>
  <c r="H77"/>
  <c r="N59" i="2"/>
  <c r="N55" i="3"/>
  <c r="J68" i="7"/>
  <c r="L59" i="2"/>
  <c r="T55" i="3"/>
  <c r="R59" i="2"/>
  <c r="M68" i="7"/>
  <c r="F61" i="2"/>
  <c r="F20"/>
  <c r="T47"/>
  <c r="R24"/>
  <c r="R26" s="1"/>
  <c r="T79" i="3"/>
  <c r="G8" i="4"/>
  <c r="H16"/>
  <c r="AB55" i="3"/>
  <c r="Z59" i="2"/>
  <c r="Q68" i="7"/>
  <c r="F19" i="2"/>
  <c r="H69" i="3"/>
  <c r="F60" i="2"/>
  <c r="AA5" i="7"/>
  <c r="L24" i="2"/>
  <c r="L26" s="1"/>
  <c r="N79" i="3"/>
  <c r="N24" i="2"/>
  <c r="Z55" i="3"/>
  <c r="P68" i="7"/>
  <c r="X59" i="2"/>
  <c r="S47"/>
  <c r="N54" i="7" l="1"/>
  <c r="AB47" i="2"/>
  <c r="R54" i="7"/>
  <c r="F17" i="2"/>
  <c r="AC24"/>
  <c r="AB26" s="1"/>
  <c r="AD79" i="3"/>
  <c r="N47" i="2"/>
  <c r="F24"/>
  <c r="X79" i="3"/>
  <c r="W24" i="2"/>
  <c r="V26" s="1"/>
  <c r="M47"/>
  <c r="P54" i="7"/>
  <c r="X47" i="2"/>
  <c r="F59"/>
  <c r="H55" i="3"/>
  <c r="Z47" i="2"/>
  <c r="Q54" i="7"/>
  <c r="R47" i="2"/>
  <c r="M54" i="7"/>
  <c r="J54"/>
  <c r="L47" i="2"/>
  <c r="F47" l="1"/>
  <c r="I21" i="3" l="1"/>
  <c r="G22" i="7" s="1"/>
  <c r="X14" s="1"/>
  <c r="I20" i="3"/>
  <c r="I19"/>
  <c r="G20" i="7" s="1"/>
  <c r="X12" s="1"/>
  <c r="I15" i="3"/>
  <c r="G15" i="7" s="1"/>
  <c r="X7" s="1"/>
  <c r="I14" i="3"/>
  <c r="I12"/>
  <c r="I53" l="1"/>
  <c r="G21" i="7"/>
  <c r="X13" s="1"/>
  <c r="I26" i="3"/>
  <c r="G27" i="7" s="1"/>
  <c r="X18" s="1"/>
  <c r="I33" i="3"/>
  <c r="I23"/>
  <c r="G14" i="7"/>
  <c r="X6" s="1"/>
  <c r="I58" i="3"/>
  <c r="I24"/>
  <c r="I30"/>
  <c r="I32"/>
  <c r="I46"/>
  <c r="G12" i="7"/>
  <c r="G52" l="1"/>
  <c r="G41" i="2"/>
  <c r="G45" i="7"/>
  <c r="I51" i="3"/>
  <c r="G31" i="7"/>
  <c r="X22" s="1"/>
  <c r="G50" i="2"/>
  <c r="G57" i="7"/>
  <c r="I50" i="3"/>
  <c r="G34" i="7"/>
  <c r="X25" s="1"/>
  <c r="G13"/>
  <c r="X5" s="1"/>
  <c r="J32" i="3"/>
  <c r="J62" s="1"/>
  <c r="H53" i="2" s="1"/>
  <c r="J23" i="3"/>
  <c r="J26"/>
  <c r="J24"/>
  <c r="G33" i="7"/>
  <c r="X24" s="1"/>
  <c r="I62" i="3"/>
  <c r="G25" i="7"/>
  <c r="G24"/>
  <c r="X16" s="1"/>
  <c r="G50" l="1"/>
  <c r="G45" i="2"/>
  <c r="J21" i="3"/>
  <c r="J12"/>
  <c r="J19"/>
  <c r="J14"/>
  <c r="J15"/>
  <c r="G53" i="2"/>
  <c r="G61" i="7"/>
  <c r="G44" i="2"/>
  <c r="G49" i="7"/>
  <c r="J58" i="3" l="1"/>
  <c r="H50" i="2" s="1"/>
  <c r="J46" i="3"/>
  <c r="H41" i="2" l="1"/>
  <c r="J33" i="3" l="1"/>
  <c r="J50" s="1"/>
  <c r="H44" i="2" s="1"/>
  <c r="J30" i="3"/>
  <c r="J51" s="1"/>
  <c r="H45" i="2" s="1"/>
  <c r="J20" i="3" l="1"/>
  <c r="J53" s="1"/>
  <c r="I18" l="1"/>
  <c r="I6"/>
  <c r="I9"/>
  <c r="G9" i="7" s="1"/>
  <c r="I41" i="3" l="1"/>
  <c r="G6" i="7"/>
  <c r="G19"/>
  <c r="X11" s="1"/>
  <c r="J6" i="3" l="1"/>
  <c r="J41" l="1"/>
  <c r="I25" l="1"/>
  <c r="I22" l="1"/>
  <c r="I17"/>
  <c r="I16"/>
  <c r="I13"/>
  <c r="G26" i="7"/>
  <c r="X17" s="1"/>
  <c r="I11" i="3"/>
  <c r="I27"/>
  <c r="G28" i="7" s="1"/>
  <c r="X19" s="1"/>
  <c r="I28" i="3"/>
  <c r="G29" i="7" s="1"/>
  <c r="X20" s="1"/>
  <c r="J16" i="3" l="1"/>
  <c r="J61" s="1"/>
  <c r="H52" i="2" s="1"/>
  <c r="J27" i="3"/>
  <c r="I31"/>
  <c r="J31"/>
  <c r="J63" s="1"/>
  <c r="H54" i="2" s="1"/>
  <c r="I61" i="3"/>
  <c r="G17" i="7"/>
  <c r="X9" s="1"/>
  <c r="I52" i="3"/>
  <c r="G23" i="7"/>
  <c r="X15" s="1"/>
  <c r="I67" i="3"/>
  <c r="I29"/>
  <c r="G30" i="7" s="1"/>
  <c r="X21" s="1"/>
  <c r="J13" i="3"/>
  <c r="J48" s="1"/>
  <c r="J17"/>
  <c r="J60" s="1"/>
  <c r="G11" i="7"/>
  <c r="I42" i="3"/>
  <c r="I48"/>
  <c r="G16" i="7"/>
  <c r="X8" s="1"/>
  <c r="I60" i="3"/>
  <c r="G18" i="7"/>
  <c r="X10" s="1"/>
  <c r="J18" i="3"/>
  <c r="G52" i="2" l="1"/>
  <c r="G60" i="7"/>
  <c r="G41"/>
  <c r="G37" i="2"/>
  <c r="I59" i="3"/>
  <c r="I47"/>
  <c r="H51" i="2"/>
  <c r="G47" i="7"/>
  <c r="G42" i="2"/>
  <c r="G46"/>
  <c r="G51" i="7"/>
  <c r="I63" i="3"/>
  <c r="G32" i="7"/>
  <c r="X23" s="1"/>
  <c r="I71" i="3"/>
  <c r="G51" i="2"/>
  <c r="G59" i="7"/>
  <c r="I70" i="3"/>
  <c r="G66" i="7"/>
  <c r="G58" i="2"/>
  <c r="H42"/>
  <c r="G60" l="1"/>
  <c r="I69" i="3"/>
  <c r="G69" i="7"/>
  <c r="G19" i="2"/>
  <c r="G20"/>
  <c r="G61"/>
  <c r="G70" i="7"/>
  <c r="G62"/>
  <c r="G54" i="2"/>
  <c r="G58" i="7"/>
  <c r="I77" i="3"/>
  <c r="G46" i="7"/>
  <c r="G76" s="1"/>
  <c r="G17" i="2" l="1"/>
  <c r="G24"/>
  <c r="F26" s="1"/>
  <c r="H79" i="3"/>
  <c r="G59" i="2"/>
  <c r="G68" i="7"/>
  <c r="I55" i="3"/>
  <c r="I10"/>
  <c r="G10" i="7" s="1"/>
  <c r="G54" l="1"/>
  <c r="G47" i="2"/>
  <c r="J11" i="3"/>
  <c r="J42" s="1"/>
  <c r="J22"/>
  <c r="J10"/>
  <c r="J52" l="1"/>
  <c r="H46" i="2" s="1"/>
  <c r="J67" i="3"/>
  <c r="H37" i="2"/>
  <c r="J59" i="3"/>
  <c r="J47"/>
  <c r="K30"/>
  <c r="K32"/>
  <c r="K33"/>
  <c r="Q30"/>
  <c r="Q32"/>
  <c r="Q33"/>
  <c r="J77" l="1"/>
  <c r="H24" i="2" s="1"/>
  <c r="H58"/>
  <c r="M30" i="3"/>
  <c r="M51" s="1"/>
  <c r="L30"/>
  <c r="K31"/>
  <c r="H34" i="7"/>
  <c r="K50" i="3"/>
  <c r="K51"/>
  <c r="H31" i="7"/>
  <c r="M32" i="3"/>
  <c r="M62" s="1"/>
  <c r="L32"/>
  <c r="L33"/>
  <c r="M33"/>
  <c r="M50" s="1"/>
  <c r="K62"/>
  <c r="H33" i="7"/>
  <c r="R33" i="3"/>
  <c r="R30"/>
  <c r="Q50"/>
  <c r="K34" i="7"/>
  <c r="K31"/>
  <c r="Q51" i="3"/>
  <c r="R32"/>
  <c r="K33" i="7"/>
  <c r="Q62" i="3"/>
  <c r="Y22" i="7" l="1"/>
  <c r="K63" i="3"/>
  <c r="H32" i="7"/>
  <c r="Y25"/>
  <c r="K45" i="2"/>
  <c r="K53"/>
  <c r="L51" i="3"/>
  <c r="I31" i="7"/>
  <c r="Z22" s="1"/>
  <c r="Y24"/>
  <c r="L50" i="3"/>
  <c r="I34" i="7"/>
  <c r="Z25" s="1"/>
  <c r="K44" i="2"/>
  <c r="I44"/>
  <c r="H49" i="7"/>
  <c r="H61"/>
  <c r="I53" i="2"/>
  <c r="I33" i="7"/>
  <c r="Z24" s="1"/>
  <c r="L62" i="3"/>
  <c r="H50" i="7"/>
  <c r="I45" i="2"/>
  <c r="AB24" i="7"/>
  <c r="K50"/>
  <c r="O45" i="2"/>
  <c r="K49" i="7"/>
  <c r="O44" i="2"/>
  <c r="S33" i="3"/>
  <c r="O53" i="2"/>
  <c r="K61" i="7"/>
  <c r="R50" i="3"/>
  <c r="S32"/>
  <c r="AB25" i="7"/>
  <c r="S30" i="3"/>
  <c r="R62"/>
  <c r="L33" i="7"/>
  <c r="AC24" s="1"/>
  <c r="AB22"/>
  <c r="L31"/>
  <c r="AC22" s="1"/>
  <c r="R51" i="3"/>
  <c r="X74" i="7" l="1"/>
  <c r="I50"/>
  <c r="J45" i="2"/>
  <c r="Y23" i="7"/>
  <c r="X76"/>
  <c r="I61"/>
  <c r="J53" i="2"/>
  <c r="J44"/>
  <c r="I49" i="7"/>
  <c r="X51"/>
  <c r="X48"/>
  <c r="I54" i="2"/>
  <c r="H62" i="7"/>
  <c r="X50"/>
  <c r="X77"/>
  <c r="P45" i="2"/>
  <c r="S50" i="3"/>
  <c r="G33"/>
  <c r="Y48" i="7"/>
  <c r="Y50"/>
  <c r="S62" i="3"/>
  <c r="G32"/>
  <c r="S51"/>
  <c r="L50" i="7" s="1"/>
  <c r="F50" s="1"/>
  <c r="G30" i="3"/>
  <c r="L34" i="7"/>
  <c r="F33"/>
  <c r="P53" i="2"/>
  <c r="L49" i="7"/>
  <c r="F49" s="1"/>
  <c r="P44" i="2"/>
  <c r="F31" i="7"/>
  <c r="AC25" l="1"/>
  <c r="Y51"/>
  <c r="F34"/>
  <c r="Q53" i="2"/>
  <c r="G62" i="3"/>
  <c r="Q45" i="2"/>
  <c r="L61" i="7"/>
  <c r="F61" s="1"/>
  <c r="G51" i="3"/>
  <c r="Q44" i="2"/>
  <c r="G50" i="3"/>
  <c r="J25" l="1"/>
  <c r="J28" l="1"/>
  <c r="J29" s="1"/>
  <c r="J71" l="1"/>
  <c r="J70"/>
  <c r="H61" i="2" l="1"/>
  <c r="H20"/>
  <c r="J69" i="3"/>
  <c r="H60" i="2"/>
  <c r="H19"/>
  <c r="H17" s="1"/>
  <c r="H59" l="1"/>
  <c r="J55" i="3"/>
  <c r="I5"/>
  <c r="H47" i="2" l="1"/>
  <c r="I40" i="3"/>
  <c r="I7"/>
  <c r="G5" i="7"/>
  <c r="I39" i="3"/>
  <c r="I8"/>
  <c r="G7" i="7" l="1"/>
  <c r="G8"/>
  <c r="G40"/>
  <c r="G36" i="2"/>
  <c r="J5" i="3"/>
  <c r="K21"/>
  <c r="H22" i="7" s="1"/>
  <c r="J40" i="3" l="1"/>
  <c r="J39"/>
  <c r="J7"/>
  <c r="J8"/>
  <c r="Y14" i="7"/>
  <c r="H36" i="2" l="1"/>
  <c r="K12" i="3"/>
  <c r="L21"/>
  <c r="M21"/>
  <c r="Q21"/>
  <c r="L31" l="1"/>
  <c r="M31"/>
  <c r="M63" s="1"/>
  <c r="H12" i="7"/>
  <c r="I22"/>
  <c r="R21" i="3"/>
  <c r="K22" i="7"/>
  <c r="Z14" l="1"/>
  <c r="X40"/>
  <c r="X66"/>
  <c r="L63" i="3"/>
  <c r="I32" i="7"/>
  <c r="K54" i="2"/>
  <c r="S21" i="3"/>
  <c r="G21" s="1"/>
  <c r="AB14" i="7"/>
  <c r="Z23" l="1"/>
  <c r="X75"/>
  <c r="X49"/>
  <c r="J54" i="2"/>
  <c r="I62" i="7"/>
  <c r="L22"/>
  <c r="AC14" l="1"/>
  <c r="F22"/>
  <c r="Y40"/>
  <c r="J9" i="3" l="1"/>
  <c r="K24" l="1"/>
  <c r="L12"/>
  <c r="M12"/>
  <c r="M24" l="1"/>
  <c r="L24"/>
  <c r="H25" i="7"/>
  <c r="I12"/>
  <c r="Q24" i="3"/>
  <c r="K20"/>
  <c r="K19"/>
  <c r="H20" i="7" s="1"/>
  <c r="Y12" l="1"/>
  <c r="K53" i="3"/>
  <c r="H21" i="7"/>
  <c r="I25"/>
  <c r="R24" i="3"/>
  <c r="K25" i="7"/>
  <c r="L19" i="3" l="1"/>
  <c r="M19"/>
  <c r="L20"/>
  <c r="M20"/>
  <c r="M53" s="1"/>
  <c r="H52" i="7"/>
  <c r="Y13"/>
  <c r="S24" i="3"/>
  <c r="Q19"/>
  <c r="L25" i="7"/>
  <c r="F25" s="1"/>
  <c r="Q20" i="3"/>
  <c r="G24"/>
  <c r="I21" i="7" l="1"/>
  <c r="L53" i="3"/>
  <c r="I20" i="7"/>
  <c r="K21"/>
  <c r="Q53" i="3"/>
  <c r="R19"/>
  <c r="R20"/>
  <c r="K20" i="7"/>
  <c r="K17" i="3"/>
  <c r="Z13" i="7" l="1"/>
  <c r="X65"/>
  <c r="X39"/>
  <c r="K60" i="3"/>
  <c r="H18" i="7"/>
  <c r="I52"/>
  <c r="Z12"/>
  <c r="X38"/>
  <c r="X64"/>
  <c r="R53" i="3"/>
  <c r="AB13" i="7"/>
  <c r="S19" i="3"/>
  <c r="G19" s="1"/>
  <c r="K52" i="7"/>
  <c r="AB12"/>
  <c r="L20"/>
  <c r="AC12" s="1"/>
  <c r="S20" i="3"/>
  <c r="S53" s="1"/>
  <c r="L17" l="1"/>
  <c r="M17"/>
  <c r="M60" s="1"/>
  <c r="Y10" i="7"/>
  <c r="H59"/>
  <c r="I51" i="2"/>
  <c r="G53" i="3"/>
  <c r="F20" i="7"/>
  <c r="L21"/>
  <c r="L52"/>
  <c r="G20" i="3"/>
  <c r="Y38" i="7"/>
  <c r="F52"/>
  <c r="K11" i="3"/>
  <c r="H11" i="7" l="1"/>
  <c r="L60" i="3"/>
  <c r="I18" i="7"/>
  <c r="K51" i="2"/>
  <c r="K25" i="3"/>
  <c r="AC13" i="7"/>
  <c r="Y39"/>
  <c r="F21"/>
  <c r="K22" i="3"/>
  <c r="K16"/>
  <c r="K5"/>
  <c r="J51" i="2" l="1"/>
  <c r="I59" i="7"/>
  <c r="K28" i="3"/>
  <c r="H29" i="7" s="1"/>
  <c r="K40" i="3"/>
  <c r="H5" i="7"/>
  <c r="K52" i="3"/>
  <c r="H23" i="7"/>
  <c r="H26"/>
  <c r="K61" i="3"/>
  <c r="H17" i="7"/>
  <c r="L11" i="3"/>
  <c r="M11"/>
  <c r="Z10" i="7"/>
  <c r="X62"/>
  <c r="X36"/>
  <c r="L16" i="3" l="1"/>
  <c r="M16"/>
  <c r="M61" s="1"/>
  <c r="I52" i="2"/>
  <c r="H60" i="7"/>
  <c r="I46" i="2"/>
  <c r="H51" i="7"/>
  <c r="L5" i="3"/>
  <c r="M5"/>
  <c r="Y9" i="7"/>
  <c r="Y15"/>
  <c r="Y17"/>
  <c r="K18" i="3"/>
  <c r="L22"/>
  <c r="M22"/>
  <c r="M52" s="1"/>
  <c r="I11" i="7"/>
  <c r="Y20"/>
  <c r="K13" i="3"/>
  <c r="M40" l="1"/>
  <c r="K48"/>
  <c r="H16" i="7"/>
  <c r="L52" i="3"/>
  <c r="I23" i="7"/>
  <c r="L61" i="3"/>
  <c r="I17" i="7"/>
  <c r="K52" i="2"/>
  <c r="K46"/>
  <c r="H19" i="7"/>
  <c r="L40" i="3"/>
  <c r="I5" i="7"/>
  <c r="L13" i="3" l="1"/>
  <c r="M13"/>
  <c r="J52" i="2"/>
  <c r="I60" i="7"/>
  <c r="Y8"/>
  <c r="Z9"/>
  <c r="X35"/>
  <c r="X61"/>
  <c r="K6" i="3"/>
  <c r="I51" i="7"/>
  <c r="J46" i="2"/>
  <c r="Y11" i="7"/>
  <c r="X67"/>
  <c r="Z15"/>
  <c r="X41"/>
  <c r="I42" i="2"/>
  <c r="H47" i="7"/>
  <c r="L48" i="3" l="1"/>
  <c r="I16" i="7"/>
  <c r="K41" i="3"/>
  <c r="K8"/>
  <c r="H6" i="7"/>
  <c r="K39" i="3"/>
  <c r="K7"/>
  <c r="M48"/>
  <c r="K42" i="2" l="1"/>
  <c r="J42"/>
  <c r="I47" i="7"/>
  <c r="K9" i="3"/>
  <c r="H9" i="7" s="1"/>
  <c r="H8"/>
  <c r="H7"/>
  <c r="Z8"/>
  <c r="X60"/>
  <c r="X34"/>
  <c r="I36" i="2"/>
  <c r="H40" i="7"/>
  <c r="M25" i="3" l="1"/>
  <c r="L25"/>
  <c r="I26" i="7" l="1"/>
  <c r="L28" i="3"/>
  <c r="M28"/>
  <c r="Z17" i="7" l="1"/>
  <c r="X69"/>
  <c r="X43"/>
  <c r="I29"/>
  <c r="L18" i="3" l="1"/>
  <c r="M18"/>
  <c r="Z20" i="7"/>
  <c r="X72"/>
  <c r="X46"/>
  <c r="I19" l="1"/>
  <c r="L6" i="3" l="1"/>
  <c r="M6"/>
  <c r="Z11" i="7"/>
  <c r="X63"/>
  <c r="X37"/>
  <c r="L8" i="3" l="1"/>
  <c r="L41"/>
  <c r="L39"/>
  <c r="L7"/>
  <c r="I6" i="7"/>
  <c r="M41" i="3"/>
  <c r="M8"/>
  <c r="M7"/>
  <c r="M39"/>
  <c r="K36" i="2" s="1"/>
  <c r="I8" i="7" l="1"/>
  <c r="I7"/>
  <c r="L9" i="3"/>
  <c r="I9" i="7" s="1"/>
  <c r="M9" i="3"/>
  <c r="J36" i="2"/>
  <c r="I40" i="7"/>
  <c r="Q31" i="3" l="1"/>
  <c r="Q63" l="1"/>
  <c r="K32" i="7"/>
  <c r="O54" i="2" l="1"/>
  <c r="K62" i="7"/>
  <c r="AB23"/>
  <c r="Q17" i="3" l="1"/>
  <c r="K18" i="7" l="1"/>
  <c r="Q60" i="3"/>
  <c r="O51" i="2" l="1"/>
  <c r="K59" i="7"/>
  <c r="AB10"/>
  <c r="Q11" i="3"/>
  <c r="K11" i="7" l="1"/>
  <c r="Q5" i="3"/>
  <c r="Q16"/>
  <c r="Q22"/>
  <c r="K5" i="7" l="1"/>
  <c r="K17"/>
  <c r="Q61" i="3"/>
  <c r="K23" i="7"/>
  <c r="Q52" i="3"/>
  <c r="AB15" i="7" l="1"/>
  <c r="AB9"/>
  <c r="O46" i="2"/>
  <c r="K51" i="7"/>
  <c r="O52" i="2"/>
  <c r="K60" i="7"/>
  <c r="Q13" i="3"/>
  <c r="Q48" l="1"/>
  <c r="K16" i="7"/>
  <c r="O42" i="2" l="1"/>
  <c r="K47" i="7"/>
  <c r="AB8"/>
  <c r="R31" i="3" l="1"/>
  <c r="R63" l="1"/>
  <c r="P54" i="2" l="1"/>
  <c r="Q12" i="3"/>
  <c r="R12" l="1"/>
  <c r="K12" i="7"/>
  <c r="S12" i="3" l="1"/>
  <c r="L12" i="7" s="1"/>
  <c r="R17" i="3"/>
  <c r="F12" i="7" l="1"/>
  <c r="R60" i="3"/>
  <c r="G12"/>
  <c r="P51" i="2" l="1"/>
  <c r="R11" i="3"/>
  <c r="R16" l="1"/>
  <c r="R5"/>
  <c r="R22"/>
  <c r="R61" l="1"/>
  <c r="R52"/>
  <c r="R40"/>
  <c r="P46" i="2" l="1"/>
  <c r="P52"/>
  <c r="R13" i="3"/>
  <c r="R48" l="1"/>
  <c r="P42" i="2" l="1"/>
  <c r="S31" i="3" l="1"/>
  <c r="S63" l="1"/>
  <c r="G31"/>
  <c r="L32" i="7"/>
  <c r="Q54" i="2" l="1"/>
  <c r="G63" i="3"/>
  <c r="L62" i="7"/>
  <c r="F62" s="1"/>
  <c r="AC23"/>
  <c r="Y49"/>
  <c r="F32"/>
  <c r="S17" i="3" l="1"/>
  <c r="Q25"/>
  <c r="K26" i="7" l="1"/>
  <c r="S60" i="3"/>
  <c r="L18" i="7"/>
  <c r="G17" i="3"/>
  <c r="AC10" i="7" l="1"/>
  <c r="Y36"/>
  <c r="F18"/>
  <c r="AB17"/>
  <c r="S11" i="3"/>
  <c r="L59" i="7"/>
  <c r="F59" s="1"/>
  <c r="Q51" i="2"/>
  <c r="G60" i="3"/>
  <c r="Q28"/>
  <c r="S5" l="1"/>
  <c r="S16"/>
  <c r="K29" i="7"/>
  <c r="S22" i="3"/>
  <c r="G11"/>
  <c r="L11" i="7"/>
  <c r="F11" s="1"/>
  <c r="S40" i="3" l="1"/>
  <c r="L5" i="7"/>
  <c r="G5" i="3"/>
  <c r="S52"/>
  <c r="L23" i="7"/>
  <c r="G22" i="3"/>
  <c r="S61"/>
  <c r="G16"/>
  <c r="L17" i="7"/>
  <c r="AB20"/>
  <c r="Q18" i="3"/>
  <c r="K19" i="7" l="1"/>
  <c r="AC9"/>
  <c r="Y35"/>
  <c r="F17"/>
  <c r="S13" i="3"/>
  <c r="Q46" i="2"/>
  <c r="L51" i="7"/>
  <c r="F51" s="1"/>
  <c r="G52" i="3"/>
  <c r="AC15" i="7"/>
  <c r="Y41"/>
  <c r="F23"/>
  <c r="F5"/>
  <c r="Q52" i="2"/>
  <c r="L60" i="7"/>
  <c r="F60" s="1"/>
  <c r="G61" i="3"/>
  <c r="AB11" i="7" l="1"/>
  <c r="S48" i="3"/>
  <c r="G13"/>
  <c r="L16" i="7"/>
  <c r="Q6" i="3"/>
  <c r="Q41" l="1"/>
  <c r="K6" i="7"/>
  <c r="Q8" i="3"/>
  <c r="Q39"/>
  <c r="Q7"/>
  <c r="Q42" i="2"/>
  <c r="G48" i="3"/>
  <c r="L47" i="7"/>
  <c r="F47" s="1"/>
  <c r="AC8"/>
  <c r="F16"/>
  <c r="Y34"/>
  <c r="O36" i="2" l="1"/>
  <c r="K40" i="7"/>
  <c r="K8"/>
  <c r="K7"/>
  <c r="Q9" i="3"/>
  <c r="K9" i="7" l="1"/>
  <c r="R25" i="3" l="1"/>
  <c r="R28" l="1"/>
  <c r="R18" l="1"/>
  <c r="R6" l="1"/>
  <c r="R8" l="1"/>
  <c r="R41"/>
  <c r="R7"/>
  <c r="R39"/>
  <c r="P36" i="2" l="1"/>
  <c r="R9" i="3"/>
  <c r="S25" l="1"/>
  <c r="G25" l="1"/>
  <c r="L26" i="7"/>
  <c r="S28" i="3" l="1"/>
  <c r="AC17" i="7"/>
  <c r="F26"/>
  <c r="Y43"/>
  <c r="G28" i="3" l="1"/>
  <c r="L29" i="7"/>
  <c r="S18" i="3" l="1"/>
  <c r="AC20" i="7"/>
  <c r="F29"/>
  <c r="Y46"/>
  <c r="G18" i="3" l="1"/>
  <c r="L19" i="7"/>
  <c r="S6" i="3" l="1"/>
  <c r="AC11" i="7"/>
  <c r="Y37"/>
  <c r="F19"/>
  <c r="S41" i="3" l="1"/>
  <c r="S7"/>
  <c r="S8"/>
  <c r="S39"/>
  <c r="G6"/>
  <c r="L6" i="7"/>
  <c r="S9" i="3" l="1"/>
  <c r="G8"/>
  <c r="G7"/>
  <c r="L8" i="7"/>
  <c r="L7"/>
  <c r="F6"/>
  <c r="Q36" i="2"/>
  <c r="G39" i="3"/>
  <c r="L40" i="7"/>
  <c r="F40" s="1"/>
  <c r="F8" l="1"/>
  <c r="F7"/>
  <c r="G9" i="3"/>
  <c r="L9" i="7"/>
  <c r="F9" s="1"/>
  <c r="K23" i="3" l="1"/>
  <c r="Q23"/>
  <c r="K15" l="1"/>
  <c r="H15" i="7" s="1"/>
  <c r="L23" i="3"/>
  <c r="M23"/>
  <c r="M67" s="1"/>
  <c r="K67"/>
  <c r="H24" i="7"/>
  <c r="R23" i="3"/>
  <c r="Q67"/>
  <c r="K24" i="7"/>
  <c r="Q15" i="3"/>
  <c r="L15" l="1"/>
  <c r="M15"/>
  <c r="Y16" i="7"/>
  <c r="K58" i="2"/>
  <c r="I58"/>
  <c r="H66" i="7"/>
  <c r="Y7"/>
  <c r="L67" i="3"/>
  <c r="I66" i="7" s="1"/>
  <c r="I24"/>
  <c r="Z16" s="1"/>
  <c r="G23" i="3"/>
  <c r="S23"/>
  <c r="S67" s="1"/>
  <c r="AB16" i="7"/>
  <c r="R15" i="3"/>
  <c r="R67"/>
  <c r="K15" i="7"/>
  <c r="K66"/>
  <c r="O58" i="2"/>
  <c r="G67" i="3" l="1"/>
  <c r="J58" i="2"/>
  <c r="X68" i="7"/>
  <c r="I15"/>
  <c r="X42"/>
  <c r="L24"/>
  <c r="AC16" s="1"/>
  <c r="F66"/>
  <c r="L66"/>
  <c r="P58" i="2"/>
  <c r="F24" i="7"/>
  <c r="Y42"/>
  <c r="S15" i="3"/>
  <c r="G15" s="1"/>
  <c r="Q58" i="2"/>
  <c r="AB7" i="7"/>
  <c r="Z7" l="1"/>
  <c r="X33"/>
  <c r="X59"/>
  <c r="L15"/>
  <c r="AC7" l="1"/>
  <c r="Y33"/>
  <c r="F15"/>
  <c r="K10" i="3" l="1"/>
  <c r="H10" i="7" s="1"/>
  <c r="K14" i="3"/>
  <c r="K26" l="1"/>
  <c r="K58"/>
  <c r="H14" i="7"/>
  <c r="K46" i="3"/>
  <c r="K42"/>
  <c r="Q26"/>
  <c r="L26" l="1"/>
  <c r="M26"/>
  <c r="L14"/>
  <c r="M14"/>
  <c r="I37" i="2"/>
  <c r="H41" i="7"/>
  <c r="H27"/>
  <c r="K27" i="3"/>
  <c r="H28" i="7" s="1"/>
  <c r="H45"/>
  <c r="I41" i="2"/>
  <c r="K47" i="3"/>
  <c r="L10"/>
  <c r="M10"/>
  <c r="K59"/>
  <c r="I50" i="2"/>
  <c r="H57" i="7"/>
  <c r="Y6"/>
  <c r="H13"/>
  <c r="R26" i="3"/>
  <c r="K27" i="7"/>
  <c r="Q14" i="3"/>
  <c r="Y19" i="7" l="1"/>
  <c r="Y5"/>
  <c r="X44"/>
  <c r="Y18"/>
  <c r="M58" i="3"/>
  <c r="M46"/>
  <c r="M42"/>
  <c r="I27" i="7"/>
  <c r="Z18" s="1"/>
  <c r="K70" i="3"/>
  <c r="I10" i="7"/>
  <c r="H58"/>
  <c r="K29" i="3"/>
  <c r="H30" i="7" s="1"/>
  <c r="I14"/>
  <c r="L58" i="3"/>
  <c r="L46"/>
  <c r="L42"/>
  <c r="K77"/>
  <c r="H46" i="7"/>
  <c r="H76" s="1"/>
  <c r="K71" i="3"/>
  <c r="S26"/>
  <c r="G26" s="1"/>
  <c r="R14"/>
  <c r="L27" i="7"/>
  <c r="AC18" s="1"/>
  <c r="K14"/>
  <c r="Q58" i="3"/>
  <c r="Q42"/>
  <c r="Q46"/>
  <c r="AB18" i="7"/>
  <c r="X32" l="1"/>
  <c r="Z6"/>
  <c r="I13"/>
  <c r="X58"/>
  <c r="K50" i="2"/>
  <c r="M59" i="3"/>
  <c r="I61" i="2"/>
  <c r="H70" i="7"/>
  <c r="I20" i="2"/>
  <c r="J37"/>
  <c r="I41" i="7"/>
  <c r="X70"/>
  <c r="I24" i="2"/>
  <c r="H26" s="1"/>
  <c r="J79" i="3"/>
  <c r="L59"/>
  <c r="I57" i="7"/>
  <c r="J50" i="2"/>
  <c r="I60"/>
  <c r="H69" i="7"/>
  <c r="K69" i="3"/>
  <c r="I19" i="2"/>
  <c r="K41"/>
  <c r="M47" i="3"/>
  <c r="J41" i="2"/>
  <c r="L47" i="3"/>
  <c r="I45" i="7"/>
  <c r="Y21"/>
  <c r="K37" i="2"/>
  <c r="F27" i="7"/>
  <c r="O41" i="2"/>
  <c r="Q47" i="3"/>
  <c r="K45" i="7"/>
  <c r="R58" i="3"/>
  <c r="R46"/>
  <c r="R42"/>
  <c r="K41" i="7"/>
  <c r="O37" i="2"/>
  <c r="Y44" i="7"/>
  <c r="K57"/>
  <c r="Q59" i="3"/>
  <c r="O50" i="2"/>
  <c r="AB6" i="7"/>
  <c r="K13"/>
  <c r="S14" i="3"/>
  <c r="L14" i="7" s="1"/>
  <c r="I46" l="1"/>
  <c r="I76" s="1"/>
  <c r="M77" i="3"/>
  <c r="K24" i="2" s="1"/>
  <c r="I58" i="7"/>
  <c r="I17" i="2"/>
  <c r="L77" i="3"/>
  <c r="I59" i="2"/>
  <c r="H68" i="7"/>
  <c r="K55" i="3"/>
  <c r="Z5" i="7"/>
  <c r="X31"/>
  <c r="AC6"/>
  <c r="L13"/>
  <c r="AC5" s="1"/>
  <c r="F14"/>
  <c r="Y32"/>
  <c r="S58" i="3"/>
  <c r="S46"/>
  <c r="S42"/>
  <c r="G14"/>
  <c r="K58" i="7"/>
  <c r="L45"/>
  <c r="P41" i="2"/>
  <c r="R47" i="3"/>
  <c r="K46" i="7"/>
  <c r="Q77" i="3"/>
  <c r="P50" i="2"/>
  <c r="R59" i="3"/>
  <c r="AB5" i="7"/>
  <c r="X57"/>
  <c r="P37" i="2"/>
  <c r="L41" i="7"/>
  <c r="F41" s="1"/>
  <c r="G58" i="3"/>
  <c r="F45" i="7"/>
  <c r="L79" i="3" l="1"/>
  <c r="J24" i="2"/>
  <c r="J26" s="1"/>
  <c r="I47"/>
  <c r="H54" i="7"/>
  <c r="K76"/>
  <c r="S59" i="3"/>
  <c r="Q50" i="2"/>
  <c r="O24"/>
  <c r="N26" s="1"/>
  <c r="P79" i="3"/>
  <c r="S47"/>
  <c r="G47" s="1"/>
  <c r="Q41" i="2"/>
  <c r="G46" i="3"/>
  <c r="F13" i="7"/>
  <c r="L57"/>
  <c r="L58"/>
  <c r="Q37" i="2"/>
  <c r="G42" i="3"/>
  <c r="F58" i="7"/>
  <c r="Y31"/>
  <c r="G59" i="3" l="1"/>
  <c r="P24" i="2"/>
  <c r="F57" i="7"/>
  <c r="S77" i="3"/>
  <c r="Q24" i="2" s="1"/>
  <c r="L46" i="7"/>
  <c r="P26" i="2" l="1"/>
  <c r="G77" i="3"/>
  <c r="L76" i="7"/>
  <c r="F76" s="1"/>
  <c r="F46"/>
  <c r="R79" i="3"/>
  <c r="M27" l="1"/>
  <c r="L27"/>
  <c r="M29" l="1"/>
  <c r="M70" s="1"/>
  <c r="I28" i="7"/>
  <c r="L29" i="3"/>
  <c r="L70" s="1"/>
  <c r="L71" l="1"/>
  <c r="J61" i="2" s="1"/>
  <c r="J60"/>
  <c r="I69" i="7"/>
  <c r="J19" i="2"/>
  <c r="I30" i="7"/>
  <c r="M71" i="3"/>
  <c r="K60" i="2"/>
  <c r="K19"/>
  <c r="Z19" i="7"/>
  <c r="X71"/>
  <c r="X45"/>
  <c r="L69" i="3" l="1"/>
  <c r="J20" i="2"/>
  <c r="J17" s="1"/>
  <c r="I70" i="7"/>
  <c r="Z21"/>
  <c r="X73"/>
  <c r="X47"/>
  <c r="K61" i="2"/>
  <c r="K20"/>
  <c r="K17" s="1"/>
  <c r="M69" i="3"/>
  <c r="I68" i="7" l="1"/>
  <c r="J59" i="2"/>
  <c r="L55" i="3"/>
  <c r="J47" i="2" s="1"/>
  <c r="K59"/>
  <c r="M55" i="3"/>
  <c r="I54" i="7" l="1"/>
  <c r="K47" i="2"/>
  <c r="Q10" i="3" l="1"/>
  <c r="K10" i="7" s="1"/>
  <c r="R10" i="3" l="1"/>
  <c r="Q27" l="1"/>
  <c r="K28" i="7" l="1"/>
  <c r="Q29" i="3"/>
  <c r="Q70" s="1"/>
  <c r="AB19" i="7" l="1"/>
  <c r="K69"/>
  <c r="O60" i="2"/>
  <c r="O19"/>
  <c r="K30" i="7"/>
  <c r="Q71" i="3"/>
  <c r="K70" i="7" l="1"/>
  <c r="O61" i="2"/>
  <c r="O20"/>
  <c r="O17" s="1"/>
  <c r="AB21" i="7"/>
  <c r="Q69" i="3"/>
  <c r="O59" i="2" l="1"/>
  <c r="K68" i="7"/>
  <c r="Q55" i="3"/>
  <c r="O47" i="2" l="1"/>
  <c r="K54" i="7"/>
  <c r="S10" i="3" l="1"/>
  <c r="L10" i="7" s="1"/>
  <c r="R27" i="3" l="1"/>
  <c r="R29" l="1"/>
  <c r="R71" s="1"/>
  <c r="P61" i="2" l="1"/>
  <c r="P20"/>
  <c r="R70" i="3"/>
  <c r="P60" i="2" l="1"/>
  <c r="R69" i="3"/>
  <c r="P19" i="2"/>
  <c r="P17" s="1"/>
  <c r="P59" l="1"/>
  <c r="R55" i="3"/>
  <c r="P47" i="2" l="1"/>
  <c r="S27" i="3" l="1"/>
  <c r="S29" l="1"/>
  <c r="S70" s="1"/>
  <c r="L28" i="7"/>
  <c r="G27" i="3"/>
  <c r="S71" l="1"/>
  <c r="Q61" i="2" s="1"/>
  <c r="G29" i="3"/>
  <c r="L30" i="7"/>
  <c r="Q60" i="2"/>
  <c r="Q19"/>
  <c r="G70" i="3"/>
  <c r="L69" i="7"/>
  <c r="AC19"/>
  <c r="Y45"/>
  <c r="F28"/>
  <c r="L70" l="1"/>
  <c r="F70" s="1"/>
  <c r="S69" i="3"/>
  <c r="S55" s="1"/>
  <c r="Q20" i="2"/>
  <c r="Q17" s="1"/>
  <c r="G71" i="3"/>
  <c r="AC21" i="7"/>
  <c r="F30"/>
  <c r="Y47"/>
  <c r="F69"/>
  <c r="L68" l="1"/>
  <c r="F68" s="1"/>
  <c r="Q59" i="2"/>
  <c r="G69" i="3"/>
  <c r="Q47" i="2"/>
  <c r="L54" i="7"/>
  <c r="G55" i="3"/>
  <c r="F54" i="7" l="1"/>
  <c r="X68" i="3" l="1"/>
  <c r="X49"/>
  <c r="X66" l="1"/>
  <c r="X64"/>
  <c r="X57" s="1"/>
  <c r="X65"/>
  <c r="V55" i="2"/>
  <c r="V57"/>
  <c r="V31"/>
  <c r="V43"/>
  <c r="AE49" i="3"/>
  <c r="AE65" l="1"/>
  <c r="Z49"/>
  <c r="Z65"/>
  <c r="Z64"/>
  <c r="Z66"/>
  <c r="W68"/>
  <c r="Y68"/>
  <c r="X81"/>
  <c r="V30" i="2"/>
  <c r="V29" s="1"/>
  <c r="V56"/>
  <c r="X80" i="3"/>
  <c r="AE64"/>
  <c r="AE68"/>
  <c r="U68"/>
  <c r="AC56" i="2"/>
  <c r="AC30"/>
  <c r="V68" i="3"/>
  <c r="AC43" i="2"/>
  <c r="Z68" i="3"/>
  <c r="V49"/>
  <c r="V64"/>
  <c r="V65"/>
  <c r="V66"/>
  <c r="W49"/>
  <c r="W66"/>
  <c r="W64"/>
  <c r="W65"/>
  <c r="Y49"/>
  <c r="Y64"/>
  <c r="Y66"/>
  <c r="Y65"/>
  <c r="AA49"/>
  <c r="AA64"/>
  <c r="AA65"/>
  <c r="AA66"/>
  <c r="V49" i="2"/>
  <c r="AE66" i="3"/>
  <c r="AE80" s="1"/>
  <c r="AD68"/>
  <c r="AD49"/>
  <c r="AD66"/>
  <c r="AD64"/>
  <c r="AD65"/>
  <c r="U49"/>
  <c r="U64"/>
  <c r="U66"/>
  <c r="U65"/>
  <c r="AA68"/>
  <c r="T49" l="1"/>
  <c r="T64"/>
  <c r="T65"/>
  <c r="T66"/>
  <c r="AB30" i="2"/>
  <c r="AB56"/>
  <c r="R64" i="7"/>
  <c r="AD80" i="3"/>
  <c r="AD82" s="1"/>
  <c r="Y57" i="2"/>
  <c r="Y31"/>
  <c r="X55"/>
  <c r="Z81" i="3"/>
  <c r="P63" i="7"/>
  <c r="Z57" i="3"/>
  <c r="T68"/>
  <c r="AC68"/>
  <c r="S57" i="2"/>
  <c r="S31"/>
  <c r="AD57" i="3"/>
  <c r="AD81"/>
  <c r="R63" i="7"/>
  <c r="AB55" i="2"/>
  <c r="Y56"/>
  <c r="Y30"/>
  <c r="Y29" s="1"/>
  <c r="AA80" i="3"/>
  <c r="W31" i="2"/>
  <c r="W57"/>
  <c r="O65" i="7"/>
  <c r="U55" i="2"/>
  <c r="W57" i="3"/>
  <c r="W81"/>
  <c r="T56" i="2"/>
  <c r="N64" i="7"/>
  <c r="T30" i="2"/>
  <c r="V80" i="3"/>
  <c r="N67" i="7"/>
  <c r="X56" i="2"/>
  <c r="X30"/>
  <c r="Z80" i="3"/>
  <c r="Z82" s="1"/>
  <c r="P64" i="7"/>
  <c r="S30" i="2"/>
  <c r="U80" i="3"/>
  <c r="S56" i="2"/>
  <c r="R67" i="7"/>
  <c r="W30" i="2"/>
  <c r="W29" s="1"/>
  <c r="W56"/>
  <c r="Y80" i="3"/>
  <c r="X82" s="1"/>
  <c r="T57" i="2"/>
  <c r="N65" i="7"/>
  <c r="T31" i="2"/>
  <c r="AB49" i="3"/>
  <c r="AB65"/>
  <c r="AB66"/>
  <c r="AB64"/>
  <c r="S43" i="2"/>
  <c r="AB43"/>
  <c r="R48" i="7"/>
  <c r="R65"/>
  <c r="AC57" i="2"/>
  <c r="AC31"/>
  <c r="AC29" s="1"/>
  <c r="Y43"/>
  <c r="W43"/>
  <c r="O48" i="7"/>
  <c r="U43" i="2"/>
  <c r="T43"/>
  <c r="N48" i="7"/>
  <c r="O67"/>
  <c r="X57" i="2"/>
  <c r="P65" i="7"/>
  <c r="X31" i="2"/>
  <c r="X29" s="1"/>
  <c r="O64" i="7"/>
  <c r="U56" i="2"/>
  <c r="W80" i="3"/>
  <c r="U30" i="2"/>
  <c r="P67" i="7"/>
  <c r="AC49" i="3"/>
  <c r="AC66"/>
  <c r="AC65"/>
  <c r="AC64"/>
  <c r="AB68"/>
  <c r="S55" i="2"/>
  <c r="U81" i="3"/>
  <c r="U57"/>
  <c r="AB57" i="2"/>
  <c r="AB31"/>
  <c r="AB29" s="1"/>
  <c r="AA57" i="3"/>
  <c r="AA81"/>
  <c r="Z83" s="1"/>
  <c r="Y55" i="2"/>
  <c r="W55"/>
  <c r="Y57" i="3"/>
  <c r="Y81"/>
  <c r="X83" s="1"/>
  <c r="O63" i="7"/>
  <c r="O78" s="1"/>
  <c r="U57" i="2"/>
  <c r="U31"/>
  <c r="T55"/>
  <c r="N63" i="7"/>
  <c r="V81" i="3"/>
  <c r="V57"/>
  <c r="AC55" i="2"/>
  <c r="AE57" i="3"/>
  <c r="AE81"/>
  <c r="X43" i="2"/>
  <c r="P48" i="7"/>
  <c r="S29" i="2" l="1"/>
  <c r="O77" i="7"/>
  <c r="R78"/>
  <c r="AB18" i="2"/>
  <c r="AC49"/>
  <c r="N56" i="7"/>
  <c r="T18" i="2"/>
  <c r="T49"/>
  <c r="S49"/>
  <c r="AA43"/>
  <c r="Z30"/>
  <c r="AB80" i="3"/>
  <c r="Z56" i="2"/>
  <c r="X18"/>
  <c r="X49"/>
  <c r="P56" i="7"/>
  <c r="R43" i="2"/>
  <c r="M48" i="7"/>
  <c r="U29" i="2"/>
  <c r="P77" i="7"/>
  <c r="T29" i="2"/>
  <c r="V83" i="3"/>
  <c r="Y49" i="2"/>
  <c r="Q67" i="7"/>
  <c r="AA57" i="2"/>
  <c r="AA31"/>
  <c r="AB81" i="3"/>
  <c r="Z31" i="2"/>
  <c r="Q65" i="7"/>
  <c r="Z57" i="2"/>
  <c r="AB49"/>
  <c r="R56" i="7"/>
  <c r="R55" i="2"/>
  <c r="M63" i="7"/>
  <c r="T81" i="3"/>
  <c r="T57"/>
  <c r="V82"/>
  <c r="W49" i="2"/>
  <c r="O56" i="7"/>
  <c r="V18" i="2"/>
  <c r="Q64" i="7"/>
  <c r="AC80" i="3"/>
  <c r="AA56" i="2"/>
  <c r="AA30"/>
  <c r="Z55"/>
  <c r="Q63" i="7"/>
  <c r="Q78" s="1"/>
  <c r="AB57" i="3"/>
  <c r="R56" i="2"/>
  <c r="M64" i="7"/>
  <c r="T80" i="3"/>
  <c r="T82" s="1"/>
  <c r="R30" i="2"/>
  <c r="N78" i="7"/>
  <c r="AD83" i="3"/>
  <c r="AC81"/>
  <c r="AA55" i="2"/>
  <c r="AC57" i="3"/>
  <c r="Z43" i="2"/>
  <c r="Q48" i="7"/>
  <c r="U49" i="2"/>
  <c r="M67" i="7"/>
  <c r="M65"/>
  <c r="R31" i="2"/>
  <c r="R57"/>
  <c r="T83" i="3"/>
  <c r="N77" i="7"/>
  <c r="P78"/>
  <c r="R77"/>
  <c r="AA49" i="2" l="1"/>
  <c r="M77" i="7"/>
  <c r="Q77"/>
  <c r="Z49" i="2"/>
  <c r="Z18"/>
  <c r="Q56" i="7"/>
  <c r="R18" i="2"/>
  <c r="R49"/>
  <c r="M56" i="7"/>
  <c r="Z29" i="2"/>
  <c r="R29"/>
  <c r="AB83" i="3"/>
  <c r="AA29" i="2"/>
  <c r="AB82" i="3"/>
  <c r="M78" i="7"/>
  <c r="R49" i="3" l="1"/>
  <c r="R65"/>
  <c r="R66"/>
  <c r="R68"/>
  <c r="R64"/>
  <c r="P55" i="2" l="1"/>
  <c r="R81" i="3"/>
  <c r="R57"/>
  <c r="P43" i="2"/>
  <c r="P56"/>
  <c r="P30"/>
  <c r="R80" i="3"/>
  <c r="P57" i="2"/>
  <c r="P31"/>
  <c r="I66" i="3"/>
  <c r="G57" i="2" l="1"/>
  <c r="G31"/>
  <c r="H54" i="3"/>
  <c r="X54"/>
  <c r="W54"/>
  <c r="V54"/>
  <c r="U54"/>
  <c r="AE54"/>
  <c r="AA54"/>
  <c r="Y54"/>
  <c r="Z54"/>
  <c r="AD54"/>
  <c r="T54"/>
  <c r="AC54"/>
  <c r="AB54"/>
  <c r="R54"/>
  <c r="H68"/>
  <c r="J64"/>
  <c r="J65"/>
  <c r="J66"/>
  <c r="J49"/>
  <c r="I64"/>
  <c r="P49" i="2"/>
  <c r="M49" i="3"/>
  <c r="M65"/>
  <c r="M66"/>
  <c r="M64"/>
  <c r="I54"/>
  <c r="I49"/>
  <c r="M54"/>
  <c r="M68"/>
  <c r="I65"/>
  <c r="I68"/>
  <c r="P29" i="2"/>
  <c r="Q54" i="3" l="1"/>
  <c r="Q68"/>
  <c r="P54"/>
  <c r="P68"/>
  <c r="Q49"/>
  <c r="Q66"/>
  <c r="Q65"/>
  <c r="Q64"/>
  <c r="O54"/>
  <c r="O68"/>
  <c r="P49"/>
  <c r="P66"/>
  <c r="P65"/>
  <c r="P64"/>
  <c r="L49"/>
  <c r="L65"/>
  <c r="L66"/>
  <c r="L64"/>
  <c r="N49"/>
  <c r="N65"/>
  <c r="N64"/>
  <c r="N66"/>
  <c r="K55" i="2"/>
  <c r="M81" i="3"/>
  <c r="M57"/>
  <c r="G55" i="2"/>
  <c r="I81" i="3"/>
  <c r="I57"/>
  <c r="H57" i="2"/>
  <c r="H31"/>
  <c r="R44" i="3"/>
  <c r="R76"/>
  <c r="R53" i="7"/>
  <c r="R75" s="1"/>
  <c r="AD44" i="3"/>
  <c r="AD76"/>
  <c r="AE76"/>
  <c r="AE44"/>
  <c r="O53" i="7"/>
  <c r="O75" s="1"/>
  <c r="X76" i="3"/>
  <c r="X44"/>
  <c r="L54"/>
  <c r="L68"/>
  <c r="G67" i="7"/>
  <c r="AA44" i="3"/>
  <c r="AA76"/>
  <c r="K54"/>
  <c r="K68"/>
  <c r="G56" i="2"/>
  <c r="G30"/>
  <c r="G29" s="1"/>
  <c r="I80" i="3"/>
  <c r="K56" i="2"/>
  <c r="K30"/>
  <c r="M80" i="3"/>
  <c r="H55" i="2"/>
  <c r="J81" i="3"/>
  <c r="Q53" i="7"/>
  <c r="Q75" s="1"/>
  <c r="AC76" i="3"/>
  <c r="AC44"/>
  <c r="Y44"/>
  <c r="Y76"/>
  <c r="N53" i="7"/>
  <c r="N75" s="1"/>
  <c r="V44" i="3"/>
  <c r="V76"/>
  <c r="O49"/>
  <c r="O66"/>
  <c r="O64"/>
  <c r="O65"/>
  <c r="N54"/>
  <c r="N68"/>
  <c r="J54"/>
  <c r="J68"/>
  <c r="K43" i="2"/>
  <c r="M44" i="3"/>
  <c r="M76"/>
  <c r="H43" i="2"/>
  <c r="J76" i="3"/>
  <c r="M53" i="7"/>
  <c r="M75" s="1"/>
  <c r="T76" i="3"/>
  <c r="T44"/>
  <c r="W76"/>
  <c r="W44"/>
  <c r="H49"/>
  <c r="H65"/>
  <c r="H64"/>
  <c r="H66"/>
  <c r="K49"/>
  <c r="H48" i="7" s="1"/>
  <c r="K65" i="3"/>
  <c r="H64" i="7" s="1"/>
  <c r="K66" i="3"/>
  <c r="H65" i="7" s="1"/>
  <c r="K64" i="3"/>
  <c r="H63" i="7" s="1"/>
  <c r="G43" i="2"/>
  <c r="I76" i="3"/>
  <c r="I44"/>
  <c r="K57" i="2"/>
  <c r="K31"/>
  <c r="H56"/>
  <c r="H30"/>
  <c r="H29" s="1"/>
  <c r="AB44" i="3"/>
  <c r="AB76"/>
  <c r="P53" i="7"/>
  <c r="P75" s="1"/>
  <c r="Z76" i="3"/>
  <c r="Z44"/>
  <c r="U76"/>
  <c r="U44"/>
  <c r="G53" i="7"/>
  <c r="H78" l="1"/>
  <c r="K29" i="2"/>
  <c r="F57"/>
  <c r="F31"/>
  <c r="G65" i="7"/>
  <c r="T78" i="3"/>
  <c r="R39" i="2"/>
  <c r="R25"/>
  <c r="R27"/>
  <c r="R32" s="1"/>
  <c r="H67" i="7"/>
  <c r="Y15" i="2"/>
  <c r="Y14" s="1"/>
  <c r="Y38"/>
  <c r="AA20" i="4"/>
  <c r="AA23"/>
  <c r="P39" i="2"/>
  <c r="P25"/>
  <c r="L55"/>
  <c r="N81" i="3"/>
  <c r="J63" i="7"/>
  <c r="N57" i="3"/>
  <c r="Z23" i="4"/>
  <c r="Z24" s="1"/>
  <c r="X16" i="2"/>
  <c r="X38"/>
  <c r="Z20" i="4"/>
  <c r="X15" i="2"/>
  <c r="X14" s="1"/>
  <c r="P43" i="7"/>
  <c r="Z39" i="2"/>
  <c r="AB78" i="3"/>
  <c r="Z27" i="2"/>
  <c r="Z25"/>
  <c r="G15"/>
  <c r="G14" s="1"/>
  <c r="G38"/>
  <c r="I20" i="4"/>
  <c r="I57" i="2"/>
  <c r="I31"/>
  <c r="H81" i="3"/>
  <c r="F55" i="2"/>
  <c r="H57" i="3"/>
  <c r="G63" i="7"/>
  <c r="H39" i="2"/>
  <c r="H25"/>
  <c r="K39"/>
  <c r="K25"/>
  <c r="H53" i="7"/>
  <c r="M55" i="2"/>
  <c r="O81" i="3"/>
  <c r="O57"/>
  <c r="T27" i="2"/>
  <c r="T32" s="1"/>
  <c r="T25"/>
  <c r="T39"/>
  <c r="V78" i="3"/>
  <c r="W25" i="2"/>
  <c r="W39"/>
  <c r="AA25"/>
  <c r="AA39"/>
  <c r="I67" i="7"/>
  <c r="V38" i="2"/>
  <c r="V15"/>
  <c r="V14" s="1"/>
  <c r="X20" i="4"/>
  <c r="O43" i="7"/>
  <c r="V16" i="2"/>
  <c r="X23" i="4"/>
  <c r="AC38" i="2"/>
  <c r="AE20" i="4"/>
  <c r="AC15" i="2"/>
  <c r="AC14" s="1"/>
  <c r="AE23" i="4"/>
  <c r="AB38" i="2"/>
  <c r="R43" i="7"/>
  <c r="AB15" i="2"/>
  <c r="AB14" s="1"/>
  <c r="AD20" i="4"/>
  <c r="AB16" i="2"/>
  <c r="AD23" i="4"/>
  <c r="R20"/>
  <c r="P15" i="2"/>
  <c r="P14" s="1"/>
  <c r="P38"/>
  <c r="R23" i="4"/>
  <c r="L30" i="2"/>
  <c r="J64" i="7"/>
  <c r="N80" i="3"/>
  <c r="L56" i="2"/>
  <c r="I64" i="7"/>
  <c r="J56" i="2"/>
  <c r="J30"/>
  <c r="L80" i="3"/>
  <c r="N57" i="2"/>
  <c r="N31"/>
  <c r="K65" i="7"/>
  <c r="O43" i="2"/>
  <c r="Q44" i="3"/>
  <c r="Q76"/>
  <c r="K53" i="7"/>
  <c r="H77"/>
  <c r="H83" i="3"/>
  <c r="AB39" i="2"/>
  <c r="AB27"/>
  <c r="AD78" i="3"/>
  <c r="AB25" i="2"/>
  <c r="K49"/>
  <c r="M23" i="4"/>
  <c r="N30" i="2"/>
  <c r="P80" i="3"/>
  <c r="N56" i="2"/>
  <c r="K64" i="7"/>
  <c r="S39" i="2"/>
  <c r="S25"/>
  <c r="I43"/>
  <c r="K76" i="3"/>
  <c r="K44"/>
  <c r="F43" i="2"/>
  <c r="H44" i="3"/>
  <c r="H76"/>
  <c r="G48" i="7"/>
  <c r="G75" s="1"/>
  <c r="R38" i="2"/>
  <c r="M43" i="7"/>
  <c r="T20" i="4"/>
  <c r="R15" i="2"/>
  <c r="R14" s="1"/>
  <c r="R16"/>
  <c r="T23" i="4"/>
  <c r="J53" i="7"/>
  <c r="J48"/>
  <c r="M43" i="2"/>
  <c r="O44" i="3"/>
  <c r="O76"/>
  <c r="Y39" i="2"/>
  <c r="Y25"/>
  <c r="AC39"/>
  <c r="AC25"/>
  <c r="L31"/>
  <c r="J65" i="7"/>
  <c r="L57" i="2"/>
  <c r="I63" i="7"/>
  <c r="J55" i="2"/>
  <c r="L81" i="3"/>
  <c r="L83" s="1"/>
  <c r="L57"/>
  <c r="N55" i="2"/>
  <c r="P81" i="3"/>
  <c r="P57"/>
  <c r="K63" i="7"/>
  <c r="K78" s="1"/>
  <c r="O56" i="2"/>
  <c r="O30"/>
  <c r="Q80" i="3"/>
  <c r="H75" i="7"/>
  <c r="I55" i="2"/>
  <c r="K81" i="3"/>
  <c r="J83" s="1"/>
  <c r="K57"/>
  <c r="U15" i="2"/>
  <c r="U14" s="1"/>
  <c r="U38"/>
  <c r="W20" i="4"/>
  <c r="W23"/>
  <c r="M56" i="2"/>
  <c r="O80" i="3"/>
  <c r="N82" s="1"/>
  <c r="M30" i="2"/>
  <c r="AA15"/>
  <c r="AA14" s="1"/>
  <c r="AC20" i="4"/>
  <c r="AA38" i="2"/>
  <c r="AC23" i="4"/>
  <c r="G49" i="2"/>
  <c r="I23" i="4"/>
  <c r="I65" i="7"/>
  <c r="J57" i="2"/>
  <c r="J31"/>
  <c r="O57"/>
  <c r="O31"/>
  <c r="O29" s="1"/>
  <c r="U20" i="4"/>
  <c r="S15" i="2"/>
  <c r="S14" s="1"/>
  <c r="S38"/>
  <c r="U23" i="4"/>
  <c r="X25" i="2"/>
  <c r="X39"/>
  <c r="Z78" i="3"/>
  <c r="X27" i="2"/>
  <c r="Z38"/>
  <c r="AB20" i="4"/>
  <c r="Z15" i="2"/>
  <c r="Z14" s="1"/>
  <c r="Q43" i="7"/>
  <c r="Z16" i="2"/>
  <c r="AB23" i="4"/>
  <c r="G39" i="2"/>
  <c r="G25"/>
  <c r="I56"/>
  <c r="I30"/>
  <c r="I29" s="1"/>
  <c r="K80" i="3"/>
  <c r="F56" i="2"/>
  <c r="F30"/>
  <c r="F29" s="1"/>
  <c r="H80" i="3"/>
  <c r="G64" i="7"/>
  <c r="G77" s="1"/>
  <c r="U39" i="2"/>
  <c r="U25"/>
  <c r="K15"/>
  <c r="K14" s="1"/>
  <c r="M20" i="4"/>
  <c r="K38" i="2"/>
  <c r="J67" i="7"/>
  <c r="M57" i="2"/>
  <c r="M31"/>
  <c r="V23" i="4"/>
  <c r="V24" s="1"/>
  <c r="V20"/>
  <c r="T38" i="2"/>
  <c r="T16"/>
  <c r="T15"/>
  <c r="T14" s="1"/>
  <c r="N43" i="7"/>
  <c r="Y23" i="4"/>
  <c r="W15" i="2"/>
  <c r="W14" s="1"/>
  <c r="W38"/>
  <c r="Y20" i="4"/>
  <c r="I53" i="7"/>
  <c r="V25" i="2"/>
  <c r="V39"/>
  <c r="X78" i="3"/>
  <c r="V27" i="2"/>
  <c r="V32" s="1"/>
  <c r="L43"/>
  <c r="N76" i="3"/>
  <c r="N44"/>
  <c r="I48" i="7"/>
  <c r="I75" s="1"/>
  <c r="J43" i="2"/>
  <c r="L44" i="3"/>
  <c r="L76"/>
  <c r="L78" s="1"/>
  <c r="N43" i="2"/>
  <c r="P76" i="3"/>
  <c r="P44"/>
  <c r="K48" i="7"/>
  <c r="K75" s="1"/>
  <c r="O55" i="2"/>
  <c r="Q81" i="3"/>
  <c r="Q57"/>
  <c r="K67" i="7"/>
  <c r="J80" i="3"/>
  <c r="J44"/>
  <c r="J57"/>
  <c r="L82"/>
  <c r="H82"/>
  <c r="J75" i="7" l="1"/>
  <c r="N78" i="3"/>
  <c r="L39" i="2"/>
  <c r="L25"/>
  <c r="L27"/>
  <c r="L32" s="1"/>
  <c r="AB21" i="4"/>
  <c r="AB26"/>
  <c r="AB32"/>
  <c r="N49" i="2"/>
  <c r="P23" i="4"/>
  <c r="K56" i="7"/>
  <c r="N18" i="2"/>
  <c r="J49"/>
  <c r="J18"/>
  <c r="H23" i="4"/>
  <c r="F38" i="2"/>
  <c r="F15"/>
  <c r="F14" s="1"/>
  <c r="H20" i="4"/>
  <c r="G43" i="7"/>
  <c r="F16" i="2"/>
  <c r="I39"/>
  <c r="I25"/>
  <c r="O38"/>
  <c r="Q20" i="4"/>
  <c r="O15" i="2"/>
  <c r="O14" s="1"/>
  <c r="F49"/>
  <c r="F18"/>
  <c r="G56" i="7"/>
  <c r="J82" i="3"/>
  <c r="U32" i="4"/>
  <c r="N29" i="2"/>
  <c r="J29"/>
  <c r="N83" i="3"/>
  <c r="H38" i="2"/>
  <c r="H15"/>
  <c r="H14" s="1"/>
  <c r="J20" i="4"/>
  <c r="H43" i="7"/>
  <c r="H16" i="2"/>
  <c r="N25"/>
  <c r="N39"/>
  <c r="N27"/>
  <c r="N32" s="1"/>
  <c r="P78" i="3"/>
  <c r="L23" i="4"/>
  <c r="L20"/>
  <c r="J38" i="2"/>
  <c r="J15"/>
  <c r="I43" i="7"/>
  <c r="L16" i="2"/>
  <c r="L15"/>
  <c r="L14" s="1"/>
  <c r="N20" i="4"/>
  <c r="L38" i="2"/>
  <c r="J43" i="7"/>
  <c r="T24" i="4"/>
  <c r="T27"/>
  <c r="F39" i="2"/>
  <c r="F25"/>
  <c r="F27"/>
  <c r="F32" s="1"/>
  <c r="H78" i="3"/>
  <c r="K20" i="4"/>
  <c r="I38" i="2"/>
  <c r="I15"/>
  <c r="I14" s="1"/>
  <c r="O25"/>
  <c r="O39"/>
  <c r="X21" i="4"/>
  <c r="X26"/>
  <c r="X32"/>
  <c r="Y32"/>
  <c r="AC32"/>
  <c r="I78" i="7"/>
  <c r="P82" i="3"/>
  <c r="I56" i="7"/>
  <c r="L29" i="2"/>
  <c r="AE32" i="4"/>
  <c r="G78" i="7"/>
  <c r="J78"/>
  <c r="P20" i="4"/>
  <c r="N15" i="2"/>
  <c r="N14" s="1"/>
  <c r="N38"/>
  <c r="N16"/>
  <c r="K43" i="7"/>
  <c r="J25" i="2"/>
  <c r="J39"/>
  <c r="J27"/>
  <c r="J32" s="1"/>
  <c r="V27" i="4"/>
  <c r="V26"/>
  <c r="V21"/>
  <c r="V32"/>
  <c r="O20"/>
  <c r="M15" i="2"/>
  <c r="M14" s="1"/>
  <c r="M38"/>
  <c r="AD32" i="4"/>
  <c r="AD21"/>
  <c r="AD26"/>
  <c r="X27"/>
  <c r="X24"/>
  <c r="L49" i="2"/>
  <c r="L18"/>
  <c r="J56" i="7"/>
  <c r="N23" i="4"/>
  <c r="J16" i="2"/>
  <c r="M29"/>
  <c r="I77" i="7"/>
  <c r="J77"/>
  <c r="H27" i="2"/>
  <c r="H32" s="1"/>
  <c r="AA32" i="4"/>
  <c r="H49" i="2"/>
  <c r="J23" i="4"/>
  <c r="H56" i="7"/>
  <c r="H18" i="2"/>
  <c r="O49"/>
  <c r="Q23" i="4"/>
  <c r="AB24"/>
  <c r="AB27"/>
  <c r="I49" i="2"/>
  <c r="K23" i="4"/>
  <c r="M39" i="2"/>
  <c r="M25"/>
  <c r="T32" i="4"/>
  <c r="T21"/>
  <c r="T26"/>
  <c r="AD27"/>
  <c r="AD24"/>
  <c r="M49" i="2"/>
  <c r="O23" i="4"/>
  <c r="Z27"/>
  <c r="Z32"/>
  <c r="Z26"/>
  <c r="Z21"/>
  <c r="W32"/>
  <c r="P83" i="3"/>
  <c r="K77" i="7"/>
  <c r="J78" i="3"/>
  <c r="I32" i="4"/>
  <c r="P32" l="1"/>
  <c r="P26"/>
  <c r="P21"/>
  <c r="AE55"/>
  <c r="AE39"/>
  <c r="AE33"/>
  <c r="AE50"/>
  <c r="AE45"/>
  <c r="AE58"/>
  <c r="AE47"/>
  <c r="AE53"/>
  <c r="AE37"/>
  <c r="AE63"/>
  <c r="AE57"/>
  <c r="AE44"/>
  <c r="AE51"/>
  <c r="AE62"/>
  <c r="AE61" s="1"/>
  <c r="AE54"/>
  <c r="AE41"/>
  <c r="AE60"/>
  <c r="AE46"/>
  <c r="AE40"/>
  <c r="AE43"/>
  <c r="AE59"/>
  <c r="AE52"/>
  <c r="AE42"/>
  <c r="AE69" s="1"/>
  <c r="AE56"/>
  <c r="AC51"/>
  <c r="AC47"/>
  <c r="AC37"/>
  <c r="AC40"/>
  <c r="AC54"/>
  <c r="AC57"/>
  <c r="AC50"/>
  <c r="AC55"/>
  <c r="AC44"/>
  <c r="AC59"/>
  <c r="AC60"/>
  <c r="AC46"/>
  <c r="AC63"/>
  <c r="AC42"/>
  <c r="AC69" s="1"/>
  <c r="AC52"/>
  <c r="AC43"/>
  <c r="AC58"/>
  <c r="AC41"/>
  <c r="AC39"/>
  <c r="AC33"/>
  <c r="AC45"/>
  <c r="AC53"/>
  <c r="AC62"/>
  <c r="AC61" s="1"/>
  <c r="AC56"/>
  <c r="J14" i="2"/>
  <c r="D46" i="5"/>
  <c r="J21" i="4"/>
  <c r="J32"/>
  <c r="J26"/>
  <c r="H32"/>
  <c r="H26"/>
  <c r="H21"/>
  <c r="P24"/>
  <c r="P27"/>
  <c r="AA62"/>
  <c r="AA61" s="1"/>
  <c r="AA53"/>
  <c r="AA45"/>
  <c r="AA54"/>
  <c r="AA55"/>
  <c r="AA58"/>
  <c r="AA46"/>
  <c r="AA47"/>
  <c r="AA37"/>
  <c r="AA33"/>
  <c r="AA39"/>
  <c r="AA57"/>
  <c r="AA50"/>
  <c r="AA44"/>
  <c r="AA40"/>
  <c r="AA42"/>
  <c r="AA69" s="1"/>
  <c r="AA41"/>
  <c r="AA60"/>
  <c r="AA59"/>
  <c r="AA51"/>
  <c r="AA52"/>
  <c r="AA63"/>
  <c r="AA43"/>
  <c r="AA56"/>
  <c r="V46"/>
  <c r="V45"/>
  <c r="V39"/>
  <c r="V53"/>
  <c r="V43"/>
  <c r="V55"/>
  <c r="V56"/>
  <c r="V40"/>
  <c r="V51"/>
  <c r="V33"/>
  <c r="V52"/>
  <c r="V58"/>
  <c r="V59"/>
  <c r="V50"/>
  <c r="V63"/>
  <c r="V42"/>
  <c r="V69" s="1"/>
  <c r="V57"/>
  <c r="V41"/>
  <c r="V44"/>
  <c r="V47"/>
  <c r="V54"/>
  <c r="V62"/>
  <c r="V61" s="1"/>
  <c r="V37"/>
  <c r="V60"/>
  <c r="L24"/>
  <c r="L27"/>
  <c r="U46"/>
  <c r="U59"/>
  <c r="U62"/>
  <c r="U61" s="1"/>
  <c r="U54"/>
  <c r="U43"/>
  <c r="U45"/>
  <c r="U41"/>
  <c r="U53"/>
  <c r="U55"/>
  <c r="U40"/>
  <c r="U51"/>
  <c r="U60"/>
  <c r="U44"/>
  <c r="U47"/>
  <c r="U50"/>
  <c r="U33"/>
  <c r="U57"/>
  <c r="U58"/>
  <c r="U52"/>
  <c r="U42"/>
  <c r="U69" s="1"/>
  <c r="U37"/>
  <c r="U39"/>
  <c r="U63"/>
  <c r="U56"/>
  <c r="H24"/>
  <c r="H27"/>
  <c r="W37"/>
  <c r="W52"/>
  <c r="W55"/>
  <c r="W42"/>
  <c r="W69" s="1"/>
  <c r="W60"/>
  <c r="W59"/>
  <c r="W63"/>
  <c r="W43"/>
  <c r="W39"/>
  <c r="W41"/>
  <c r="W58"/>
  <c r="W33"/>
  <c r="W62"/>
  <c r="W61" s="1"/>
  <c r="W54"/>
  <c r="W44"/>
  <c r="W40"/>
  <c r="W57"/>
  <c r="W46"/>
  <c r="W45"/>
  <c r="W51"/>
  <c r="W53"/>
  <c r="W47"/>
  <c r="W50"/>
  <c r="W56"/>
  <c r="W71" s="1"/>
  <c r="Z62"/>
  <c r="Z61" s="1"/>
  <c r="Z39"/>
  <c r="Z42"/>
  <c r="Z69" s="1"/>
  <c r="Z37"/>
  <c r="Z45"/>
  <c r="Z56"/>
  <c r="Z51"/>
  <c r="Z52"/>
  <c r="Z43"/>
  <c r="Z54"/>
  <c r="Z55"/>
  <c r="Z41"/>
  <c r="Z46"/>
  <c r="Z59"/>
  <c r="Z50"/>
  <c r="Z44"/>
  <c r="Z40"/>
  <c r="Z58"/>
  <c r="Z33"/>
  <c r="Z63"/>
  <c r="Z47"/>
  <c r="Z53"/>
  <c r="Z60"/>
  <c r="Z57"/>
  <c r="T50"/>
  <c r="T52"/>
  <c r="T54"/>
  <c r="T63"/>
  <c r="T43"/>
  <c r="T60"/>
  <c r="T39"/>
  <c r="T47"/>
  <c r="T37"/>
  <c r="T55"/>
  <c r="T40"/>
  <c r="T56"/>
  <c r="T62"/>
  <c r="T61" s="1"/>
  <c r="T33"/>
  <c r="T45"/>
  <c r="T59"/>
  <c r="T41"/>
  <c r="T46"/>
  <c r="T51"/>
  <c r="T53"/>
  <c r="T42"/>
  <c r="T69" s="1"/>
  <c r="T44"/>
  <c r="T57"/>
  <c r="T58"/>
  <c r="Y46"/>
  <c r="Y39"/>
  <c r="Y52"/>
  <c r="Y59"/>
  <c r="Y42"/>
  <c r="Y69" s="1"/>
  <c r="Y53"/>
  <c r="Y58"/>
  <c r="Y44"/>
  <c r="Y37"/>
  <c r="Y45"/>
  <c r="Y43"/>
  <c r="Y47"/>
  <c r="Y60"/>
  <c r="Y40"/>
  <c r="Y51"/>
  <c r="Y62"/>
  <c r="Y61" s="1"/>
  <c r="Y33"/>
  <c r="Y57"/>
  <c r="Y63"/>
  <c r="Y55"/>
  <c r="Y50"/>
  <c r="Y54"/>
  <c r="Y41"/>
  <c r="Y56"/>
  <c r="Y71" s="1"/>
  <c r="N21"/>
  <c r="N32"/>
  <c r="N26"/>
  <c r="L26"/>
  <c r="L32"/>
  <c r="L21"/>
  <c r="AB53"/>
  <c r="AB44"/>
  <c r="AB55"/>
  <c r="AB47"/>
  <c r="AB56"/>
  <c r="AB46"/>
  <c r="AB43"/>
  <c r="AB54"/>
  <c r="AB52"/>
  <c r="AB39"/>
  <c r="AB58"/>
  <c r="AB60"/>
  <c r="AB42"/>
  <c r="AB69" s="1"/>
  <c r="AB59"/>
  <c r="AB37"/>
  <c r="AB45"/>
  <c r="AB63"/>
  <c r="AB57"/>
  <c r="AB33"/>
  <c r="AB62"/>
  <c r="AB61" s="1"/>
  <c r="AB50"/>
  <c r="AB51"/>
  <c r="AB40"/>
  <c r="AB41"/>
  <c r="O32"/>
  <c r="K32"/>
  <c r="I41"/>
  <c r="I46"/>
  <c r="I33"/>
  <c r="I63"/>
  <c r="I37"/>
  <c r="I43"/>
  <c r="I60"/>
  <c r="I39"/>
  <c r="I42"/>
  <c r="I51"/>
  <c r="I40"/>
  <c r="I58"/>
  <c r="I56"/>
  <c r="I45"/>
  <c r="I55"/>
  <c r="I44"/>
  <c r="I47"/>
  <c r="I50"/>
  <c r="I57"/>
  <c r="I59"/>
  <c r="I54"/>
  <c r="I53"/>
  <c r="I62"/>
  <c r="I52"/>
  <c r="J24"/>
  <c r="J27"/>
  <c r="N24"/>
  <c r="N27"/>
  <c r="AD44"/>
  <c r="AD62"/>
  <c r="AD61" s="1"/>
  <c r="AD55"/>
  <c r="AD43"/>
  <c r="AD57"/>
  <c r="AD50"/>
  <c r="AD51"/>
  <c r="AD39"/>
  <c r="AD52"/>
  <c r="AD41"/>
  <c r="AD58"/>
  <c r="AD53"/>
  <c r="AD33"/>
  <c r="AD59"/>
  <c r="AD54"/>
  <c r="AD37"/>
  <c r="AD60"/>
  <c r="AD63"/>
  <c r="AD42"/>
  <c r="AD69" s="1"/>
  <c r="AD40"/>
  <c r="AD47"/>
  <c r="AD45"/>
  <c r="AD56"/>
  <c r="AD71" s="1"/>
  <c r="AD46"/>
  <c r="X47"/>
  <c r="X52"/>
  <c r="X53"/>
  <c r="X43"/>
  <c r="X60"/>
  <c r="X57"/>
  <c r="X45"/>
  <c r="X63"/>
  <c r="X44"/>
  <c r="X59"/>
  <c r="X41"/>
  <c r="X54"/>
  <c r="X40"/>
  <c r="X37"/>
  <c r="X39"/>
  <c r="X33"/>
  <c r="X56"/>
  <c r="X46"/>
  <c r="X42"/>
  <c r="X69" s="1"/>
  <c r="X50"/>
  <c r="X62"/>
  <c r="X61" s="1"/>
  <c r="X55"/>
  <c r="X51"/>
  <c r="X58"/>
  <c r="M32"/>
  <c r="Q32"/>
  <c r="V71" l="1"/>
  <c r="AE71"/>
  <c r="U71"/>
  <c r="AD35"/>
  <c r="AD68"/>
  <c r="K46"/>
  <c r="K57"/>
  <c r="K37"/>
  <c r="K51"/>
  <c r="K59"/>
  <c r="K53"/>
  <c r="K41"/>
  <c r="K56"/>
  <c r="K44"/>
  <c r="K40"/>
  <c r="K63"/>
  <c r="K50"/>
  <c r="K70" s="1"/>
  <c r="K52"/>
  <c r="K58"/>
  <c r="K60"/>
  <c r="K54"/>
  <c r="K39"/>
  <c r="K62"/>
  <c r="K33"/>
  <c r="K45"/>
  <c r="K42"/>
  <c r="K55"/>
  <c r="K43"/>
  <c r="K47"/>
  <c r="Z35"/>
  <c r="Z68"/>
  <c r="V49"/>
  <c r="V70"/>
  <c r="H41"/>
  <c r="H57"/>
  <c r="H53"/>
  <c r="H52"/>
  <c r="H33"/>
  <c r="H40"/>
  <c r="H47"/>
  <c r="H46"/>
  <c r="H56"/>
  <c r="H62"/>
  <c r="H42"/>
  <c r="H37"/>
  <c r="H43"/>
  <c r="H60"/>
  <c r="H55"/>
  <c r="H63"/>
  <c r="H39"/>
  <c r="H51"/>
  <c r="H58"/>
  <c r="H44"/>
  <c r="H50"/>
  <c r="H54"/>
  <c r="H59"/>
  <c r="H45"/>
  <c r="P60"/>
  <c r="P46"/>
  <c r="P43"/>
  <c r="P39"/>
  <c r="P33"/>
  <c r="P47"/>
  <c r="P41"/>
  <c r="P54"/>
  <c r="P42"/>
  <c r="P59"/>
  <c r="P52"/>
  <c r="P44"/>
  <c r="P56"/>
  <c r="P57"/>
  <c r="P53"/>
  <c r="P63"/>
  <c r="P62"/>
  <c r="P45"/>
  <c r="P40"/>
  <c r="P58"/>
  <c r="P50"/>
  <c r="P37"/>
  <c r="P55"/>
  <c r="P51"/>
  <c r="T71"/>
  <c r="M41"/>
  <c r="M60"/>
  <c r="M56"/>
  <c r="M33"/>
  <c r="M39"/>
  <c r="M63"/>
  <c r="M59"/>
  <c r="M52"/>
  <c r="M44"/>
  <c r="M50"/>
  <c r="M37"/>
  <c r="M47"/>
  <c r="M54"/>
  <c r="M58"/>
  <c r="M62"/>
  <c r="M51"/>
  <c r="M42"/>
  <c r="M43"/>
  <c r="M57"/>
  <c r="M46"/>
  <c r="M55"/>
  <c r="M40"/>
  <c r="M45"/>
  <c r="M53"/>
  <c r="I68"/>
  <c r="I35"/>
  <c r="AB68"/>
  <c r="AB35"/>
  <c r="L41"/>
  <c r="L46"/>
  <c r="L63"/>
  <c r="L59"/>
  <c r="L37"/>
  <c r="L50"/>
  <c r="L39"/>
  <c r="L58"/>
  <c r="L45"/>
  <c r="L33"/>
  <c r="L43"/>
  <c r="L40"/>
  <c r="L52"/>
  <c r="L56"/>
  <c r="L57"/>
  <c r="L55"/>
  <c r="L54"/>
  <c r="L44"/>
  <c r="L51"/>
  <c r="L60"/>
  <c r="L42"/>
  <c r="L53"/>
  <c r="L62"/>
  <c r="L61" s="1"/>
  <c r="L47"/>
  <c r="Y70"/>
  <c r="Y49"/>
  <c r="Y68"/>
  <c r="Y35"/>
  <c r="T35"/>
  <c r="T68"/>
  <c r="T70"/>
  <c r="T49"/>
  <c r="W35"/>
  <c r="W68"/>
  <c r="U68"/>
  <c r="U35"/>
  <c r="V35"/>
  <c r="V68"/>
  <c r="AC49"/>
  <c r="AC70"/>
  <c r="AC35"/>
  <c r="AC68"/>
  <c r="X71"/>
  <c r="I71"/>
  <c r="I69"/>
  <c r="X49"/>
  <c r="X70"/>
  <c r="Q37"/>
  <c r="Q43"/>
  <c r="Q45"/>
  <c r="Q40"/>
  <c r="Q42"/>
  <c r="Q53"/>
  <c r="Q55"/>
  <c r="Q39"/>
  <c r="Q63"/>
  <c r="Q59"/>
  <c r="Q33"/>
  <c r="Q51"/>
  <c r="Q54"/>
  <c r="Q50"/>
  <c r="Q56"/>
  <c r="Q60"/>
  <c r="Q58"/>
  <c r="Q57"/>
  <c r="Q52"/>
  <c r="Q44"/>
  <c r="Q62"/>
  <c r="Q61" s="1"/>
  <c r="Q47"/>
  <c r="Q46"/>
  <c r="Q41"/>
  <c r="X35"/>
  <c r="X68"/>
  <c r="AD49"/>
  <c r="AD70"/>
  <c r="N41"/>
  <c r="N58"/>
  <c r="N55"/>
  <c r="N45"/>
  <c r="N33"/>
  <c r="N59"/>
  <c r="N60"/>
  <c r="N51"/>
  <c r="N53"/>
  <c r="N39"/>
  <c r="N40"/>
  <c r="N44"/>
  <c r="N57"/>
  <c r="N37"/>
  <c r="N47"/>
  <c r="N63"/>
  <c r="N43"/>
  <c r="N50"/>
  <c r="N62"/>
  <c r="N54"/>
  <c r="N52"/>
  <c r="N42"/>
  <c r="N46"/>
  <c r="N56"/>
  <c r="N71" s="1"/>
  <c r="J52"/>
  <c r="J47"/>
  <c r="J63"/>
  <c r="J42"/>
  <c r="J51"/>
  <c r="J41"/>
  <c r="J46"/>
  <c r="J62"/>
  <c r="J61" s="1"/>
  <c r="J37"/>
  <c r="J39"/>
  <c r="J45"/>
  <c r="J58"/>
  <c r="J54"/>
  <c r="J53"/>
  <c r="J33"/>
  <c r="J50"/>
  <c r="J70" s="1"/>
  <c r="J57"/>
  <c r="J60"/>
  <c r="J40"/>
  <c r="J44"/>
  <c r="J43"/>
  <c r="J59"/>
  <c r="J55"/>
  <c r="J56"/>
  <c r="J71" s="1"/>
  <c r="AE70"/>
  <c r="AE49"/>
  <c r="I70"/>
  <c r="Z71"/>
  <c r="AA71"/>
  <c r="AC71"/>
  <c r="O60"/>
  <c r="O57"/>
  <c r="O41"/>
  <c r="O58"/>
  <c r="O46"/>
  <c r="O56"/>
  <c r="O59"/>
  <c r="O54"/>
  <c r="O47"/>
  <c r="O39"/>
  <c r="O33"/>
  <c r="O52"/>
  <c r="O40"/>
  <c r="O42"/>
  <c r="O69" s="1"/>
  <c r="O43"/>
  <c r="O55"/>
  <c r="O51"/>
  <c r="O53"/>
  <c r="O63"/>
  <c r="O44"/>
  <c r="O62"/>
  <c r="O45"/>
  <c r="O37"/>
  <c r="O50"/>
  <c r="AB70"/>
  <c r="AB49"/>
  <c r="Z49"/>
  <c r="Z70"/>
  <c r="W70"/>
  <c r="W49"/>
  <c r="U49"/>
  <c r="U70"/>
  <c r="AA70"/>
  <c r="AA49"/>
  <c r="AA68"/>
  <c r="AA35"/>
  <c r="AE35"/>
  <c r="AE68"/>
  <c r="I61"/>
  <c r="I49" s="1"/>
  <c r="AB71"/>
  <c r="L68" l="1"/>
  <c r="L35"/>
  <c r="P35"/>
  <c r="P68"/>
  <c r="H61"/>
  <c r="H49" s="1"/>
  <c r="K68"/>
  <c r="K35"/>
  <c r="J49"/>
  <c r="O61"/>
  <c r="O49" s="1"/>
  <c r="N61"/>
  <c r="N49" s="1"/>
  <c r="Q71"/>
  <c r="L69"/>
  <c r="M69"/>
  <c r="L49"/>
  <c r="L70"/>
  <c r="H69"/>
  <c r="L71"/>
  <c r="M70"/>
  <c r="K71"/>
  <c r="S54" i="3"/>
  <c r="S68"/>
  <c r="J68" i="4"/>
  <c r="J35"/>
  <c r="Q68"/>
  <c r="Q35"/>
  <c r="M68"/>
  <c r="M35"/>
  <c r="H68"/>
  <c r="H35"/>
  <c r="J69"/>
  <c r="Q69"/>
  <c r="M61"/>
  <c r="M49" s="1"/>
  <c r="M71"/>
  <c r="K69"/>
  <c r="O35"/>
  <c r="O68"/>
  <c r="N35"/>
  <c r="N68"/>
  <c r="Q49"/>
  <c r="Q70"/>
  <c r="P70"/>
  <c r="P49"/>
  <c r="H70"/>
  <c r="O71"/>
  <c r="O70"/>
  <c r="N69"/>
  <c r="N70"/>
  <c r="P61"/>
  <c r="P71"/>
  <c r="P69"/>
  <c r="H71"/>
  <c r="K61"/>
  <c r="K49" s="1"/>
  <c r="S49" i="3" l="1"/>
  <c r="S64"/>
  <c r="S65"/>
  <c r="S66"/>
  <c r="L53" i="7"/>
  <c r="F53" s="1"/>
  <c r="G54" i="3"/>
  <c r="L67" i="7"/>
  <c r="F67" s="1"/>
  <c r="G68" i="3"/>
  <c r="Q57" i="2" l="1"/>
  <c r="Q31"/>
  <c r="L65" i="7"/>
  <c r="F65" s="1"/>
  <c r="G66" i="3"/>
  <c r="Q43" i="2"/>
  <c r="S44" i="3"/>
  <c r="S76"/>
  <c r="L48" i="7"/>
  <c r="G49" i="3"/>
  <c r="Q55" i="2"/>
  <c r="S81" i="3"/>
  <c r="S57"/>
  <c r="L63" i="7"/>
  <c r="G64" i="3"/>
  <c r="Q56" i="2"/>
  <c r="Q30"/>
  <c r="S80" i="3"/>
  <c r="L64" i="7"/>
  <c r="G65" i="3"/>
  <c r="F64" i="7" l="1"/>
  <c r="L77"/>
  <c r="F77" s="1"/>
  <c r="Q49" i="2"/>
  <c r="S23" i="4"/>
  <c r="P18" i="2"/>
  <c r="L56" i="7"/>
  <c r="F56" s="1"/>
  <c r="G57" i="3"/>
  <c r="F48" i="7"/>
  <c r="L75"/>
  <c r="F75" s="1"/>
  <c r="Q29" i="2"/>
  <c r="R83" i="3"/>
  <c r="G81"/>
  <c r="S20" i="4"/>
  <c r="Q15" i="2"/>
  <c r="Q14" s="1"/>
  <c r="Q38"/>
  <c r="P16"/>
  <c r="L43" i="7"/>
  <c r="F43" s="1"/>
  <c r="G44" i="3"/>
  <c r="G80"/>
  <c r="R82"/>
  <c r="G82" s="1"/>
  <c r="F63" i="7"/>
  <c r="L78"/>
  <c r="F78" s="1"/>
  <c r="Q25" i="2"/>
  <c r="Q39"/>
  <c r="P27"/>
  <c r="P32" s="1"/>
  <c r="G76" i="3"/>
  <c r="S32" i="4" l="1"/>
  <c r="R32"/>
  <c r="R21"/>
  <c r="R26"/>
  <c r="G26" s="1"/>
  <c r="R24"/>
  <c r="R27"/>
  <c r="G27" s="1"/>
  <c r="G23"/>
  <c r="S57" l="1"/>
  <c r="S41"/>
  <c r="S55"/>
  <c r="S33"/>
  <c r="S50"/>
  <c r="S63"/>
  <c r="S37"/>
  <c r="S58"/>
  <c r="S51"/>
  <c r="S42"/>
  <c r="S39"/>
  <c r="S60"/>
  <c r="S54"/>
  <c r="S44"/>
  <c r="S59"/>
  <c r="S52"/>
  <c r="S43"/>
  <c r="S53"/>
  <c r="S62"/>
  <c r="S40"/>
  <c r="S56"/>
  <c r="S45"/>
  <c r="S47"/>
  <c r="S46"/>
  <c r="R47"/>
  <c r="R40"/>
  <c r="G40" s="1"/>
  <c r="R44"/>
  <c r="R45"/>
  <c r="R58"/>
  <c r="G58" s="1"/>
  <c r="R60"/>
  <c r="G60" s="1"/>
  <c r="R63"/>
  <c r="R51"/>
  <c r="R50"/>
  <c r="R42"/>
  <c r="R53"/>
  <c r="R57"/>
  <c r="G57" s="1"/>
  <c r="R55"/>
  <c r="R62"/>
  <c r="R43"/>
  <c r="G43" s="1"/>
  <c r="R39"/>
  <c r="G39" s="1"/>
  <c r="R59"/>
  <c r="R56"/>
  <c r="R46"/>
  <c r="G46" s="1"/>
  <c r="R52"/>
  <c r="G52" s="1"/>
  <c r="R37"/>
  <c r="R54"/>
  <c r="G54" s="1"/>
  <c r="R33"/>
  <c r="G33" s="1"/>
  <c r="R41"/>
  <c r="G32"/>
  <c r="G59" l="1"/>
  <c r="G55"/>
  <c r="G47"/>
  <c r="G56"/>
  <c r="R71"/>
  <c r="R69"/>
  <c r="G42"/>
  <c r="R68"/>
  <c r="R35"/>
  <c r="G37"/>
  <c r="R70"/>
  <c r="G50"/>
  <c r="S70"/>
  <c r="S71"/>
  <c r="S68"/>
  <c r="S35"/>
  <c r="S69"/>
  <c r="G53"/>
  <c r="G63"/>
  <c r="G44"/>
  <c r="S61"/>
  <c r="S49" s="1"/>
  <c r="R61"/>
  <c r="G61" s="1"/>
  <c r="G62"/>
  <c r="G41"/>
  <c r="G51"/>
  <c r="G45"/>
  <c r="G35" l="1"/>
  <c r="G71"/>
  <c r="R49"/>
  <c r="G49" s="1"/>
  <c r="G68"/>
  <c r="G69"/>
  <c r="G70"/>
</calcChain>
</file>

<file path=xl/sharedStrings.xml><?xml version="1.0" encoding="utf-8"?>
<sst xmlns="http://schemas.openxmlformats.org/spreadsheetml/2006/main" count="976" uniqueCount="189">
  <si>
    <t>RUBY</t>
  </si>
  <si>
    <t>GREEK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</si>
  <si>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</si>
  <si>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</si>
  <si>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</si>
  <si>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</si>
  <si>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</si>
  <si>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</si>
  <si>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</si>
  <si>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</si>
  <si>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</si>
  <si>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</si>
  <si>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</si>
  <si>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</si>
  <si>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NFI </t>
  </si>
  <si>
    <t>HNI</t>
  </si>
  <si>
    <t>NFI</t>
  </si>
  <si>
    <t>PLANT SENTUL (ALL)</t>
  </si>
  <si>
    <t>PRODUCT TONAGE REALIZATION</t>
  </si>
  <si>
    <t>R U B Y</t>
  </si>
  <si>
    <t>G R E E K</t>
  </si>
  <si>
    <t xml:space="preserve">HNI </t>
  </si>
  <si>
    <t>ENERGY PER TONAGE CONS.</t>
  </si>
  <si>
    <t>P R O D U C T I O N  D A Y S !</t>
  </si>
  <si>
    <t>Planned</t>
  </si>
  <si>
    <t>Real</t>
  </si>
  <si>
    <t>E N E R G Y  -  C O N S U M P T I O N !</t>
  </si>
  <si>
    <t>C O S T !</t>
  </si>
  <si>
    <t>% planning inaccurate</t>
  </si>
  <si>
    <t>% planning inaccurate - NFI</t>
  </si>
  <si>
    <t>% planning inaccurate - HNI</t>
  </si>
  <si>
    <t>Planned - NFI</t>
  </si>
  <si>
    <t>Planned - HNI</t>
  </si>
  <si>
    <t>Mei</t>
  </si>
  <si>
    <t>Agu</t>
  </si>
  <si>
    <t>Okt</t>
  </si>
  <si>
    <t>Des</t>
  </si>
  <si>
    <t>Month</t>
  </si>
  <si>
    <t>YTD</t>
  </si>
  <si>
    <t>Total</t>
  </si>
  <si>
    <t>Unit</t>
  </si>
  <si>
    <r>
      <t xml:space="preserve">ELECTRIC CONSUMPTION </t>
    </r>
    <r>
      <rPr>
        <b/>
        <sz val="11"/>
        <color theme="1"/>
        <rFont val="Browallia New"/>
        <family val="2"/>
      </rPr>
      <t>(REALIZATION)</t>
    </r>
  </si>
  <si>
    <t>PRODUKSI</t>
  </si>
  <si>
    <t>LAB</t>
  </si>
  <si>
    <t>LPGP</t>
  </si>
  <si>
    <t>AC</t>
  </si>
  <si>
    <t>RC</t>
  </si>
  <si>
    <t>OFFICE-RD</t>
  </si>
  <si>
    <t>HK (FUTURE)</t>
  </si>
  <si>
    <t>AC GUDANG</t>
  </si>
  <si>
    <t>UTILITY</t>
  </si>
  <si>
    <t>PLANT PLN</t>
  </si>
  <si>
    <t>PLANT GENSET</t>
  </si>
  <si>
    <t>PLANT UPS</t>
  </si>
  <si>
    <t xml:space="preserve">PLANT PRODUKSI </t>
  </si>
  <si>
    <t>NFI LAB</t>
  </si>
  <si>
    <t>HNI PROCESSING (RUBY)</t>
  </si>
  <si>
    <t>HNI FILLPACK (RUBY)</t>
  </si>
  <si>
    <t>HNI EXIST</t>
  </si>
  <si>
    <t>HNI PRODUKSI (GREEK)</t>
  </si>
  <si>
    <t>PLANT WTP &amp; WWTP</t>
  </si>
  <si>
    <t>PLANT DEEPWELL</t>
  </si>
  <si>
    <t>PLANT FIRE HYDRANT</t>
  </si>
  <si>
    <t>PLANT WWTP 2</t>
  </si>
  <si>
    <t>NFI RC</t>
  </si>
  <si>
    <t>HNI RC</t>
  </si>
  <si>
    <t>PLANT UTILITY 1</t>
  </si>
  <si>
    <t>PLANT AC</t>
  </si>
  <si>
    <t>HNI AC</t>
  </si>
  <si>
    <t>PLANT LAMPU &amp; POWER</t>
  </si>
  <si>
    <t>PLN</t>
  </si>
  <si>
    <t>UPS</t>
  </si>
  <si>
    <t>*</t>
  </si>
  <si>
    <t>REALISASI HARI KERJA</t>
  </si>
  <si>
    <t>Januari</t>
  </si>
  <si>
    <t>FRC</t>
  </si>
  <si>
    <t>Ruby</t>
  </si>
  <si>
    <t>Februari</t>
  </si>
  <si>
    <t>Maret</t>
  </si>
  <si>
    <t>April</t>
  </si>
  <si>
    <t>Juni</t>
  </si>
  <si>
    <t>Juli</t>
  </si>
  <si>
    <t>Agustus</t>
  </si>
  <si>
    <t>September</t>
  </si>
  <si>
    <t>Desember</t>
  </si>
  <si>
    <t>Hari Kerja</t>
  </si>
  <si>
    <t>Hari dalam Bulan</t>
  </si>
  <si>
    <t>Hari Off</t>
  </si>
  <si>
    <t>ELECTRICITY CONSUMPTION REPORT SUMMARY :</t>
  </si>
  <si>
    <t>Greek</t>
  </si>
  <si>
    <t xml:space="preserve">  </t>
  </si>
  <si>
    <t xml:space="preserve">   </t>
  </si>
  <si>
    <t>Hari Kerja  Day 1-15</t>
  </si>
  <si>
    <t>Hari Kerja  Day 16-31</t>
  </si>
  <si>
    <t xml:space="preserve"> </t>
  </si>
  <si>
    <t>TAGIHAN PLN</t>
  </si>
  <si>
    <t>T A R I F F</t>
  </si>
  <si>
    <t>Harga LWBP</t>
  </si>
  <si>
    <t>Harga WBP</t>
  </si>
  <si>
    <t>WTP &amp; WWTP</t>
  </si>
  <si>
    <t>PLN LWBP</t>
  </si>
  <si>
    <t>PLN WBP</t>
  </si>
  <si>
    <t>% LWBP</t>
  </si>
  <si>
    <t>% WBP</t>
  </si>
  <si>
    <t xml:space="preserve">Agustus   </t>
  </si>
  <si>
    <t>PRODUKSI + UPS</t>
  </si>
  <si>
    <t xml:space="preserve">PRODUKSI </t>
  </si>
  <si>
    <t>NFI Realisasi total Prod.</t>
  </si>
  <si>
    <t>NFI W/O FIX COST</t>
  </si>
  <si>
    <t>MWh</t>
  </si>
  <si>
    <t>TAGIHAN NFI FINAL</t>
  </si>
  <si>
    <t>TAGIHAN HNI FINAL</t>
  </si>
  <si>
    <t>Rata-Rata Pemakaian Energi</t>
  </si>
  <si>
    <t>Listrik</t>
  </si>
  <si>
    <t>Oktober</t>
  </si>
  <si>
    <t>ENERGY PER WORK DAYS</t>
  </si>
  <si>
    <t>Average</t>
  </si>
  <si>
    <t xml:space="preserve">     </t>
  </si>
  <si>
    <t>November</t>
  </si>
  <si>
    <t>PLANT BOILER</t>
  </si>
  <si>
    <t>PLANT CHILLER  A</t>
  </si>
  <si>
    <t>PLANT CHILLER  B</t>
  </si>
  <si>
    <t>PLANT COMPRESSOR</t>
  </si>
  <si>
    <r>
      <t xml:space="preserve">2018 </t>
    </r>
    <r>
      <rPr>
        <sz val="9"/>
        <color theme="1"/>
        <rFont val="Calibri"/>
        <family val="2"/>
        <scheme val="minor"/>
      </rPr>
      <t>(total)</t>
    </r>
  </si>
  <si>
    <t>PLANT COOLING TOWER</t>
  </si>
  <si>
    <t>NFI TOTAL</t>
  </si>
  <si>
    <t xml:space="preserve">HNI TOTAL </t>
  </si>
  <si>
    <t>HNI VAR. LOAD</t>
  </si>
  <si>
    <t>NFI VAR. LOAD</t>
  </si>
  <si>
    <t>NFI FIX LOAD</t>
  </si>
  <si>
    <t>HNI FIX LOAD</t>
  </si>
  <si>
    <t>NFI (Fixed Load)</t>
  </si>
  <si>
    <t>NFI (Variable Load)</t>
  </si>
  <si>
    <t>HNI (Fixed Load)</t>
  </si>
  <si>
    <t>HNI (Variable Load)</t>
  </si>
  <si>
    <t>Fixed Workdays</t>
  </si>
  <si>
    <t>NFI (Fixed Load)/Month</t>
  </si>
  <si>
    <t>NFI (Variable Load)/Month</t>
  </si>
  <si>
    <t>NFI/MONTH</t>
  </si>
  <si>
    <t>HNI/MONTH</t>
  </si>
  <si>
    <t>BAKERY</t>
  </si>
  <si>
    <t>UPS CHARGING</t>
  </si>
  <si>
    <t>DEEPWELL</t>
  </si>
  <si>
    <t>FIRE HYDRANT</t>
  </si>
  <si>
    <t>UPS PRODUKSI</t>
  </si>
  <si>
    <t>UPS RUBY</t>
  </si>
  <si>
    <t>UNIT</t>
  </si>
  <si>
    <t>kWh/ton</t>
  </si>
  <si>
    <t xml:space="preserve">              </t>
  </si>
  <si>
    <t>Ruby + Retort</t>
  </si>
  <si>
    <t>TFTC</t>
  </si>
  <si>
    <r>
      <t xml:space="preserve">RUN HOUR </t>
    </r>
    <r>
      <rPr>
        <b/>
        <sz val="11"/>
        <color theme="1"/>
        <rFont val="Browallia New"/>
        <family val="2"/>
      </rPr>
      <t>(REALIZATION)</t>
    </r>
  </si>
  <si>
    <t>hour</t>
  </si>
  <si>
    <t>Boiler A</t>
  </si>
  <si>
    <t>Boiler B</t>
  </si>
  <si>
    <t>Compressor 1  (Ingersoll Rand)</t>
  </si>
  <si>
    <t>Compressor 2 (Hitachi)</t>
  </si>
  <si>
    <t>Compressor 3 (Hitachi)</t>
  </si>
  <si>
    <t>Chiller A Compressor #1</t>
  </si>
  <si>
    <t>Chiller A Compressor #2</t>
  </si>
  <si>
    <t>Chiller B Compressor #1</t>
  </si>
  <si>
    <t>Chiller B Compressor #2</t>
  </si>
  <si>
    <t>Chiller Circulation Pump #1</t>
  </si>
  <si>
    <t>Chiller Circulation Pump #2</t>
  </si>
  <si>
    <t>Chiller Circulation Pump #3</t>
  </si>
  <si>
    <t>Cooling Tower Transfer Pump #1</t>
  </si>
  <si>
    <t>Cooling Tower Transfer Pump #2</t>
  </si>
  <si>
    <r>
      <t xml:space="preserve">2019 </t>
    </r>
    <r>
      <rPr>
        <sz val="9"/>
        <color theme="1"/>
        <rFont val="Calibri"/>
        <family val="2"/>
        <scheme val="minor"/>
      </rPr>
      <t>(total)</t>
    </r>
  </si>
  <si>
    <t>R U B Y + R E T O R T</t>
  </si>
  <si>
    <t>NFI VAR. LOAD (MONTHLY)</t>
  </si>
  <si>
    <t>NFI FIX LOAD (MONTHLY)</t>
  </si>
  <si>
    <t>HNI VAR. LOAD (MONTHLY)</t>
  </si>
  <si>
    <t>HNI FIX LOAD (MONTHLY)</t>
  </si>
  <si>
    <t>NFI FIX LOAD BASELINE</t>
  </si>
  <si>
    <t>No.</t>
  </si>
  <si>
    <t>CLASS</t>
  </si>
  <si>
    <t>NFI PRODUKSI</t>
  </si>
  <si>
    <t>LPGP &amp; AC</t>
  </si>
  <si>
    <t>WATER TREATMENT</t>
  </si>
  <si>
    <t>MONTHLY</t>
  </si>
  <si>
    <t>QUARTER</t>
  </si>
  <si>
    <t>Q1</t>
  </si>
  <si>
    <t>Q2</t>
  </si>
  <si>
    <t>Q3</t>
  </si>
  <si>
    <t>Q4</t>
  </si>
  <si>
    <t>SEMESTER</t>
  </si>
  <si>
    <t>S1</t>
  </si>
  <si>
    <t>S2</t>
  </si>
  <si>
    <t>-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</si>
</sst>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00_);_(* \(#,##0.000\);_(* &quot;-&quot;??_);_(@_)"/>
    <numFmt numFmtId="167" formatCode="0.0"/>
    <numFmt numFmtId="168" formatCode="_([$Rp-421]* #,##0_);_([$Rp-421]* \(#,##0\);_([$Rp-421]* &quot;-&quot;_);_(@_)"/>
    <numFmt numFmtId="169" formatCode="_-* #,##0.000_-;\-* #,##0.000_-;_-* &quot;-&quot;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Browallia New"/>
      <family val="2"/>
    </font>
    <font>
      <i/>
      <sz val="9"/>
      <color theme="1"/>
      <name val="Calibri"/>
      <family val="2"/>
      <scheme val="minor"/>
    </font>
    <font>
      <sz val="10"/>
      <color theme="5" tint="-0.499984740745262"/>
      <name val="Trebuchet MS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0" xfId="0" applyBorder="1"/>
    <xf numFmtId="0" fontId="3" fillId="0" borderId="0" xfId="1" applyFont="1" applyAlignment="1">
      <alignment horizontal="left"/>
    </xf>
    <xf numFmtId="0" fontId="0" fillId="2" borderId="22" xfId="1" applyFont="1" applyFill="1" applyBorder="1" applyAlignment="1">
      <alignment horizontal="left"/>
    </xf>
    <xf numFmtId="0" fontId="0" fillId="2" borderId="24" xfId="1" applyFont="1" applyFill="1" applyBorder="1"/>
    <xf numFmtId="0" fontId="0" fillId="3" borderId="24" xfId="1" applyFont="1" applyFill="1" applyBorder="1" applyAlignment="1">
      <alignment horizontal="left" indent="3"/>
    </xf>
    <xf numFmtId="0" fontId="0" fillId="2" borderId="1" xfId="1" applyFont="1" applyFill="1" applyBorder="1" applyAlignment="1">
      <alignment horizontal="left"/>
    </xf>
    <xf numFmtId="0" fontId="0" fillId="2" borderId="1" xfId="1" applyFont="1" applyFill="1" applyBorder="1"/>
    <xf numFmtId="0" fontId="0" fillId="3" borderId="1" xfId="1" applyFont="1" applyFill="1" applyBorder="1"/>
    <xf numFmtId="0" fontId="0" fillId="3" borderId="1" xfId="1" applyFont="1" applyFill="1" applyBorder="1" applyAlignment="1">
      <alignment horizontal="left" indent="3"/>
    </xf>
    <xf numFmtId="0" fontId="0" fillId="3" borderId="24" xfId="1" applyFont="1" applyFill="1" applyBorder="1"/>
    <xf numFmtId="0" fontId="7" fillId="2" borderId="22" xfId="1" applyFont="1" applyFill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2" borderId="24" xfId="1" applyFont="1" applyFill="1" applyBorder="1" applyAlignment="1">
      <alignment horizontal="left" vertical="center" wrapText="1"/>
    </xf>
    <xf numFmtId="0" fontId="7" fillId="3" borderId="24" xfId="1" applyFont="1" applyFill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3" fillId="0" borderId="0" xfId="0" applyFont="1"/>
    <xf numFmtId="0" fontId="7" fillId="0" borderId="19" xfId="1" applyFont="1" applyBorder="1" applyAlignment="1">
      <alignment vertical="center"/>
    </xf>
    <xf numFmtId="0" fontId="7" fillId="2" borderId="30" xfId="1" applyFont="1" applyFill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2" borderId="8" xfId="1" applyFont="1" applyFill="1" applyBorder="1" applyAlignment="1">
      <alignment horizontal="left" vertical="center" wrapText="1"/>
    </xf>
    <xf numFmtId="0" fontId="0" fillId="2" borderId="27" xfId="1" applyFont="1" applyFill="1" applyBorder="1" applyAlignment="1">
      <alignment horizontal="left"/>
    </xf>
    <xf numFmtId="0" fontId="0" fillId="2" borderId="28" xfId="1" applyFont="1" applyFill="1" applyBorder="1"/>
    <xf numFmtId="0" fontId="0" fillId="3" borderId="28" xfId="1" applyFont="1" applyFill="1" applyBorder="1" applyAlignment="1">
      <alignment horizontal="left" indent="3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8" xfId="1" applyFont="1" applyFill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2" xfId="0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5" borderId="1" xfId="0" applyFill="1" applyBorder="1"/>
    <xf numFmtId="1" fontId="0" fillId="0" borderId="26" xfId="0" applyNumberFormat="1" applyBorder="1"/>
    <xf numFmtId="165" fontId="0" fillId="0" borderId="1" xfId="5" applyNumberFormat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/>
    <xf numFmtId="43" fontId="0" fillId="0" borderId="1" xfId="5" applyFont="1" applyBorder="1"/>
    <xf numFmtId="43" fontId="0" fillId="5" borderId="1" xfId="5" applyFont="1" applyFill="1" applyBorder="1"/>
    <xf numFmtId="165" fontId="0" fillId="5" borderId="1" xfId="5" applyNumberFormat="1" applyFont="1" applyFill="1" applyBorder="1"/>
    <xf numFmtId="0" fontId="0" fillId="2" borderId="15" xfId="0" applyFill="1" applyBorder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8" borderId="10" xfId="0" applyFill="1" applyBorder="1"/>
    <xf numFmtId="0" fontId="0" fillId="8" borderId="1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0" borderId="4" xfId="0" applyBorder="1"/>
    <xf numFmtId="0" fontId="0" fillId="0" borderId="5" xfId="0" applyBorder="1"/>
    <xf numFmtId="0" fontId="0" fillId="12" borderId="1" xfId="0" applyFill="1" applyBorder="1"/>
    <xf numFmtId="0" fontId="9" fillId="4" borderId="2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4" fillId="2" borderId="37" xfId="1" applyFont="1" applyFill="1" applyBorder="1" applyAlignment="1">
      <alignment vertical="center"/>
    </xf>
    <xf numFmtId="0" fontId="0" fillId="13" borderId="1" xfId="1" applyFont="1" applyFill="1" applyBorder="1" applyAlignment="1">
      <alignment horizontal="left" indent="1"/>
    </xf>
    <xf numFmtId="0" fontId="0" fillId="0" borderId="1" xfId="1" applyFont="1" applyBorder="1"/>
    <xf numFmtId="43" fontId="0" fillId="0" borderId="10" xfId="5" applyFont="1" applyBorder="1"/>
    <xf numFmtId="43" fontId="0" fillId="0" borderId="1" xfId="0" applyNumberFormat="1" applyBorder="1"/>
    <xf numFmtId="43" fontId="0" fillId="13" borderId="1" xfId="0" applyNumberFormat="1" applyFill="1" applyBorder="1"/>
    <xf numFmtId="0" fontId="0" fillId="13" borderId="1" xfId="0" applyFill="1" applyBorder="1"/>
    <xf numFmtId="9" fontId="0" fillId="13" borderId="1" xfId="6" applyFont="1" applyFill="1" applyBorder="1"/>
    <xf numFmtId="0" fontId="0" fillId="6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43" fontId="0" fillId="0" borderId="1" xfId="5" applyFont="1" applyBorder="1" applyAlignment="1">
      <alignment horizontal="center"/>
    </xf>
    <xf numFmtId="0" fontId="0" fillId="6" borderId="1" xfId="1" applyFont="1" applyFill="1" applyBorder="1" applyAlignment="1">
      <alignment horizontal="left" indent="1"/>
    </xf>
    <xf numFmtId="0" fontId="0" fillId="2" borderId="1" xfId="1" applyFont="1" applyFill="1" applyBorder="1" applyAlignment="1">
      <alignment horizontal="left" indent="1"/>
    </xf>
    <xf numFmtId="0" fontId="0" fillId="7" borderId="1" xfId="1" applyFont="1" applyFill="1" applyBorder="1" applyAlignment="1">
      <alignment horizontal="left"/>
    </xf>
    <xf numFmtId="0" fontId="0" fillId="7" borderId="1" xfId="1" applyFont="1" applyFill="1" applyBorder="1"/>
    <xf numFmtId="0" fontId="0" fillId="7" borderId="1" xfId="1" applyFont="1" applyFill="1" applyBorder="1" applyAlignment="1">
      <alignment horizontal="left" indent="1"/>
    </xf>
    <xf numFmtId="0" fontId="0" fillId="7" borderId="1" xfId="1" applyFont="1" applyFill="1" applyBorder="1" applyAlignment="1">
      <alignment horizontal="left" indent="2"/>
    </xf>
    <xf numFmtId="0" fontId="0" fillId="6" borderId="1" xfId="1" applyFont="1" applyFill="1" applyBorder="1" applyAlignment="1">
      <alignment horizontal="left" indent="2"/>
    </xf>
    <xf numFmtId="9" fontId="0" fillId="0" borderId="0" xfId="6" applyFont="1"/>
    <xf numFmtId="43" fontId="0" fillId="0" borderId="0" xfId="0" applyNumberFormat="1"/>
    <xf numFmtId="0" fontId="4" fillId="2" borderId="13" xfId="1" applyFont="1" applyFill="1" applyBorder="1" applyAlignment="1">
      <alignment vertical="center"/>
    </xf>
    <xf numFmtId="0" fontId="4" fillId="2" borderId="40" xfId="1" applyFont="1" applyFill="1" applyBorder="1" applyAlignment="1">
      <alignment vertical="center"/>
    </xf>
    <xf numFmtId="0" fontId="4" fillId="2" borderId="39" xfId="1" applyFont="1" applyFill="1" applyBorder="1" applyAlignment="1">
      <alignment vertical="center"/>
    </xf>
    <xf numFmtId="165" fontId="0" fillId="0" borderId="0" xfId="0" applyNumberFormat="1"/>
    <xf numFmtId="1" fontId="0" fillId="2" borderId="1" xfId="1" applyNumberFormat="1" applyFont="1" applyFill="1" applyBorder="1"/>
    <xf numFmtId="0" fontId="0" fillId="3" borderId="0" xfId="1" applyFont="1" applyFill="1" applyAlignment="1">
      <alignment horizontal="left" indent="2"/>
    </xf>
    <xf numFmtId="0" fontId="0" fillId="3" borderId="0" xfId="1" applyFont="1" applyFill="1" applyAlignment="1">
      <alignment horizontal="left" indent="3"/>
    </xf>
    <xf numFmtId="43" fontId="0" fillId="0" borderId="1" xfId="5" quotePrefix="1" applyFont="1" applyBorder="1"/>
    <xf numFmtId="43" fontId="0" fillId="0" borderId="1" xfId="5" applyFont="1" applyBorder="1" applyAlignment="1">
      <alignment horizontal="right"/>
    </xf>
    <xf numFmtId="1" fontId="0" fillId="2" borderId="1" xfId="1" applyNumberFormat="1" applyFont="1" applyFill="1" applyBorder="1" applyAlignment="1">
      <alignment horizontal="right"/>
    </xf>
    <xf numFmtId="2" fontId="0" fillId="0" borderId="10" xfId="0" applyNumberFormat="1" applyBorder="1"/>
    <xf numFmtId="43" fontId="0" fillId="0" borderId="0" xfId="5" applyFont="1"/>
    <xf numFmtId="41" fontId="0" fillId="0" borderId="0" xfId="0" applyNumberFormat="1" applyAlignment="1">
      <alignment horizontal="center"/>
    </xf>
    <xf numFmtId="0" fontId="1" fillId="0" borderId="1" xfId="1" applyFont="1" applyBorder="1" applyAlignment="1">
      <alignment horizontal="left" indent="1"/>
    </xf>
    <xf numFmtId="0" fontId="1" fillId="0" borderId="1" xfId="1" applyFont="1" applyBorder="1" applyAlignment="1">
      <alignment horizontal="left" indent="2"/>
    </xf>
    <xf numFmtId="0" fontId="1" fillId="12" borderId="1" xfId="1" applyFont="1" applyFill="1" applyBorder="1" applyAlignment="1">
      <alignment horizontal="left" indent="2"/>
    </xf>
    <xf numFmtId="43" fontId="0" fillId="12" borderId="1" xfId="0" applyNumberFormat="1" applyFill="1" applyBorder="1"/>
    <xf numFmtId="43" fontId="0" fillId="12" borderId="1" xfId="5" applyFont="1" applyFill="1" applyBorder="1"/>
    <xf numFmtId="0" fontId="1" fillId="12" borderId="1" xfId="1" applyFont="1" applyFill="1" applyBorder="1" applyAlignment="1">
      <alignment horizontal="left" indent="1"/>
    </xf>
    <xf numFmtId="43" fontId="0" fillId="8" borderId="1" xfId="0" applyNumberFormat="1" applyFill="1" applyBorder="1"/>
    <xf numFmtId="43" fontId="0" fillId="8" borderId="1" xfId="5" applyFont="1" applyFill="1" applyBorder="1"/>
    <xf numFmtId="0" fontId="0" fillId="8" borderId="1" xfId="1" applyFont="1" applyFill="1" applyBorder="1" applyAlignment="1">
      <alignment horizontal="left" indent="2"/>
    </xf>
    <xf numFmtId="9" fontId="7" fillId="0" borderId="22" xfId="6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0" fillId="12" borderId="1" xfId="1" applyFont="1" applyFill="1" applyBorder="1" applyAlignment="1">
      <alignment horizontal="left"/>
    </xf>
    <xf numFmtId="0" fontId="0" fillId="2" borderId="26" xfId="1" applyFont="1" applyFill="1" applyBorder="1" applyAlignment="1">
      <alignment horizontal="left"/>
    </xf>
    <xf numFmtId="0" fontId="0" fillId="2" borderId="41" xfId="1" applyFont="1" applyFill="1" applyBorder="1" applyAlignment="1">
      <alignment horizontal="left"/>
    </xf>
    <xf numFmtId="0" fontId="0" fillId="12" borderId="1" xfId="1" applyFont="1" applyFill="1" applyBorder="1" applyAlignment="1">
      <alignment horizontal="left" indent="1"/>
    </xf>
    <xf numFmtId="0" fontId="3" fillId="2" borderId="16" xfId="0" applyFont="1" applyFill="1" applyBorder="1" applyAlignment="1">
      <alignment horizontal="center" vertical="center" wrapText="1"/>
    </xf>
    <xf numFmtId="167" fontId="0" fillId="0" borderId="26" xfId="0" applyNumberFormat="1" applyBorder="1"/>
    <xf numFmtId="0" fontId="3" fillId="2" borderId="45" xfId="0" applyFont="1" applyFill="1" applyBorder="1" applyAlignment="1">
      <alignment horizontal="center" vertical="center" wrapText="1"/>
    </xf>
    <xf numFmtId="43" fontId="0" fillId="0" borderId="46" xfId="5" applyFont="1" applyFill="1" applyBorder="1" applyAlignment="1">
      <alignment horizontal="right"/>
    </xf>
    <xf numFmtId="0" fontId="0" fillId="0" borderId="47" xfId="0" applyBorder="1"/>
    <xf numFmtId="0" fontId="0" fillId="0" borderId="35" xfId="0" applyBorder="1"/>
    <xf numFmtId="0" fontId="0" fillId="2" borderId="0" xfId="0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64" fontId="0" fillId="0" borderId="0" xfId="7" applyFont="1"/>
    <xf numFmtId="164" fontId="0" fillId="2" borderId="15" xfId="7" applyFont="1" applyFill="1" applyBorder="1" applyAlignment="1">
      <alignment horizontal="center" vertical="center"/>
    </xf>
    <xf numFmtId="164" fontId="0" fillId="2" borderId="15" xfId="7" applyFont="1" applyFill="1" applyBorder="1" applyAlignment="1">
      <alignment wrapText="1"/>
    </xf>
    <xf numFmtId="164" fontId="0" fillId="9" borderId="9" xfId="7" applyFont="1" applyFill="1" applyBorder="1"/>
    <xf numFmtId="164" fontId="0" fillId="8" borderId="1" xfId="7" applyFont="1" applyFill="1" applyBorder="1"/>
    <xf numFmtId="164" fontId="0" fillId="8" borderId="8" xfId="7" applyFont="1" applyFill="1" applyBorder="1"/>
    <xf numFmtId="164" fontId="0" fillId="8" borderId="10" xfId="7" applyFont="1" applyFill="1" applyBorder="1"/>
    <xf numFmtId="164" fontId="10" fillId="8" borderId="1" xfId="7" applyFont="1" applyFill="1" applyBorder="1"/>
    <xf numFmtId="164" fontId="0" fillId="8" borderId="11" xfId="7" applyFont="1" applyFill="1" applyBorder="1"/>
    <xf numFmtId="164" fontId="0" fillId="10" borderId="9" xfId="7" applyFont="1" applyFill="1" applyBorder="1"/>
    <xf numFmtId="164" fontId="0" fillId="10" borderId="30" xfId="7" applyFont="1" applyFill="1" applyBorder="1"/>
    <xf numFmtId="164" fontId="0" fillId="10" borderId="10" xfId="7" applyFont="1" applyFill="1" applyBorder="1"/>
    <xf numFmtId="164" fontId="0" fillId="10" borderId="1" xfId="7" applyFont="1" applyFill="1" applyBorder="1"/>
    <xf numFmtId="164" fontId="0" fillId="10" borderId="11" xfId="7" applyFont="1" applyFill="1" applyBorder="1"/>
    <xf numFmtId="164" fontId="0" fillId="12" borderId="1" xfId="7" applyFont="1" applyFill="1" applyBorder="1"/>
    <xf numFmtId="164" fontId="0" fillId="12" borderId="8" xfId="7" applyFont="1" applyFill="1" applyBorder="1"/>
    <xf numFmtId="164" fontId="0" fillId="12" borderId="10" xfId="7" applyFont="1" applyFill="1" applyBorder="1"/>
    <xf numFmtId="164" fontId="10" fillId="12" borderId="1" xfId="7" applyFont="1" applyFill="1" applyBorder="1"/>
    <xf numFmtId="164" fontId="0" fillId="12" borderId="11" xfId="7" applyFont="1" applyFill="1" applyBorder="1"/>
    <xf numFmtId="164" fontId="0" fillId="0" borderId="12" xfId="7" applyFont="1" applyBorder="1"/>
    <xf numFmtId="164" fontId="0" fillId="0" borderId="31" xfId="7" applyFont="1" applyBorder="1"/>
    <xf numFmtId="164" fontId="0" fillId="0" borderId="4" xfId="7" applyFont="1" applyBorder="1"/>
    <xf numFmtId="164" fontId="0" fillId="0" borderId="5" xfId="7" applyFont="1" applyBorder="1"/>
    <xf numFmtId="0" fontId="0" fillId="0" borderId="1" xfId="0" applyBorder="1" applyAlignment="1">
      <alignment horizontal="center"/>
    </xf>
    <xf numFmtId="1" fontId="0" fillId="2" borderId="8" xfId="1" applyNumberFormat="1" applyFont="1" applyFill="1" applyBorder="1" applyAlignment="1">
      <alignment horizontal="right"/>
    </xf>
    <xf numFmtId="0" fontId="11" fillId="2" borderId="22" xfId="1" applyFont="1" applyFill="1" applyBorder="1" applyAlignment="1">
      <alignment horizontal="left" vertical="center" wrapText="1"/>
    </xf>
    <xf numFmtId="167" fontId="11" fillId="2" borderId="22" xfId="1" applyNumberFormat="1" applyFont="1" applyFill="1" applyBorder="1" applyAlignment="1">
      <alignment vertical="center" wrapText="1"/>
    </xf>
    <xf numFmtId="167" fontId="11" fillId="0" borderId="24" xfId="1" applyNumberFormat="1" applyFont="1" applyBorder="1" applyAlignment="1">
      <alignment vertical="center" wrapText="1"/>
    </xf>
    <xf numFmtId="167" fontId="11" fillId="2" borderId="24" xfId="1" applyNumberFormat="1" applyFont="1" applyFill="1" applyBorder="1" applyAlignment="1">
      <alignment vertical="center" wrapText="1"/>
    </xf>
    <xf numFmtId="167" fontId="11" fillId="3" borderId="24" xfId="1" applyNumberFormat="1" applyFont="1" applyFill="1" applyBorder="1" applyAlignment="1">
      <alignment vertical="center"/>
    </xf>
    <xf numFmtId="167" fontId="11" fillId="0" borderId="24" xfId="1" applyNumberFormat="1" applyFont="1" applyBorder="1" applyAlignment="1">
      <alignment vertical="center"/>
    </xf>
    <xf numFmtId="167" fontId="11" fillId="0" borderId="19" xfId="1" applyNumberFormat="1" applyFont="1" applyBorder="1" applyAlignment="1">
      <alignment vertical="center"/>
    </xf>
    <xf numFmtId="0" fontId="7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vertical="center" wrapText="1"/>
    </xf>
    <xf numFmtId="165" fontId="1" fillId="2" borderId="1" xfId="5" applyNumberFormat="1" applyFont="1" applyFill="1" applyBorder="1" applyAlignment="1">
      <alignment vertical="center" wrapText="1"/>
    </xf>
    <xf numFmtId="165" fontId="1" fillId="0" borderId="1" xfId="5" applyNumberFormat="1" applyFont="1" applyBorder="1" applyAlignment="1">
      <alignment horizontal="left" vertical="center" wrapText="1"/>
    </xf>
    <xf numFmtId="165" fontId="1" fillId="0" borderId="1" xfId="5" applyNumberFormat="1" applyFont="1" applyBorder="1" applyAlignment="1">
      <alignment vertical="center" wrapText="1"/>
    </xf>
    <xf numFmtId="165" fontId="1" fillId="0" borderId="1" xfId="5" applyNumberFormat="1" applyFont="1" applyBorder="1"/>
    <xf numFmtId="165" fontId="1" fillId="2" borderId="8" xfId="5" applyNumberFormat="1" applyFont="1" applyFill="1" applyBorder="1" applyAlignment="1">
      <alignment vertical="center" wrapText="1"/>
    </xf>
    <xf numFmtId="165" fontId="1" fillId="0" borderId="8" xfId="5" applyNumberFormat="1" applyFont="1" applyBorder="1" applyAlignment="1">
      <alignment horizontal="left" vertical="center" wrapText="1"/>
    </xf>
    <xf numFmtId="165" fontId="1" fillId="0" borderId="8" xfId="5" applyNumberFormat="1" applyFont="1" applyBorder="1" applyAlignment="1">
      <alignment vertical="center" wrapText="1"/>
    </xf>
    <xf numFmtId="43" fontId="0" fillId="0" borderId="11" xfId="5" applyFont="1" applyBorder="1"/>
    <xf numFmtId="165" fontId="1" fillId="0" borderId="8" xfId="5" applyNumberFormat="1" applyFont="1" applyBorder="1"/>
    <xf numFmtId="0" fontId="0" fillId="0" borderId="4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164" fontId="0" fillId="0" borderId="1" xfId="7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4" borderId="49" xfId="1" applyFont="1" applyFill="1" applyBorder="1" applyAlignment="1">
      <alignment horizontal="center" vertical="center" wrapText="1"/>
    </xf>
    <xf numFmtId="0" fontId="9" fillId="4" borderId="50" xfId="1" applyFont="1" applyFill="1" applyBorder="1" applyAlignment="1">
      <alignment horizontal="center" vertical="center" wrapText="1"/>
    </xf>
    <xf numFmtId="0" fontId="7" fillId="2" borderId="49" xfId="1" applyFont="1" applyFill="1" applyBorder="1" applyAlignment="1">
      <alignment horizontal="left" vertical="center" wrapText="1"/>
    </xf>
    <xf numFmtId="0" fontId="7" fillId="0" borderId="41" xfId="1" applyFont="1" applyBorder="1" applyAlignment="1">
      <alignment horizontal="left" vertical="center" wrapText="1"/>
    </xf>
    <xf numFmtId="0" fontId="9" fillId="2" borderId="41" xfId="1" applyFont="1" applyFill="1" applyBorder="1" applyAlignment="1">
      <alignment horizontal="center" vertical="center" wrapText="1"/>
    </xf>
    <xf numFmtId="0" fontId="7" fillId="2" borderId="41" xfId="1" applyFont="1" applyFill="1" applyBorder="1" applyAlignment="1">
      <alignment horizontal="left" vertical="center" wrapText="1"/>
    </xf>
    <xf numFmtId="0" fontId="9" fillId="2" borderId="5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vertical="center"/>
    </xf>
    <xf numFmtId="0" fontId="0" fillId="7" borderId="0" xfId="1" applyFont="1" applyFill="1" applyBorder="1" applyAlignment="1">
      <alignment horizontal="left"/>
    </xf>
    <xf numFmtId="0" fontId="0" fillId="7" borderId="0" xfId="1" applyFont="1" applyFill="1" applyBorder="1"/>
    <xf numFmtId="0" fontId="0" fillId="2" borderId="0" xfId="1" applyFont="1" applyFill="1" applyBorder="1" applyAlignment="1">
      <alignment horizontal="left"/>
    </xf>
    <xf numFmtId="1" fontId="0" fillId="2" borderId="0" xfId="1" applyNumberFormat="1" applyFont="1" applyFill="1" applyBorder="1" applyAlignment="1">
      <alignment horizontal="right"/>
    </xf>
    <xf numFmtId="43" fontId="0" fillId="0" borderId="0" xfId="0" applyNumberFormat="1" applyBorder="1"/>
    <xf numFmtId="43" fontId="0" fillId="0" borderId="0" xfId="5" applyFont="1" applyBorder="1"/>
    <xf numFmtId="168" fontId="0" fillId="0" borderId="1" xfId="5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43" fontId="0" fillId="0" borderId="8" xfId="5" applyFont="1" applyBorder="1" applyAlignment="1"/>
    <xf numFmtId="164" fontId="0" fillId="9" borderId="3" xfId="0" applyNumberFormat="1" applyFill="1" applyBorder="1"/>
    <xf numFmtId="0" fontId="1" fillId="0" borderId="1" xfId="1" applyFont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1" applyFont="1" applyBorder="1" applyAlignment="1"/>
    <xf numFmtId="0" fontId="1" fillId="12" borderId="1" xfId="1" applyFont="1" applyFill="1" applyBorder="1" applyAlignment="1">
      <alignment horizontal="left" indent="3"/>
    </xf>
    <xf numFmtId="0" fontId="0" fillId="0" borderId="1" xfId="1" applyFont="1" applyBorder="1" applyAlignment="1">
      <alignment horizontal="left" indent="3"/>
    </xf>
    <xf numFmtId="43" fontId="0" fillId="0" borderId="0" xfId="5" applyFont="1" applyFill="1" applyBorder="1" applyAlignment="1">
      <alignment horizontal="right"/>
    </xf>
    <xf numFmtId="0" fontId="1" fillId="0" borderId="1" xfId="1" applyFont="1" applyBorder="1" applyAlignment="1">
      <alignment horizontal="left"/>
    </xf>
    <xf numFmtId="169" fontId="0" fillId="0" borderId="0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4" fontId="0" fillId="14" borderId="0" xfId="7" applyFont="1" applyFill="1"/>
    <xf numFmtId="164" fontId="0" fillId="15" borderId="0" xfId="7" applyFont="1" applyFill="1"/>
    <xf numFmtId="0" fontId="3" fillId="2" borderId="15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0" borderId="44" xfId="0" applyBorder="1"/>
    <xf numFmtId="0" fontId="3" fillId="2" borderId="15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43" fontId="0" fillId="0" borderId="8" xfId="5" applyFont="1" applyBorder="1" applyAlignment="1">
      <alignment horizontal="center"/>
    </xf>
    <xf numFmtId="43" fontId="0" fillId="0" borderId="26" xfId="5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1" fontId="0" fillId="0" borderId="51" xfId="0" applyNumberFormat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1" fontId="0" fillId="0" borderId="10" xfId="0" applyNumberFormat="1" applyBorder="1" applyAlignment="1">
      <alignment horizontal="center"/>
    </xf>
    <xf numFmtId="41" fontId="0" fillId="0" borderId="11" xfId="0" applyNumberFormat="1" applyBorder="1" applyAlignment="1">
      <alignment horizontal="center"/>
    </xf>
    <xf numFmtId="41" fontId="0" fillId="0" borderId="4" xfId="0" applyNumberFormat="1" applyBorder="1" applyAlignment="1">
      <alignment horizontal="center"/>
    </xf>
    <xf numFmtId="41" fontId="0" fillId="0" borderId="5" xfId="0" applyNumberFormat="1" applyBorder="1" applyAlignment="1">
      <alignment horizont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31" xfId="1" applyFont="1" applyFill="1" applyBorder="1" applyAlignment="1">
      <alignment horizontal="center" vertical="center" wrapText="1"/>
    </xf>
    <xf numFmtId="9" fontId="1" fillId="0" borderId="6" xfId="6" applyBorder="1" applyAlignment="1">
      <alignment horizontal="center" vertical="center" wrapText="1"/>
    </xf>
    <xf numFmtId="9" fontId="1" fillId="0" borderId="7" xfId="6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48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9" fontId="1" fillId="0" borderId="10" xfId="6" applyBorder="1" applyAlignment="1">
      <alignment horizontal="center" vertical="center" wrapText="1"/>
    </xf>
    <xf numFmtId="9" fontId="1" fillId="0" borderId="11" xfId="6" applyBorder="1" applyAlignment="1">
      <alignment horizontal="center" vertical="center" wrapText="1"/>
    </xf>
    <xf numFmtId="165" fontId="0" fillId="2" borderId="2" xfId="5" applyNumberFormat="1" applyFont="1" applyFill="1" applyBorder="1" applyAlignment="1">
      <alignment horizontal="center"/>
    </xf>
    <xf numFmtId="165" fontId="0" fillId="2" borderId="3" xfId="5" applyNumberFormat="1" applyFont="1" applyFill="1" applyBorder="1" applyAlignment="1">
      <alignment horizontal="center"/>
    </xf>
    <xf numFmtId="0" fontId="0" fillId="3" borderId="19" xfId="1" applyFont="1" applyFill="1" applyBorder="1" applyAlignment="1">
      <alignment horizontal="left" vertical="center" indent="2"/>
    </xf>
    <xf numFmtId="0" fontId="0" fillId="3" borderId="18" xfId="1" applyFont="1" applyFill="1" applyBorder="1" applyAlignment="1">
      <alignment horizontal="left" vertical="center" indent="2"/>
    </xf>
    <xf numFmtId="0" fontId="0" fillId="3" borderId="19" xfId="1" applyFont="1" applyFill="1" applyBorder="1" applyAlignment="1">
      <alignment horizontal="left" vertical="center" wrapText="1" indent="2"/>
    </xf>
    <xf numFmtId="0" fontId="0" fillId="3" borderId="17" xfId="1" applyFont="1" applyFill="1" applyBorder="1" applyAlignment="1">
      <alignment horizontal="left" vertical="center" wrapText="1" indent="2"/>
    </xf>
    <xf numFmtId="0" fontId="4" fillId="2" borderId="10" xfId="1" applyFont="1" applyFill="1" applyBorder="1" applyAlignment="1">
      <alignment horizontal="left" vertical="center"/>
    </xf>
    <xf numFmtId="0" fontId="9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18" xfId="1" applyFont="1" applyFill="1" applyBorder="1" applyAlignment="1">
      <alignment horizontal="left" vertical="center" wrapText="1"/>
    </xf>
    <xf numFmtId="164" fontId="0" fillId="2" borderId="2" xfId="7" applyFont="1" applyFill="1" applyBorder="1" applyAlignment="1">
      <alignment horizontal="center"/>
    </xf>
    <xf numFmtId="164" fontId="0" fillId="2" borderId="3" xfId="7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left" vertical="center"/>
    </xf>
    <xf numFmtId="0" fontId="4" fillId="2" borderId="18" xfId="1" applyFont="1" applyFill="1" applyBorder="1" applyAlignment="1">
      <alignment horizontal="left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65" fontId="0" fillId="0" borderId="8" xfId="5" applyNumberFormat="1" applyFont="1" applyBorder="1" applyAlignment="1">
      <alignment horizontal="center"/>
    </xf>
    <xf numFmtId="165" fontId="0" fillId="0" borderId="26" xfId="5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66" fontId="0" fillId="0" borderId="8" xfId="5" applyNumberFormat="1" applyFont="1" applyBorder="1" applyAlignment="1">
      <alignment horizontal="center"/>
    </xf>
    <xf numFmtId="166" fontId="0" fillId="0" borderId="26" xfId="5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0" fontId="0" fillId="2" borderId="24" xfId="1" applyFont="1" applyFill="1" applyBorder="1" applyAlignment="1">
      <alignment horizontal="left"/>
    </xf>
    <xf numFmtId="0" fontId="0" fillId="2" borderId="41" xfId="1" applyFont="1" applyFill="1" applyBorder="1" applyAlignment="1">
      <alignment horizontal="left"/>
    </xf>
    <xf numFmtId="0" fontId="0" fillId="2" borderId="26" xfId="1" applyFont="1" applyFill="1" applyBorder="1" applyAlignment="1">
      <alignment horizontal="left"/>
    </xf>
    <xf numFmtId="164" fontId="0" fillId="0" borderId="8" xfId="7" applyFont="1" applyBorder="1" applyAlignment="1">
      <alignment horizontal="center"/>
    </xf>
    <xf numFmtId="164" fontId="0" fillId="0" borderId="26" xfId="7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20" xfId="7" applyFont="1" applyBorder="1" applyAlignment="1">
      <alignment horizontal="center" vertical="center"/>
    </xf>
    <xf numFmtId="164" fontId="0" fillId="0" borderId="21" xfId="7" applyFont="1" applyBorder="1" applyAlignment="1">
      <alignment horizontal="center" vertical="center"/>
    </xf>
    <xf numFmtId="164" fontId="0" fillId="0" borderId="36" xfId="7" applyFont="1" applyBorder="1" applyAlignment="1">
      <alignment horizontal="center" vertical="center"/>
    </xf>
  </cellXfs>
  <cellStyles count="8">
    <cellStyle name="Comma" xfId="5" builtinId="3"/>
    <cellStyle name="Comma [0]" xfId="7" builtinId="6"/>
    <cellStyle name="Comma [0] 2" xfId="2"/>
    <cellStyle name="Comma 2" xfId="3"/>
    <cellStyle name="Normal" xfId="0" builtinId="0"/>
    <cellStyle name="Normal 2" xfId="1"/>
    <cellStyle name="Percent" xfId="6" builtinId="5"/>
    <cellStyle name="Percent 2" xfId="4"/>
  </cellStyles>
  <dxfs count="4">
    <dxf>
      <fill>
        <patternFill>
          <bgColor rgb="FF92D050"/>
        </patternFill>
      </fill>
    </dxf>
    <dxf>
      <font>
        <color theme="6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Perbandingan Fix</a:t>
            </a:r>
            <a:r>
              <a:rPr lang="en-US" baseline="0"/>
              <a:t> &amp; Variable Load NFI &amp; HNI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2.917085286574703E-2"/>
          <c:y val="0.14852216944586721"/>
          <c:w val="0.91692145569299766"/>
          <c:h val="0.71762427459613798"/>
        </c:manualLayout>
      </c:layout>
      <c:barChart>
        <c:barDir val="col"/>
        <c:grouping val="clustered"/>
        <c:ser>
          <c:idx val="1"/>
          <c:order val="0"/>
          <c:tx>
            <c:strRef>
              <c:f>'Konsumsi &amp; Pareto 2 Mingguan'!$B$79</c:f>
              <c:strCache>
                <c:ptCount val="1"/>
                <c:pt idx="0">
                  <c:v>NFI FIX LOAD (MONTHLY)</c:v>
                </c:pt>
              </c:strCache>
            </c:strRef>
          </c:tx>
          <c:cat>
            <c:strRef>
              <c:f>('Konsumsi &amp; Pareto 2 Mingguan'!$H$74,'Konsumsi &amp; Pareto 2 Mingguan'!$J$74,'Konsumsi &amp; Pareto 2 Mingguan'!$L$74,'Konsumsi &amp; Pareto 2 Mingguan'!$N$74,'Konsumsi &amp; Pareto 2 Mingguan'!$P$74,'Konsumsi &amp; Pareto 2 Mingguan'!$R$74,'Konsumsi &amp; Pareto 2 Mingguan'!$T$74,'Konsumsi &amp; Pareto 2 Mingguan'!$V$74,'Konsumsi &amp; Pareto 2 Mingguan'!$X$74,'Konsumsi &amp; Pareto 2 Mingguan'!$Z$74,'Konsumsi &amp; Pareto 2 Mingguan'!$AB$74,'Konsumsi &amp; Pareto 2 Mingguan'!$AD$74)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/>
            </c:strRef>
          </c:cat>
          <c:val>
            <c:numRef>
              <c:f>('Konsumsi &amp; Pareto 2 Mingguan'!$H$79,'Konsumsi &amp; Pareto 2 Mingguan'!$J$79,'Konsumsi &amp; Pareto 2 Mingguan'!$L$79,'Konsumsi &amp; Pareto 2 Mingguan'!$N$79,'Konsumsi &amp; Pareto 2 Mingguan'!$P$79,'Konsumsi &amp; Pareto 2 Mingguan'!$R$79,'Konsumsi &amp; Pareto 2 Mingguan'!$T$79,'Konsumsi &amp; Pareto 2 Mingguan'!$V$79,'Konsumsi &amp; Pareto 2 Mingguan'!$X$79,'Konsumsi &amp; Pareto 2 Mingguan'!$Z$79,'Konsumsi &amp; Pareto 2 Mingguan'!$AB$79,'Konsumsi &amp; Pareto 2 Mingguan'!$AD$79)</c:f>
              <c:numCache>
                <c:formatCode>_(* #,##0.00_);_(* \(#,##0.00\);_(* "-"??_);_(@_)</c:formatCode>
                <c:ptCount val="12"/>
                <c:pt idx="0">
                  <c:v>60.306379410314634</c:v>
                </c:pt>
                <c:pt idx="1">
                  <c:v>53.854033336091902</c:v>
                </c:pt>
                <c:pt idx="2">
                  <c:v>65.12607424344435</c:v>
                </c:pt>
                <c:pt idx="3">
                  <c:v>61.179736449972793</c:v>
                </c:pt>
                <c:pt idx="4">
                  <c:v>43.129838652579707</c:v>
                </c:pt>
                <c:pt idx="5">
                  <c:v>60.873677906250258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8AA-46FA-BD84-94D6846DDBCA}"/>
            </c:ext>
          </c:extLst>
        </c:ser>
        <c:axId val="79262848"/>
        <c:axId val="792643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'[1]Konsumsi &amp; pareto'!$B$76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('[1]Konsumsi &amp; pareto'!$J$72,'[1]Konsumsi &amp; pareto'!$L$72,'[1]Konsumsi &amp; pareto'!$N$72,'[1]Konsumsi &amp; pareto'!$P$72,'[1]Konsumsi &amp; pareto'!$R$72,'[1]Konsumsi &amp; pareto'!$T$72,'[1]Konsumsi &amp; pareto'!$V$72,'[1]Konsumsi &amp; pareto'!$X$72,'[1]Konsumsi &amp; pareto'!$Z$72,'[1]Konsumsi &amp; pareto'!$AB$72,'[1]Konsumsi &amp; pareto'!$AD$72,'[1]Konsumsi &amp; pareto'!$AF$72)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('[1]Konsumsi &amp; pareto'!$J$76,'[1]Konsumsi &amp; pareto'!$L$76,'[1]Konsumsi &amp; pareto'!$N$76,'[1]Konsumsi &amp; pareto'!$P$76,'[1]Konsumsi &amp; pareto'!$R$76,'[1]Konsumsi &amp; pareto'!$T$76,'[1]Konsumsi &amp; pareto'!$V$76,'[1]Konsumsi &amp; pareto'!$X$76,'[1]Konsumsi &amp; pareto'!$Z$76,'[1]Konsumsi &amp; pareto'!$AB$76,'[1]Konsumsi &amp; pareto'!$AD$76,'[1]Konsumsi &amp; pareto'!$AF$76)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8AA-46FA-BD84-94D6846DDB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'[1]Konsumsi &amp; pareto'!$B$80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('[1]Konsumsi &amp; pareto'!$J$72,'[1]Konsumsi &amp; pareto'!$L$72,'[1]Konsumsi &amp; pareto'!$N$72,'[1]Konsumsi &amp; pareto'!$P$72,'[1]Konsumsi &amp; pareto'!$R$72,'[1]Konsumsi &amp; pareto'!$T$72,'[1]Konsumsi &amp; pareto'!$V$72,'[1]Konsumsi &amp; pareto'!$X$72,'[1]Konsumsi &amp; pareto'!$Z$72,'[1]Konsumsi &amp; pareto'!$AB$72,'[1]Konsumsi &amp; pareto'!$AD$72,'[1]Konsumsi &amp; pareto'!$AF$72)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('[1]Konsumsi &amp; pareto'!$J$80,'[1]Konsumsi &amp; pareto'!$L$80,'[1]Konsumsi &amp; pareto'!$N$80,'[1]Konsumsi &amp; pareto'!$P$80,'[1]Konsumsi &amp; pareto'!$R$80,'[1]Konsumsi &amp; pareto'!$T$80,'[1]Konsumsi &amp; pareto'!$V$80,'[1]Konsumsi &amp; pareto'!$X$80,'[1]Konsumsi &amp; pareto'!$Z$80,'[1]Konsumsi &amp; pareto'!$AB$80,'[1]Konsumsi &amp; pareto'!$AD$80,'[1]Konsumsi &amp; pareto'!$AF$80)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AA-46FA-BD84-94D6846DDBC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'[1]Konsumsi &amp; pareto'!$B$81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('[1]Konsumsi &amp; pareto'!$J$72,'[1]Konsumsi &amp; pareto'!$L$72,'[1]Konsumsi &amp; pareto'!$N$72,'[1]Konsumsi &amp; pareto'!$P$72,'[1]Konsumsi &amp; pareto'!$R$72,'[1]Konsumsi &amp; pareto'!$T$72,'[1]Konsumsi &amp; pareto'!$V$72,'[1]Konsumsi &amp; pareto'!$X$72,'[1]Konsumsi &amp; pareto'!$Z$72,'[1]Konsumsi &amp; pareto'!$AB$72,'[1]Konsumsi &amp; pareto'!$AD$72,'[1]Konsumsi &amp; pareto'!$AF$72)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('[1]Konsumsi &amp; pareto'!$J$81,'[1]Konsumsi &amp; pareto'!$L$81,'[1]Konsumsi &amp; pareto'!$N$81,'[1]Konsumsi &amp; pareto'!$P$81,'[1]Konsumsi &amp; pareto'!$R$81,'[1]Konsumsi &amp; pareto'!$T$81,'[1]Konsumsi &amp; pareto'!$V$81,'[1]Konsumsi &amp; pareto'!$X$81,'[1]Konsumsi &amp; pareto'!$Z$81,'[1]Konsumsi &amp; pareto'!$AB$81,'[1]Konsumsi &amp; pareto'!$AD$81,'[1]Konsumsi &amp; pareto'!$AF$81)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8AA-46FA-BD84-94D6846DDBCA}"/>
                  </c:ext>
                </c:extLst>
              </c15:ser>
            </c15:filteredBarSeries>
          </c:ext>
        </c:extLst>
      </c:barChart>
      <c:lineChart>
        <c:grouping val="standard"/>
        <c:ser>
          <c:idx val="4"/>
          <c:order val="1"/>
          <c:tx>
            <c:strRef>
              <c:f>'Konsumsi &amp; Pareto 2 Mingguan'!$B$84</c:f>
              <c:strCache>
                <c:ptCount val="1"/>
                <c:pt idx="0">
                  <c:v>NFI FIX LOAD BASELINE</c:v>
                </c:pt>
              </c:strCache>
            </c:strRef>
          </c:tx>
          <c:marker>
            <c:symbol val="none"/>
          </c:marker>
          <c:cat>
            <c:strRef>
              <c:f>('Konsumsi &amp; Pareto 2 Mingguan'!$H$74,'Konsumsi &amp; Pareto 2 Mingguan'!$J$74,'Konsumsi &amp; Pareto 2 Mingguan'!$L$74,'Konsumsi &amp; Pareto 2 Mingguan'!$N$74,'Konsumsi &amp; Pareto 2 Mingguan'!$P$74,'Konsumsi &amp; Pareto 2 Mingguan'!$R$74,'Konsumsi &amp; Pareto 2 Mingguan'!$T$74,'Konsumsi &amp; Pareto 2 Mingguan'!$V$74,'Konsumsi &amp; Pareto 2 Mingguan'!$X$74,'Konsumsi &amp; Pareto 2 Mingguan'!$Z$74,'Konsumsi &amp; Pareto 2 Mingguan'!$AB$74,'Konsumsi &amp; Pareto 2 Mingguan'!$AD$74)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/>
            </c:strRef>
          </c:cat>
          <c:val>
            <c:numRef>
              <c:f>('Konsumsi &amp; Pareto 2 Mingguan'!$H$84,'Konsumsi &amp; Pareto 2 Mingguan'!$J$84,'Konsumsi &amp; Pareto 2 Mingguan'!$L$84,'Konsumsi &amp; Pareto 2 Mingguan'!$N$84,'Konsumsi &amp; Pareto 2 Mingguan'!$P$84,'Konsumsi &amp; Pareto 2 Mingguan'!$R$84,'Konsumsi &amp; Pareto 2 Mingguan'!$T$84,'Konsumsi &amp; Pareto 2 Mingguan'!$V$84,'Konsumsi &amp; Pareto 2 Mingguan'!$X$84,'Konsumsi &amp; Pareto 2 Mingguan'!$Z$84,'Konsumsi &amp; Pareto 2 Mingguan'!$AB$84,'Konsumsi &amp; Pareto 2 Mingguan'!$AD$84)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8AA-46FA-BD84-94D6846DDBCA}"/>
            </c:ext>
          </c:extLst>
        </c:ser>
        <c:marker val="1"/>
        <c:axId val="79262848"/>
        <c:axId val="79264384"/>
      </c:lineChart>
      <c:catAx>
        <c:axId val="79262848"/>
        <c:scaling>
          <c:orientation val="minMax"/>
        </c:scaling>
        <c:axPos val="b"/>
        <c:numFmt formatCode="General" sourceLinked="0"/>
        <c:tickLblPos val="nextTo"/>
        <c:crossAx val="79264384"/>
        <c:crosses val="autoZero"/>
        <c:auto val="1"/>
        <c:lblAlgn val="ctr"/>
        <c:lblOffset val="100"/>
      </c:catAx>
      <c:valAx>
        <c:axId val="79264384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7926284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E21-4201-A41A-1BA9F40717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E21-4201-A41A-1BA9F407176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E21-4201-A41A-1BA9F407176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E21-4201-A41A-1BA9F407176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E21-4201-A41A-1BA9F407176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E21-4201-A41A-1BA9F407176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E21-4201-A41A-1BA9F407176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E21-4201-A41A-1BA9F407176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E21-4201-A41A-1BA9F407176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'Konsumsi &amp; pareto'!#REF!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'Konsumsi &amp; pareto'!#REF!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E21-4201-A41A-1BA9F407176C}"/>
            </c:ext>
          </c:extLst>
        </c:ser>
        <c:gapWidth val="182"/>
        <c:overlap val="100"/>
        <c:axId val="83520512"/>
        <c:axId val="83534592"/>
      </c:barChart>
      <c:catAx>
        <c:axId val="835205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4592"/>
        <c:crosses val="autoZero"/>
        <c:auto val="1"/>
        <c:lblAlgn val="ctr"/>
        <c:lblOffset val="100"/>
      </c:catAx>
      <c:valAx>
        <c:axId val="835345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39</xdr:col>
      <xdr:colOff>232063</xdr:colOff>
      <xdr:row>22</xdr:row>
      <xdr:rowOff>13063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04CA238-4F8B-4D76-9EF4-1564B7DAD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207818</xdr:colOff>
      <xdr:row>125</xdr:row>
      <xdr:rowOff>27707</xdr:rowOff>
    </xdr:from>
    <xdr:to>
      <xdr:col>28</xdr:col>
      <xdr:colOff>346364</xdr:colOff>
      <xdr:row>167</xdr:row>
      <xdr:rowOff>13855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506453B-6E24-463B-B7D1-69C88E293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3.%20Utility\Energy%20Monitoring\Monitoring%20Konsumsi%20Energi%202020\MONITORING%20LISTRIK%202020%202001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129%20Water%20Consumption%20Energy%20Report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29%20Gas%20Consumption%20Energy%20Report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3.%20Utility\Energy%20Monitoring\Monitoring%20Konsumsi%20Energi%202019\Steam%20&amp;%20Gas\MONITORING%20STEAM%20&amp;%20GAS%202019%201901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3%20-%20FRC%20Dept/06.%20Production%20Review/Yield%20RTD/4.%20Production%20Report%20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6%20-%20FEC%20Dept/00.%20Energy/2019/Gas%20Consumption%20Energy%20Report%202019%201901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3%20-%20FRC%20Dept/06.%20Production%20Review/Yield%20RTD/3.%20Production%20Report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 BALANCE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VEMBER"/>
      <sheetName val="DESEMBER"/>
      <sheetName val="Januari 2020"/>
      <sheetName val="Sheet1"/>
    </sheetNames>
    <sheetDataSet>
      <sheetData sheetId="0"/>
      <sheetData sheetId="1">
        <row r="33">
          <cell r="F33">
            <v>5373.2110000000002</v>
          </cell>
          <cell r="U33">
            <v>5416.0249999999996</v>
          </cell>
        </row>
        <row r="34">
          <cell r="F34">
            <v>1050.123</v>
          </cell>
          <cell r="U34">
            <v>1058.9079999999999</v>
          </cell>
        </row>
        <row r="35">
          <cell r="F35">
            <v>13779</v>
          </cell>
          <cell r="U35">
            <v>13940</v>
          </cell>
        </row>
        <row r="36">
          <cell r="F36">
            <v>23921</v>
          </cell>
          <cell r="U36">
            <v>23921</v>
          </cell>
        </row>
        <row r="37">
          <cell r="F37">
            <v>2352.3000000000002</v>
          </cell>
          <cell r="U37">
            <v>2377.4</v>
          </cell>
        </row>
        <row r="38">
          <cell r="F38">
            <v>1111.9000000000001</v>
          </cell>
          <cell r="U38">
            <v>1127.8</v>
          </cell>
        </row>
        <row r="39">
          <cell r="F39">
            <v>152</v>
          </cell>
          <cell r="U39">
            <v>152.91</v>
          </cell>
        </row>
        <row r="40">
          <cell r="F40">
            <v>31.460999999999999</v>
          </cell>
          <cell r="U40">
            <v>32.997</v>
          </cell>
        </row>
        <row r="41">
          <cell r="F41">
            <v>1.9658</v>
          </cell>
          <cell r="U41">
            <v>2.1122000000000001</v>
          </cell>
        </row>
        <row r="42">
          <cell r="F42">
            <v>708.98</v>
          </cell>
          <cell r="U42">
            <v>714.73</v>
          </cell>
        </row>
        <row r="43">
          <cell r="F43">
            <v>635.91</v>
          </cell>
          <cell r="U43">
            <v>641.14</v>
          </cell>
        </row>
        <row r="44">
          <cell r="F44">
            <v>1703.6</v>
          </cell>
          <cell r="U44">
            <v>1723.3</v>
          </cell>
        </row>
        <row r="45">
          <cell r="F45">
            <v>26.036999999999999</v>
          </cell>
          <cell r="U45">
            <v>26.335999999999999</v>
          </cell>
        </row>
        <row r="46">
          <cell r="F46">
            <v>4.5978000000000003</v>
          </cell>
          <cell r="U46">
            <v>4.6914999999999996</v>
          </cell>
        </row>
        <row r="47">
          <cell r="F47">
            <v>72.465000000000003</v>
          </cell>
          <cell r="U47">
            <v>72.468000000000004</v>
          </cell>
        </row>
        <row r="48">
          <cell r="F48">
            <v>377.31</v>
          </cell>
          <cell r="U48">
            <v>382.31</v>
          </cell>
        </row>
        <row r="49">
          <cell r="F49">
            <v>158.46899999999999</v>
          </cell>
          <cell r="U49">
            <v>166.47379000000001</v>
          </cell>
        </row>
        <row r="50">
          <cell r="F50">
            <v>4369.3999999999996</v>
          </cell>
          <cell r="U50">
            <v>4425.8999999999996</v>
          </cell>
        </row>
        <row r="51">
          <cell r="F51">
            <v>41.719000000000001</v>
          </cell>
          <cell r="U51">
            <v>43.49</v>
          </cell>
        </row>
        <row r="52">
          <cell r="F52">
            <v>200.52</v>
          </cell>
          <cell r="U52">
            <v>200.77</v>
          </cell>
        </row>
        <row r="53">
          <cell r="F53">
            <v>401.79</v>
          </cell>
          <cell r="U53">
            <v>428.63</v>
          </cell>
        </row>
        <row r="54">
          <cell r="F54">
            <v>290.54000000000002</v>
          </cell>
          <cell r="U54">
            <v>303.62</v>
          </cell>
        </row>
        <row r="55">
          <cell r="F55">
            <v>1622.1</v>
          </cell>
          <cell r="U55">
            <v>1637.8</v>
          </cell>
        </row>
        <row r="56">
          <cell r="F56">
            <v>41.76</v>
          </cell>
          <cell r="U56">
            <v>44.842728000000001</v>
          </cell>
        </row>
        <row r="57">
          <cell r="F57">
            <v>59.996000000000002</v>
          </cell>
          <cell r="U57">
            <v>62.396000000000001</v>
          </cell>
        </row>
        <row r="58">
          <cell r="F58">
            <v>800.57</v>
          </cell>
          <cell r="U58">
            <v>808.84</v>
          </cell>
        </row>
      </sheetData>
      <sheetData sheetId="2">
        <row r="33">
          <cell r="F33">
            <v>5454.1379999999999</v>
          </cell>
          <cell r="U33">
            <v>5492.6949999999997</v>
          </cell>
        </row>
        <row r="34">
          <cell r="F34">
            <v>1066.3109999999999</v>
          </cell>
          <cell r="U34">
            <v>1074.0809999999999</v>
          </cell>
        </row>
        <row r="35">
          <cell r="F35">
            <v>14083</v>
          </cell>
          <cell r="U35">
            <v>14228</v>
          </cell>
        </row>
        <row r="36">
          <cell r="F36">
            <v>23921</v>
          </cell>
          <cell r="U36">
            <v>23921</v>
          </cell>
        </row>
        <row r="37">
          <cell r="F37">
            <v>2398.8000000000002</v>
          </cell>
          <cell r="U37">
            <v>2421.4</v>
          </cell>
        </row>
        <row r="38">
          <cell r="F38">
            <v>1141.3</v>
          </cell>
          <cell r="U38">
            <v>1155.8</v>
          </cell>
        </row>
        <row r="39">
          <cell r="F39">
            <v>153.57</v>
          </cell>
          <cell r="U39">
            <v>154.41999999999999</v>
          </cell>
        </row>
        <row r="40">
          <cell r="F40">
            <v>34.200000000000003</v>
          </cell>
          <cell r="U40">
            <v>35.457999999999998</v>
          </cell>
        </row>
        <row r="41">
          <cell r="F41">
            <v>2.2056</v>
          </cell>
          <cell r="U41">
            <v>2.3016999999999999</v>
          </cell>
        </row>
        <row r="42">
          <cell r="F42">
            <v>720.18</v>
          </cell>
          <cell r="U42">
            <v>725.11</v>
          </cell>
        </row>
        <row r="43">
          <cell r="F43">
            <v>646.08000000000004</v>
          </cell>
          <cell r="U43">
            <v>650.79999999999995</v>
          </cell>
        </row>
        <row r="44">
          <cell r="F44">
            <v>1739.9</v>
          </cell>
          <cell r="U44">
            <v>1755.9</v>
          </cell>
        </row>
        <row r="45">
          <cell r="F45">
            <v>26.524000000000001</v>
          </cell>
          <cell r="U45">
            <v>26.683</v>
          </cell>
        </row>
        <row r="46">
          <cell r="F46">
            <v>4.7629000000000001</v>
          </cell>
          <cell r="U46">
            <v>4.8337000000000003</v>
          </cell>
        </row>
        <row r="47">
          <cell r="F47">
            <v>72.472999999999999</v>
          </cell>
          <cell r="U47">
            <v>72.537000000000006</v>
          </cell>
        </row>
        <row r="48">
          <cell r="F48">
            <v>386.51</v>
          </cell>
          <cell r="U48">
            <v>390.09</v>
          </cell>
        </row>
        <row r="49">
          <cell r="F49">
            <v>174.06598</v>
          </cell>
          <cell r="U49">
            <v>180.99286000000001</v>
          </cell>
        </row>
        <row r="50">
          <cell r="F50">
            <v>4475.8</v>
          </cell>
          <cell r="U50">
            <v>4533.3999999999996</v>
          </cell>
        </row>
        <row r="51">
          <cell r="F51">
            <v>45.048000000000002</v>
          </cell>
          <cell r="U51">
            <v>47.581000000000003</v>
          </cell>
        </row>
        <row r="52">
          <cell r="F52">
            <v>200.96</v>
          </cell>
          <cell r="U52">
            <v>226.46</v>
          </cell>
        </row>
        <row r="53">
          <cell r="F53">
            <v>451.67</v>
          </cell>
          <cell r="U53">
            <v>452.47</v>
          </cell>
        </row>
        <row r="54">
          <cell r="F54">
            <v>316.12</v>
          </cell>
          <cell r="U54">
            <v>330.84</v>
          </cell>
        </row>
        <row r="55">
          <cell r="F55">
            <v>1652.7</v>
          </cell>
          <cell r="U55">
            <v>1665.7</v>
          </cell>
        </row>
        <row r="56">
          <cell r="F56">
            <v>47.599711999999997</v>
          </cell>
          <cell r="U56">
            <v>50.225948000000002</v>
          </cell>
        </row>
        <row r="57">
          <cell r="F57">
            <v>64.623000000000005</v>
          </cell>
          <cell r="U57">
            <v>65.069000000000003</v>
          </cell>
        </row>
        <row r="58">
          <cell r="F58">
            <v>816.53</v>
          </cell>
          <cell r="U58">
            <v>823.54</v>
          </cell>
        </row>
      </sheetData>
      <sheetData sheetId="3">
        <row r="33">
          <cell r="F33">
            <v>5530.9250000000002</v>
          </cell>
          <cell r="U33">
            <v>5576.2629999999999</v>
          </cell>
        </row>
        <row r="34">
          <cell r="F34">
            <v>1081.973</v>
          </cell>
          <cell r="U34">
            <v>1090.9359999999999</v>
          </cell>
        </row>
        <row r="35">
          <cell r="F35">
            <v>14373</v>
          </cell>
          <cell r="U35">
            <v>14543</v>
          </cell>
        </row>
        <row r="36">
          <cell r="F36">
            <v>23921</v>
          </cell>
          <cell r="U36">
            <v>23921</v>
          </cell>
        </row>
        <row r="37">
          <cell r="F37">
            <v>2442.9</v>
          </cell>
          <cell r="U37">
            <v>2467</v>
          </cell>
        </row>
        <row r="38">
          <cell r="F38">
            <v>1169.3</v>
          </cell>
          <cell r="U38">
            <v>1184.4000000000001</v>
          </cell>
        </row>
        <row r="39">
          <cell r="F39">
            <v>155.36000000000001</v>
          </cell>
          <cell r="U39">
            <v>156.29</v>
          </cell>
        </row>
        <row r="40">
          <cell r="F40">
            <v>37.033999999999999</v>
          </cell>
          <cell r="U40">
            <v>39.286999999999999</v>
          </cell>
        </row>
        <row r="41">
          <cell r="F41">
            <v>2.4114</v>
          </cell>
          <cell r="U41">
            <v>2.6147999999999998</v>
          </cell>
        </row>
        <row r="42">
          <cell r="F42">
            <v>729.99</v>
          </cell>
          <cell r="U42">
            <v>736.08</v>
          </cell>
        </row>
        <row r="43">
          <cell r="F43">
            <v>655.89</v>
          </cell>
          <cell r="U43">
            <v>661.65</v>
          </cell>
        </row>
        <row r="44">
          <cell r="F44">
            <v>1773.2</v>
          </cell>
          <cell r="U44">
            <v>1794</v>
          </cell>
        </row>
        <row r="45">
          <cell r="F45">
            <v>26.79</v>
          </cell>
          <cell r="U45">
            <v>26.965</v>
          </cell>
        </row>
        <row r="46">
          <cell r="F46">
            <v>4.9034000000000004</v>
          </cell>
          <cell r="U46">
            <v>4.9847999999999999</v>
          </cell>
        </row>
        <row r="47">
          <cell r="F47">
            <v>72.542000000000002</v>
          </cell>
          <cell r="U47">
            <v>72.548000000000002</v>
          </cell>
        </row>
        <row r="48">
          <cell r="F48">
            <v>393.7</v>
          </cell>
          <cell r="U48">
            <v>398.49</v>
          </cell>
        </row>
        <row r="49">
          <cell r="F49">
            <v>188.16226</v>
          </cell>
          <cell r="U49">
            <v>197.08716000000001</v>
          </cell>
        </row>
        <row r="50">
          <cell r="F50">
            <v>4589.7</v>
          </cell>
          <cell r="U50">
            <v>4652.3</v>
          </cell>
        </row>
        <row r="51">
          <cell r="F51">
            <v>49.978000000000002</v>
          </cell>
          <cell r="U51">
            <v>51.918999999999997</v>
          </cell>
        </row>
        <row r="52">
          <cell r="F52">
            <v>250.91</v>
          </cell>
          <cell r="U52">
            <v>280.17</v>
          </cell>
        </row>
        <row r="53">
          <cell r="F53">
            <v>452.7</v>
          </cell>
          <cell r="U53">
            <v>452.98</v>
          </cell>
        </row>
        <row r="54">
          <cell r="F54">
            <v>345.75</v>
          </cell>
          <cell r="U54">
            <v>361.67</v>
          </cell>
        </row>
        <row r="55">
          <cell r="F55">
            <v>1678.9</v>
          </cell>
          <cell r="U55">
            <v>1696.3</v>
          </cell>
        </row>
        <row r="56">
          <cell r="F56">
            <v>53.065379999999998</v>
          </cell>
          <cell r="U56">
            <v>56.539568000000003</v>
          </cell>
        </row>
        <row r="57">
          <cell r="F57">
            <v>65.263999999999996</v>
          </cell>
          <cell r="U57">
            <v>65.540000000000006</v>
          </cell>
        </row>
        <row r="58">
          <cell r="F58">
            <v>830.4</v>
          </cell>
          <cell r="U58">
            <v>838.78</v>
          </cell>
        </row>
      </sheetData>
      <sheetData sheetId="4">
        <row r="33">
          <cell r="F33">
            <v>5619.2510000000002</v>
          </cell>
          <cell r="U33">
            <v>5666.0609999999997</v>
          </cell>
        </row>
        <row r="34">
          <cell r="F34">
            <v>1099.231</v>
          </cell>
          <cell r="U34">
            <v>1108.5429999999999</v>
          </cell>
        </row>
        <row r="35">
          <cell r="F35">
            <v>14703</v>
          </cell>
          <cell r="U35">
            <v>14879</v>
          </cell>
        </row>
        <row r="36">
          <cell r="F36">
            <v>23921</v>
          </cell>
          <cell r="U36">
            <v>23921</v>
          </cell>
        </row>
        <row r="37">
          <cell r="F37">
            <v>2492.3000000000002</v>
          </cell>
          <cell r="U37">
            <v>2522</v>
          </cell>
        </row>
        <row r="38">
          <cell r="F38">
            <v>1200.7</v>
          </cell>
          <cell r="U38">
            <v>1220</v>
          </cell>
        </row>
        <row r="39">
          <cell r="F39">
            <v>157.04</v>
          </cell>
          <cell r="U39">
            <v>157.84</v>
          </cell>
        </row>
        <row r="40">
          <cell r="F40">
            <v>40.718000000000004</v>
          </cell>
          <cell r="U40">
            <v>42.52</v>
          </cell>
        </row>
        <row r="41">
          <cell r="F41">
            <v>2.7208999999999999</v>
          </cell>
          <cell r="U41">
            <v>2.8603999999999998</v>
          </cell>
        </row>
        <row r="42">
          <cell r="F42">
            <v>741.83</v>
          </cell>
          <cell r="U42">
            <v>747.48</v>
          </cell>
        </row>
        <row r="43">
          <cell r="F43">
            <v>666.76</v>
          </cell>
          <cell r="U43">
            <v>671.74</v>
          </cell>
        </row>
        <row r="44">
          <cell r="F44">
            <v>1813.3</v>
          </cell>
          <cell r="U44">
            <v>1833.2</v>
          </cell>
        </row>
        <row r="45">
          <cell r="F45">
            <v>27.097000000000001</v>
          </cell>
          <cell r="U45">
            <v>27.277999999999999</v>
          </cell>
        </row>
        <row r="46">
          <cell r="F46">
            <v>5.0591999999999997</v>
          </cell>
          <cell r="U46">
            <v>5.1319999999999997</v>
          </cell>
        </row>
        <row r="47">
          <cell r="F47">
            <v>72.552000000000007</v>
          </cell>
          <cell r="U47">
            <v>72.557000000000002</v>
          </cell>
        </row>
        <row r="48">
          <cell r="F48">
            <v>402.86</v>
          </cell>
          <cell r="U48">
            <v>406.49</v>
          </cell>
        </row>
        <row r="49">
          <cell r="F49">
            <v>205.2116</v>
          </cell>
          <cell r="U49">
            <v>212.94476</v>
          </cell>
        </row>
        <row r="50">
          <cell r="F50">
            <v>4710.8</v>
          </cell>
          <cell r="U50">
            <v>4781.1000000000004</v>
          </cell>
        </row>
        <row r="51">
          <cell r="F51">
            <v>54.015000000000001</v>
          </cell>
          <cell r="U51">
            <v>56.027999999999999</v>
          </cell>
        </row>
        <row r="52">
          <cell r="F52">
            <v>307.74</v>
          </cell>
          <cell r="U52">
            <v>342.36</v>
          </cell>
        </row>
        <row r="53">
          <cell r="F53">
            <v>453.24</v>
          </cell>
          <cell r="U53">
            <v>453.49</v>
          </cell>
        </row>
        <row r="54">
          <cell r="F54">
            <v>376.73</v>
          </cell>
          <cell r="U54">
            <v>394</v>
          </cell>
        </row>
        <row r="55">
          <cell r="F55">
            <v>1712.1</v>
          </cell>
          <cell r="U55">
            <v>1728.9</v>
          </cell>
        </row>
        <row r="56">
          <cell r="F56">
            <v>60.001927999999999</v>
          </cell>
          <cell r="U56">
            <v>63.448480000000004</v>
          </cell>
        </row>
        <row r="57">
          <cell r="F57">
            <v>65.813999999999993</v>
          </cell>
          <cell r="U57">
            <v>66.460999999999999</v>
          </cell>
        </row>
        <row r="58">
          <cell r="F58">
            <v>846.81</v>
          </cell>
          <cell r="U58">
            <v>854.52</v>
          </cell>
        </row>
      </sheetData>
      <sheetData sheetId="5">
        <row r="33">
          <cell r="F33">
            <v>5704.5370000000003</v>
          </cell>
          <cell r="U33">
            <v>5734.598</v>
          </cell>
        </row>
        <row r="34">
          <cell r="F34">
            <v>1116.5909999999999</v>
          </cell>
          <cell r="U34">
            <v>1122.471</v>
          </cell>
        </row>
        <row r="35">
          <cell r="F35">
            <v>15025</v>
          </cell>
          <cell r="U35">
            <v>15138</v>
          </cell>
        </row>
        <row r="36">
          <cell r="F36">
            <v>23921</v>
          </cell>
          <cell r="U36">
            <v>23921</v>
          </cell>
        </row>
        <row r="37">
          <cell r="F37">
            <v>2544.5</v>
          </cell>
          <cell r="U37">
            <v>2557.1999999999998</v>
          </cell>
        </row>
        <row r="38">
          <cell r="F38">
            <v>1234.3</v>
          </cell>
          <cell r="U38">
            <v>1242</v>
          </cell>
        </row>
        <row r="39">
          <cell r="F39">
            <v>158.61000000000001</v>
          </cell>
          <cell r="U39">
            <v>159.22</v>
          </cell>
        </row>
        <row r="40">
          <cell r="F40">
            <v>44.308999999999997</v>
          </cell>
          <cell r="U40">
            <v>45.78</v>
          </cell>
        </row>
        <row r="41">
          <cell r="F41">
            <v>2.9552999999999998</v>
          </cell>
          <cell r="U41">
            <v>3.0383</v>
          </cell>
        </row>
        <row r="42">
          <cell r="F42">
            <v>752.57</v>
          </cell>
          <cell r="U42">
            <v>757.43</v>
          </cell>
        </row>
        <row r="43">
          <cell r="F43">
            <v>676.51</v>
          </cell>
          <cell r="U43">
            <v>680.28</v>
          </cell>
        </row>
        <row r="44">
          <cell r="F44">
            <v>1850.7</v>
          </cell>
          <cell r="U44">
            <v>1865.1</v>
          </cell>
        </row>
        <row r="45">
          <cell r="F45">
            <v>27.425000000000001</v>
          </cell>
          <cell r="U45">
            <v>27.593</v>
          </cell>
        </row>
        <row r="46">
          <cell r="F46">
            <v>5.2004000000000001</v>
          </cell>
          <cell r="U46">
            <v>5.2697000000000003</v>
          </cell>
        </row>
        <row r="47">
          <cell r="F47">
            <v>72.561000000000007</v>
          </cell>
          <cell r="U47">
            <v>72.563999999999993</v>
          </cell>
        </row>
        <row r="48">
          <cell r="F48">
            <v>410.17</v>
          </cell>
          <cell r="U48">
            <v>414.02</v>
          </cell>
        </row>
        <row r="49">
          <cell r="F49">
            <v>220.42016000000001</v>
          </cell>
          <cell r="U49">
            <v>227.83565999999999</v>
          </cell>
        </row>
        <row r="50">
          <cell r="F50">
            <v>4836.2</v>
          </cell>
          <cell r="U50">
            <v>4872.3999999999996</v>
          </cell>
        </row>
        <row r="51">
          <cell r="F51">
            <v>57.767000000000003</v>
          </cell>
          <cell r="U51">
            <v>58.98</v>
          </cell>
        </row>
        <row r="52">
          <cell r="F52">
            <v>369.11</v>
          </cell>
          <cell r="U52">
            <v>386.23</v>
          </cell>
        </row>
        <row r="53">
          <cell r="F53">
            <v>453.72</v>
          </cell>
          <cell r="U53">
            <v>453.95</v>
          </cell>
        </row>
        <row r="54">
          <cell r="F54">
            <v>407.47</v>
          </cell>
          <cell r="U54">
            <v>416.26</v>
          </cell>
        </row>
        <row r="55">
          <cell r="F55">
            <v>1743.6</v>
          </cell>
          <cell r="U55">
            <v>1757.3</v>
          </cell>
        </row>
        <row r="56">
          <cell r="F56">
            <v>66.362555999999998</v>
          </cell>
          <cell r="U56">
            <v>69.286848000000006</v>
          </cell>
        </row>
        <row r="57">
          <cell r="F57">
            <v>68.567999999999998</v>
          </cell>
          <cell r="U57">
            <v>70.497</v>
          </cell>
        </row>
        <row r="58">
          <cell r="F58">
            <v>860.99</v>
          </cell>
          <cell r="U58">
            <v>866.47</v>
          </cell>
        </row>
      </sheetData>
      <sheetData sheetId="6">
        <row r="33">
          <cell r="F33">
            <v>5758.5280000000002</v>
          </cell>
          <cell r="U33">
            <v>5806.6540000000005</v>
          </cell>
        </row>
        <row r="34">
          <cell r="F34">
            <v>1127.394</v>
          </cell>
          <cell r="U34">
            <v>1136.549</v>
          </cell>
        </row>
        <row r="35">
          <cell r="F35">
            <v>15228</v>
          </cell>
          <cell r="U35">
            <v>15410</v>
          </cell>
        </row>
        <row r="36">
          <cell r="F36">
            <v>23921</v>
          </cell>
          <cell r="U36">
            <v>23921</v>
          </cell>
        </row>
        <row r="37">
          <cell r="F37">
            <v>2563.6999999999998</v>
          </cell>
          <cell r="U37">
            <v>2588.1</v>
          </cell>
        </row>
        <row r="38">
          <cell r="F38">
            <v>1245.7</v>
          </cell>
          <cell r="U38">
            <v>1260.0999999999999</v>
          </cell>
        </row>
        <row r="39">
          <cell r="F39">
            <v>159.68</v>
          </cell>
          <cell r="U39">
            <v>160.62</v>
          </cell>
        </row>
        <row r="40">
          <cell r="F40">
            <v>45.973999999999997</v>
          </cell>
          <cell r="U40">
            <v>47.796999999999997</v>
          </cell>
        </row>
        <row r="41">
          <cell r="F41">
            <v>3.0609000000000002</v>
          </cell>
          <cell r="U41">
            <v>3.1756000000000002</v>
          </cell>
        </row>
        <row r="42">
          <cell r="F42">
            <v>762.08</v>
          </cell>
          <cell r="U42">
            <v>768.94</v>
          </cell>
        </row>
        <row r="43">
          <cell r="F43">
            <v>683.73</v>
          </cell>
          <cell r="U43">
            <v>689.49</v>
          </cell>
        </row>
        <row r="44">
          <cell r="F44">
            <v>1878.7</v>
          </cell>
          <cell r="U44">
            <v>1900.7</v>
          </cell>
        </row>
        <row r="45">
          <cell r="F45">
            <v>27.684999999999999</v>
          </cell>
          <cell r="U45">
            <v>27.832999999999998</v>
          </cell>
        </row>
        <row r="46">
          <cell r="F46">
            <v>5.3449999999999998</v>
          </cell>
          <cell r="U46">
            <v>5.4244000000000003</v>
          </cell>
        </row>
        <row r="47">
          <cell r="F47">
            <v>72.706000000000003</v>
          </cell>
          <cell r="U47">
            <v>72.881</v>
          </cell>
        </row>
        <row r="48">
          <cell r="F48">
            <v>417.38</v>
          </cell>
          <cell r="U48">
            <v>422.56</v>
          </cell>
        </row>
        <row r="49">
          <cell r="F49">
            <v>234.56814</v>
          </cell>
          <cell r="U49">
            <v>243.9</v>
          </cell>
        </row>
        <row r="50">
          <cell r="F50">
            <v>4897.6000000000004</v>
          </cell>
          <cell r="U50">
            <v>4964</v>
          </cell>
        </row>
        <row r="51">
          <cell r="F51">
            <v>59.74</v>
          </cell>
          <cell r="U51">
            <v>61.866</v>
          </cell>
        </row>
        <row r="52">
          <cell r="F52">
            <v>390.27</v>
          </cell>
          <cell r="U52">
            <v>390.56</v>
          </cell>
        </row>
        <row r="53">
          <cell r="F53">
            <v>459.97</v>
          </cell>
          <cell r="U53">
            <v>491.07</v>
          </cell>
        </row>
        <row r="54">
          <cell r="F54">
            <v>423.38</v>
          </cell>
          <cell r="U54">
            <v>440.07</v>
          </cell>
        </row>
        <row r="55">
          <cell r="F55">
            <v>1769.8</v>
          </cell>
          <cell r="U55">
            <v>1788.9</v>
          </cell>
        </row>
        <row r="56">
          <cell r="F56">
            <v>72.037784000000002</v>
          </cell>
          <cell r="U56">
            <v>74.678095999999996</v>
          </cell>
        </row>
        <row r="57">
          <cell r="F57">
            <v>72.744</v>
          </cell>
          <cell r="U57">
            <v>75.998000000000005</v>
          </cell>
        </row>
        <row r="58">
          <cell r="F58">
            <v>871.71</v>
          </cell>
          <cell r="U58">
            <v>879.82</v>
          </cell>
        </row>
      </sheetData>
      <sheetData sheetId="7">
        <row r="33">
          <cell r="F33">
            <v>5844.1379999999999</v>
          </cell>
        </row>
        <row r="34">
          <cell r="F34">
            <v>1144.223</v>
          </cell>
        </row>
        <row r="35">
          <cell r="F35">
            <v>15549</v>
          </cell>
        </row>
        <row r="36">
          <cell r="F36">
            <v>23921</v>
          </cell>
        </row>
        <row r="37">
          <cell r="F37">
            <v>2607.5</v>
          </cell>
        </row>
        <row r="38">
          <cell r="F38">
            <v>1272</v>
          </cell>
        </row>
        <row r="39">
          <cell r="F39">
            <v>161.55000000000001</v>
          </cell>
        </row>
        <row r="40">
          <cell r="F40">
            <v>49.082000000000001</v>
          </cell>
        </row>
        <row r="41">
          <cell r="F41">
            <v>3.254</v>
          </cell>
        </row>
        <row r="42">
          <cell r="F42">
            <v>774.64</v>
          </cell>
        </row>
        <row r="43">
          <cell r="F43">
            <v>694.68</v>
          </cell>
        </row>
        <row r="44">
          <cell r="F44">
            <v>1917.2</v>
          </cell>
        </row>
        <row r="45">
          <cell r="F45">
            <v>27.981999999999999</v>
          </cell>
        </row>
        <row r="46">
          <cell r="F46">
            <v>5.4522000000000004</v>
          </cell>
        </row>
        <row r="47">
          <cell r="F47">
            <v>72.885999999999996</v>
          </cell>
        </row>
        <row r="48">
          <cell r="F48">
            <v>426.67</v>
          </cell>
        </row>
        <row r="49">
          <cell r="F49">
            <v>251.62217999999999</v>
          </cell>
        </row>
        <row r="50">
          <cell r="F50">
            <v>5015.6000000000004</v>
          </cell>
        </row>
        <row r="51">
          <cell r="F51">
            <v>63.567999999999998</v>
          </cell>
        </row>
        <row r="52">
          <cell r="F52">
            <v>412.39</v>
          </cell>
        </row>
        <row r="53">
          <cell r="F53">
            <v>492.23</v>
          </cell>
        </row>
        <row r="54">
          <cell r="F54">
            <v>453.83</v>
          </cell>
        </row>
        <row r="55">
          <cell r="F55">
            <v>1802.9</v>
          </cell>
        </row>
        <row r="56">
          <cell r="F56">
            <v>77.711768000000006</v>
          </cell>
        </row>
        <row r="57">
          <cell r="F57">
            <v>78.718999999999994</v>
          </cell>
        </row>
        <row r="58">
          <cell r="F58">
            <v>886.28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onsumsi &amp; pareto"/>
      <sheetName val="HK - BDGT"/>
      <sheetName val="Tonase"/>
      <sheetName val="Summary"/>
    </sheetNames>
    <sheetDataSet>
      <sheetData sheetId="0">
        <row r="30">
          <cell r="H30">
            <v>3673.0457196465936</v>
          </cell>
          <cell r="I30">
            <v>2239.18619138541</v>
          </cell>
          <cell r="J30">
            <v>2605.2795622234898</v>
          </cell>
          <cell r="K30">
            <v>1895.4257597740932</v>
          </cell>
          <cell r="L30">
            <v>3187.8746644415505</v>
          </cell>
          <cell r="M30">
            <v>2246.7574213690482</v>
          </cell>
          <cell r="N30">
            <v>3647.9845631757667</v>
          </cell>
          <cell r="O30">
            <v>2413.6706961160185</v>
          </cell>
          <cell r="P30">
            <v>1910.018903941366</v>
          </cell>
          <cell r="Q30">
            <v>767.31618055330102</v>
          </cell>
          <cell r="R30">
            <v>2708.0414587957016</v>
          </cell>
          <cell r="S30">
            <v>2262.6440253016144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9">
          <cell r="H39">
            <v>857.9542803534066</v>
          </cell>
          <cell r="I39">
            <v>820.81380861459002</v>
          </cell>
          <cell r="J39">
            <v>864.72043777651027</v>
          </cell>
          <cell r="K39">
            <v>960.57424022590681</v>
          </cell>
          <cell r="L39">
            <v>986.12533555844925</v>
          </cell>
          <cell r="M39">
            <v>808.24257863095204</v>
          </cell>
          <cell r="N39">
            <v>1086.0154368242336</v>
          </cell>
          <cell r="O39">
            <v>945.32930388398154</v>
          </cell>
          <cell r="P39">
            <v>947.98109605863408</v>
          </cell>
          <cell r="Q39">
            <v>340.68381944669898</v>
          </cell>
          <cell r="R39">
            <v>1038.9585412042984</v>
          </cell>
          <cell r="S39">
            <v>781.35597469838547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55">
          <cell r="H55">
            <v>236.45357141974114</v>
          </cell>
          <cell r="I55">
            <v>213.4115865592143</v>
          </cell>
          <cell r="J55">
            <v>273.22644794597676</v>
          </cell>
          <cell r="K55">
            <v>382.80237883086676</v>
          </cell>
          <cell r="L55">
            <v>398.29816013933589</v>
          </cell>
          <cell r="M55">
            <v>257.47009920572447</v>
          </cell>
          <cell r="N55">
            <v>492.49531809688801</v>
          </cell>
          <cell r="O55">
            <v>403.78228193649238</v>
          </cell>
          <cell r="P55">
            <v>382.83832156971982</v>
          </cell>
          <cell r="Q55">
            <v>35.682084019348906</v>
          </cell>
          <cell r="R55">
            <v>459.53318465077058</v>
          </cell>
          <cell r="S55">
            <v>208.98020997744359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H56">
            <v>411.33701785106211</v>
          </cell>
          <cell r="I56">
            <v>392.92104492265213</v>
          </cell>
          <cell r="J56">
            <v>385.73261027836503</v>
          </cell>
          <cell r="K56">
            <v>372.88885189129206</v>
          </cell>
          <cell r="L56">
            <v>377.59154524220412</v>
          </cell>
          <cell r="M56">
            <v>349.76857215562075</v>
          </cell>
          <cell r="N56">
            <v>380.73049091340943</v>
          </cell>
          <cell r="O56">
            <v>337.18854477607323</v>
          </cell>
          <cell r="P56">
            <v>368.25932747417323</v>
          </cell>
          <cell r="Q56">
            <v>121.72408149610746</v>
          </cell>
          <cell r="R56">
            <v>364.92270123985378</v>
          </cell>
          <cell r="S56">
            <v>366.4032997943948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64">
          <cell r="H64">
            <v>3673.0457196465936</v>
          </cell>
          <cell r="I64">
            <v>2239.18619138541</v>
          </cell>
          <cell r="J64">
            <v>2605.2795622234898</v>
          </cell>
          <cell r="K64">
            <v>1895.4257597740932</v>
          </cell>
          <cell r="L64">
            <v>3187.8746644415505</v>
          </cell>
          <cell r="M64">
            <v>2246.7574213690477</v>
          </cell>
          <cell r="N64">
            <v>3647.9845631757667</v>
          </cell>
          <cell r="O64">
            <v>2413.6706961160185</v>
          </cell>
          <cell r="P64">
            <v>1910.018903941366</v>
          </cell>
          <cell r="Q64">
            <v>767.31618055330102</v>
          </cell>
          <cell r="R64">
            <v>2708.0414587957016</v>
          </cell>
          <cell r="S64">
            <v>2262.6440253016144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5">
          <cell r="H65">
            <v>191</v>
          </cell>
          <cell r="I65">
            <v>176</v>
          </cell>
          <cell r="J65">
            <v>177</v>
          </cell>
          <cell r="K65">
            <v>144</v>
          </cell>
          <cell r="L65">
            <v>191</v>
          </cell>
          <cell r="M65">
            <v>160</v>
          </cell>
          <cell r="N65">
            <v>195</v>
          </cell>
          <cell r="O65">
            <v>146</v>
          </cell>
          <cell r="P65">
            <v>137</v>
          </cell>
          <cell r="Q65">
            <v>104</v>
          </cell>
          <cell r="R65">
            <v>363</v>
          </cell>
          <cell r="S65">
            <v>269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8">
          <cell r="H68">
            <v>1007.9085607068132</v>
          </cell>
          <cell r="I68">
            <v>901.62761722918003</v>
          </cell>
          <cell r="J68">
            <v>1059.4408755530205</v>
          </cell>
          <cell r="K68">
            <v>1229.1484804518136</v>
          </cell>
          <cell r="L68">
            <v>1272.2506711168987</v>
          </cell>
          <cell r="M68">
            <v>955.48515726190419</v>
          </cell>
          <cell r="N68">
            <v>1460.0308736484669</v>
          </cell>
          <cell r="O68">
            <v>1210.6586077679631</v>
          </cell>
          <cell r="P68">
            <v>1229.9621921172679</v>
          </cell>
          <cell r="Q68">
            <v>244.3676388933979</v>
          </cell>
          <cell r="R68">
            <v>1376.9170824085968</v>
          </cell>
          <cell r="S68">
            <v>904.71194939677082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H69">
            <v>170</v>
          </cell>
          <cell r="I69">
            <v>170</v>
          </cell>
          <cell r="J69">
            <v>170</v>
          </cell>
          <cell r="K69">
            <v>170</v>
          </cell>
          <cell r="L69">
            <v>170</v>
          </cell>
          <cell r="M69">
            <v>170</v>
          </cell>
          <cell r="N69">
            <v>170</v>
          </cell>
          <cell r="O69">
            <v>170</v>
          </cell>
          <cell r="P69">
            <v>170</v>
          </cell>
          <cell r="Q69">
            <v>170</v>
          </cell>
          <cell r="R69">
            <v>170</v>
          </cell>
          <cell r="S69">
            <v>170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nsumsi &amp; pareto"/>
      <sheetName val="Tonase"/>
      <sheetName val="HK - BDGT"/>
      <sheetName val="DATA GAS PER 2020"/>
      <sheetName val="Sheet1"/>
    </sheetNames>
    <sheetDataSet>
      <sheetData sheetId="0">
        <row r="10">
          <cell r="G10">
            <v>990.09640000000013</v>
          </cell>
          <cell r="H10">
            <v>1009.9356</v>
          </cell>
          <cell r="I10">
            <v>1215.1934000000001</v>
          </cell>
          <cell r="J10">
            <v>1210.5374000000002</v>
          </cell>
          <cell r="K10">
            <v>1206.9549000000002</v>
          </cell>
          <cell r="L10">
            <v>1238.8681999999999</v>
          </cell>
          <cell r="M10">
            <v>1375.4431</v>
          </cell>
          <cell r="N10">
            <v>1181.2040000000002</v>
          </cell>
          <cell r="O10">
            <v>867.67160000000001</v>
          </cell>
          <cell r="P10">
            <v>358.30029999999999</v>
          </cell>
          <cell r="Q10">
            <v>1239.1415999999999</v>
          </cell>
          <cell r="R10">
            <v>1250.144</v>
          </cell>
        </row>
        <row r="13">
          <cell r="G13">
            <v>221.42668607256797</v>
          </cell>
          <cell r="H13">
            <v>217.93948718332609</v>
          </cell>
          <cell r="I13">
            <v>293.52221003909233</v>
          </cell>
          <cell r="J13">
            <v>284.73643589412916</v>
          </cell>
          <cell r="K13">
            <v>292.48142599573339</v>
          </cell>
          <cell r="L13">
            <v>292.10442654203467</v>
          </cell>
          <cell r="M13">
            <v>338.60211361826953</v>
          </cell>
          <cell r="N13">
            <v>298.03652926158395</v>
          </cell>
          <cell r="O13">
            <v>190.57713488385221</v>
          </cell>
          <cell r="P13">
            <v>83.132068272015971</v>
          </cell>
          <cell r="Q13">
            <v>298.64971511390092</v>
          </cell>
          <cell r="R13">
            <v>299.66212115582289</v>
          </cell>
        </row>
        <row r="14">
          <cell r="G14">
            <v>7.0685052245255164</v>
          </cell>
          <cell r="H14">
            <v>31.099078181143099</v>
          </cell>
          <cell r="I14">
            <v>12.619820258330652</v>
          </cell>
          <cell r="J14">
            <v>13.071126699784266</v>
          </cell>
          <cell r="K14">
            <v>11.026991404203148</v>
          </cell>
          <cell r="L14">
            <v>10.365665937639799</v>
          </cell>
          <cell r="M14">
            <v>16.465534936881955</v>
          </cell>
          <cell r="N14">
            <v>20.017250691920413</v>
          </cell>
          <cell r="O14">
            <v>14.35375435228833</v>
          </cell>
          <cell r="P14">
            <v>6.3669511385313093</v>
          </cell>
          <cell r="Q14">
            <v>22.34863687195892</v>
          </cell>
          <cell r="R14">
            <v>19.521042425838072</v>
          </cell>
        </row>
        <row r="15">
          <cell r="G15">
            <v>68.863439024983762</v>
          </cell>
          <cell r="H15">
            <v>61.963775598795642</v>
          </cell>
          <cell r="I15">
            <v>90.180284975710279</v>
          </cell>
          <cell r="J15">
            <v>85.63918223771455</v>
          </cell>
          <cell r="K15">
            <v>81.835908576419669</v>
          </cell>
          <cell r="L15">
            <v>71.221069741144106</v>
          </cell>
          <cell r="M15">
            <v>71.266210163613209</v>
          </cell>
          <cell r="N15">
            <v>94.094907791514643</v>
          </cell>
          <cell r="O15">
            <v>127.15071099064957</v>
          </cell>
          <cell r="P15">
            <v>48.458154621415403</v>
          </cell>
          <cell r="Q15">
            <v>72.791755787198895</v>
          </cell>
          <cell r="R15">
            <v>95.349523656304839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TEAM &amp; GAS BALANCE"/>
      <sheetName val="STEAM &amp; GAS 2015"/>
      <sheetName val="STEAM &amp; GAS 2016"/>
      <sheetName val="STEAM &amp; GAS 2017"/>
      <sheetName val="STEAM &amp; GAS 2018"/>
      <sheetName val="STEAM &amp; GAS 2019"/>
      <sheetName val="JANUARI 2019"/>
      <sheetName val="FEBRUARI 2019"/>
      <sheetName val="MARET 2019"/>
      <sheetName val="APRIL 2019"/>
      <sheetName val="MEI 2019"/>
      <sheetName val="JUNI 2019"/>
      <sheetName val="JULI 2019"/>
      <sheetName val="AGUSTUS 2019"/>
      <sheetName val="SEPTEMBER 2019"/>
      <sheetName val="OKTOBER 2019"/>
      <sheetName val="NOVEMBER 2019"/>
      <sheetName val="DESEMBER 2019"/>
    </sheetNames>
    <sheetDataSet>
      <sheetData sheetId="0"/>
      <sheetData sheetId="1"/>
      <sheetData sheetId="2"/>
      <sheetData sheetId="3"/>
      <sheetData sheetId="4"/>
      <sheetData sheetId="5"/>
      <sheetData sheetId="6">
        <row r="86">
          <cell r="E86">
            <v>0</v>
          </cell>
        </row>
        <row r="164">
          <cell r="AJ164">
            <v>0</v>
          </cell>
          <cell r="AK164">
            <v>0</v>
          </cell>
        </row>
        <row r="165">
          <cell r="AJ165">
            <v>244.78999999999724</v>
          </cell>
          <cell r="AK165">
            <v>135.95000000000073</v>
          </cell>
        </row>
        <row r="166">
          <cell r="AJ166">
            <v>253</v>
          </cell>
          <cell r="AK166">
            <v>174</v>
          </cell>
        </row>
        <row r="167">
          <cell r="AJ167">
            <v>116</v>
          </cell>
          <cell r="AK167">
            <v>130</v>
          </cell>
        </row>
        <row r="168">
          <cell r="AJ168">
            <v>75</v>
          </cell>
          <cell r="AK168">
            <v>69</v>
          </cell>
        </row>
        <row r="169">
          <cell r="AJ169">
            <v>82</v>
          </cell>
          <cell r="AK169">
            <v>22</v>
          </cell>
        </row>
        <row r="170">
          <cell r="AJ170">
            <v>72</v>
          </cell>
          <cell r="AK170">
            <v>24</v>
          </cell>
        </row>
        <row r="171">
          <cell r="AJ171">
            <v>60</v>
          </cell>
          <cell r="AK171">
            <v>63</v>
          </cell>
        </row>
        <row r="172">
          <cell r="AJ172">
            <v>62</v>
          </cell>
          <cell r="AK172">
            <v>51</v>
          </cell>
        </row>
        <row r="173">
          <cell r="AJ173">
            <v>238.70000000000073</v>
          </cell>
          <cell r="AK173">
            <v>163</v>
          </cell>
        </row>
        <row r="174">
          <cell r="AJ174">
            <v>0</v>
          </cell>
          <cell r="AK174">
            <v>0</v>
          </cell>
        </row>
        <row r="175">
          <cell r="AJ175">
            <v>0</v>
          </cell>
          <cell r="AK175">
            <v>0</v>
          </cell>
        </row>
        <row r="176">
          <cell r="AJ176">
            <v>243.32000000000153</v>
          </cell>
          <cell r="AK176">
            <v>160</v>
          </cell>
        </row>
        <row r="177">
          <cell r="AJ177">
            <v>0</v>
          </cell>
          <cell r="AK177">
            <v>0</v>
          </cell>
        </row>
      </sheetData>
      <sheetData sheetId="7">
        <row r="86">
          <cell r="D86">
            <v>0</v>
          </cell>
        </row>
        <row r="164">
          <cell r="AJ164">
            <v>0</v>
          </cell>
          <cell r="AK164">
            <v>0</v>
          </cell>
        </row>
        <row r="165">
          <cell r="AJ165">
            <v>187.68000000000029</v>
          </cell>
          <cell r="AK165">
            <v>149.47999999999956</v>
          </cell>
        </row>
        <row r="166">
          <cell r="AJ166">
            <v>184</v>
          </cell>
          <cell r="AK166">
            <v>186</v>
          </cell>
        </row>
        <row r="167">
          <cell r="AJ167">
            <v>20</v>
          </cell>
          <cell r="AK167">
            <v>39</v>
          </cell>
        </row>
        <row r="168">
          <cell r="AJ168">
            <v>149</v>
          </cell>
          <cell r="AK168">
            <v>37</v>
          </cell>
        </row>
        <row r="169">
          <cell r="AJ169">
            <v>68</v>
          </cell>
          <cell r="AK169">
            <v>0</v>
          </cell>
        </row>
        <row r="170">
          <cell r="AJ170">
            <v>69</v>
          </cell>
          <cell r="AK170">
            <v>0</v>
          </cell>
        </row>
        <row r="171">
          <cell r="AJ171">
            <v>32</v>
          </cell>
          <cell r="AK171">
            <v>61</v>
          </cell>
        </row>
        <row r="172">
          <cell r="AJ172">
            <v>41</v>
          </cell>
          <cell r="AK172">
            <v>68</v>
          </cell>
        </row>
        <row r="173">
          <cell r="AJ173">
            <v>190.57999999999993</v>
          </cell>
          <cell r="AK173">
            <v>125.73999999999978</v>
          </cell>
        </row>
        <row r="174">
          <cell r="AJ174">
            <v>0</v>
          </cell>
          <cell r="AK174">
            <v>0</v>
          </cell>
        </row>
        <row r="175">
          <cell r="AJ175">
            <v>0</v>
          </cell>
          <cell r="AK175">
            <v>0</v>
          </cell>
        </row>
        <row r="176">
          <cell r="AJ176">
            <v>177.75</v>
          </cell>
          <cell r="AK176">
            <v>162.34999999999854</v>
          </cell>
        </row>
        <row r="177">
          <cell r="AJ177">
            <v>0</v>
          </cell>
          <cell r="AK177">
            <v>0</v>
          </cell>
        </row>
      </sheetData>
      <sheetData sheetId="8">
        <row r="164">
          <cell r="AJ164">
            <v>0</v>
          </cell>
          <cell r="AK164">
            <v>1.8400000000001455</v>
          </cell>
        </row>
        <row r="165">
          <cell r="AJ165">
            <v>184.65000000000146</v>
          </cell>
          <cell r="AK165">
            <v>114.05999999999767</v>
          </cell>
        </row>
        <row r="166">
          <cell r="AJ166">
            <v>221</v>
          </cell>
          <cell r="AK166">
            <v>121</v>
          </cell>
        </row>
        <row r="167">
          <cell r="AJ167">
            <v>73</v>
          </cell>
          <cell r="AK167">
            <v>65</v>
          </cell>
        </row>
        <row r="168">
          <cell r="AJ168">
            <v>130</v>
          </cell>
          <cell r="AK168">
            <v>67</v>
          </cell>
        </row>
        <row r="169">
          <cell r="AJ169">
            <v>0</v>
          </cell>
          <cell r="AK169">
            <v>55</v>
          </cell>
        </row>
        <row r="170">
          <cell r="AJ170">
            <v>0</v>
          </cell>
          <cell r="AK170">
            <v>57</v>
          </cell>
        </row>
        <row r="171">
          <cell r="AJ171">
            <v>93</v>
          </cell>
          <cell r="AK171">
            <v>0</v>
          </cell>
        </row>
        <row r="172">
          <cell r="AJ172">
            <v>92</v>
          </cell>
          <cell r="AK172">
            <v>0</v>
          </cell>
        </row>
        <row r="173">
          <cell r="AJ173">
            <v>194.84000000000015</v>
          </cell>
          <cell r="AK173">
            <v>95.170000000000073</v>
          </cell>
        </row>
        <row r="174">
          <cell r="AJ174">
            <v>0</v>
          </cell>
          <cell r="AK174">
            <v>0</v>
          </cell>
        </row>
        <row r="175">
          <cell r="AJ175">
            <v>0</v>
          </cell>
          <cell r="AK175">
            <v>0</v>
          </cell>
        </row>
        <row r="176">
          <cell r="AJ176">
            <v>208.84000000000015</v>
          </cell>
          <cell r="AK176">
            <v>119.84000000000015</v>
          </cell>
        </row>
        <row r="177">
          <cell r="AJ177">
            <v>0</v>
          </cell>
          <cell r="AK177">
            <v>0</v>
          </cell>
        </row>
      </sheetData>
      <sheetData sheetId="9">
        <row r="86">
          <cell r="E86">
            <v>2623.390000000014</v>
          </cell>
        </row>
        <row r="164">
          <cell r="AJ164">
            <v>2.4899999999997817</v>
          </cell>
          <cell r="AK164">
            <v>0.44000000000050932</v>
          </cell>
        </row>
        <row r="165">
          <cell r="AJ165">
            <v>228.36000000000058</v>
          </cell>
          <cell r="AK165">
            <v>221.38000000000102</v>
          </cell>
        </row>
        <row r="166">
          <cell r="AJ166">
            <v>231</v>
          </cell>
          <cell r="AK166">
            <v>217</v>
          </cell>
        </row>
        <row r="167">
          <cell r="AJ167">
            <v>125</v>
          </cell>
          <cell r="AK167">
            <v>39</v>
          </cell>
        </row>
        <row r="168">
          <cell r="AJ168">
            <v>67</v>
          </cell>
          <cell r="AK168">
            <v>221</v>
          </cell>
        </row>
        <row r="169">
          <cell r="AJ169">
            <v>82</v>
          </cell>
          <cell r="AK169">
            <v>17</v>
          </cell>
        </row>
        <row r="170">
          <cell r="AJ170">
            <v>81</v>
          </cell>
          <cell r="AK170">
            <v>8</v>
          </cell>
        </row>
        <row r="171">
          <cell r="AJ171">
            <v>61</v>
          </cell>
          <cell r="AK171">
            <v>110</v>
          </cell>
        </row>
        <row r="172">
          <cell r="AJ172">
            <v>49</v>
          </cell>
          <cell r="AK172">
            <v>123</v>
          </cell>
        </row>
        <row r="173">
          <cell r="AJ173">
            <v>223.60000000000036</v>
          </cell>
          <cell r="AK173">
            <v>220.14999999999964</v>
          </cell>
        </row>
        <row r="174">
          <cell r="AJ174">
            <v>0</v>
          </cell>
          <cell r="AK174">
            <v>0</v>
          </cell>
        </row>
        <row r="175">
          <cell r="AJ175">
            <v>0</v>
          </cell>
          <cell r="AK175">
            <v>0</v>
          </cell>
        </row>
        <row r="176">
          <cell r="AJ176">
            <v>229.90999999999985</v>
          </cell>
          <cell r="AK176">
            <v>208.98000000000138</v>
          </cell>
        </row>
        <row r="177">
          <cell r="AJ177">
            <v>0</v>
          </cell>
          <cell r="AK177">
            <v>0</v>
          </cell>
        </row>
      </sheetData>
      <sheetData sheetId="10">
        <row r="87">
          <cell r="E87">
            <v>736.40000000002328</v>
          </cell>
        </row>
        <row r="164">
          <cell r="AJ164">
            <v>2.9699999999993452</v>
          </cell>
          <cell r="AK164">
            <v>0</v>
          </cell>
        </row>
        <row r="165">
          <cell r="AJ165">
            <v>324.38000000000102</v>
          </cell>
          <cell r="AK165">
            <v>205.59000000000015</v>
          </cell>
        </row>
        <row r="166">
          <cell r="AJ166">
            <v>319</v>
          </cell>
          <cell r="AK166">
            <v>198</v>
          </cell>
        </row>
        <row r="167">
          <cell r="AJ167">
            <v>128</v>
          </cell>
          <cell r="AK167">
            <v>50</v>
          </cell>
        </row>
        <row r="168">
          <cell r="AJ168">
            <v>312</v>
          </cell>
          <cell r="AK168">
            <v>185</v>
          </cell>
        </row>
        <row r="169">
          <cell r="AJ169">
            <v>28</v>
          </cell>
          <cell r="AK169">
            <v>96</v>
          </cell>
        </row>
        <row r="170">
          <cell r="AJ170">
            <v>29</v>
          </cell>
          <cell r="AK170">
            <v>92</v>
          </cell>
        </row>
        <row r="171">
          <cell r="AJ171">
            <v>164</v>
          </cell>
          <cell r="AK171">
            <v>41</v>
          </cell>
        </row>
        <row r="172">
          <cell r="AJ172">
            <v>164</v>
          </cell>
          <cell r="AK172">
            <v>30</v>
          </cell>
        </row>
        <row r="173">
          <cell r="AJ173">
            <v>322.76000000000022</v>
          </cell>
          <cell r="AK173">
            <v>205.03999999999905</v>
          </cell>
        </row>
        <row r="174">
          <cell r="AJ174">
            <v>0</v>
          </cell>
          <cell r="AK174">
            <v>0</v>
          </cell>
        </row>
        <row r="175">
          <cell r="AJ175">
            <v>0</v>
          </cell>
          <cell r="AK175">
            <v>0</v>
          </cell>
        </row>
        <row r="176">
          <cell r="AJ176">
            <v>318.33999999999833</v>
          </cell>
          <cell r="AK176">
            <v>204.02000000000044</v>
          </cell>
        </row>
        <row r="177">
          <cell r="AJ177">
            <v>0</v>
          </cell>
          <cell r="AK177">
            <v>0</v>
          </cell>
        </row>
      </sheetData>
      <sheetData sheetId="11">
        <row r="87">
          <cell r="E87">
            <v>0</v>
          </cell>
        </row>
        <row r="164">
          <cell r="AK164">
            <v>0</v>
          </cell>
          <cell r="AL164">
            <v>8.5799999999999272</v>
          </cell>
        </row>
        <row r="165">
          <cell r="AK165">
            <v>69.549999999999272</v>
          </cell>
          <cell r="AL165">
            <v>274.22000000000116</v>
          </cell>
        </row>
        <row r="166">
          <cell r="AK166">
            <v>135</v>
          </cell>
          <cell r="AL166">
            <v>282</v>
          </cell>
        </row>
        <row r="167">
          <cell r="AK167">
            <v>9</v>
          </cell>
          <cell r="AL167">
            <v>84</v>
          </cell>
        </row>
        <row r="168">
          <cell r="AK168">
            <v>0</v>
          </cell>
          <cell r="AL168">
            <v>78</v>
          </cell>
        </row>
        <row r="169">
          <cell r="AK169">
            <v>0</v>
          </cell>
          <cell r="AL169">
            <v>170</v>
          </cell>
        </row>
        <row r="170">
          <cell r="AK170">
            <v>0</v>
          </cell>
          <cell r="AL170">
            <v>171</v>
          </cell>
        </row>
        <row r="171">
          <cell r="AK171">
            <v>29</v>
          </cell>
          <cell r="AL171">
            <v>3</v>
          </cell>
        </row>
        <row r="172">
          <cell r="AK172">
            <v>38</v>
          </cell>
          <cell r="AL172">
            <v>2</v>
          </cell>
        </row>
        <row r="173">
          <cell r="AK173">
            <v>93.040000000000873</v>
          </cell>
          <cell r="AL173">
            <v>273.8799999999992</v>
          </cell>
        </row>
        <row r="174">
          <cell r="AK174">
            <v>0</v>
          </cell>
          <cell r="AL174">
            <v>0</v>
          </cell>
        </row>
        <row r="175">
          <cell r="AK175">
            <v>0</v>
          </cell>
          <cell r="AL175">
            <v>0</v>
          </cell>
        </row>
        <row r="176">
          <cell r="AK176">
            <v>96.010000000000218</v>
          </cell>
          <cell r="AL176">
            <v>287.52000000000044</v>
          </cell>
        </row>
        <row r="177">
          <cell r="AK177">
            <v>0</v>
          </cell>
          <cell r="AL177">
            <v>0</v>
          </cell>
        </row>
      </sheetData>
      <sheetData sheetId="12">
        <row r="87">
          <cell r="E87">
            <v>0</v>
          </cell>
        </row>
        <row r="164">
          <cell r="AK164">
            <v>288.55999999999949</v>
          </cell>
          <cell r="AL164">
            <v>248.32000000000153</v>
          </cell>
        </row>
        <row r="165">
          <cell r="AK165">
            <v>0</v>
          </cell>
          <cell r="AL165">
            <v>0</v>
          </cell>
        </row>
        <row r="166">
          <cell r="AK166">
            <v>277</v>
          </cell>
          <cell r="AL166">
            <v>128</v>
          </cell>
        </row>
        <row r="167">
          <cell r="AK167">
            <v>108</v>
          </cell>
          <cell r="AL167">
            <v>202</v>
          </cell>
        </row>
        <row r="168">
          <cell r="AK168">
            <v>88</v>
          </cell>
          <cell r="AL168">
            <v>134</v>
          </cell>
        </row>
        <row r="169">
          <cell r="AK169">
            <v>93</v>
          </cell>
          <cell r="AL169">
            <v>116</v>
          </cell>
        </row>
        <row r="170">
          <cell r="AK170">
            <v>101</v>
          </cell>
          <cell r="AL170">
            <v>119</v>
          </cell>
        </row>
        <row r="171">
          <cell r="AK171">
            <v>93</v>
          </cell>
          <cell r="AL171">
            <v>54</v>
          </cell>
        </row>
        <row r="172">
          <cell r="AK172">
            <v>98</v>
          </cell>
          <cell r="AL172">
            <v>64</v>
          </cell>
        </row>
        <row r="173">
          <cell r="AK173">
            <v>291.23000000000138</v>
          </cell>
          <cell r="AL173">
            <v>312.82999999999993</v>
          </cell>
        </row>
        <row r="174">
          <cell r="AK174">
            <v>0</v>
          </cell>
          <cell r="AL174">
            <v>0</v>
          </cell>
        </row>
        <row r="175">
          <cell r="AK175">
            <v>0</v>
          </cell>
          <cell r="AL175">
            <v>0</v>
          </cell>
        </row>
        <row r="176">
          <cell r="AK176">
            <v>296.40999999999985</v>
          </cell>
          <cell r="AL176">
            <v>300.81000000000131</v>
          </cell>
        </row>
        <row r="177">
          <cell r="AK177">
            <v>0</v>
          </cell>
          <cell r="AL177">
            <v>0</v>
          </cell>
        </row>
      </sheetData>
      <sheetData sheetId="13">
        <row r="87">
          <cell r="E87">
            <v>0</v>
          </cell>
        </row>
        <row r="164">
          <cell r="AK164">
            <v>125.46999999999935</v>
          </cell>
          <cell r="AL164">
            <v>21.319999999999709</v>
          </cell>
        </row>
        <row r="165">
          <cell r="AK165">
            <v>139.84000000000015</v>
          </cell>
          <cell r="AL165">
            <v>230.55999999999767</v>
          </cell>
        </row>
        <row r="166">
          <cell r="AK166">
            <v>289</v>
          </cell>
          <cell r="AL166">
            <v>213</v>
          </cell>
        </row>
        <row r="167">
          <cell r="AK167">
            <v>157</v>
          </cell>
          <cell r="AL167">
            <v>112</v>
          </cell>
        </row>
        <row r="168">
          <cell r="AK168">
            <v>61</v>
          </cell>
          <cell r="AL168">
            <v>64</v>
          </cell>
        </row>
        <row r="169">
          <cell r="AK169">
            <v>187</v>
          </cell>
          <cell r="AL169">
            <v>13</v>
          </cell>
        </row>
        <row r="170">
          <cell r="AK170">
            <v>187</v>
          </cell>
          <cell r="AL170">
            <v>2</v>
          </cell>
        </row>
        <row r="171">
          <cell r="AK171">
            <v>0</v>
          </cell>
          <cell r="AL171">
            <v>122</v>
          </cell>
        </row>
        <row r="172">
          <cell r="AK172">
            <v>0</v>
          </cell>
          <cell r="AL172">
            <v>115</v>
          </cell>
        </row>
        <row r="173">
          <cell r="AK173">
            <v>326.32999999999993</v>
          </cell>
          <cell r="AL173">
            <v>229.54999999999927</v>
          </cell>
        </row>
        <row r="174">
          <cell r="AK174">
            <v>0</v>
          </cell>
          <cell r="AL174">
            <v>0</v>
          </cell>
        </row>
        <row r="175">
          <cell r="AK175">
            <v>0</v>
          </cell>
          <cell r="AL175">
            <v>0</v>
          </cell>
        </row>
        <row r="176">
          <cell r="AK176">
            <v>286.22999999999956</v>
          </cell>
          <cell r="AL176">
            <v>234.57000000000153</v>
          </cell>
        </row>
        <row r="177">
          <cell r="AK177">
            <v>0</v>
          </cell>
          <cell r="AL177">
            <v>0</v>
          </cell>
        </row>
      </sheetData>
      <sheetData sheetId="14">
        <row r="87">
          <cell r="E87">
            <v>0</v>
          </cell>
        </row>
        <row r="164">
          <cell r="AK164">
            <v>49.920000000000073</v>
          </cell>
          <cell r="AL164">
            <v>93.270000000000437</v>
          </cell>
        </row>
        <row r="165">
          <cell r="AK165">
            <v>122.84000000000015</v>
          </cell>
          <cell r="AL165">
            <v>180.79999999999927</v>
          </cell>
        </row>
        <row r="166">
          <cell r="AK166">
            <v>172</v>
          </cell>
          <cell r="AL166">
            <v>258</v>
          </cell>
        </row>
        <row r="167">
          <cell r="AK167">
            <v>82</v>
          </cell>
          <cell r="AL167">
            <v>63</v>
          </cell>
        </row>
        <row r="168">
          <cell r="AK168">
            <v>54</v>
          </cell>
          <cell r="AL168">
            <v>55</v>
          </cell>
        </row>
        <row r="169">
          <cell r="AK169">
            <v>0</v>
          </cell>
          <cell r="AL169">
            <v>0</v>
          </cell>
        </row>
        <row r="170">
          <cell r="AK170">
            <v>0</v>
          </cell>
          <cell r="AL170">
            <v>0</v>
          </cell>
        </row>
        <row r="171">
          <cell r="AK171">
            <v>120</v>
          </cell>
          <cell r="AL171">
            <v>184</v>
          </cell>
        </row>
        <row r="172">
          <cell r="AK172">
            <v>114</v>
          </cell>
          <cell r="AL172">
            <v>183</v>
          </cell>
        </row>
        <row r="173">
          <cell r="AK173">
            <v>179.52000000000044</v>
          </cell>
          <cell r="AL173">
            <v>302.65999999999985</v>
          </cell>
        </row>
        <row r="174">
          <cell r="AK174">
            <v>0</v>
          </cell>
          <cell r="AL174">
            <v>0</v>
          </cell>
        </row>
        <row r="175">
          <cell r="AK175">
            <v>0</v>
          </cell>
          <cell r="AL175">
            <v>0</v>
          </cell>
        </row>
        <row r="176">
          <cell r="AK176">
            <v>180.30999999999949</v>
          </cell>
          <cell r="AL176">
            <v>269.01000000000022</v>
          </cell>
        </row>
        <row r="177">
          <cell r="AK177">
            <v>0</v>
          </cell>
          <cell r="AL177">
            <v>0</v>
          </cell>
        </row>
      </sheetData>
      <sheetData sheetId="15">
        <row r="86">
          <cell r="E86">
            <v>0</v>
          </cell>
        </row>
        <row r="164">
          <cell r="AK164">
            <v>1.0300000000006548</v>
          </cell>
          <cell r="AL164">
            <v>0</v>
          </cell>
        </row>
        <row r="165">
          <cell r="AK165">
            <v>250.71000000000276</v>
          </cell>
          <cell r="AL165">
            <v>214.20999999999913</v>
          </cell>
        </row>
        <row r="166">
          <cell r="AK166">
            <v>246</v>
          </cell>
          <cell r="AL166">
            <v>245</v>
          </cell>
        </row>
        <row r="167">
          <cell r="AK167">
            <v>90</v>
          </cell>
          <cell r="AL167">
            <v>63</v>
          </cell>
        </row>
        <row r="168">
          <cell r="AK168">
            <v>53</v>
          </cell>
          <cell r="AL168">
            <v>57</v>
          </cell>
        </row>
        <row r="169">
          <cell r="AK169">
            <v>0</v>
          </cell>
          <cell r="AL169">
            <v>0</v>
          </cell>
        </row>
        <row r="170">
          <cell r="AK170">
            <v>0</v>
          </cell>
          <cell r="AL170">
            <v>0</v>
          </cell>
        </row>
        <row r="171">
          <cell r="AK171">
            <v>159</v>
          </cell>
          <cell r="AL171">
            <v>136</v>
          </cell>
        </row>
        <row r="172">
          <cell r="AK172">
            <v>161</v>
          </cell>
          <cell r="AL172">
            <v>136</v>
          </cell>
        </row>
        <row r="173">
          <cell r="AK173">
            <v>246.25</v>
          </cell>
          <cell r="AL173">
            <v>225.70999999999913</v>
          </cell>
        </row>
        <row r="174">
          <cell r="AK174">
            <v>0</v>
          </cell>
          <cell r="AL174">
            <v>0</v>
          </cell>
        </row>
        <row r="175">
          <cell r="AK175">
            <v>0</v>
          </cell>
          <cell r="AL175">
            <v>0</v>
          </cell>
        </row>
        <row r="176">
          <cell r="AK176">
            <v>247.04999999999927</v>
          </cell>
          <cell r="AL176">
            <v>249.57999999999993</v>
          </cell>
        </row>
        <row r="177">
          <cell r="AK177">
            <v>0</v>
          </cell>
          <cell r="AL177">
            <v>0</v>
          </cell>
        </row>
      </sheetData>
      <sheetData sheetId="16">
        <row r="86">
          <cell r="E86">
            <v>0</v>
          </cell>
        </row>
        <row r="164">
          <cell r="AK164">
            <v>0</v>
          </cell>
          <cell r="AL164">
            <v>0</v>
          </cell>
        </row>
        <row r="165">
          <cell r="AK165">
            <v>276.13000000000102</v>
          </cell>
          <cell r="AL165">
            <v>194.90999999999985</v>
          </cell>
        </row>
        <row r="166">
          <cell r="AK166">
            <v>270</v>
          </cell>
          <cell r="AL166">
            <v>204</v>
          </cell>
        </row>
        <row r="167">
          <cell r="AK167">
            <v>96</v>
          </cell>
          <cell r="AL167">
            <v>62</v>
          </cell>
        </row>
        <row r="168">
          <cell r="AK168">
            <v>90</v>
          </cell>
          <cell r="AL168">
            <v>47</v>
          </cell>
        </row>
        <row r="169">
          <cell r="AK169">
            <v>0</v>
          </cell>
          <cell r="AL169">
            <v>0</v>
          </cell>
        </row>
        <row r="170">
          <cell r="AK170">
            <v>0</v>
          </cell>
          <cell r="AL170">
            <v>0</v>
          </cell>
        </row>
        <row r="171">
          <cell r="AK171">
            <v>177</v>
          </cell>
          <cell r="AL171">
            <v>131</v>
          </cell>
        </row>
        <row r="172">
          <cell r="AK172">
            <v>178</v>
          </cell>
          <cell r="AL172">
            <v>132</v>
          </cell>
        </row>
        <row r="173">
          <cell r="AK173">
            <v>274.11000000000058</v>
          </cell>
          <cell r="AL173">
            <v>200.04000000000087</v>
          </cell>
        </row>
        <row r="174">
          <cell r="AK174">
            <v>0</v>
          </cell>
          <cell r="AL174">
            <v>0</v>
          </cell>
        </row>
        <row r="175">
          <cell r="AK175">
            <v>0</v>
          </cell>
          <cell r="AL175">
            <v>0</v>
          </cell>
        </row>
        <row r="176">
          <cell r="AK176">
            <v>278.13000000000102</v>
          </cell>
          <cell r="AL176">
            <v>199.27999999999884</v>
          </cell>
        </row>
        <row r="177">
          <cell r="AK177">
            <v>0</v>
          </cell>
          <cell r="AL177">
            <v>0</v>
          </cell>
        </row>
      </sheetData>
      <sheetData sheetId="17">
        <row r="86">
          <cell r="E86">
            <v>0</v>
          </cell>
        </row>
        <row r="164">
          <cell r="AK164">
            <v>0</v>
          </cell>
          <cell r="AL164">
            <v>7.1899999999986903</v>
          </cell>
        </row>
        <row r="165">
          <cell r="AK165">
            <v>203.30999999999767</v>
          </cell>
          <cell r="AL165">
            <v>272.20999999999913</v>
          </cell>
        </row>
        <row r="166">
          <cell r="AK166">
            <v>143</v>
          </cell>
          <cell r="AL166">
            <v>269</v>
          </cell>
        </row>
        <row r="167">
          <cell r="AK167">
            <v>131</v>
          </cell>
          <cell r="AL167">
            <v>88</v>
          </cell>
        </row>
        <row r="168">
          <cell r="AK168">
            <v>111</v>
          </cell>
          <cell r="AL168">
            <v>84</v>
          </cell>
        </row>
        <row r="169">
          <cell r="AK169">
            <v>0</v>
          </cell>
          <cell r="AL169">
            <v>0</v>
          </cell>
        </row>
        <row r="170">
          <cell r="AK170">
            <v>0</v>
          </cell>
          <cell r="AL170">
            <v>0</v>
          </cell>
        </row>
        <row r="171">
          <cell r="AK171">
            <v>119</v>
          </cell>
          <cell r="AL171">
            <v>183</v>
          </cell>
        </row>
        <row r="172">
          <cell r="AK172">
            <v>118</v>
          </cell>
          <cell r="AL172">
            <v>179</v>
          </cell>
        </row>
        <row r="173">
          <cell r="AK173">
            <v>217.86999999999898</v>
          </cell>
          <cell r="AL173">
            <v>288.09999999999854</v>
          </cell>
        </row>
        <row r="174">
          <cell r="AK174">
            <v>0</v>
          </cell>
          <cell r="AL174">
            <v>0</v>
          </cell>
        </row>
        <row r="175">
          <cell r="AK175">
            <v>0</v>
          </cell>
          <cell r="AL175">
            <v>0</v>
          </cell>
        </row>
        <row r="176">
          <cell r="AK176">
            <v>226.68000000000029</v>
          </cell>
          <cell r="AL176">
            <v>260.43999999999869</v>
          </cell>
        </row>
        <row r="177">
          <cell r="AK177">
            <v>0</v>
          </cell>
          <cell r="AL17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kap Bulanan"/>
      <sheetName val="Realisasi Produksi"/>
      <sheetName val="Yield Weekly"/>
      <sheetName val="Utilisasi"/>
      <sheetName val="RTO vs Expected"/>
      <sheetName val="Data OH"/>
      <sheetName val="Rill HK"/>
      <sheetName val="Productivitas"/>
      <sheetName val="Forecast Annual 2019"/>
      <sheetName val="DSIS"/>
      <sheetName val="Sheet6"/>
      <sheetName val="Sheet7"/>
      <sheetName val="Sheet3"/>
      <sheetName val="Sheet4"/>
      <sheetName val="Sheet1"/>
    </sheetNames>
    <sheetDataSet>
      <sheetData sheetId="0">
        <row r="34">
          <cell r="B34">
            <v>386.44890438554552</v>
          </cell>
          <cell r="C34">
            <v>403.87632188100002</v>
          </cell>
          <cell r="D34">
            <v>448.30798180345454</v>
          </cell>
          <cell r="F34">
            <v>127.47725369381817</v>
          </cell>
          <cell r="G34">
            <v>307.33271644800004</v>
          </cell>
          <cell r="H34">
            <v>26.61841579090909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</row>
        <row r="3">
          <cell r="D3">
            <v>0.33333333333333331</v>
          </cell>
          <cell r="E3">
            <v>0.66666666666666663</v>
          </cell>
          <cell r="F3">
            <v>1</v>
          </cell>
          <cell r="G3">
            <v>1</v>
          </cell>
          <cell r="H3">
            <v>1</v>
          </cell>
          <cell r="I3">
            <v>0.16666666666666666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8.3333333333333329E-2</v>
          </cell>
          <cell r="R3">
            <v>1</v>
          </cell>
          <cell r="S3">
            <v>1</v>
          </cell>
          <cell r="T3">
            <v>1</v>
          </cell>
          <cell r="U3">
            <v>0.66666666666666663</v>
          </cell>
          <cell r="V3">
            <v>0.66666666666666663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0.33333333333333331</v>
          </cell>
        </row>
        <row r="4"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0.70833333333333337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0.58333333333333337</v>
          </cell>
          <cell r="AA4">
            <v>1</v>
          </cell>
          <cell r="AB4">
            <v>1</v>
          </cell>
          <cell r="AC4">
            <v>0.79166666666666663</v>
          </cell>
          <cell r="AE4">
            <v>1</v>
          </cell>
          <cell r="AF4">
            <v>1</v>
          </cell>
        </row>
        <row r="5">
          <cell r="B5">
            <v>1</v>
          </cell>
          <cell r="C5">
            <v>1</v>
          </cell>
          <cell r="D5">
            <v>1.03125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0.95833333333333337</v>
          </cell>
          <cell r="U5">
            <v>1</v>
          </cell>
          <cell r="V5">
            <v>1</v>
          </cell>
          <cell r="W5">
            <v>1</v>
          </cell>
          <cell r="X5">
            <v>0.66666666666666663</v>
          </cell>
          <cell r="AB5">
            <v>1</v>
          </cell>
          <cell r="AC5">
            <v>1</v>
          </cell>
          <cell r="AD5">
            <v>0.95833333333333337</v>
          </cell>
        </row>
        <row r="6">
          <cell r="E6">
            <v>1</v>
          </cell>
          <cell r="F6">
            <v>1</v>
          </cell>
          <cell r="G6">
            <v>0.41666666666666669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AB6">
            <v>1</v>
          </cell>
          <cell r="AC6">
            <v>1</v>
          </cell>
          <cell r="AD6">
            <v>0.66666666666666663</v>
          </cell>
        </row>
        <row r="7"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0.39583333333333331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0.66666666666666663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0.5625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0.66666666666666663</v>
          </cell>
          <cell r="AD7">
            <v>1</v>
          </cell>
          <cell r="AE7">
            <v>1</v>
          </cell>
        </row>
        <row r="8">
          <cell r="B8">
            <v>1</v>
          </cell>
          <cell r="C8">
            <v>1</v>
          </cell>
          <cell r="D8">
            <v>1</v>
          </cell>
          <cell r="E8">
            <v>0.83333333333333337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Konsumsi &amp; pareto"/>
      <sheetName val="HK - BDGT"/>
      <sheetName val="Tonase"/>
      <sheetName val="Summary"/>
    </sheetNames>
    <sheetDataSet>
      <sheetData sheetId="0">
        <row r="10">
          <cell r="G10">
            <v>23167.850640000077</v>
          </cell>
        </row>
        <row r="20">
          <cell r="F20">
            <v>0</v>
          </cell>
        </row>
        <row r="21">
          <cell r="F21">
            <v>0</v>
          </cell>
        </row>
      </sheetData>
      <sheetData sheetId="1"/>
      <sheetData sheetId="2">
        <row r="16">
          <cell r="D16">
            <v>0</v>
          </cell>
        </row>
        <row r="17">
          <cell r="D17">
            <v>0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Realisasi Produksi"/>
      <sheetName val="Yield Weekly"/>
      <sheetName val="Sheet2"/>
      <sheetName val="Rekap Bulanan"/>
      <sheetName val="Rill HK"/>
      <sheetName val="DSIS"/>
      <sheetName val="Utilisasi"/>
      <sheetName val="Productivitas"/>
      <sheetName val="Forecast Annual 2019"/>
      <sheetName val="Sheet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1</v>
          </cell>
        </row>
        <row r="12">
          <cell r="T12">
            <v>1</v>
          </cell>
          <cell r="U12">
            <v>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E42" sqref="E4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79"/>
  <sheetViews>
    <sheetView topLeftCell="L1" zoomScale="70" zoomScaleNormal="70" workbookViewId="0">
      <selection activeCell="Z6" sqref="Z6"/>
    </sheetView>
  </sheetViews>
  <sheetFormatPr defaultRowHeight="15"/>
  <cols>
    <col min="2" max="2" width="32.7109375" bestFit="1" customWidth="1"/>
    <col min="4" max="6" width="10.85546875" customWidth="1"/>
    <col min="22" max="22" width="29.85546875" customWidth="1"/>
    <col min="23" max="23" width="32.7109375" bestFit="1" customWidth="1"/>
    <col min="38" max="38" width="29.85546875" customWidth="1"/>
    <col min="39" max="39" width="32.7109375" bestFit="1" customWidth="1"/>
  </cols>
  <sheetData>
    <row r="1" spans="2:35">
      <c r="D1" t="s">
        <v>91</v>
      </c>
      <c r="U1" s="18" t="s">
        <v>26</v>
      </c>
    </row>
    <row r="2" spans="2:35">
      <c r="B2" s="18" t="s">
        <v>26</v>
      </c>
      <c r="U2" s="18" t="s">
        <v>179</v>
      </c>
    </row>
    <row r="3" spans="2:35" ht="15" customHeight="1">
      <c r="B3" s="201" t="s">
        <v>41</v>
      </c>
      <c r="C3" s="201" t="s">
        <v>40</v>
      </c>
      <c r="D3" s="201" t="s">
        <v>123</v>
      </c>
      <c r="E3" s="201" t="s">
        <v>167</v>
      </c>
      <c r="F3" s="201" t="s">
        <v>38</v>
      </c>
      <c r="G3" s="204" t="s">
        <v>2</v>
      </c>
      <c r="H3" s="204" t="s">
        <v>3</v>
      </c>
      <c r="I3" s="204" t="s">
        <v>4</v>
      </c>
      <c r="J3" s="204" t="s">
        <v>5</v>
      </c>
      <c r="K3" s="204" t="s">
        <v>6</v>
      </c>
      <c r="L3" s="204" t="s">
        <v>7</v>
      </c>
      <c r="M3" s="204" t="s">
        <v>8</v>
      </c>
      <c r="N3" s="204" t="s">
        <v>9</v>
      </c>
      <c r="O3" s="204" t="s">
        <v>10</v>
      </c>
      <c r="P3" s="204" t="s">
        <v>11</v>
      </c>
      <c r="Q3" s="204" t="s">
        <v>12</v>
      </c>
      <c r="R3" s="204" t="s">
        <v>13</v>
      </c>
      <c r="U3" s="201" t="s">
        <v>174</v>
      </c>
      <c r="V3" s="201" t="s">
        <v>175</v>
      </c>
      <c r="W3" s="201" t="s">
        <v>41</v>
      </c>
      <c r="X3" s="204" t="s">
        <v>2</v>
      </c>
      <c r="Y3" s="204" t="s">
        <v>3</v>
      </c>
      <c r="Z3" s="204" t="s">
        <v>4</v>
      </c>
      <c r="AA3" s="204" t="s">
        <v>5</v>
      </c>
      <c r="AB3" s="204" t="s">
        <v>6</v>
      </c>
      <c r="AC3" s="204" t="s">
        <v>7</v>
      </c>
      <c r="AD3" s="204" t="s">
        <v>8</v>
      </c>
      <c r="AE3" s="204" t="s">
        <v>9</v>
      </c>
      <c r="AF3" s="204" t="s">
        <v>10</v>
      </c>
      <c r="AG3" s="204" t="s">
        <v>11</v>
      </c>
      <c r="AH3" s="204" t="s">
        <v>12</v>
      </c>
      <c r="AI3" s="204" t="s">
        <v>13</v>
      </c>
    </row>
    <row r="4" spans="2:35" s="1" customFormat="1">
      <c r="B4" s="202"/>
      <c r="C4" s="202"/>
      <c r="D4" s="203"/>
      <c r="E4" s="202"/>
      <c r="F4" s="203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U4" s="202"/>
      <c r="V4" s="202"/>
      <c r="W4" s="202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</row>
    <row r="5" spans="2:35">
      <c r="B5" s="63" t="s">
        <v>100</v>
      </c>
      <c r="C5" s="65" t="s">
        <v>109</v>
      </c>
      <c r="D5" s="65">
        <v>1000.8349999999996</v>
      </c>
      <c r="E5" s="65">
        <v>859.25999999999931</v>
      </c>
      <c r="F5" s="65">
        <f>SUM(G5:R5)</f>
        <v>470.92699999999968</v>
      </c>
      <c r="G5" s="65">
        <f>IFERROR(SUM('Konsumsi &amp; Pareto 2 Mingguan'!H5:I5),0)</f>
        <v>80.92699999999968</v>
      </c>
      <c r="H5" s="65">
        <f>IFERROR(SUM('Konsumsi &amp; Pareto 2 Mingguan'!J5:K5),0)</f>
        <v>76.787000000000262</v>
      </c>
      <c r="I5" s="65">
        <f>IFERROR(SUM('Konsumsi &amp; Pareto 2 Mingguan'!L5:M5),0)</f>
        <v>88.326000000000022</v>
      </c>
      <c r="J5" s="65">
        <f>IFERROR(SUM('Konsumsi &amp; Pareto 2 Mingguan'!N5:O5),0)</f>
        <v>85.286000000000058</v>
      </c>
      <c r="K5" s="65">
        <f>IFERROR(SUM('Konsumsi &amp; Pareto 2 Mingguan'!P5:Q5),0)</f>
        <v>53.990999999999985</v>
      </c>
      <c r="L5" s="65">
        <f>IFERROR(SUM('Konsumsi &amp; Pareto 2 Mingguan'!R5:S5),0)</f>
        <v>85.609999999999673</v>
      </c>
      <c r="M5" s="65">
        <f>IFERROR(SUM('Konsumsi &amp; Pareto 2 Mingguan'!T5:U5),0)</f>
        <v>0</v>
      </c>
      <c r="N5" s="65">
        <f>IFERROR(SUM('Konsumsi &amp; Pareto 2 Mingguan'!V5:W5),0)</f>
        <v>0</v>
      </c>
      <c r="O5" s="65">
        <f>IFERROR(SUM('Konsumsi &amp; Pareto 2 Mingguan'!X5:Y5),0)</f>
        <v>0</v>
      </c>
      <c r="P5" s="65">
        <f>IFERROR(SUM('Konsumsi &amp; Pareto 2 Mingguan'!Z5:AA5),0)</f>
        <v>0</v>
      </c>
      <c r="Q5" s="65">
        <f>IFERROR(SUM('Konsumsi &amp; Pareto 2 Mingguan'!AB5:AC5),0)</f>
        <v>0</v>
      </c>
      <c r="R5" s="65">
        <f>IFERROR(SUM('Konsumsi &amp; Pareto 2 Mingguan'!AD5:AE5),0)</f>
        <v>0</v>
      </c>
      <c r="U5" s="187">
        <v>1</v>
      </c>
      <c r="V5" s="189" t="s">
        <v>42</v>
      </c>
      <c r="W5" s="193" t="s">
        <v>176</v>
      </c>
      <c r="X5" s="65">
        <f>$G$13</f>
        <v>26.42119999999986</v>
      </c>
      <c r="Y5" s="65">
        <f>$H$13</f>
        <v>24.960200000000004</v>
      </c>
      <c r="Z5" s="65">
        <f>$I$13</f>
        <v>27.406500000000086</v>
      </c>
      <c r="AA5" s="65">
        <f>$J$13</f>
        <v>29.774599999999914</v>
      </c>
      <c r="AB5" s="65">
        <f>$K$13</f>
        <v>9.629400000000091</v>
      </c>
      <c r="AC5" s="65">
        <f>$L$13</f>
        <v>22.998899999999949</v>
      </c>
      <c r="AD5" s="65">
        <f>$M$13</f>
        <v>0</v>
      </c>
      <c r="AE5" s="65">
        <f>$N$13</f>
        <v>0</v>
      </c>
      <c r="AF5" s="65">
        <f>$O$13</f>
        <v>0</v>
      </c>
      <c r="AG5" s="65">
        <f>$P$13</f>
        <v>0</v>
      </c>
      <c r="AH5" s="65">
        <f>$Q$13</f>
        <v>0</v>
      </c>
      <c r="AI5" s="65">
        <f>$R$13</f>
        <v>0</v>
      </c>
    </row>
    <row r="6" spans="2:35">
      <c r="B6" s="63" t="s">
        <v>101</v>
      </c>
      <c r="C6" s="65" t="s">
        <v>109</v>
      </c>
      <c r="D6" s="65">
        <v>195.42300000000023</v>
      </c>
      <c r="E6" s="65">
        <v>169.35900000000004</v>
      </c>
      <c r="F6" s="65">
        <f>SUM(G6:R6)</f>
        <v>94.099999999999909</v>
      </c>
      <c r="G6" s="65">
        <f>IFERROR(SUM('Konsumsi &amp; Pareto 2 Mingguan'!H6:I6),0)</f>
        <v>16.187999999999874</v>
      </c>
      <c r="H6" s="65">
        <f>IFERROR(SUM('Konsumsi &amp; Pareto 2 Mingguan'!J6:K6),0)</f>
        <v>15.662000000000035</v>
      </c>
      <c r="I6" s="65">
        <f>IFERROR(SUM('Konsumsi &amp; Pareto 2 Mingguan'!L6:M6),0)</f>
        <v>17.258000000000038</v>
      </c>
      <c r="J6" s="65">
        <f>IFERROR(SUM('Konsumsi &amp; Pareto 2 Mingguan'!N6:O6),0)</f>
        <v>17.3599999999999</v>
      </c>
      <c r="K6" s="65">
        <f>IFERROR(SUM('Konsumsi &amp; Pareto 2 Mingguan'!P6:Q6),0)</f>
        <v>10.803000000000111</v>
      </c>
      <c r="L6" s="65">
        <f>IFERROR(SUM('Konsumsi &amp; Pareto 2 Mingguan'!R6:S6),0)</f>
        <v>16.828999999999951</v>
      </c>
      <c r="M6" s="65">
        <f>IFERROR(SUM('Konsumsi &amp; Pareto 2 Mingguan'!T6:U6),0)</f>
        <v>0</v>
      </c>
      <c r="N6" s="65">
        <f>IFERROR(SUM('Konsumsi &amp; Pareto 2 Mingguan'!V6:W6),0)</f>
        <v>0</v>
      </c>
      <c r="O6" s="65">
        <f>IFERROR(SUM('Konsumsi &amp; Pareto 2 Mingguan'!X6:Y6),0)</f>
        <v>0</v>
      </c>
      <c r="P6" s="65">
        <f>IFERROR(SUM('Konsumsi &amp; Pareto 2 Mingguan'!Z6:AA6),0)</f>
        <v>0</v>
      </c>
      <c r="Q6" s="65">
        <f>IFERROR(SUM('Konsumsi &amp; Pareto 2 Mingguan'!AB6:AC6),0)</f>
        <v>0</v>
      </c>
      <c r="R6" s="65">
        <f>IFERROR(SUM('Konsumsi &amp; Pareto 2 Mingguan'!AD6:AE6),0)</f>
        <v>0</v>
      </c>
      <c r="U6" s="187">
        <v>2</v>
      </c>
      <c r="V6" s="189" t="s">
        <v>42</v>
      </c>
      <c r="W6" s="193" t="s">
        <v>56</v>
      </c>
      <c r="X6" s="65">
        <f>$G$14</f>
        <v>2.7390000000000043</v>
      </c>
      <c r="Y6" s="65">
        <f>$H$14</f>
        <v>2.8339999999999961</v>
      </c>
      <c r="Z6" s="65">
        <f>$I$14</f>
        <v>3.6840000000000046</v>
      </c>
      <c r="AA6" s="65">
        <f>$J$14</f>
        <v>3.590999999999994</v>
      </c>
      <c r="AB6" s="65">
        <f>$K$14</f>
        <v>1.6649999999999991</v>
      </c>
      <c r="AC6" s="65">
        <f>$L$14</f>
        <v>3.1080000000000041</v>
      </c>
      <c r="AD6" s="65">
        <f>$M$14</f>
        <v>0</v>
      </c>
      <c r="AE6" s="65">
        <f>$N$14</f>
        <v>0</v>
      </c>
      <c r="AF6" s="65">
        <f>$O$14</f>
        <v>0</v>
      </c>
      <c r="AG6" s="65">
        <f>$P$14</f>
        <v>0</v>
      </c>
      <c r="AH6" s="65">
        <f>$Q$14</f>
        <v>0</v>
      </c>
      <c r="AI6" s="65">
        <f>$R$14</f>
        <v>0</v>
      </c>
    </row>
    <row r="7" spans="2:35">
      <c r="B7" s="62" t="s">
        <v>102</v>
      </c>
      <c r="C7" s="66"/>
      <c r="D7" s="68">
        <f t="shared" ref="D7:J7" si="0">D5/(SUM(D5:D6))</f>
        <v>0.83663808308909926</v>
      </c>
      <c r="E7" s="68">
        <v>0.83535303158895557</v>
      </c>
      <c r="F7" s="68">
        <f t="shared" ref="F7" si="1">F5/(SUM(F5:F6))</f>
        <v>0.8334592860164205</v>
      </c>
      <c r="G7" s="68">
        <f t="shared" si="0"/>
        <v>0.8333110230139531</v>
      </c>
      <c r="H7" s="68">
        <f t="shared" ref="H7" si="2">H5/(SUM(H5:H6))</f>
        <v>0.83058767536695921</v>
      </c>
      <c r="I7" s="68">
        <f t="shared" si="0"/>
        <v>0.83654720412183636</v>
      </c>
      <c r="J7" s="68">
        <f t="shared" si="0"/>
        <v>0.83087504627554987</v>
      </c>
      <c r="K7" s="68">
        <f t="shared" ref="K7:R7" si="3">K5/(SUM(K5:K6))</f>
        <v>0.83327159922214877</v>
      </c>
      <c r="L7" s="68">
        <f t="shared" si="3"/>
        <v>0.83571686564687264</v>
      </c>
      <c r="M7" s="68" t="e">
        <f t="shared" si="3"/>
        <v>#DIV/0!</v>
      </c>
      <c r="N7" s="68" t="e">
        <f t="shared" si="3"/>
        <v>#DIV/0!</v>
      </c>
      <c r="O7" s="68" t="e">
        <f t="shared" si="3"/>
        <v>#DIV/0!</v>
      </c>
      <c r="P7" s="68" t="e">
        <f t="shared" si="3"/>
        <v>#DIV/0!</v>
      </c>
      <c r="Q7" s="68" t="e">
        <f t="shared" si="3"/>
        <v>#DIV/0!</v>
      </c>
      <c r="R7" s="68" t="e">
        <f t="shared" si="3"/>
        <v>#DIV/0!</v>
      </c>
      <c r="U7" s="187">
        <v>3</v>
      </c>
      <c r="V7" s="189" t="s">
        <v>42</v>
      </c>
      <c r="W7" s="193" t="s">
        <v>57</v>
      </c>
      <c r="X7" s="65">
        <f>$G$15</f>
        <v>0.23980000000000001</v>
      </c>
      <c r="Y7" s="65">
        <f>$H$15</f>
        <v>0.20579999999999998</v>
      </c>
      <c r="Z7" s="65">
        <f>$I$15</f>
        <v>0.30949999999999989</v>
      </c>
      <c r="AA7" s="65">
        <f>$J$15</f>
        <v>0.23439999999999994</v>
      </c>
      <c r="AB7" s="65">
        <f>$K$15</f>
        <v>0.10560000000000036</v>
      </c>
      <c r="AC7" s="65">
        <f>$L$15</f>
        <v>0.19309999999999983</v>
      </c>
      <c r="AD7" s="65">
        <f>$M$15</f>
        <v>0</v>
      </c>
      <c r="AE7" s="65">
        <f>$N$15</f>
        <v>0</v>
      </c>
      <c r="AF7" s="65">
        <f>$O$15</f>
        <v>0</v>
      </c>
      <c r="AG7" s="65">
        <f>$P$15</f>
        <v>0</v>
      </c>
      <c r="AH7" s="65">
        <f>$Q$15</f>
        <v>0</v>
      </c>
      <c r="AI7" s="65">
        <f>$R$15</f>
        <v>0</v>
      </c>
    </row>
    <row r="8" spans="2:35">
      <c r="B8" s="62" t="s">
        <v>103</v>
      </c>
      <c r="C8" s="66"/>
      <c r="D8" s="68">
        <f t="shared" ref="D8:R8" si="4">D6/(SUM(D5:D6))</f>
        <v>0.16336191691090071</v>
      </c>
      <c r="E8" s="68">
        <v>0.16464696841104448</v>
      </c>
      <c r="F8" s="68">
        <f t="shared" ref="F8" si="5">F6/(SUM(F5:F6))</f>
        <v>0.1665407139835795</v>
      </c>
      <c r="G8" s="68">
        <f t="shared" si="4"/>
        <v>0.16668897698604696</v>
      </c>
      <c r="H8" s="68">
        <f t="shared" ref="H8" si="6">H6/(SUM(H5:H6))</f>
        <v>0.16941232463304076</v>
      </c>
      <c r="I8" s="68">
        <f t="shared" si="4"/>
        <v>0.16345279587816364</v>
      </c>
      <c r="J8" s="68">
        <f t="shared" si="4"/>
        <v>0.16912495372445013</v>
      </c>
      <c r="K8" s="68">
        <f t="shared" si="4"/>
        <v>0.16672840077785125</v>
      </c>
      <c r="L8" s="68">
        <f t="shared" si="4"/>
        <v>0.16428313435312736</v>
      </c>
      <c r="M8" s="68" t="e">
        <f t="shared" si="4"/>
        <v>#DIV/0!</v>
      </c>
      <c r="N8" s="68" t="e">
        <f t="shared" si="4"/>
        <v>#DIV/0!</v>
      </c>
      <c r="O8" s="68" t="e">
        <f t="shared" si="4"/>
        <v>#DIV/0!</v>
      </c>
      <c r="P8" s="68" t="e">
        <f t="shared" si="4"/>
        <v>#DIV/0!</v>
      </c>
      <c r="Q8" s="68" t="e">
        <f t="shared" si="4"/>
        <v>#DIV/0!</v>
      </c>
      <c r="R8" s="68" t="e">
        <f t="shared" si="4"/>
        <v>#DIV/0!</v>
      </c>
      <c r="U8" s="187">
        <v>4</v>
      </c>
      <c r="V8" s="189" t="s">
        <v>42</v>
      </c>
      <c r="W8" s="193" t="s">
        <v>55</v>
      </c>
      <c r="X8" s="65">
        <f>$G$16</f>
        <v>1.5699999999999932</v>
      </c>
      <c r="Y8" s="65">
        <f>$H$16</f>
        <v>1.7900000000000205</v>
      </c>
      <c r="Z8" s="65">
        <f>$I$16</f>
        <v>1.6799999999999784</v>
      </c>
      <c r="AA8" s="65">
        <f>$J$16</f>
        <v>1.5700000000000216</v>
      </c>
      <c r="AB8" s="65">
        <f>$K$16</f>
        <v>1.0699999999999932</v>
      </c>
      <c r="AC8" s="65">
        <f>$L$16</f>
        <v>1.8700000000000045</v>
      </c>
      <c r="AD8" s="65">
        <f>$M$16</f>
        <v>0</v>
      </c>
      <c r="AE8" s="65">
        <f>$N$16</f>
        <v>0</v>
      </c>
      <c r="AF8" s="65">
        <f>$O$16</f>
        <v>0</v>
      </c>
      <c r="AG8" s="65">
        <f>$P$16</f>
        <v>0</v>
      </c>
      <c r="AH8" s="65">
        <f>$Q$16</f>
        <v>0</v>
      </c>
      <c r="AI8" s="65">
        <f>$R$16</f>
        <v>0</v>
      </c>
    </row>
    <row r="9" spans="2:35">
      <c r="B9" s="94" t="s">
        <v>51</v>
      </c>
      <c r="C9" s="65" t="s">
        <v>109</v>
      </c>
      <c r="D9" s="65">
        <v>3499.4</v>
      </c>
      <c r="E9" s="65">
        <v>3267.7000000000007</v>
      </c>
      <c r="F9" s="65">
        <f>SUM(G9:R9)</f>
        <v>1770</v>
      </c>
      <c r="G9" s="65">
        <f>IFERROR(SUM('Konsumsi &amp; Pareto 2 Mingguan'!H9:I9),0)</f>
        <v>304</v>
      </c>
      <c r="H9" s="65">
        <f>IFERROR(SUM('Konsumsi &amp; Pareto 2 Mingguan'!J9:K9),0)</f>
        <v>290</v>
      </c>
      <c r="I9" s="65">
        <f>IFERROR(SUM('Konsumsi &amp; Pareto 2 Mingguan'!L9:M9),0)</f>
        <v>330</v>
      </c>
      <c r="J9" s="65">
        <f>IFERROR(SUM('Konsumsi &amp; Pareto 2 Mingguan'!N9:O9),0)</f>
        <v>322</v>
      </c>
      <c r="K9" s="65">
        <f>IFERROR(SUM('Konsumsi &amp; Pareto 2 Mingguan'!P9:Q9),0)</f>
        <v>203</v>
      </c>
      <c r="L9" s="65">
        <f>IFERROR(SUM('Konsumsi &amp; Pareto 2 Mingguan'!R9:S9),0)</f>
        <v>321</v>
      </c>
      <c r="M9" s="65">
        <f>IFERROR(SUM('Konsumsi &amp; Pareto 2 Mingguan'!T9:U9),0)</f>
        <v>0</v>
      </c>
      <c r="N9" s="65">
        <f>IFERROR(SUM('Konsumsi &amp; Pareto 2 Mingguan'!V9:W9),0)</f>
        <v>0</v>
      </c>
      <c r="O9" s="65">
        <f>IFERROR(SUM('Konsumsi &amp; Pareto 2 Mingguan'!X9:Y9),0)</f>
        <v>0</v>
      </c>
      <c r="P9" s="65">
        <f>IFERROR(SUM('Konsumsi &amp; Pareto 2 Mingguan'!Z9:AA9),0)</f>
        <v>0</v>
      </c>
      <c r="Q9" s="65">
        <f>IFERROR(SUM('Konsumsi &amp; Pareto 2 Mingguan'!AB9:AC9),0)</f>
        <v>0</v>
      </c>
      <c r="R9" s="65">
        <f>IFERROR(SUM('Konsumsi &amp; Pareto 2 Mingguan'!AD9:AE9),0)</f>
        <v>0</v>
      </c>
      <c r="U9" s="187">
        <v>5</v>
      </c>
      <c r="V9" s="189" t="s">
        <v>42</v>
      </c>
      <c r="W9" s="193" t="s">
        <v>58</v>
      </c>
      <c r="X9" s="65">
        <f>$G$17</f>
        <v>11.199999999999932</v>
      </c>
      <c r="Y9" s="65">
        <f>$H$17</f>
        <v>9.8100000000000591</v>
      </c>
      <c r="Z9" s="65">
        <f>$I$17</f>
        <v>11.840000000000032</v>
      </c>
      <c r="AA9" s="65">
        <f>$J$17</f>
        <v>10.740000000000009</v>
      </c>
      <c r="AB9" s="65">
        <f>$K$17</f>
        <v>9.5099999999999909</v>
      </c>
      <c r="AC9" s="65">
        <f>$L$17</f>
        <v>12.559999999999945</v>
      </c>
      <c r="AD9" s="65">
        <f>$M$17</f>
        <v>0</v>
      </c>
      <c r="AE9" s="65">
        <f>$N$17</f>
        <v>0</v>
      </c>
      <c r="AF9" s="65">
        <f>$O$17</f>
        <v>0</v>
      </c>
      <c r="AG9" s="65">
        <f>$P$17</f>
        <v>0</v>
      </c>
      <c r="AH9" s="65">
        <f>$Q$17</f>
        <v>0</v>
      </c>
      <c r="AI9" s="65">
        <f>$R$17</f>
        <v>0</v>
      </c>
    </row>
    <row r="10" spans="2:35">
      <c r="B10" s="94" t="s">
        <v>52</v>
      </c>
      <c r="C10" s="65" t="s">
        <v>109</v>
      </c>
      <c r="D10" s="65">
        <v>0</v>
      </c>
      <c r="E10" s="65"/>
      <c r="F10" s="65"/>
      <c r="G10" s="65">
        <f>IFERROR(SUM('Konsumsi &amp; Pareto 2 Mingguan'!H10:I10),0)</f>
        <v>0</v>
      </c>
      <c r="H10" s="65">
        <f>IFERROR(SUM('Konsumsi &amp; Pareto 2 Mingguan'!J10:K10),0)</f>
        <v>0</v>
      </c>
      <c r="I10" s="65">
        <f>IFERROR(SUM('Konsumsi &amp; Pareto 2 Mingguan'!L10:M10),0)</f>
        <v>0</v>
      </c>
      <c r="J10" s="65">
        <f>IFERROR(SUM('Konsumsi &amp; Pareto 2 Mingguan'!N10:O10),0)</f>
        <v>0</v>
      </c>
      <c r="K10" s="65">
        <f>IFERROR(SUM('Konsumsi &amp; Pareto 2 Mingguan'!P10:Q10),0)</f>
        <v>0</v>
      </c>
      <c r="L10" s="65">
        <f>IFERROR(SUM('Konsumsi &amp; Pareto 2 Mingguan'!R10:S10),0)</f>
        <v>0</v>
      </c>
      <c r="M10" s="65">
        <f>IFERROR(SUM('Konsumsi &amp; Pareto 2 Mingguan'!T10:U10),0)</f>
        <v>0</v>
      </c>
      <c r="N10" s="65">
        <f>IFERROR(SUM('Konsumsi &amp; Pareto 2 Mingguan'!V10:W10),0)</f>
        <v>0</v>
      </c>
      <c r="O10" s="65">
        <f>IFERROR(SUM('Konsumsi &amp; Pareto 2 Mingguan'!X10:Y10),0)</f>
        <v>0</v>
      </c>
      <c r="P10" s="65">
        <f>IFERROR(SUM('Konsumsi &amp; Pareto 2 Mingguan'!Z10:AA10),0)</f>
        <v>0</v>
      </c>
      <c r="Q10" s="65">
        <f>IFERROR(SUM('Konsumsi &amp; Pareto 2 Mingguan'!AB10:AC10),0)</f>
        <v>0</v>
      </c>
      <c r="R10" s="65">
        <f>IFERROR(SUM('Konsumsi &amp; Pareto 2 Mingguan'!AD10:AE10),0)</f>
        <v>0</v>
      </c>
      <c r="U10" s="187">
        <v>6</v>
      </c>
      <c r="V10" s="189" t="s">
        <v>42</v>
      </c>
      <c r="W10" s="193" t="s">
        <v>59</v>
      </c>
      <c r="X10" s="65">
        <f>$G$18</f>
        <v>10.170000000000073</v>
      </c>
      <c r="Y10" s="65">
        <f>$H$18</f>
        <v>9.8099999999999454</v>
      </c>
      <c r="Z10" s="65">
        <f>$I$18</f>
        <v>10.870000000000005</v>
      </c>
      <c r="AA10" s="65">
        <f>$J$18</f>
        <v>9.75</v>
      </c>
      <c r="AB10" s="65">
        <f>$K$18</f>
        <v>7.2200000000000273</v>
      </c>
      <c r="AC10" s="65">
        <f>$L$18</f>
        <v>10.949999999999932</v>
      </c>
      <c r="AD10" s="65">
        <f>$M$18</f>
        <v>0</v>
      </c>
      <c r="AE10" s="65">
        <f>$N$18</f>
        <v>0</v>
      </c>
      <c r="AF10" s="65">
        <f>$O$18</f>
        <v>0</v>
      </c>
      <c r="AG10" s="65">
        <f>$P$18</f>
        <v>0</v>
      </c>
      <c r="AH10" s="65">
        <f>$Q$18</f>
        <v>0</v>
      </c>
      <c r="AI10" s="65">
        <f>$R$18</f>
        <v>0</v>
      </c>
    </row>
    <row r="11" spans="2:35">
      <c r="B11" s="94" t="s">
        <v>53</v>
      </c>
      <c r="C11" s="65" t="s">
        <v>109</v>
      </c>
      <c r="D11" s="65">
        <v>674.20000000000027</v>
      </c>
      <c r="E11" s="65">
        <v>525.59999999999945</v>
      </c>
      <c r="F11" s="65">
        <f t="shared" ref="F11:F34" si="7">SUM(G11:R11)</f>
        <v>255.19999999999982</v>
      </c>
      <c r="G11" s="65">
        <f>IFERROR(SUM('Konsumsi &amp; Pareto 2 Mingguan'!H11:I11),0)</f>
        <v>46.5</v>
      </c>
      <c r="H11" s="65">
        <f>IFERROR(SUM('Konsumsi &amp; Pareto 2 Mingguan'!J11:K11),0)</f>
        <v>44.099999999999909</v>
      </c>
      <c r="I11" s="65">
        <f>IFERROR(SUM('Konsumsi &amp; Pareto 2 Mingguan'!L11:M11),0)</f>
        <v>49.400000000000091</v>
      </c>
      <c r="J11" s="65">
        <f>IFERROR(SUM('Konsumsi &amp; Pareto 2 Mingguan'!N11:O11),0)</f>
        <v>52.199999999999818</v>
      </c>
      <c r="K11" s="65">
        <f>IFERROR(SUM('Konsumsi &amp; Pareto 2 Mingguan'!P11:Q11),0)</f>
        <v>19.199999999999818</v>
      </c>
      <c r="L11" s="65">
        <f>IFERROR(SUM('Konsumsi &amp; Pareto 2 Mingguan'!R11:S11),0)</f>
        <v>43.800000000000182</v>
      </c>
      <c r="M11" s="65">
        <f>IFERROR(SUM('Konsumsi &amp; Pareto 2 Mingguan'!T11:U11),0)</f>
        <v>0</v>
      </c>
      <c r="N11" s="65">
        <f>IFERROR(SUM('Konsumsi &amp; Pareto 2 Mingguan'!V11:W11),0)</f>
        <v>0</v>
      </c>
      <c r="O11" s="65">
        <f>IFERROR(SUM('Konsumsi &amp; Pareto 2 Mingguan'!X11:Y11),0)</f>
        <v>0</v>
      </c>
      <c r="P11" s="65">
        <f>IFERROR(SUM('Konsumsi &amp; Pareto 2 Mingguan'!Z11:AA11),0)</f>
        <v>0</v>
      </c>
      <c r="Q11" s="65">
        <f>IFERROR(SUM('Konsumsi &amp; Pareto 2 Mingguan'!AB11:AC11),0)</f>
        <v>0</v>
      </c>
      <c r="R11" s="65">
        <f>IFERROR(SUM('Konsumsi &amp; Pareto 2 Mingguan'!AD11:AE11),0)</f>
        <v>0</v>
      </c>
      <c r="U11" s="187">
        <v>7</v>
      </c>
      <c r="V11" s="189" t="s">
        <v>178</v>
      </c>
      <c r="W11" s="193" t="s">
        <v>60</v>
      </c>
      <c r="X11" s="65">
        <f>$G$19</f>
        <v>36.300000000000182</v>
      </c>
      <c r="Y11" s="65">
        <f>$H$19</f>
        <v>33.299999999999955</v>
      </c>
      <c r="Z11" s="65">
        <f>$I$19</f>
        <v>40.099999999999909</v>
      </c>
      <c r="AA11" s="65">
        <f>$J$19</f>
        <v>37.400000000000091</v>
      </c>
      <c r="AB11" s="65">
        <f>$K$19</f>
        <v>28</v>
      </c>
      <c r="AC11" s="65">
        <f>$L$19</f>
        <v>38.5</v>
      </c>
      <c r="AD11" s="65">
        <f>$M$19</f>
        <v>0</v>
      </c>
      <c r="AE11" s="65">
        <f>$N$19</f>
        <v>0</v>
      </c>
      <c r="AF11" s="65">
        <f>$O$19</f>
        <v>0</v>
      </c>
      <c r="AG11" s="65">
        <f>$P$19</f>
        <v>0</v>
      </c>
      <c r="AH11" s="65">
        <f>$Q$19</f>
        <v>0</v>
      </c>
      <c r="AI11" s="65">
        <f>$R$19</f>
        <v>0</v>
      </c>
    </row>
    <row r="12" spans="2:35">
      <c r="B12" s="102" t="s">
        <v>54</v>
      </c>
      <c r="C12" s="100" t="s">
        <v>109</v>
      </c>
      <c r="D12" s="100">
        <v>350.30999999999989</v>
      </c>
      <c r="E12" s="100">
        <v>313.54999999999984</v>
      </c>
      <c r="F12" s="100">
        <f t="shared" si="7"/>
        <v>160.09999999999991</v>
      </c>
      <c r="G12" s="100">
        <f>IFERROR(SUM('Konsumsi &amp; Pareto 2 Mingguan'!H12:I12),0)</f>
        <v>29.399999999999864</v>
      </c>
      <c r="H12" s="100">
        <f>IFERROR(SUM('Konsumsi &amp; Pareto 2 Mingguan'!J12:K12),0)</f>
        <v>28</v>
      </c>
      <c r="I12" s="100">
        <f>IFERROR(SUM('Konsumsi &amp; Pareto 2 Mingguan'!L12:M12),0)</f>
        <v>31.400000000000091</v>
      </c>
      <c r="J12" s="100">
        <f>IFERROR(SUM('Konsumsi &amp; Pareto 2 Mingguan'!N12:O12),0)</f>
        <v>33.599999999999909</v>
      </c>
      <c r="K12" s="100">
        <f>IFERROR(SUM('Konsumsi &amp; Pareto 2 Mingguan'!P12:Q12),0)</f>
        <v>11.400000000000091</v>
      </c>
      <c r="L12" s="100">
        <f>IFERROR(SUM('Konsumsi &amp; Pareto 2 Mingguan'!R12:S12),0)</f>
        <v>26.299999999999955</v>
      </c>
      <c r="M12" s="100">
        <f>IFERROR(SUM('Konsumsi &amp; Pareto 2 Mingguan'!T12:U12),0)</f>
        <v>0</v>
      </c>
      <c r="N12" s="100">
        <f>IFERROR(SUM('Konsumsi &amp; Pareto 2 Mingguan'!V12:W12),0)</f>
        <v>0</v>
      </c>
      <c r="O12" s="100">
        <f>IFERROR(SUM('Konsumsi &amp; Pareto 2 Mingguan'!X12:Y12),0)</f>
        <v>0</v>
      </c>
      <c r="P12" s="100">
        <f>IFERROR(SUM('Konsumsi &amp; Pareto 2 Mingguan'!Z12:AA12),0)</f>
        <v>0</v>
      </c>
      <c r="Q12" s="100">
        <f>IFERROR(SUM('Konsumsi &amp; Pareto 2 Mingguan'!AB12:AC12),0)</f>
        <v>0</v>
      </c>
      <c r="R12" s="100">
        <f>IFERROR(SUM('Konsumsi &amp; Pareto 2 Mingguan'!AD12:AE12),0)</f>
        <v>0</v>
      </c>
      <c r="U12" s="187">
        <v>8</v>
      </c>
      <c r="V12" s="189" t="s">
        <v>178</v>
      </c>
      <c r="W12" s="193" t="s">
        <v>61</v>
      </c>
      <c r="X12" s="65">
        <f>$G$20</f>
        <v>0.48700000000000188</v>
      </c>
      <c r="Y12" s="65">
        <f>$H$20</f>
        <v>0.26599999999999824</v>
      </c>
      <c r="Z12" s="65">
        <f>$I$20</f>
        <v>0.30700000000000216</v>
      </c>
      <c r="AA12" s="65">
        <f>$J$20</f>
        <v>0.3279999999999994</v>
      </c>
      <c r="AB12" s="65">
        <f>$K$20</f>
        <v>0.25999999999999801</v>
      </c>
      <c r="AC12" s="65">
        <f>$L$20</f>
        <v>0.2970000000000006</v>
      </c>
      <c r="AD12" s="65">
        <f>$M$20</f>
        <v>0</v>
      </c>
      <c r="AE12" s="65">
        <f>$N$20</f>
        <v>0</v>
      </c>
      <c r="AF12" s="65">
        <f>$O$20</f>
        <v>0</v>
      </c>
      <c r="AG12" s="65">
        <f>$P$20</f>
        <v>0</v>
      </c>
      <c r="AH12" s="65">
        <f>$Q$20</f>
        <v>0</v>
      </c>
      <c r="AI12" s="65">
        <f>$R$20</f>
        <v>0</v>
      </c>
    </row>
    <row r="13" spans="2:35">
      <c r="B13" s="191" t="s">
        <v>176</v>
      </c>
      <c r="C13" s="65" t="s">
        <v>109</v>
      </c>
      <c r="D13" s="65">
        <f>D12-D14-D15</f>
        <v>350.20439999999991</v>
      </c>
      <c r="E13" s="65">
        <f>E12-E14-E15</f>
        <v>282.82781999999986</v>
      </c>
      <c r="F13" s="65">
        <f t="shared" si="7"/>
        <v>141.19079999999991</v>
      </c>
      <c r="G13" s="65">
        <f t="shared" ref="G13:R13" si="8">G12-G14-G15</f>
        <v>26.42119999999986</v>
      </c>
      <c r="H13" s="65">
        <f t="shared" si="8"/>
        <v>24.960200000000004</v>
      </c>
      <c r="I13" s="65">
        <f t="shared" si="8"/>
        <v>27.406500000000086</v>
      </c>
      <c r="J13" s="65">
        <f t="shared" si="8"/>
        <v>29.774599999999914</v>
      </c>
      <c r="K13" s="65">
        <f t="shared" si="8"/>
        <v>9.629400000000091</v>
      </c>
      <c r="L13" s="65">
        <f t="shared" si="8"/>
        <v>22.998899999999949</v>
      </c>
      <c r="M13" s="65">
        <f t="shared" si="8"/>
        <v>0</v>
      </c>
      <c r="N13" s="65">
        <f t="shared" si="8"/>
        <v>0</v>
      </c>
      <c r="O13" s="65">
        <f t="shared" si="8"/>
        <v>0</v>
      </c>
      <c r="P13" s="65">
        <f t="shared" si="8"/>
        <v>0</v>
      </c>
      <c r="Q13" s="65">
        <f t="shared" si="8"/>
        <v>0</v>
      </c>
      <c r="R13" s="65">
        <f t="shared" si="8"/>
        <v>0</v>
      </c>
      <c r="U13" s="187">
        <v>9</v>
      </c>
      <c r="V13" s="189" t="s">
        <v>178</v>
      </c>
      <c r="W13" s="193" t="s">
        <v>62</v>
      </c>
      <c r="X13" s="65">
        <f>$G$21</f>
        <v>0.1650999999999998</v>
      </c>
      <c r="Y13" s="65">
        <f>$H$21</f>
        <v>0.14050000000000029</v>
      </c>
      <c r="Z13" s="65">
        <f>$I$21</f>
        <v>0.15579999999999927</v>
      </c>
      <c r="AA13" s="65">
        <f>$J$21</f>
        <v>0.14120000000000044</v>
      </c>
      <c r="AB13" s="65">
        <f>$K$21</f>
        <v>0.14459999999999962</v>
      </c>
      <c r="AC13" s="65">
        <f>$L$21</f>
        <v>0.10720000000000063</v>
      </c>
      <c r="AD13" s="65">
        <f>$M$21</f>
        <v>0</v>
      </c>
      <c r="AE13" s="65">
        <f>$N$21</f>
        <v>0</v>
      </c>
      <c r="AF13" s="65">
        <f>$O$21</f>
        <v>0</v>
      </c>
      <c r="AG13" s="65">
        <f>$P$21</f>
        <v>0</v>
      </c>
      <c r="AH13" s="65">
        <f>$Q$21</f>
        <v>0</v>
      </c>
      <c r="AI13" s="65">
        <f>$R$21</f>
        <v>0</v>
      </c>
    </row>
    <row r="14" spans="2:35">
      <c r="B14" s="190" t="s">
        <v>56</v>
      </c>
      <c r="C14" s="97" t="s">
        <v>109</v>
      </c>
      <c r="D14" s="97">
        <v>9.7000000000000003E-2</v>
      </c>
      <c r="E14" s="97">
        <v>28.813899999999997</v>
      </c>
      <c r="F14" s="97">
        <f>SUM(G14:R14)</f>
        <v>17.621000000000002</v>
      </c>
      <c r="G14" s="65">
        <f>IFERROR(SUM('Konsumsi &amp; Pareto 2 Mingguan'!H14:I14),0)</f>
        <v>2.7390000000000043</v>
      </c>
      <c r="H14" s="65">
        <f>IFERROR(SUM('Konsumsi &amp; Pareto 2 Mingguan'!J14:K14),0)</f>
        <v>2.8339999999999961</v>
      </c>
      <c r="I14" s="65">
        <f>IFERROR(SUM('Konsumsi &amp; Pareto 2 Mingguan'!L14:M14),0)</f>
        <v>3.6840000000000046</v>
      </c>
      <c r="J14" s="65">
        <f>IFERROR(SUM('Konsumsi &amp; Pareto 2 Mingguan'!N14:O14),0)</f>
        <v>3.590999999999994</v>
      </c>
      <c r="K14" s="65">
        <f>IFERROR(SUM('Konsumsi &amp; Pareto 2 Mingguan'!P14:Q14),0)</f>
        <v>1.6649999999999991</v>
      </c>
      <c r="L14" s="65">
        <f>IFERROR(SUM('Konsumsi &amp; Pareto 2 Mingguan'!R14:S14),0)</f>
        <v>3.1080000000000041</v>
      </c>
      <c r="M14" s="65">
        <f>IFERROR(SUM('Konsumsi &amp; Pareto 2 Mingguan'!T14:U14),0)</f>
        <v>0</v>
      </c>
      <c r="N14" s="65">
        <f>IFERROR(SUM('Konsumsi &amp; Pareto 2 Mingguan'!V14:W14),0)</f>
        <v>0</v>
      </c>
      <c r="O14" s="65">
        <f>IFERROR(SUM('Konsumsi &amp; Pareto 2 Mingguan'!X14:Y14),0)</f>
        <v>0</v>
      </c>
      <c r="P14" s="65">
        <f>IFERROR(SUM('Konsumsi &amp; Pareto 2 Mingguan'!Z14:AA14),0)</f>
        <v>0</v>
      </c>
      <c r="Q14" s="65">
        <f>IFERROR(SUM('Konsumsi &amp; Pareto 2 Mingguan'!AB14:AC14),0)</f>
        <v>0</v>
      </c>
      <c r="R14" s="65">
        <f>IFERROR(SUM('Konsumsi &amp; Pareto 2 Mingguan'!AD14:AE14),0)</f>
        <v>0</v>
      </c>
      <c r="U14" s="187">
        <v>10</v>
      </c>
      <c r="V14" s="189" t="s">
        <v>178</v>
      </c>
      <c r="W14" s="193" t="s">
        <v>63</v>
      </c>
      <c r="X14" s="65">
        <f>$G$22</f>
        <v>7.9999999999955662E-3</v>
      </c>
      <c r="Y14" s="65">
        <f>$H$22</f>
        <v>6.9000000000002615E-2</v>
      </c>
      <c r="Z14" s="65">
        <f>$I$22</f>
        <v>1.0000000000005116E-2</v>
      </c>
      <c r="AA14" s="65">
        <f>$J$22</f>
        <v>9.0000000000003411E-3</v>
      </c>
      <c r="AB14" s="65">
        <f>$K$22</f>
        <v>0.14499999999999602</v>
      </c>
      <c r="AC14" s="65">
        <f>$L$22</f>
        <v>0.17999999999999261</v>
      </c>
      <c r="AD14" s="65">
        <f>$M$22</f>
        <v>0</v>
      </c>
      <c r="AE14" s="65">
        <f>$N$22</f>
        <v>0</v>
      </c>
      <c r="AF14" s="65">
        <f>$O$22</f>
        <v>0</v>
      </c>
      <c r="AG14" s="65">
        <f>$P$22</f>
        <v>0</v>
      </c>
      <c r="AH14" s="65">
        <f>$Q$22</f>
        <v>0</v>
      </c>
      <c r="AI14" s="65">
        <f>$R$22</f>
        <v>0</v>
      </c>
    </row>
    <row r="15" spans="2:35">
      <c r="B15" s="190" t="s">
        <v>57</v>
      </c>
      <c r="C15" s="97" t="s">
        <v>109</v>
      </c>
      <c r="D15" s="97">
        <v>8.6E-3</v>
      </c>
      <c r="E15" s="97">
        <v>1.90828</v>
      </c>
      <c r="F15" s="97">
        <f>SUM(G15:R15)</f>
        <v>1.2882</v>
      </c>
      <c r="G15" s="65">
        <f>IFERROR(SUM('Konsumsi &amp; Pareto 2 Mingguan'!H15:I15),0)</f>
        <v>0.23980000000000001</v>
      </c>
      <c r="H15" s="65">
        <f>IFERROR(SUM('Konsumsi &amp; Pareto 2 Mingguan'!J15:K15),0)</f>
        <v>0.20579999999999998</v>
      </c>
      <c r="I15" s="65">
        <f>IFERROR(SUM('Konsumsi &amp; Pareto 2 Mingguan'!L15:M15),0)</f>
        <v>0.30949999999999989</v>
      </c>
      <c r="J15" s="65">
        <f>IFERROR(SUM('Konsumsi &amp; Pareto 2 Mingguan'!N15:O15),0)</f>
        <v>0.23439999999999994</v>
      </c>
      <c r="K15" s="65">
        <f>IFERROR(SUM('Konsumsi &amp; Pareto 2 Mingguan'!P15:Q15),0)</f>
        <v>0.10560000000000036</v>
      </c>
      <c r="L15" s="65">
        <f>IFERROR(SUM('Konsumsi &amp; Pareto 2 Mingguan'!R15:S15),0)</f>
        <v>0.19309999999999983</v>
      </c>
      <c r="M15" s="65">
        <f>IFERROR(SUM('Konsumsi &amp; Pareto 2 Mingguan'!T15:U15),0)</f>
        <v>0</v>
      </c>
      <c r="N15" s="65">
        <f>IFERROR(SUM('Konsumsi &amp; Pareto 2 Mingguan'!V15:W15),0)</f>
        <v>0</v>
      </c>
      <c r="O15" s="65">
        <f>IFERROR(SUM('Konsumsi &amp; Pareto 2 Mingguan'!X15:Y15),0)</f>
        <v>0</v>
      </c>
      <c r="P15" s="65">
        <f>IFERROR(SUM('Konsumsi &amp; Pareto 2 Mingguan'!Z15:AA15),0)</f>
        <v>0</v>
      </c>
      <c r="Q15" s="65">
        <f>IFERROR(SUM('Konsumsi &amp; Pareto 2 Mingguan'!AB15:AC15),0)</f>
        <v>0</v>
      </c>
      <c r="R15" s="65">
        <f>IFERROR(SUM('Konsumsi &amp; Pareto 2 Mingguan'!AD15:AE15),0)</f>
        <v>0</v>
      </c>
      <c r="U15" s="187">
        <v>11</v>
      </c>
      <c r="V15" s="189" t="s">
        <v>46</v>
      </c>
      <c r="W15" s="193" t="s">
        <v>64</v>
      </c>
      <c r="X15" s="65">
        <f>$G$23</f>
        <v>9.1999999999999886</v>
      </c>
      <c r="Y15" s="65">
        <f>$H$23</f>
        <v>7.1899999999999977</v>
      </c>
      <c r="Z15" s="65">
        <f>$I$23</f>
        <v>9.160000000000025</v>
      </c>
      <c r="AA15" s="65">
        <f>$J$23</f>
        <v>7.3100000000000023</v>
      </c>
      <c r="AB15" s="65">
        <f>$K$23</f>
        <v>7.2099999999999795</v>
      </c>
      <c r="AC15" s="65">
        <f>$L$23</f>
        <v>9.2900000000000205</v>
      </c>
      <c r="AD15" s="65">
        <f>$M$23</f>
        <v>0</v>
      </c>
      <c r="AE15" s="65">
        <f>$N$23</f>
        <v>0</v>
      </c>
      <c r="AF15" s="65">
        <f>$O$23</f>
        <v>0</v>
      </c>
      <c r="AG15" s="65">
        <f>$P$23</f>
        <v>0</v>
      </c>
      <c r="AH15" s="65">
        <f>$Q$23</f>
        <v>0</v>
      </c>
      <c r="AI15" s="65">
        <f>$R$23</f>
        <v>0</v>
      </c>
    </row>
    <row r="16" spans="2:35">
      <c r="B16" s="95" t="s">
        <v>55</v>
      </c>
      <c r="C16" s="65" t="s">
        <v>109</v>
      </c>
      <c r="D16" s="65">
        <v>19.47999999999999</v>
      </c>
      <c r="E16" s="65">
        <v>18.120000000000005</v>
      </c>
      <c r="F16" s="65">
        <f t="shared" si="7"/>
        <v>9.5500000000000114</v>
      </c>
      <c r="G16" s="65">
        <f>IFERROR(SUM('Konsumsi &amp; Pareto 2 Mingguan'!H13:I13),0)</f>
        <v>1.5699999999999932</v>
      </c>
      <c r="H16" s="65">
        <f>IFERROR(SUM('Konsumsi &amp; Pareto 2 Mingguan'!J13:K13),0)</f>
        <v>1.7900000000000205</v>
      </c>
      <c r="I16" s="65">
        <f>IFERROR(SUM('Konsumsi &amp; Pareto 2 Mingguan'!L13:M13),0)</f>
        <v>1.6799999999999784</v>
      </c>
      <c r="J16" s="65">
        <f>IFERROR(SUM('Konsumsi &amp; Pareto 2 Mingguan'!N13:O13),0)</f>
        <v>1.5700000000000216</v>
      </c>
      <c r="K16" s="65">
        <f>IFERROR(SUM('Konsumsi &amp; Pareto 2 Mingguan'!P13:Q13),0)</f>
        <v>1.0699999999999932</v>
      </c>
      <c r="L16" s="65">
        <f>IFERROR(SUM('Konsumsi &amp; Pareto 2 Mingguan'!R13:S13),0)</f>
        <v>1.8700000000000045</v>
      </c>
      <c r="M16" s="65">
        <f>IFERROR(SUM('Konsumsi &amp; Pareto 2 Mingguan'!T13:U13),0)</f>
        <v>0</v>
      </c>
      <c r="N16" s="65">
        <f>IFERROR(SUM('Konsumsi &amp; Pareto 2 Mingguan'!V13:W13),0)</f>
        <v>0</v>
      </c>
      <c r="O16" s="65">
        <f>IFERROR(SUM('Konsumsi &amp; Pareto 2 Mingguan'!X13:Y13),0)</f>
        <v>0</v>
      </c>
      <c r="P16" s="65">
        <f>IFERROR(SUM('Konsumsi &amp; Pareto 2 Mingguan'!Z13:AA13),0)</f>
        <v>0</v>
      </c>
      <c r="Q16" s="65">
        <f>IFERROR(SUM('Konsumsi &amp; Pareto 2 Mingguan'!AB13:AC13),0)</f>
        <v>0</v>
      </c>
      <c r="R16" s="65">
        <f>IFERROR(SUM('Konsumsi &amp; Pareto 2 Mingguan'!AD13:AE13),0)</f>
        <v>0</v>
      </c>
      <c r="U16" s="187">
        <v>12</v>
      </c>
      <c r="V16" s="189" t="s">
        <v>46</v>
      </c>
      <c r="W16" s="193" t="s">
        <v>65</v>
      </c>
      <c r="X16" s="65">
        <f>$G$24</f>
        <v>15.596980000000002</v>
      </c>
      <c r="Y16" s="65">
        <f>$H$24</f>
        <v>14.096280000000007</v>
      </c>
      <c r="Z16" s="65">
        <f>$I$24</f>
        <v>17.049340000000001</v>
      </c>
      <c r="AA16" s="65">
        <f>$J$24</f>
        <v>15.208560000000006</v>
      </c>
      <c r="AB16" s="65">
        <f>$K$24</f>
        <v>14.14797999999999</v>
      </c>
      <c r="AC16" s="65">
        <f>$L$24</f>
        <v>17.054039999999986</v>
      </c>
      <c r="AD16" s="65">
        <f>$M$24</f>
        <v>0</v>
      </c>
      <c r="AE16" s="65">
        <f>$N$24</f>
        <v>0</v>
      </c>
      <c r="AF16" s="65">
        <f>$O$24</f>
        <v>0</v>
      </c>
      <c r="AG16" s="65">
        <f>$P$24</f>
        <v>0</v>
      </c>
      <c r="AH16" s="65">
        <f>$Q$24</f>
        <v>0</v>
      </c>
      <c r="AI16" s="65">
        <f>$R$24</f>
        <v>0</v>
      </c>
    </row>
    <row r="17" spans="2:35">
      <c r="B17" s="94" t="s">
        <v>58</v>
      </c>
      <c r="C17" s="65" t="s">
        <v>109</v>
      </c>
      <c r="D17" s="65">
        <v>152.99</v>
      </c>
      <c r="E17" s="65">
        <v>124.45999999999981</v>
      </c>
      <c r="F17" s="65">
        <f t="shared" si="7"/>
        <v>65.659999999999968</v>
      </c>
      <c r="G17" s="65">
        <f>IFERROR(SUM('Konsumsi &amp; Pareto 2 Mingguan'!H16:I16),0)</f>
        <v>11.199999999999932</v>
      </c>
      <c r="H17" s="65">
        <f>IFERROR(SUM('Konsumsi &amp; Pareto 2 Mingguan'!J16:K16),0)</f>
        <v>9.8100000000000591</v>
      </c>
      <c r="I17" s="65">
        <f>IFERROR(SUM('Konsumsi &amp; Pareto 2 Mingguan'!L16:M16),0)</f>
        <v>11.840000000000032</v>
      </c>
      <c r="J17" s="65">
        <f>IFERROR(SUM('Konsumsi &amp; Pareto 2 Mingguan'!N16:O16),0)</f>
        <v>10.740000000000009</v>
      </c>
      <c r="K17" s="65">
        <f>IFERROR(SUM('Konsumsi &amp; Pareto 2 Mingguan'!P16:Q16),0)</f>
        <v>9.5099999999999909</v>
      </c>
      <c r="L17" s="65">
        <f>IFERROR(SUM('Konsumsi &amp; Pareto 2 Mingguan'!R16:S16),0)</f>
        <v>12.559999999999945</v>
      </c>
      <c r="M17" s="65">
        <f>IFERROR(SUM('Konsumsi &amp; Pareto 2 Mingguan'!T16:U16),0)</f>
        <v>0</v>
      </c>
      <c r="N17" s="65">
        <f>IFERROR(SUM('Konsumsi &amp; Pareto 2 Mingguan'!V16:W16),0)</f>
        <v>0</v>
      </c>
      <c r="O17" s="65">
        <f>IFERROR(SUM('Konsumsi &amp; Pareto 2 Mingguan'!X16:Y16),0)</f>
        <v>0</v>
      </c>
      <c r="P17" s="65">
        <f>IFERROR(SUM('Konsumsi &amp; Pareto 2 Mingguan'!Z16:AA16),0)</f>
        <v>0</v>
      </c>
      <c r="Q17" s="65">
        <f>IFERROR(SUM('Konsumsi &amp; Pareto 2 Mingguan'!AB16:AC16),0)</f>
        <v>0</v>
      </c>
      <c r="R17" s="65">
        <f>IFERROR(SUM('Konsumsi &amp; Pareto 2 Mingguan'!AD16:AE16),0)</f>
        <v>0</v>
      </c>
      <c r="U17" s="187">
        <v>13</v>
      </c>
      <c r="V17" s="189" t="s">
        <v>50</v>
      </c>
      <c r="W17" s="193" t="s">
        <v>119</v>
      </c>
      <c r="X17" s="65">
        <f>$G$26</f>
        <v>3.3290000000000006</v>
      </c>
      <c r="Y17" s="65">
        <f>$H$26</f>
        <v>4.93</v>
      </c>
      <c r="Z17" s="65">
        <f>$I$26</f>
        <v>4.036999999999999</v>
      </c>
      <c r="AA17" s="65">
        <f>$J$26</f>
        <v>3.7520000000000024</v>
      </c>
      <c r="AB17" s="65">
        <f>$K$26</f>
        <v>1.972999999999999</v>
      </c>
      <c r="AC17" s="65">
        <f>$L$26</f>
        <v>3.8279999999999959</v>
      </c>
      <c r="AD17" s="65">
        <f>$M$26</f>
        <v>0</v>
      </c>
      <c r="AE17" s="65">
        <f>$N$26</f>
        <v>0</v>
      </c>
      <c r="AF17" s="65">
        <f>$O$26</f>
        <v>0</v>
      </c>
      <c r="AG17" s="65">
        <f>$P$26</f>
        <v>0</v>
      </c>
      <c r="AH17" s="65">
        <f>$Q$26</f>
        <v>0</v>
      </c>
      <c r="AI17" s="65">
        <f>$R$26</f>
        <v>0</v>
      </c>
    </row>
    <row r="18" spans="2:35">
      <c r="B18" s="94" t="s">
        <v>59</v>
      </c>
      <c r="C18" s="65" t="s">
        <v>109</v>
      </c>
      <c r="D18" s="65">
        <v>143.05000000000001</v>
      </c>
      <c r="E18" s="65">
        <v>118.5800000000001</v>
      </c>
      <c r="F18" s="65">
        <f t="shared" si="7"/>
        <v>58.769999999999982</v>
      </c>
      <c r="G18" s="65">
        <f>IFERROR(SUM('Konsumsi &amp; Pareto 2 Mingguan'!H17:I17),0)</f>
        <v>10.170000000000073</v>
      </c>
      <c r="H18" s="65">
        <f>IFERROR(SUM('Konsumsi &amp; Pareto 2 Mingguan'!J17:K17),0)</f>
        <v>9.8099999999999454</v>
      </c>
      <c r="I18" s="65">
        <f>IFERROR(SUM('Konsumsi &amp; Pareto 2 Mingguan'!L17:M17),0)</f>
        <v>10.870000000000005</v>
      </c>
      <c r="J18" s="65">
        <f>IFERROR(SUM('Konsumsi &amp; Pareto 2 Mingguan'!N17:O17),0)</f>
        <v>9.75</v>
      </c>
      <c r="K18" s="65">
        <f>IFERROR(SUM('Konsumsi &amp; Pareto 2 Mingguan'!P17:Q17),0)</f>
        <v>7.2200000000000273</v>
      </c>
      <c r="L18" s="65">
        <f>IFERROR(SUM('Konsumsi &amp; Pareto 2 Mingguan'!R17:S17),0)</f>
        <v>10.949999999999932</v>
      </c>
      <c r="M18" s="65">
        <f>IFERROR(SUM('Konsumsi &amp; Pareto 2 Mingguan'!T17:U17),0)</f>
        <v>0</v>
      </c>
      <c r="N18" s="65">
        <f>IFERROR(SUM('Konsumsi &amp; Pareto 2 Mingguan'!V17:W17),0)</f>
        <v>0</v>
      </c>
      <c r="O18" s="65">
        <f>IFERROR(SUM('Konsumsi &amp; Pareto 2 Mingguan'!X17:Y17),0)</f>
        <v>0</v>
      </c>
      <c r="P18" s="65">
        <f>IFERROR(SUM('Konsumsi &amp; Pareto 2 Mingguan'!Z17:AA17),0)</f>
        <v>0</v>
      </c>
      <c r="Q18" s="65">
        <f>IFERROR(SUM('Konsumsi &amp; Pareto 2 Mingguan'!AB17:AC17),0)</f>
        <v>0</v>
      </c>
      <c r="R18" s="65">
        <f>IFERROR(SUM('Konsumsi &amp; Pareto 2 Mingguan'!AD17:AE17),0)</f>
        <v>0</v>
      </c>
      <c r="U18" s="187">
        <v>14</v>
      </c>
      <c r="V18" s="189" t="s">
        <v>50</v>
      </c>
      <c r="W18" s="193" t="s">
        <v>120</v>
      </c>
      <c r="X18" s="65">
        <f>$G$27</f>
        <v>0.43999999999999773</v>
      </c>
      <c r="Y18" s="65">
        <f>$H$27</f>
        <v>49.949999999999989</v>
      </c>
      <c r="Z18" s="65">
        <f>$I$27</f>
        <v>56.830000000000013</v>
      </c>
      <c r="AA18" s="65">
        <f>$J$27</f>
        <v>61.370000000000005</v>
      </c>
      <c r="AB18" s="65">
        <f>$K$27</f>
        <v>21.159999999999968</v>
      </c>
      <c r="AC18" s="65">
        <f>$L$27</f>
        <v>22.120000000000005</v>
      </c>
      <c r="AD18" s="65">
        <f>$M$27</f>
        <v>0</v>
      </c>
      <c r="AE18" s="65">
        <f>$N$27</f>
        <v>0</v>
      </c>
      <c r="AF18" s="65">
        <f>$O$27</f>
        <v>0</v>
      </c>
      <c r="AG18" s="65">
        <f>$P$27</f>
        <v>0</v>
      </c>
      <c r="AH18" s="65">
        <f>$Q$27</f>
        <v>0</v>
      </c>
      <c r="AI18" s="65">
        <f>$R$27</f>
        <v>0</v>
      </c>
    </row>
    <row r="19" spans="2:35">
      <c r="B19" s="94" t="s">
        <v>60</v>
      </c>
      <c r="C19" s="65" t="s">
        <v>109</v>
      </c>
      <c r="D19" s="65">
        <v>399.74000000000012</v>
      </c>
      <c r="E19" s="65">
        <v>383.90000000000009</v>
      </c>
      <c r="F19" s="65">
        <f t="shared" si="7"/>
        <v>213.60000000000014</v>
      </c>
      <c r="G19" s="65">
        <f>IFERROR(SUM('Konsumsi &amp; Pareto 2 Mingguan'!H18:I18),0)</f>
        <v>36.300000000000182</v>
      </c>
      <c r="H19" s="65">
        <f>IFERROR(SUM('Konsumsi &amp; Pareto 2 Mingguan'!J18:K18),0)</f>
        <v>33.299999999999955</v>
      </c>
      <c r="I19" s="65">
        <f>IFERROR(SUM('Konsumsi &amp; Pareto 2 Mingguan'!L18:M18),0)</f>
        <v>40.099999999999909</v>
      </c>
      <c r="J19" s="65">
        <f>IFERROR(SUM('Konsumsi &amp; Pareto 2 Mingguan'!N18:O18),0)</f>
        <v>37.400000000000091</v>
      </c>
      <c r="K19" s="65">
        <f>IFERROR(SUM('Konsumsi &amp; Pareto 2 Mingguan'!P18:Q18),0)</f>
        <v>28</v>
      </c>
      <c r="L19" s="65">
        <f>IFERROR(SUM('Konsumsi &amp; Pareto 2 Mingguan'!R18:S18),0)</f>
        <v>38.5</v>
      </c>
      <c r="M19" s="65">
        <f>IFERROR(SUM('Konsumsi &amp; Pareto 2 Mingguan'!T18:U18),0)</f>
        <v>0</v>
      </c>
      <c r="N19" s="65">
        <f>IFERROR(SUM('Konsumsi &amp; Pareto 2 Mingguan'!V18:W18),0)</f>
        <v>0</v>
      </c>
      <c r="O19" s="65">
        <f>IFERROR(SUM('Konsumsi &amp; Pareto 2 Mingguan'!X18:Y18),0)</f>
        <v>0</v>
      </c>
      <c r="P19" s="65">
        <f>IFERROR(SUM('Konsumsi &amp; Pareto 2 Mingguan'!Z18:AA18),0)</f>
        <v>0</v>
      </c>
      <c r="Q19" s="65">
        <f>IFERROR(SUM('Konsumsi &amp; Pareto 2 Mingguan'!AB18:AC18),0)</f>
        <v>0</v>
      </c>
      <c r="R19" s="65">
        <f>IFERROR(SUM('Konsumsi &amp; Pareto 2 Mingguan'!AD18:AE18),0)</f>
        <v>0</v>
      </c>
      <c r="U19" s="187">
        <v>15</v>
      </c>
      <c r="V19" s="189" t="s">
        <v>50</v>
      </c>
      <c r="W19" s="193" t="s">
        <v>121</v>
      </c>
      <c r="X19" s="65">
        <f>$G$28</f>
        <v>49.879999999999995</v>
      </c>
      <c r="Y19" s="65">
        <f>$H$28</f>
        <v>1.0299999999999727</v>
      </c>
      <c r="Z19" s="65">
        <f>$I$28</f>
        <v>0.54000000000002046</v>
      </c>
      <c r="AA19" s="65">
        <f>$J$28</f>
        <v>0.48000000000001819</v>
      </c>
      <c r="AB19" s="65">
        <f>$K$28</f>
        <v>6.25</v>
      </c>
      <c r="AC19" s="65">
        <f>$L$28</f>
        <v>32.259999999999991</v>
      </c>
      <c r="AD19" s="65">
        <f>$M$28</f>
        <v>0</v>
      </c>
      <c r="AE19" s="65">
        <f>$N$28</f>
        <v>0</v>
      </c>
      <c r="AF19" s="65">
        <f>$O$28</f>
        <v>0</v>
      </c>
      <c r="AG19" s="65">
        <f>$P$28</f>
        <v>0</v>
      </c>
      <c r="AH19" s="65">
        <f>$Q$28</f>
        <v>0</v>
      </c>
      <c r="AI19" s="65">
        <f>$R$28</f>
        <v>0</v>
      </c>
    </row>
    <row r="20" spans="2:35">
      <c r="B20" s="94" t="s">
        <v>61</v>
      </c>
      <c r="C20" s="65" t="s">
        <v>109</v>
      </c>
      <c r="D20" s="65">
        <v>6.027000000000001</v>
      </c>
      <c r="E20" s="65">
        <v>229.38599999999997</v>
      </c>
      <c r="F20" s="65">
        <f t="shared" si="7"/>
        <v>1.9450000000000003</v>
      </c>
      <c r="G20" s="65">
        <f>IFERROR(SUM('Konsumsi &amp; Pareto 2 Mingguan'!H19:I19),0)</f>
        <v>0.48700000000000188</v>
      </c>
      <c r="H20" s="65">
        <f>IFERROR(SUM('Konsumsi &amp; Pareto 2 Mingguan'!J19:K19),0)</f>
        <v>0.26599999999999824</v>
      </c>
      <c r="I20" s="65">
        <f>IFERROR(SUM('Konsumsi &amp; Pareto 2 Mingguan'!L19:M19),0)</f>
        <v>0.30700000000000216</v>
      </c>
      <c r="J20" s="65">
        <f>IFERROR(SUM('Konsumsi &amp; Pareto 2 Mingguan'!N19:O19),0)</f>
        <v>0.3279999999999994</v>
      </c>
      <c r="K20" s="65">
        <f>IFERROR(SUM('Konsumsi &amp; Pareto 2 Mingguan'!P19:Q19),0)</f>
        <v>0.25999999999999801</v>
      </c>
      <c r="L20" s="65">
        <f>IFERROR(SUM('Konsumsi &amp; Pareto 2 Mingguan'!R19:S19),0)</f>
        <v>0.2970000000000006</v>
      </c>
      <c r="M20" s="65">
        <f>IFERROR(SUM('Konsumsi &amp; Pareto 2 Mingguan'!T19:U19),0)</f>
        <v>0</v>
      </c>
      <c r="N20" s="65">
        <f>IFERROR(SUM('Konsumsi &amp; Pareto 2 Mingguan'!V19:W19),0)</f>
        <v>0</v>
      </c>
      <c r="O20" s="65">
        <f>IFERROR(SUM('Konsumsi &amp; Pareto 2 Mingguan'!X19:Y19),0)</f>
        <v>0</v>
      </c>
      <c r="P20" s="65">
        <f>IFERROR(SUM('Konsumsi &amp; Pareto 2 Mingguan'!Z19:AA19),0)</f>
        <v>0</v>
      </c>
      <c r="Q20" s="65">
        <f>IFERROR(SUM('Konsumsi &amp; Pareto 2 Mingguan'!AB19:AC19),0)</f>
        <v>0</v>
      </c>
      <c r="R20" s="65">
        <f>IFERROR(SUM('Konsumsi &amp; Pareto 2 Mingguan'!AD19:AE19),0)</f>
        <v>0</v>
      </c>
      <c r="U20" s="187">
        <v>16</v>
      </c>
      <c r="V20" s="189" t="s">
        <v>50</v>
      </c>
      <c r="W20" s="193" t="s">
        <v>122</v>
      </c>
      <c r="X20" s="65">
        <f>$G$29</f>
        <v>25.579999999999984</v>
      </c>
      <c r="Y20" s="65">
        <f>$H$29</f>
        <v>29.629999999999995</v>
      </c>
      <c r="Z20" s="65">
        <f>$I$29</f>
        <v>30.980000000000018</v>
      </c>
      <c r="AA20" s="65">
        <f>$J$29</f>
        <v>30.740000000000009</v>
      </c>
      <c r="AB20" s="65">
        <f>$K$29</f>
        <v>15.909999999999968</v>
      </c>
      <c r="AC20" s="65">
        <f>$L$29</f>
        <v>30.449999999999989</v>
      </c>
      <c r="AD20" s="65">
        <f>$M$29</f>
        <v>0</v>
      </c>
      <c r="AE20" s="65">
        <f>$N$29</f>
        <v>0</v>
      </c>
      <c r="AF20" s="65">
        <f>$O$29</f>
        <v>0</v>
      </c>
      <c r="AG20" s="65">
        <f>$P$29</f>
        <v>0</v>
      </c>
      <c r="AH20" s="65">
        <f>$Q$29</f>
        <v>0</v>
      </c>
      <c r="AI20" s="65">
        <f>$R$29</f>
        <v>0</v>
      </c>
    </row>
    <row r="21" spans="2:35">
      <c r="B21" s="94" t="s">
        <v>62</v>
      </c>
      <c r="C21" s="65" t="s">
        <v>109</v>
      </c>
      <c r="D21" s="65">
        <v>0.9020999999999999</v>
      </c>
      <c r="E21" s="65">
        <v>57.051699999999911</v>
      </c>
      <c r="F21" s="65">
        <f t="shared" si="7"/>
        <v>0.85440000000000005</v>
      </c>
      <c r="G21" s="65">
        <f>IFERROR(SUM('Konsumsi &amp; Pareto 2 Mingguan'!H20:I20),0)</f>
        <v>0.1650999999999998</v>
      </c>
      <c r="H21" s="65">
        <f>IFERROR(SUM('Konsumsi &amp; Pareto 2 Mingguan'!J20:K20),0)</f>
        <v>0.14050000000000029</v>
      </c>
      <c r="I21" s="65">
        <f>IFERROR(SUM('Konsumsi &amp; Pareto 2 Mingguan'!L20:M20),0)</f>
        <v>0.15579999999999927</v>
      </c>
      <c r="J21" s="65">
        <f>IFERROR(SUM('Konsumsi &amp; Pareto 2 Mingguan'!N20:O20),0)</f>
        <v>0.14120000000000044</v>
      </c>
      <c r="K21" s="65">
        <f>IFERROR(SUM('Konsumsi &amp; Pareto 2 Mingguan'!P20:Q20),0)</f>
        <v>0.14459999999999962</v>
      </c>
      <c r="L21" s="65">
        <f>IFERROR(SUM('Konsumsi &amp; Pareto 2 Mingguan'!R20:S20),0)</f>
        <v>0.10720000000000063</v>
      </c>
      <c r="M21" s="65">
        <f>IFERROR(SUM('Konsumsi &amp; Pareto 2 Mingguan'!T20:U20),0)</f>
        <v>0</v>
      </c>
      <c r="N21" s="65">
        <f>IFERROR(SUM('Konsumsi &amp; Pareto 2 Mingguan'!V20:W20),0)</f>
        <v>0</v>
      </c>
      <c r="O21" s="65">
        <f>IFERROR(SUM('Konsumsi &amp; Pareto 2 Mingguan'!X20:Y20),0)</f>
        <v>0</v>
      </c>
      <c r="P21" s="65">
        <f>IFERROR(SUM('Konsumsi &amp; Pareto 2 Mingguan'!Z20:AA20),0)</f>
        <v>0</v>
      </c>
      <c r="Q21" s="65">
        <f>IFERROR(SUM('Konsumsi &amp; Pareto 2 Mingguan'!AB20:AC20),0)</f>
        <v>0</v>
      </c>
      <c r="R21" s="65">
        <f>IFERROR(SUM('Konsumsi &amp; Pareto 2 Mingguan'!AD20:AE20),0)</f>
        <v>0</v>
      </c>
      <c r="U21" s="187">
        <v>17</v>
      </c>
      <c r="V21" s="189" t="s">
        <v>50</v>
      </c>
      <c r="W21" s="193" t="s">
        <v>124</v>
      </c>
      <c r="X21" s="65">
        <f>$G$30</f>
        <v>27.171000000000568</v>
      </c>
      <c r="Y21" s="65">
        <f>$H$30</f>
        <v>28.35999999999968</v>
      </c>
      <c r="Z21" s="65">
        <f>$I$30</f>
        <v>28.713000000000314</v>
      </c>
      <c r="AA21" s="65">
        <f>$J$30</f>
        <v>29.057999999999602</v>
      </c>
      <c r="AB21" s="65">
        <f>$K$30</f>
        <v>16.10700000000061</v>
      </c>
      <c r="AC21" s="65">
        <f>$L$30</f>
        <v>29.34200000000002</v>
      </c>
      <c r="AD21" s="65">
        <f>$M$30</f>
        <v>0</v>
      </c>
      <c r="AE21" s="65">
        <f>$N$30</f>
        <v>0</v>
      </c>
      <c r="AF21" s="65">
        <f>$O$30</f>
        <v>0</v>
      </c>
      <c r="AG21" s="65">
        <f>$P$30</f>
        <v>0</v>
      </c>
      <c r="AH21" s="65">
        <f>$Q$30</f>
        <v>0</v>
      </c>
      <c r="AI21" s="65">
        <f>$R$30</f>
        <v>0</v>
      </c>
    </row>
    <row r="22" spans="2:35">
      <c r="B22" s="94" t="s">
        <v>63</v>
      </c>
      <c r="C22" s="65" t="s">
        <v>109</v>
      </c>
      <c r="D22" s="65">
        <v>5.3539999999999921</v>
      </c>
      <c r="E22" s="65">
        <v>2.9529999999999887</v>
      </c>
      <c r="F22" s="65">
        <f t="shared" si="7"/>
        <v>0.42099999999999227</v>
      </c>
      <c r="G22" s="65">
        <f>IFERROR(SUM('Konsumsi &amp; Pareto 2 Mingguan'!H21:I21),0)</f>
        <v>7.9999999999955662E-3</v>
      </c>
      <c r="H22" s="65">
        <f>IFERROR(SUM('Konsumsi &amp; Pareto 2 Mingguan'!J21:K21),0)</f>
        <v>6.9000000000002615E-2</v>
      </c>
      <c r="I22" s="65">
        <f>IFERROR(SUM('Konsumsi &amp; Pareto 2 Mingguan'!L21:M21),0)</f>
        <v>1.0000000000005116E-2</v>
      </c>
      <c r="J22" s="65">
        <f>IFERROR(SUM('Konsumsi &amp; Pareto 2 Mingguan'!N21:O21),0)</f>
        <v>9.0000000000003411E-3</v>
      </c>
      <c r="K22" s="65">
        <f>IFERROR(SUM('Konsumsi &amp; Pareto 2 Mingguan'!P21:Q21),0)</f>
        <v>0.14499999999999602</v>
      </c>
      <c r="L22" s="65">
        <f>IFERROR(SUM('Konsumsi &amp; Pareto 2 Mingguan'!R21:S21),0)</f>
        <v>0.17999999999999261</v>
      </c>
      <c r="M22" s="65">
        <f>IFERROR(SUM('Konsumsi &amp; Pareto 2 Mingguan'!T21:U21),0)</f>
        <v>0</v>
      </c>
      <c r="N22" s="65">
        <f>IFERROR(SUM('Konsumsi &amp; Pareto 2 Mingguan'!V21:W21),0)</f>
        <v>0</v>
      </c>
      <c r="O22" s="65">
        <f>IFERROR(SUM('Konsumsi &amp; Pareto 2 Mingguan'!X21:Y21),0)</f>
        <v>0</v>
      </c>
      <c r="P22" s="65">
        <f>IFERROR(SUM('Konsumsi &amp; Pareto 2 Mingguan'!Z21:AA21),0)</f>
        <v>0</v>
      </c>
      <c r="Q22" s="65">
        <f>IFERROR(SUM('Konsumsi &amp; Pareto 2 Mingguan'!AB21:AC21),0)</f>
        <v>0</v>
      </c>
      <c r="R22" s="65">
        <f>IFERROR(SUM('Konsumsi &amp; Pareto 2 Mingguan'!AD21:AE21),0)</f>
        <v>0</v>
      </c>
      <c r="U22" s="187">
        <v>18</v>
      </c>
      <c r="V22" s="189" t="s">
        <v>177</v>
      </c>
      <c r="W22" s="193" t="s">
        <v>67</v>
      </c>
      <c r="X22" s="65">
        <f>$G$31</f>
        <v>30.600000000000136</v>
      </c>
      <c r="Y22" s="65">
        <f>$H$31</f>
        <v>26.200000000000045</v>
      </c>
      <c r="Z22" s="65">
        <f>$I$31</f>
        <v>33.199999999999818</v>
      </c>
      <c r="AA22" s="65">
        <f>$J$31</f>
        <v>31.5</v>
      </c>
      <c r="AB22" s="65">
        <f>$K$31</f>
        <v>26.200000000000045</v>
      </c>
      <c r="AC22" s="65">
        <f>$L$31</f>
        <v>33.100000000000136</v>
      </c>
      <c r="AD22" s="65">
        <f>$M$31</f>
        <v>0</v>
      </c>
      <c r="AE22" s="65">
        <f>$N$31</f>
        <v>0</v>
      </c>
      <c r="AF22" s="65">
        <f>$O$31</f>
        <v>0</v>
      </c>
      <c r="AG22" s="65">
        <f>$P$31</f>
        <v>0</v>
      </c>
      <c r="AH22" s="65">
        <f>$Q$31</f>
        <v>0</v>
      </c>
      <c r="AI22" s="65">
        <f>$R$31</f>
        <v>0</v>
      </c>
    </row>
    <row r="23" spans="2:35">
      <c r="B23" s="94" t="s">
        <v>64</v>
      </c>
      <c r="C23" s="65" t="s">
        <v>109</v>
      </c>
      <c r="D23" s="65">
        <v>82.690000000000026</v>
      </c>
      <c r="E23" s="65">
        <v>82.729999999999905</v>
      </c>
      <c r="F23" s="65">
        <f t="shared" si="7"/>
        <v>49.360000000000014</v>
      </c>
      <c r="G23" s="65">
        <f>IFERROR(SUM('Konsumsi &amp; Pareto 2 Mingguan'!H22:I22),0)</f>
        <v>9.1999999999999886</v>
      </c>
      <c r="H23" s="65">
        <f>IFERROR(SUM('Konsumsi &amp; Pareto 2 Mingguan'!J22:K22),0)</f>
        <v>7.1899999999999977</v>
      </c>
      <c r="I23" s="65">
        <f>IFERROR(SUM('Konsumsi &amp; Pareto 2 Mingguan'!L22:M22),0)</f>
        <v>9.160000000000025</v>
      </c>
      <c r="J23" s="65">
        <f>IFERROR(SUM('Konsumsi &amp; Pareto 2 Mingguan'!N22:O22),0)</f>
        <v>7.3100000000000023</v>
      </c>
      <c r="K23" s="65">
        <f>IFERROR(SUM('Konsumsi &amp; Pareto 2 Mingguan'!P22:Q22),0)</f>
        <v>7.2099999999999795</v>
      </c>
      <c r="L23" s="65">
        <f>IFERROR(SUM('Konsumsi &amp; Pareto 2 Mingguan'!R22:S22),0)</f>
        <v>9.2900000000000205</v>
      </c>
      <c r="M23" s="65">
        <f>IFERROR(SUM('Konsumsi &amp; Pareto 2 Mingguan'!T22:U22),0)</f>
        <v>0</v>
      </c>
      <c r="N23" s="65">
        <f>IFERROR(SUM('Konsumsi &amp; Pareto 2 Mingguan'!V22:W22),0)</f>
        <v>0</v>
      </c>
      <c r="O23" s="65">
        <f>IFERROR(SUM('Konsumsi &amp; Pareto 2 Mingguan'!X22:Y22),0)</f>
        <v>0</v>
      </c>
      <c r="P23" s="65">
        <f>IFERROR(SUM('Konsumsi &amp; Pareto 2 Mingguan'!Z22:AA22),0)</f>
        <v>0</v>
      </c>
      <c r="Q23" s="65">
        <f>IFERROR(SUM('Konsumsi &amp; Pareto 2 Mingguan'!AB22:AC22),0)</f>
        <v>0</v>
      </c>
      <c r="R23" s="65">
        <f>IFERROR(SUM('Konsumsi &amp; Pareto 2 Mingguan'!AD22:AE22),0)</f>
        <v>0</v>
      </c>
      <c r="U23" s="187">
        <v>19</v>
      </c>
      <c r="V23" s="189" t="s">
        <v>177</v>
      </c>
      <c r="W23" s="193" t="s">
        <v>68</v>
      </c>
      <c r="X23" s="65">
        <f>$G$32</f>
        <v>5.8397119999999987</v>
      </c>
      <c r="Y23" s="65">
        <f>$H$32</f>
        <v>5.4656680000000009</v>
      </c>
      <c r="Z23" s="65">
        <f>$I$32</f>
        <v>6.9365480000000019</v>
      </c>
      <c r="AA23" s="65">
        <f>$J$32</f>
        <v>6.3606279999999984</v>
      </c>
      <c r="AB23" s="65">
        <f>$K$32</f>
        <v>5.6752280000000042</v>
      </c>
      <c r="AC23" s="65">
        <f>$L$32</f>
        <v>5.6739840000000044</v>
      </c>
      <c r="AD23" s="65">
        <f>$M$32</f>
        <v>0</v>
      </c>
      <c r="AE23" s="65">
        <f>$N$32</f>
        <v>0</v>
      </c>
      <c r="AF23" s="65">
        <f>$O$32</f>
        <v>0</v>
      </c>
      <c r="AG23" s="65">
        <f>$P$32</f>
        <v>0</v>
      </c>
      <c r="AH23" s="65">
        <f>$Q$32</f>
        <v>0</v>
      </c>
      <c r="AI23" s="65">
        <f>$R$32</f>
        <v>0</v>
      </c>
    </row>
    <row r="24" spans="2:35">
      <c r="B24" s="99" t="s">
        <v>65</v>
      </c>
      <c r="C24" s="97" t="s">
        <v>109</v>
      </c>
      <c r="D24" s="97">
        <v>2.109753</v>
      </c>
      <c r="E24" s="97">
        <v>148.55382299999999</v>
      </c>
      <c r="F24" s="97">
        <f t="shared" si="7"/>
        <v>93.153179999999992</v>
      </c>
      <c r="G24" s="65">
        <f>IFERROR(SUM('Konsumsi &amp; Pareto 2 Mingguan'!H23:I23),0)</f>
        <v>15.596980000000002</v>
      </c>
      <c r="H24" s="65">
        <f>IFERROR(SUM('Konsumsi &amp; Pareto 2 Mingguan'!J23:K23),0)</f>
        <v>14.096280000000007</v>
      </c>
      <c r="I24" s="65">
        <f>IFERROR(SUM('Konsumsi &amp; Pareto 2 Mingguan'!L23:M23),0)</f>
        <v>17.049340000000001</v>
      </c>
      <c r="J24" s="65">
        <f>IFERROR(SUM('Konsumsi &amp; Pareto 2 Mingguan'!N23:O23),0)</f>
        <v>15.208560000000006</v>
      </c>
      <c r="K24" s="65">
        <f>IFERROR(SUM('Konsumsi &amp; Pareto 2 Mingguan'!P23:Q23),0)</f>
        <v>14.14797999999999</v>
      </c>
      <c r="L24" s="65">
        <f>IFERROR(SUM('Konsumsi &amp; Pareto 2 Mingguan'!R23:S23),0)</f>
        <v>17.054039999999986</v>
      </c>
      <c r="M24" s="65">
        <f>IFERROR(SUM('Konsumsi &amp; Pareto 2 Mingguan'!T23:U23),0)</f>
        <v>0</v>
      </c>
      <c r="N24" s="65">
        <f>IFERROR(SUM('Konsumsi &amp; Pareto 2 Mingguan'!V23:W23),0)</f>
        <v>0</v>
      </c>
      <c r="O24" s="65">
        <f>IFERROR(SUM('Konsumsi &amp; Pareto 2 Mingguan'!X23:Y23),0)</f>
        <v>0</v>
      </c>
      <c r="P24" s="65">
        <f>IFERROR(SUM('Konsumsi &amp; Pareto 2 Mingguan'!Z23:AA23),0)</f>
        <v>0</v>
      </c>
      <c r="Q24" s="65">
        <f>IFERROR(SUM('Konsumsi &amp; Pareto 2 Mingguan'!AB23:AC23),0)</f>
        <v>0</v>
      </c>
      <c r="R24" s="65">
        <f>IFERROR(SUM('Konsumsi &amp; Pareto 2 Mingguan'!AD23:AE23),0)</f>
        <v>0</v>
      </c>
      <c r="U24" s="187">
        <v>20</v>
      </c>
      <c r="V24" s="189" t="s">
        <v>42</v>
      </c>
      <c r="W24" s="193" t="s">
        <v>140</v>
      </c>
      <c r="X24" s="65">
        <f>$G$33</f>
        <v>4.6270000000000024</v>
      </c>
      <c r="Y24" s="65">
        <f>$H$33</f>
        <v>0.64099999999999113</v>
      </c>
      <c r="Z24" s="65">
        <f>$I$33</f>
        <v>0.54999999999999716</v>
      </c>
      <c r="AA24" s="65">
        <f>$J$33</f>
        <v>2.7540000000000049</v>
      </c>
      <c r="AB24" s="65">
        <f>$K$33</f>
        <v>4.1760000000000019</v>
      </c>
      <c r="AC24" s="65">
        <f>$L$33</f>
        <v>5.9749999999999943</v>
      </c>
      <c r="AD24" s="65">
        <f>$M$33</f>
        <v>0</v>
      </c>
      <c r="AE24" s="65">
        <f>$N$33</f>
        <v>0</v>
      </c>
      <c r="AF24" s="65">
        <f>$O$33</f>
        <v>0</v>
      </c>
      <c r="AG24" s="65">
        <f>$P$33</f>
        <v>0</v>
      </c>
      <c r="AH24" s="65">
        <f>$Q$33</f>
        <v>0</v>
      </c>
      <c r="AI24" s="65">
        <f>$R$33</f>
        <v>0</v>
      </c>
    </row>
    <row r="25" spans="2:35">
      <c r="B25" s="94" t="s">
        <v>66</v>
      </c>
      <c r="C25" s="65" t="s">
        <v>109</v>
      </c>
      <c r="D25" s="65">
        <v>1335</v>
      </c>
      <c r="E25" s="65">
        <v>1142.8999999999983</v>
      </c>
      <c r="F25" s="65">
        <f t="shared" si="7"/>
        <v>646.20000000000073</v>
      </c>
      <c r="G25" s="65">
        <f>IFERROR(SUM('Konsumsi &amp; Pareto 2 Mingguan'!H24:I24),0)</f>
        <v>106.40000000000055</v>
      </c>
      <c r="H25" s="65">
        <f>IFERROR(SUM('Konsumsi &amp; Pareto 2 Mingguan'!J24:K24),0)</f>
        <v>113.89999999999964</v>
      </c>
      <c r="I25" s="65">
        <f>IFERROR(SUM('Konsumsi &amp; Pareto 2 Mingguan'!L24:M24),0)</f>
        <v>121.10000000000036</v>
      </c>
      <c r="J25" s="65">
        <f>IFERROR(SUM('Konsumsi &amp; Pareto 2 Mingguan'!N24:O24),0)</f>
        <v>125.39999999999964</v>
      </c>
      <c r="K25" s="65">
        <f>IFERROR(SUM('Konsumsi &amp; Pareto 2 Mingguan'!P24:Q24),0)</f>
        <v>61.400000000000546</v>
      </c>
      <c r="L25" s="65">
        <f>IFERROR(SUM('Konsumsi &amp; Pareto 2 Mingguan'!R24:S24),0)</f>
        <v>118</v>
      </c>
      <c r="M25" s="65">
        <f>IFERROR(SUM('Konsumsi &amp; Pareto 2 Mingguan'!T24:U24),0)</f>
        <v>0</v>
      </c>
      <c r="N25" s="65">
        <f>IFERROR(SUM('Konsumsi &amp; Pareto 2 Mingguan'!V24:W24),0)</f>
        <v>0</v>
      </c>
      <c r="O25" s="65">
        <f>IFERROR(SUM('Konsumsi &amp; Pareto 2 Mingguan'!X24:Y24),0)</f>
        <v>0</v>
      </c>
      <c r="P25" s="65">
        <f>IFERROR(SUM('Konsumsi &amp; Pareto 2 Mingguan'!Z24:AA24),0)</f>
        <v>0</v>
      </c>
      <c r="Q25" s="65">
        <f>IFERROR(SUM('Konsumsi &amp; Pareto 2 Mingguan'!AB24:AC24),0)</f>
        <v>0</v>
      </c>
      <c r="R25" s="65">
        <f>IFERROR(SUM('Konsumsi &amp; Pareto 2 Mingguan'!AD24:AE24),0)</f>
        <v>0</v>
      </c>
      <c r="U25" s="187">
        <v>21</v>
      </c>
      <c r="V25" s="189" t="s">
        <v>177</v>
      </c>
      <c r="W25" s="193" t="s">
        <v>69</v>
      </c>
      <c r="X25" s="65">
        <f>$G$34</f>
        <v>15.959999999999923</v>
      </c>
      <c r="Y25" s="65">
        <f>$H$34</f>
        <v>13.870000000000005</v>
      </c>
      <c r="Z25" s="65">
        <f>$I$34</f>
        <v>16.409999999999968</v>
      </c>
      <c r="AA25" s="65">
        <f>$J$34</f>
        <v>14.180000000000064</v>
      </c>
      <c r="AB25" s="65">
        <f>$K$34</f>
        <v>10.720000000000027</v>
      </c>
      <c r="AC25" s="65">
        <f>$L$34</f>
        <v>14.569999999999936</v>
      </c>
      <c r="AD25" s="65">
        <f>$M$34</f>
        <v>0</v>
      </c>
      <c r="AE25" s="65">
        <f>$N$34</f>
        <v>0</v>
      </c>
      <c r="AF25" s="65">
        <f>$O$34</f>
        <v>0</v>
      </c>
      <c r="AG25" s="65">
        <f>$P$34</f>
        <v>0</v>
      </c>
      <c r="AH25" s="65">
        <f>$Q$34</f>
        <v>0</v>
      </c>
      <c r="AI25" s="65">
        <f>$R$34</f>
        <v>0</v>
      </c>
    </row>
    <row r="26" spans="2:35">
      <c r="B26" s="95" t="s">
        <v>119</v>
      </c>
      <c r="C26" s="65" t="s">
        <v>109</v>
      </c>
      <c r="D26" s="65">
        <v>0</v>
      </c>
      <c r="E26" s="65">
        <v>38.274500000000003</v>
      </c>
      <c r="F26" s="65">
        <f t="shared" si="7"/>
        <v>21.848999999999997</v>
      </c>
      <c r="G26" s="65">
        <f>IFERROR(SUM('Konsumsi &amp; Pareto 2 Mingguan'!H25:I25),0)</f>
        <v>3.3290000000000006</v>
      </c>
      <c r="H26" s="65">
        <f>IFERROR(SUM('Konsumsi &amp; Pareto 2 Mingguan'!J25:K25),0)</f>
        <v>4.93</v>
      </c>
      <c r="I26" s="65">
        <f>IFERROR(SUM('Konsumsi &amp; Pareto 2 Mingguan'!L25:M25),0)</f>
        <v>4.036999999999999</v>
      </c>
      <c r="J26" s="65">
        <f>IFERROR(SUM('Konsumsi &amp; Pareto 2 Mingguan'!N25:O25),0)</f>
        <v>3.7520000000000024</v>
      </c>
      <c r="K26" s="65">
        <f>IFERROR(SUM('Konsumsi &amp; Pareto 2 Mingguan'!P25:Q25),0)</f>
        <v>1.972999999999999</v>
      </c>
      <c r="L26" s="65">
        <f>IFERROR(SUM('Konsumsi &amp; Pareto 2 Mingguan'!R25:S25),0)</f>
        <v>3.8279999999999959</v>
      </c>
      <c r="M26" s="65">
        <f>IFERROR(SUM('Konsumsi &amp; Pareto 2 Mingguan'!T25:U25),0)</f>
        <v>0</v>
      </c>
      <c r="N26" s="65">
        <f>IFERROR(SUM('Konsumsi &amp; Pareto 2 Mingguan'!V25:W25),0)</f>
        <v>0</v>
      </c>
      <c r="O26" s="65">
        <f>IFERROR(SUM('Konsumsi &amp; Pareto 2 Mingguan'!X25:Y25),0)</f>
        <v>0</v>
      </c>
      <c r="P26" s="65">
        <f>IFERROR(SUM('Konsumsi &amp; Pareto 2 Mingguan'!Z25:AA25),0)</f>
        <v>0</v>
      </c>
      <c r="Q26" s="65">
        <f>IFERROR(SUM('Konsumsi &amp; Pareto 2 Mingguan'!AB25:AC25),0)</f>
        <v>0</v>
      </c>
      <c r="R26" s="65">
        <f>IFERROR(SUM('Konsumsi &amp; Pareto 2 Mingguan'!AD25:AE25),0)</f>
        <v>0</v>
      </c>
      <c r="AD26" s="1"/>
      <c r="AE26" s="1"/>
      <c r="AF26" s="1"/>
      <c r="AG26" s="1"/>
      <c r="AH26" s="1"/>
      <c r="AI26" s="1"/>
    </row>
    <row r="27" spans="2:35">
      <c r="B27" s="95" t="s">
        <v>120</v>
      </c>
      <c r="C27" s="65" t="s">
        <v>109</v>
      </c>
      <c r="D27" s="65">
        <v>0</v>
      </c>
      <c r="E27" s="65">
        <v>191.45399999999998</v>
      </c>
      <c r="F27" s="65">
        <f t="shared" si="7"/>
        <v>211.86999999999998</v>
      </c>
      <c r="G27" s="65">
        <f>IFERROR(SUM('Konsumsi &amp; Pareto 2 Mingguan'!H26:I26),0)</f>
        <v>0.43999999999999773</v>
      </c>
      <c r="H27" s="65">
        <f>IFERROR(SUM('Konsumsi &amp; Pareto 2 Mingguan'!J26:K26),0)</f>
        <v>49.949999999999989</v>
      </c>
      <c r="I27" s="65">
        <f>IFERROR(SUM('Konsumsi &amp; Pareto 2 Mingguan'!L26:M26),0)</f>
        <v>56.830000000000013</v>
      </c>
      <c r="J27" s="65">
        <f>IFERROR(SUM('Konsumsi &amp; Pareto 2 Mingguan'!N26:O26),0)</f>
        <v>61.370000000000005</v>
      </c>
      <c r="K27" s="65">
        <f>IFERROR(SUM('Konsumsi &amp; Pareto 2 Mingguan'!P26:Q26),0)</f>
        <v>21.159999999999968</v>
      </c>
      <c r="L27" s="65">
        <f>IFERROR(SUM('Konsumsi &amp; Pareto 2 Mingguan'!R26:S26),0)</f>
        <v>22.120000000000005</v>
      </c>
      <c r="M27" s="65">
        <f>IFERROR(SUM('Konsumsi &amp; Pareto 2 Mingguan'!T26:U26),0)</f>
        <v>0</v>
      </c>
      <c r="N27" s="65">
        <f>IFERROR(SUM('Konsumsi &amp; Pareto 2 Mingguan'!V26:W26),0)</f>
        <v>0</v>
      </c>
      <c r="O27" s="65">
        <f>IFERROR(SUM('Konsumsi &amp; Pareto 2 Mingguan'!X26:Y26),0)</f>
        <v>0</v>
      </c>
      <c r="P27" s="65">
        <f>IFERROR(SUM('Konsumsi &amp; Pareto 2 Mingguan'!Z26:AA26),0)</f>
        <v>0</v>
      </c>
      <c r="Q27" s="65">
        <f>IFERROR(SUM('Konsumsi &amp; Pareto 2 Mingguan'!AB26:AC26),0)</f>
        <v>0</v>
      </c>
      <c r="R27" s="65">
        <f>IFERROR(SUM('Konsumsi &amp; Pareto 2 Mingguan'!AD26:AE26),0)</f>
        <v>0</v>
      </c>
      <c r="AD27" s="1"/>
      <c r="AE27" s="1"/>
      <c r="AF27" s="1"/>
      <c r="AG27" s="1"/>
      <c r="AH27" s="1"/>
      <c r="AI27" s="1"/>
    </row>
    <row r="28" spans="2:35">
      <c r="B28" s="95" t="s">
        <v>121</v>
      </c>
      <c r="C28" s="65" t="s">
        <v>109</v>
      </c>
      <c r="D28" s="65">
        <v>0</v>
      </c>
      <c r="E28" s="65">
        <v>356.16300000000007</v>
      </c>
      <c r="F28" s="65">
        <f t="shared" si="7"/>
        <v>90.44</v>
      </c>
      <c r="G28" s="65">
        <f>IFERROR(SUM('Konsumsi &amp; Pareto 2 Mingguan'!H27:I27),0)</f>
        <v>49.879999999999995</v>
      </c>
      <c r="H28" s="65">
        <f>IFERROR(SUM('Konsumsi &amp; Pareto 2 Mingguan'!J27:K27),0)</f>
        <v>1.0299999999999727</v>
      </c>
      <c r="I28" s="65">
        <f>IFERROR(SUM('Konsumsi &amp; Pareto 2 Mingguan'!L27:M27),0)</f>
        <v>0.54000000000002046</v>
      </c>
      <c r="J28" s="65">
        <f>IFERROR(SUM('Konsumsi &amp; Pareto 2 Mingguan'!N27:O27),0)</f>
        <v>0.48000000000001819</v>
      </c>
      <c r="K28" s="65">
        <f>IFERROR(SUM('Konsumsi &amp; Pareto 2 Mingguan'!P27:Q27),0)</f>
        <v>6.25</v>
      </c>
      <c r="L28" s="65">
        <f>IFERROR(SUM('Konsumsi &amp; Pareto 2 Mingguan'!R27:S27),0)</f>
        <v>32.259999999999991</v>
      </c>
      <c r="M28" s="65">
        <f>IFERROR(SUM('Konsumsi &amp; Pareto 2 Mingguan'!T27:U27),0)</f>
        <v>0</v>
      </c>
      <c r="N28" s="65">
        <f>IFERROR(SUM('Konsumsi &amp; Pareto 2 Mingguan'!V27:W27),0)</f>
        <v>0</v>
      </c>
      <c r="O28" s="65">
        <f>IFERROR(SUM('Konsumsi &amp; Pareto 2 Mingguan'!X27:Y27),0)</f>
        <v>0</v>
      </c>
      <c r="P28" s="65">
        <f>IFERROR(SUM('Konsumsi &amp; Pareto 2 Mingguan'!Z27:AA27),0)</f>
        <v>0</v>
      </c>
      <c r="Q28" s="65">
        <f>IFERROR(SUM('Konsumsi &amp; Pareto 2 Mingguan'!AB27:AC27),0)</f>
        <v>0</v>
      </c>
      <c r="R28" s="65">
        <f>IFERROR(SUM('Konsumsi &amp; Pareto 2 Mingguan'!AD27:AE27),0)</f>
        <v>0</v>
      </c>
      <c r="U28" s="18" t="s">
        <v>180</v>
      </c>
      <c r="W28" t="s">
        <v>90</v>
      </c>
      <c r="AD28" s="1"/>
      <c r="AE28" s="1"/>
      <c r="AF28" s="1"/>
      <c r="AG28" s="1"/>
      <c r="AH28" s="1"/>
      <c r="AI28" s="1"/>
    </row>
    <row r="29" spans="2:35">
      <c r="B29" s="95" t="s">
        <v>122</v>
      </c>
      <c r="C29" s="65" t="s">
        <v>109</v>
      </c>
      <c r="D29" s="65">
        <v>0</v>
      </c>
      <c r="E29" s="65">
        <v>266.76300000000003</v>
      </c>
      <c r="F29" s="65">
        <f t="shared" si="7"/>
        <v>163.28999999999996</v>
      </c>
      <c r="G29" s="65">
        <f>IFERROR(SUM('Konsumsi &amp; Pareto 2 Mingguan'!H28:I28),0)</f>
        <v>25.579999999999984</v>
      </c>
      <c r="H29" s="65">
        <f>IFERROR(SUM('Konsumsi &amp; Pareto 2 Mingguan'!J28:K28),0)</f>
        <v>29.629999999999995</v>
      </c>
      <c r="I29" s="65">
        <f>IFERROR(SUM('Konsumsi &amp; Pareto 2 Mingguan'!L28:M28),0)</f>
        <v>30.980000000000018</v>
      </c>
      <c r="J29" s="65">
        <f>IFERROR(SUM('Konsumsi &amp; Pareto 2 Mingguan'!N28:O28),0)</f>
        <v>30.740000000000009</v>
      </c>
      <c r="K29" s="65">
        <f>IFERROR(SUM('Konsumsi &amp; Pareto 2 Mingguan'!P28:Q28),0)</f>
        <v>15.909999999999968</v>
      </c>
      <c r="L29" s="65">
        <f>IFERROR(SUM('Konsumsi &amp; Pareto 2 Mingguan'!R28:S28),0)</f>
        <v>30.449999999999989</v>
      </c>
      <c r="M29" s="65">
        <f>IFERROR(SUM('Konsumsi &amp; Pareto 2 Mingguan'!T28:U28),0)</f>
        <v>0</v>
      </c>
      <c r="N29" s="65">
        <f>IFERROR(SUM('Konsumsi &amp; Pareto 2 Mingguan'!V28:W28),0)</f>
        <v>0</v>
      </c>
      <c r="O29" s="65">
        <f>IFERROR(SUM('Konsumsi &amp; Pareto 2 Mingguan'!X28:Y28),0)</f>
        <v>0</v>
      </c>
      <c r="P29" s="65">
        <f>IFERROR(SUM('Konsumsi &amp; Pareto 2 Mingguan'!Z28:AA28),0)</f>
        <v>0</v>
      </c>
      <c r="Q29" s="65">
        <f>IFERROR(SUM('Konsumsi &amp; Pareto 2 Mingguan'!AB28:AC28),0)</f>
        <v>0</v>
      </c>
      <c r="R29" s="65">
        <f>IFERROR(SUM('Konsumsi &amp; Pareto 2 Mingguan'!AD28:AE28),0)</f>
        <v>0</v>
      </c>
      <c r="U29" s="201" t="s">
        <v>174</v>
      </c>
      <c r="V29" s="201" t="s">
        <v>175</v>
      </c>
      <c r="W29" s="201" t="s">
        <v>41</v>
      </c>
      <c r="X29" s="204" t="s">
        <v>181</v>
      </c>
      <c r="Y29" s="204" t="s">
        <v>182</v>
      </c>
      <c r="Z29" s="204" t="s">
        <v>183</v>
      </c>
      <c r="AA29" s="204" t="s">
        <v>184</v>
      </c>
    </row>
    <row r="30" spans="2:35">
      <c r="B30" s="102" t="s">
        <v>124</v>
      </c>
      <c r="C30" s="100" t="s">
        <v>109</v>
      </c>
      <c r="D30" s="100"/>
      <c r="E30" s="100">
        <v>290.24549999999823</v>
      </c>
      <c r="F30" s="100">
        <f t="shared" si="7"/>
        <v>158.7510000000008</v>
      </c>
      <c r="G30" s="100">
        <f>IFERROR(SUM('Konsumsi &amp; Pareto 2 Mingguan'!H29:I29),0)</f>
        <v>27.171000000000568</v>
      </c>
      <c r="H30" s="100">
        <f>IFERROR(SUM('Konsumsi &amp; Pareto 2 Mingguan'!J29:K29),0)</f>
        <v>28.35999999999968</v>
      </c>
      <c r="I30" s="100">
        <f>IFERROR(SUM('Konsumsi &amp; Pareto 2 Mingguan'!L29:M29),0)</f>
        <v>28.713000000000314</v>
      </c>
      <c r="J30" s="100">
        <f>IFERROR(SUM('Konsumsi &amp; Pareto 2 Mingguan'!N29:O29),0)</f>
        <v>29.057999999999602</v>
      </c>
      <c r="K30" s="100">
        <f>IFERROR(SUM('Konsumsi &amp; Pareto 2 Mingguan'!P29:Q29),0)</f>
        <v>16.10700000000061</v>
      </c>
      <c r="L30" s="100">
        <f>IFERROR(SUM('Konsumsi &amp; Pareto 2 Mingguan'!R29:S29),0)</f>
        <v>29.34200000000002</v>
      </c>
      <c r="M30" s="100">
        <f>IFERROR(SUM('Konsumsi &amp; Pareto 2 Mingguan'!T29:U29),0)</f>
        <v>0</v>
      </c>
      <c r="N30" s="100">
        <f>IFERROR(SUM('Konsumsi &amp; Pareto 2 Mingguan'!V29:W29),0)</f>
        <v>0</v>
      </c>
      <c r="O30" s="100">
        <f>IFERROR(SUM('Konsumsi &amp; Pareto 2 Mingguan'!X29:Y29),0)</f>
        <v>0</v>
      </c>
      <c r="P30" s="100">
        <f>IFERROR(SUM('Konsumsi &amp; Pareto 2 Mingguan'!Z29:AA29),0)</f>
        <v>0</v>
      </c>
      <c r="Q30" s="100">
        <f>IFERROR(SUM('Konsumsi &amp; Pareto 2 Mingguan'!AB29:AC29),0)</f>
        <v>0</v>
      </c>
      <c r="R30" s="100">
        <f>IFERROR(SUM('Konsumsi &amp; Pareto 2 Mingguan'!AD29:AE29),0)</f>
        <v>0</v>
      </c>
      <c r="U30" s="202"/>
      <c r="V30" s="202"/>
      <c r="W30" s="202"/>
      <c r="X30" s="205"/>
      <c r="Y30" s="205"/>
      <c r="Z30" s="205"/>
      <c r="AA30" s="205"/>
    </row>
    <row r="31" spans="2:35">
      <c r="B31" s="94" t="s">
        <v>67</v>
      </c>
      <c r="C31" s="65" t="s">
        <v>109</v>
      </c>
      <c r="D31" s="65">
        <v>431.91999999999996</v>
      </c>
      <c r="E31" s="65">
        <v>348.59999999999991</v>
      </c>
      <c r="F31" s="65">
        <f t="shared" si="7"/>
        <v>180.80000000000018</v>
      </c>
      <c r="G31" s="65">
        <f>IFERROR(SUM('Konsumsi &amp; Pareto 2 Mingguan'!H30:I30),0)</f>
        <v>30.600000000000136</v>
      </c>
      <c r="H31" s="65">
        <f>IFERROR(SUM('Konsumsi &amp; Pareto 2 Mingguan'!J30:K30),0)</f>
        <v>26.200000000000045</v>
      </c>
      <c r="I31" s="65">
        <f>IFERROR(SUM('Konsumsi &amp; Pareto 2 Mingguan'!L30:M30),0)</f>
        <v>33.199999999999818</v>
      </c>
      <c r="J31" s="65">
        <f>IFERROR(SUM('Konsumsi &amp; Pareto 2 Mingguan'!N30:O30),0)</f>
        <v>31.5</v>
      </c>
      <c r="K31" s="65">
        <f>IFERROR(SUM('Konsumsi &amp; Pareto 2 Mingguan'!P30:Q30),0)</f>
        <v>26.200000000000045</v>
      </c>
      <c r="L31" s="65">
        <f>IFERROR(SUM('Konsumsi &amp; Pareto 2 Mingguan'!R30:S30),0)</f>
        <v>33.100000000000136</v>
      </c>
      <c r="M31" s="65">
        <f>IFERROR(SUM('Konsumsi &amp; Pareto 2 Mingguan'!T30:U30),0)</f>
        <v>0</v>
      </c>
      <c r="N31" s="65">
        <f>IFERROR(SUM('Konsumsi &amp; Pareto 2 Mingguan'!V30:W30),0)</f>
        <v>0</v>
      </c>
      <c r="O31" s="65">
        <f>IFERROR(SUM('Konsumsi &amp; Pareto 2 Mingguan'!X30:Y30),0)</f>
        <v>0</v>
      </c>
      <c r="P31" s="65">
        <f>IFERROR(SUM('Konsumsi &amp; Pareto 2 Mingguan'!Z30:AA30),0)</f>
        <v>0</v>
      </c>
      <c r="Q31" s="65">
        <f>IFERROR(SUM('Konsumsi &amp; Pareto 2 Mingguan'!AB30:AC30),0)</f>
        <v>0</v>
      </c>
      <c r="R31" s="65">
        <f>IFERROR(SUM('Konsumsi &amp; Pareto 2 Mingguan'!AD30:AE30),0)</f>
        <v>0</v>
      </c>
      <c r="U31" s="187">
        <v>1</v>
      </c>
      <c r="V31" s="189" t="s">
        <v>42</v>
      </c>
      <c r="W31" s="193" t="s">
        <v>176</v>
      </c>
      <c r="X31" s="65">
        <f>SUM($G$13:$I$13)</f>
        <v>78.787899999999951</v>
      </c>
      <c r="Y31" s="65">
        <f>SUM($J$13:$L$13)</f>
        <v>62.402899999999953</v>
      </c>
      <c r="Z31" s="65">
        <f>SUM($M$13:$O$13)</f>
        <v>0</v>
      </c>
      <c r="AA31" s="65">
        <f>SUM($P$13:$R$13)</f>
        <v>0</v>
      </c>
    </row>
    <row r="32" spans="2:35">
      <c r="B32" s="99" t="s">
        <v>68</v>
      </c>
      <c r="C32" s="97" t="s">
        <v>109</v>
      </c>
      <c r="D32" s="97">
        <v>0.38980399999999998</v>
      </c>
      <c r="E32" s="97">
        <v>38.503447999999985</v>
      </c>
      <c r="F32" s="97">
        <f t="shared" si="7"/>
        <v>35.951768000000008</v>
      </c>
      <c r="G32" s="97">
        <f>IFERROR(SUM('Konsumsi &amp; Pareto 2 Mingguan'!H31:I31),0)</f>
        <v>5.8397119999999987</v>
      </c>
      <c r="H32" s="97">
        <f>IFERROR(SUM('Konsumsi &amp; Pareto 2 Mingguan'!J31:K31),0)</f>
        <v>5.4656680000000009</v>
      </c>
      <c r="I32" s="97">
        <f>IFERROR(SUM('Konsumsi &amp; Pareto 2 Mingguan'!L31:M31),0)</f>
        <v>6.9365480000000019</v>
      </c>
      <c r="J32" s="97">
        <f>IFERROR(SUM('Konsumsi &amp; Pareto 2 Mingguan'!N31:O31),0)</f>
        <v>6.3606279999999984</v>
      </c>
      <c r="K32" s="97">
        <f>IFERROR(SUM('Konsumsi &amp; Pareto 2 Mingguan'!P31:Q31),0)</f>
        <v>5.6752280000000042</v>
      </c>
      <c r="L32" s="97">
        <f>IFERROR(SUM('Konsumsi &amp; Pareto 2 Mingguan'!R31:S31),0)</f>
        <v>5.6739840000000044</v>
      </c>
      <c r="M32" s="97">
        <f>IFERROR(SUM('Konsumsi &amp; Pareto 2 Mingguan'!T31:U31),0)</f>
        <v>0</v>
      </c>
      <c r="N32" s="97">
        <f>IFERROR(SUM('Konsumsi &amp; Pareto 2 Mingguan'!V31:W31),0)</f>
        <v>0</v>
      </c>
      <c r="O32" s="97">
        <f>IFERROR(SUM('Konsumsi &amp; Pareto 2 Mingguan'!X31:Y31),0)</f>
        <v>0</v>
      </c>
      <c r="P32" s="97">
        <f>IFERROR(SUM('Konsumsi &amp; Pareto 2 Mingguan'!Z31:AA31),0)</f>
        <v>0</v>
      </c>
      <c r="Q32" s="97">
        <f>IFERROR(SUM('Konsumsi &amp; Pareto 2 Mingguan'!AB31:AC31),0)</f>
        <v>0</v>
      </c>
      <c r="R32" s="97">
        <f>IFERROR(SUM('Konsumsi &amp; Pareto 2 Mingguan'!AD31:AE31),0)</f>
        <v>0</v>
      </c>
      <c r="U32" s="187">
        <v>2</v>
      </c>
      <c r="V32" s="189" t="s">
        <v>42</v>
      </c>
      <c r="W32" s="193" t="s">
        <v>56</v>
      </c>
      <c r="X32" s="65">
        <f>SUM($G$14:$I$14)</f>
        <v>9.257000000000005</v>
      </c>
      <c r="Y32" s="65">
        <f>SUM($J$14:$L$14)</f>
        <v>8.3639999999999972</v>
      </c>
      <c r="Z32" s="65">
        <f>SUM($M$14:$O$14)</f>
        <v>0</v>
      </c>
      <c r="AA32" s="65">
        <f>SUM($P$14:$R$14)</f>
        <v>0</v>
      </c>
    </row>
    <row r="33" spans="1:35">
      <c r="B33" s="108" t="s">
        <v>140</v>
      </c>
      <c r="C33" s="97" t="s">
        <v>109</v>
      </c>
      <c r="D33" s="97">
        <v>0</v>
      </c>
      <c r="E33" s="97">
        <v>39.199000000000012</v>
      </c>
      <c r="F33" s="97">
        <f t="shared" si="7"/>
        <v>18.722999999999992</v>
      </c>
      <c r="G33" s="97">
        <f>IFERROR(SUM('Konsumsi &amp; Pareto 2 Mingguan'!H32:I32),0)</f>
        <v>4.6270000000000024</v>
      </c>
      <c r="H33" s="97">
        <f>IFERROR(SUM('Konsumsi &amp; Pareto 2 Mingguan'!J32:K32),0)</f>
        <v>0.64099999999999113</v>
      </c>
      <c r="I33" s="97">
        <f>IFERROR(SUM('Konsumsi &amp; Pareto 2 Mingguan'!L32:M32),0)</f>
        <v>0.54999999999999716</v>
      </c>
      <c r="J33" s="97">
        <f>IFERROR(SUM('Konsumsi &amp; Pareto 2 Mingguan'!N32:O32),0)</f>
        <v>2.7540000000000049</v>
      </c>
      <c r="K33" s="97">
        <f>IFERROR(SUM('Konsumsi &amp; Pareto 2 Mingguan'!P32:Q32),0)</f>
        <v>4.1760000000000019</v>
      </c>
      <c r="L33" s="97">
        <f>IFERROR(SUM('Konsumsi &amp; Pareto 2 Mingguan'!R32:S32),0)</f>
        <v>5.9749999999999943</v>
      </c>
      <c r="M33" s="97">
        <f>IFERROR(SUM('Konsumsi &amp; Pareto 2 Mingguan'!T32:U32),0)</f>
        <v>0</v>
      </c>
      <c r="N33" s="97">
        <f>IFERROR(SUM('Konsumsi &amp; Pareto 2 Mingguan'!V32:W32),0)</f>
        <v>0</v>
      </c>
      <c r="O33" s="97">
        <f>IFERROR(SUM('Konsumsi &amp; Pareto 2 Mingguan'!X32:Y32),0)</f>
        <v>0</v>
      </c>
      <c r="P33" s="97">
        <f>IFERROR(SUM('Konsumsi &amp; Pareto 2 Mingguan'!Z32:AA32),0)</f>
        <v>0</v>
      </c>
      <c r="Q33" s="97">
        <f>IFERROR(SUM('Konsumsi &amp; Pareto 2 Mingguan'!AB32:AC32),0)</f>
        <v>0</v>
      </c>
      <c r="R33" s="97">
        <f>IFERROR(SUM('Konsumsi &amp; Pareto 2 Mingguan'!AD32:AE32),0)</f>
        <v>0</v>
      </c>
      <c r="U33" s="187">
        <v>3</v>
      </c>
      <c r="V33" s="189" t="s">
        <v>42</v>
      </c>
      <c r="W33" s="193" t="s">
        <v>57</v>
      </c>
      <c r="X33" s="65">
        <f>SUM($G$15:$I$15)</f>
        <v>0.75509999999999988</v>
      </c>
      <c r="Y33" s="65">
        <f>SUM($J$15:$L$15)</f>
        <v>0.53310000000000013</v>
      </c>
      <c r="Z33" s="65">
        <f>SUM($M$15:$O$15)</f>
        <v>0</v>
      </c>
      <c r="AA33" s="65">
        <f>SUM($P$15:$R$15)</f>
        <v>0</v>
      </c>
    </row>
    <row r="34" spans="1:35">
      <c r="B34" s="94" t="s">
        <v>69</v>
      </c>
      <c r="C34" s="65" t="s">
        <v>109</v>
      </c>
      <c r="D34" s="65">
        <v>183.59000000000009</v>
      </c>
      <c r="E34" s="65">
        <v>160.5200000000001</v>
      </c>
      <c r="F34" s="65">
        <f t="shared" si="7"/>
        <v>85.709999999999923</v>
      </c>
      <c r="G34" s="65">
        <f>IFERROR(SUM('Konsumsi &amp; Pareto 2 Mingguan'!H33:I33),0)</f>
        <v>15.959999999999923</v>
      </c>
      <c r="H34" s="65">
        <f>IFERROR(SUM('Konsumsi &amp; Pareto 2 Mingguan'!J33:K33),0)</f>
        <v>13.870000000000005</v>
      </c>
      <c r="I34" s="65">
        <f>IFERROR(SUM('Konsumsi &amp; Pareto 2 Mingguan'!L33:M33),0)</f>
        <v>16.409999999999968</v>
      </c>
      <c r="J34" s="65">
        <f>IFERROR(SUM('Konsumsi &amp; Pareto 2 Mingguan'!N33:O33),0)</f>
        <v>14.180000000000064</v>
      </c>
      <c r="K34" s="65">
        <f>IFERROR(SUM('Konsumsi &amp; Pareto 2 Mingguan'!P33:Q33),0)</f>
        <v>10.720000000000027</v>
      </c>
      <c r="L34" s="65">
        <f>IFERROR(SUM('Konsumsi &amp; Pareto 2 Mingguan'!R33:S33),0)</f>
        <v>14.569999999999936</v>
      </c>
      <c r="M34" s="65">
        <f>IFERROR(SUM('Konsumsi &amp; Pareto 2 Mingguan'!T33:U33),0)</f>
        <v>0</v>
      </c>
      <c r="N34" s="65">
        <f>IFERROR(SUM('Konsumsi &amp; Pareto 2 Mingguan'!V33:W33),0)</f>
        <v>0</v>
      </c>
      <c r="O34" s="65">
        <f>IFERROR(SUM('Konsumsi &amp; Pareto 2 Mingguan'!X33:Y33),0)</f>
        <v>0</v>
      </c>
      <c r="P34" s="65">
        <f>IFERROR(SUM('Konsumsi &amp; Pareto 2 Mingguan'!Z33:AA33),0)</f>
        <v>0</v>
      </c>
      <c r="Q34" s="65">
        <f>IFERROR(SUM('Konsumsi &amp; Pareto 2 Mingguan'!AB33:AC33),0)</f>
        <v>0</v>
      </c>
      <c r="R34" s="65">
        <f>IFERROR(SUM('Konsumsi &amp; Pareto 2 Mingguan'!AD33:AE33),0)</f>
        <v>0</v>
      </c>
      <c r="U34" s="187">
        <v>4</v>
      </c>
      <c r="V34" s="189" t="s">
        <v>42</v>
      </c>
      <c r="W34" s="193" t="s">
        <v>55</v>
      </c>
      <c r="X34" s="65">
        <f>SUM($G$16:$I$16)</f>
        <v>5.039999999999992</v>
      </c>
      <c r="Y34" s="65">
        <f>SUM($J$16:$L$16)</f>
        <v>4.5100000000000193</v>
      </c>
      <c r="Z34" s="65">
        <f>SUM($M$16:$O$16)</f>
        <v>0</v>
      </c>
      <c r="AA34" s="65">
        <f>SUM($P$16:$R$16)</f>
        <v>0</v>
      </c>
    </row>
    <row r="35" spans="1:35">
      <c r="G35" s="80"/>
      <c r="H35" s="80"/>
      <c r="U35" s="187">
        <v>5</v>
      </c>
      <c r="V35" s="189" t="s">
        <v>42</v>
      </c>
      <c r="W35" s="193" t="s">
        <v>58</v>
      </c>
      <c r="X35" s="65">
        <f>SUM($G$17:$I$17)</f>
        <v>32.850000000000023</v>
      </c>
      <c r="Y35" s="65">
        <f>SUM($J$17:$L$17)</f>
        <v>32.809999999999945</v>
      </c>
      <c r="Z35" s="65">
        <f>SUM($M$17:$O$17)</f>
        <v>0</v>
      </c>
      <c r="AA35" s="65">
        <f>SUM($P$17:$R$17)</f>
        <v>0</v>
      </c>
    </row>
    <row r="36" spans="1:35">
      <c r="P36" s="92"/>
      <c r="U36" s="187">
        <v>6</v>
      </c>
      <c r="V36" s="189" t="s">
        <v>42</v>
      </c>
      <c r="W36" s="193" t="s">
        <v>59</v>
      </c>
      <c r="X36" s="65">
        <f>SUM($G$18:$I$18)</f>
        <v>30.850000000000023</v>
      </c>
      <c r="Y36" s="65">
        <f>SUM($J$18:$L$18)</f>
        <v>27.919999999999959</v>
      </c>
      <c r="Z36" s="65">
        <f>SUM($M$18:$O$18)</f>
        <v>0</v>
      </c>
      <c r="AA36" s="65">
        <f>SUM($P$18:$R$18)</f>
        <v>0</v>
      </c>
    </row>
    <row r="37" spans="1:35" ht="15" customHeight="1">
      <c r="B37" s="18" t="s">
        <v>26</v>
      </c>
      <c r="C37" s="18"/>
      <c r="D37" s="18"/>
      <c r="E37" s="18"/>
      <c r="F37" s="18"/>
      <c r="U37" s="187">
        <v>7</v>
      </c>
      <c r="V37" s="189" t="s">
        <v>178</v>
      </c>
      <c r="W37" s="193" t="s">
        <v>60</v>
      </c>
      <c r="X37" s="65">
        <f>SUM($G$19:$I$19)</f>
        <v>109.70000000000005</v>
      </c>
      <c r="Y37" s="65">
        <f>SUM($J$19:$L$19)</f>
        <v>103.90000000000009</v>
      </c>
      <c r="Z37" s="65">
        <f>SUM($M$19:$O$19)</f>
        <v>0</v>
      </c>
      <c r="AA37" s="65">
        <f>SUM($P$19:$R$19)</f>
        <v>0</v>
      </c>
    </row>
    <row r="38" spans="1:35" s="1" customFormat="1">
      <c r="B38" s="206" t="s">
        <v>41</v>
      </c>
      <c r="C38" s="206" t="s">
        <v>40</v>
      </c>
      <c r="D38" s="201" t="s">
        <v>123</v>
      </c>
      <c r="E38" s="206" t="s">
        <v>167</v>
      </c>
      <c r="F38" s="201" t="s">
        <v>38</v>
      </c>
      <c r="G38" s="204" t="s">
        <v>2</v>
      </c>
      <c r="H38" s="204" t="s">
        <v>3</v>
      </c>
      <c r="I38" s="204" t="s">
        <v>4</v>
      </c>
      <c r="J38" s="204" t="s">
        <v>5</v>
      </c>
      <c r="K38" s="204" t="s">
        <v>6</v>
      </c>
      <c r="L38" s="204" t="s">
        <v>7</v>
      </c>
      <c r="M38" s="204" t="s">
        <v>8</v>
      </c>
      <c r="N38" s="204" t="s">
        <v>9</v>
      </c>
      <c r="O38" s="204" t="s">
        <v>10</v>
      </c>
      <c r="P38" s="204" t="s">
        <v>11</v>
      </c>
      <c r="Q38" s="204" t="s">
        <v>12</v>
      </c>
      <c r="R38" s="204" t="s">
        <v>13</v>
      </c>
      <c r="U38" s="187">
        <v>8</v>
      </c>
      <c r="V38" s="189" t="s">
        <v>178</v>
      </c>
      <c r="W38" s="193" t="s">
        <v>61</v>
      </c>
      <c r="X38" s="65">
        <f>SUM($G$20:$I$20)</f>
        <v>1.0600000000000023</v>
      </c>
      <c r="Y38" s="65">
        <f>SUM($J$20:$L$20)</f>
        <v>0.88499999999999801</v>
      </c>
      <c r="Z38" s="65">
        <f>SUM($M$20:$O$20)</f>
        <v>0</v>
      </c>
      <c r="AA38" s="65">
        <f>SUM($P$20:$R$20)</f>
        <v>0</v>
      </c>
      <c r="AB38"/>
      <c r="AC38"/>
      <c r="AD38"/>
      <c r="AE38"/>
      <c r="AF38"/>
      <c r="AG38"/>
      <c r="AH38"/>
      <c r="AI38"/>
    </row>
    <row r="39" spans="1:35" s="1" customFormat="1">
      <c r="B39" s="206"/>
      <c r="C39" s="206"/>
      <c r="D39" s="202"/>
      <c r="E39" s="206"/>
      <c r="F39" s="202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U39" s="187">
        <v>9</v>
      </c>
      <c r="V39" s="189" t="s">
        <v>178</v>
      </c>
      <c r="W39" s="193" t="s">
        <v>62</v>
      </c>
      <c r="X39" s="65">
        <f>SUM($G$21:$I$21)</f>
        <v>0.46139999999999937</v>
      </c>
      <c r="Y39" s="65">
        <f>SUM($J$21:$L$21)</f>
        <v>0.39300000000000068</v>
      </c>
      <c r="Z39" s="65">
        <f>SUM($M$21:$O$21)</f>
        <v>0</v>
      </c>
      <c r="AA39" s="65">
        <f>SUM($P$21:$R$21)</f>
        <v>0</v>
      </c>
      <c r="AB39"/>
      <c r="AC39"/>
      <c r="AD39"/>
      <c r="AE39"/>
      <c r="AF39"/>
      <c r="AG39"/>
      <c r="AH39"/>
      <c r="AI39"/>
    </row>
    <row r="40" spans="1:35" s="1" customFormat="1">
      <c r="B40" s="105" t="s">
        <v>70</v>
      </c>
      <c r="C40" s="184"/>
      <c r="D40" s="90">
        <v>3828.025599999999</v>
      </c>
      <c r="E40" s="90">
        <v>3291.5807999999979</v>
      </c>
      <c r="F40" s="65">
        <f>SUM(G40:R40)</f>
        <v>1808.0863999999988</v>
      </c>
      <c r="G40" s="65">
        <f>IFERROR(SUM('Konsumsi &amp; Pareto 2 Mingguan'!H39:I39),0)</f>
        <v>310.76799999999861</v>
      </c>
      <c r="H40" s="65">
        <f>IFERROR(SUM('Konsumsi &amp; Pareto 2 Mingguan'!J39:K39),0)</f>
        <v>295.83680000000095</v>
      </c>
      <c r="I40" s="65">
        <f>IFERROR(SUM('Konsumsi &amp; Pareto 2 Mingguan'!L39:M39),0)</f>
        <v>337.86880000000019</v>
      </c>
      <c r="J40" s="65">
        <f>IFERROR(SUM('Konsumsi &amp; Pareto 2 Mingguan'!N39:O39),0)</f>
        <v>328.46719999999988</v>
      </c>
      <c r="K40" s="65">
        <f>IFERROR(SUM('Konsumsi &amp; Pareto 2 Mingguan'!P39:Q39),0)</f>
        <v>207.34080000000031</v>
      </c>
      <c r="L40" s="65">
        <f>IFERROR(SUM('Konsumsi &amp; Pareto 2 Mingguan'!R39:S39),0)</f>
        <v>327.80479999999881</v>
      </c>
      <c r="M40" s="65">
        <f>IFERROR(SUM('Konsumsi &amp; Pareto 2 Mingguan'!T39:U39),0)</f>
        <v>0</v>
      </c>
      <c r="N40" s="65">
        <f>IFERROR(SUM('Konsumsi &amp; Pareto 2 Mingguan'!V39:W39),0)</f>
        <v>0</v>
      </c>
      <c r="O40" s="65">
        <f>IFERROR(SUM('Konsumsi &amp; Pareto 2 Mingguan'!X39:Y39),0)</f>
        <v>0</v>
      </c>
      <c r="P40" s="65">
        <f>IFERROR(SUM('Konsumsi &amp; Pareto 2 Mingguan'!Z39:AA39),0)</f>
        <v>0</v>
      </c>
      <c r="Q40" s="65">
        <f>IFERROR(SUM('Konsumsi &amp; Pareto 2 Mingguan'!AB39:AC39),0)</f>
        <v>0</v>
      </c>
      <c r="R40" s="65">
        <f>IFERROR(SUM('Konsumsi &amp; Pareto 2 Mingguan'!AD39:AE39),0)</f>
        <v>0</v>
      </c>
      <c r="U40" s="187">
        <v>10</v>
      </c>
      <c r="V40" s="189" t="s">
        <v>178</v>
      </c>
      <c r="W40" s="193" t="s">
        <v>63</v>
      </c>
      <c r="X40" s="65">
        <f>SUM($G$22:$I$22)</f>
        <v>8.7000000000003297E-2</v>
      </c>
      <c r="Y40" s="65">
        <f>SUM($J$22:$L$22)</f>
        <v>0.33399999999998897</v>
      </c>
      <c r="Z40" s="65">
        <f>SUM($M$22:$O$22)</f>
        <v>0</v>
      </c>
      <c r="AA40" s="65">
        <f>SUM($P$22:$R$22)</f>
        <v>0</v>
      </c>
      <c r="AB40"/>
      <c r="AC40"/>
      <c r="AD40"/>
      <c r="AE40"/>
      <c r="AF40"/>
      <c r="AG40"/>
      <c r="AH40"/>
      <c r="AI40"/>
    </row>
    <row r="41" spans="1:35" s="1" customFormat="1">
      <c r="B41" s="105" t="s">
        <v>141</v>
      </c>
      <c r="C41" s="184"/>
      <c r="D41" s="90">
        <v>674.20000000000027</v>
      </c>
      <c r="E41" s="90">
        <v>163.20781999999963</v>
      </c>
      <c r="F41" s="65">
        <f>SUM(G41:R41)</f>
        <v>66.640799999999899</v>
      </c>
      <c r="G41" s="65">
        <f>IFERROR(SUM('Konsumsi &amp; Pareto 2 Mingguan'!H42:I42),0)</f>
        <v>12.55120000000014</v>
      </c>
      <c r="H41" s="65">
        <f>IFERROR(SUM('Konsumsi &amp; Pareto 2 Mingguan'!J42:K42),0)</f>
        <v>11.270199999999893</v>
      </c>
      <c r="I41" s="65">
        <f>IFERROR(SUM('Konsumsi &amp; Pareto 2 Mingguan'!L42:M42),0)</f>
        <v>12.326500000000017</v>
      </c>
      <c r="J41" s="65">
        <f>IFERROR(SUM('Konsumsi &amp; Pareto 2 Mingguan'!N42:O42),0)</f>
        <v>13.204599999999893</v>
      </c>
      <c r="K41" s="65">
        <f>IFERROR(SUM('Konsumsi &amp; Pareto 2 Mingguan'!P42:Q42),0)</f>
        <v>4.959399999999734</v>
      </c>
      <c r="L41" s="65">
        <f>IFERROR(SUM('Konsumsi &amp; Pareto 2 Mingguan'!R42:S42),0)</f>
        <v>12.328900000000218</v>
      </c>
      <c r="M41" s="65">
        <f>IFERROR(SUM('Konsumsi &amp; Pareto 2 Mingguan'!T42:U42),0)</f>
        <v>0</v>
      </c>
      <c r="N41" s="65">
        <f>IFERROR(SUM('Konsumsi &amp; Pareto 2 Mingguan'!V42:W42),0)</f>
        <v>0</v>
      </c>
      <c r="O41" s="65">
        <f>IFERROR(SUM('Konsumsi &amp; Pareto 2 Mingguan'!X42:Y42),0)</f>
        <v>0</v>
      </c>
      <c r="P41" s="65">
        <f>IFERROR(SUM('Konsumsi &amp; Pareto 2 Mingguan'!Z42:AA42),0)</f>
        <v>0</v>
      </c>
      <c r="Q41" s="65">
        <f>IFERROR(SUM('Konsumsi &amp; Pareto 2 Mingguan'!AB42:AC42),0)</f>
        <v>0</v>
      </c>
      <c r="R41" s="65">
        <f>IFERROR(SUM('Konsumsi &amp; Pareto 2 Mingguan'!AD42:AE42),0)</f>
        <v>0</v>
      </c>
      <c r="U41" s="187">
        <v>11</v>
      </c>
      <c r="V41" s="189" t="s">
        <v>46</v>
      </c>
      <c r="W41" s="193" t="s">
        <v>64</v>
      </c>
      <c r="X41" s="65">
        <f>SUM($G$23:$I$23)</f>
        <v>25.550000000000011</v>
      </c>
      <c r="Y41" s="65">
        <f>SUM($J$23:$L$23)</f>
        <v>23.810000000000002</v>
      </c>
      <c r="Z41" s="65">
        <f>SUM($M$23:$O$23)</f>
        <v>0</v>
      </c>
      <c r="AA41" s="65">
        <f>SUM($P$23:$R$23)</f>
        <v>0</v>
      </c>
      <c r="AB41"/>
      <c r="AC41"/>
      <c r="AD41"/>
      <c r="AE41"/>
      <c r="AF41"/>
      <c r="AG41"/>
      <c r="AH41"/>
      <c r="AI41"/>
    </row>
    <row r="42" spans="1:35">
      <c r="B42" s="105"/>
      <c r="C42" s="184"/>
      <c r="D42" s="90"/>
      <c r="E42" s="90">
        <v>0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192"/>
      <c r="T42" s="192"/>
      <c r="U42" s="187">
        <v>12</v>
      </c>
      <c r="V42" s="189" t="s">
        <v>46</v>
      </c>
      <c r="W42" s="193" t="s">
        <v>65</v>
      </c>
      <c r="X42" s="65">
        <f>SUM($G$24:$I$24)</f>
        <v>46.74260000000001</v>
      </c>
      <c r="Y42" s="65">
        <f>SUM($J$24:$L$24)</f>
        <v>46.410579999999982</v>
      </c>
      <c r="Z42" s="65">
        <f>SUM($M$24:$O$24)</f>
        <v>0</v>
      </c>
      <c r="AA42" s="65">
        <f>SUM($P$24:$R$24)</f>
        <v>0</v>
      </c>
    </row>
    <row r="43" spans="1:35">
      <c r="A43" t="s">
        <v>91</v>
      </c>
      <c r="B43" s="69" t="s">
        <v>125</v>
      </c>
      <c r="C43" s="8" t="s">
        <v>109</v>
      </c>
      <c r="D43" s="90">
        <v>2625.6910116782474</v>
      </c>
      <c r="E43" s="90">
        <v>2093.4108216208197</v>
      </c>
      <c r="F43" s="65">
        <f>SUM(G43:R43)</f>
        <v>1074.0692392184174</v>
      </c>
      <c r="G43" s="65">
        <f>IFERROR(SUM('Konsumsi &amp; Pareto 2 Mingguan'!H44:I44),0)</f>
        <v>188.80549745800977</v>
      </c>
      <c r="H43" s="65">
        <f>IFERROR(SUM('Konsumsi &amp; Pareto 2 Mingguan'!J44:K44),0)</f>
        <v>180.2973498076343</v>
      </c>
      <c r="I43" s="65">
        <f>IFERROR(SUM('Konsumsi &amp; Pareto 2 Mingguan'!L44:M44),0)</f>
        <v>203.85545758007109</v>
      </c>
      <c r="J43" s="65">
        <f>IFERROR(SUM('Konsumsi &amp; Pareto 2 Mingguan'!N44:O44),0)</f>
        <v>207.70558429942315</v>
      </c>
      <c r="K43" s="65">
        <f>IFERROR(SUM('Konsumsi &amp; Pareto 2 Mingguan'!P44:Q44),0)</f>
        <v>105.33389026667248</v>
      </c>
      <c r="L43" s="65">
        <f>IFERROR(SUM('Konsumsi &amp; Pareto 2 Mingguan'!R44:S44),0)</f>
        <v>188.07145980660658</v>
      </c>
      <c r="M43" s="65">
        <f>IFERROR(SUM('Konsumsi &amp; Pareto 2 Mingguan'!T44:U44),0)</f>
        <v>0</v>
      </c>
      <c r="N43" s="65">
        <f>IFERROR(SUM('Konsumsi &amp; Pareto 2 Mingguan'!V44:W44),0)</f>
        <v>0</v>
      </c>
      <c r="O43" s="65">
        <f>IFERROR(SUM('Konsumsi &amp; Pareto 2 Mingguan'!X44:Y44),0)</f>
        <v>0</v>
      </c>
      <c r="P43" s="65">
        <f>IFERROR(SUM('Konsumsi &amp; Pareto 2 Mingguan'!Z44:AA44),0)</f>
        <v>0</v>
      </c>
      <c r="Q43" s="65">
        <f>IFERROR(SUM('Konsumsi &amp; Pareto 2 Mingguan'!AB44:AC44),0)</f>
        <v>0</v>
      </c>
      <c r="R43" s="65">
        <f>IFERROR(SUM('Konsumsi &amp; Pareto 2 Mingguan'!AD44:AE44),0)</f>
        <v>0</v>
      </c>
      <c r="U43" s="187">
        <v>13</v>
      </c>
      <c r="V43" s="189" t="s">
        <v>50</v>
      </c>
      <c r="W43" s="193" t="s">
        <v>119</v>
      </c>
      <c r="X43" s="65">
        <f>SUM($G$26:$I$26)</f>
        <v>12.295999999999999</v>
      </c>
      <c r="Y43" s="65">
        <f>SUM($J$26:$L$26)</f>
        <v>9.5529999999999973</v>
      </c>
      <c r="Z43" s="65">
        <f>SUM($M$26:$O$26)</f>
        <v>0</v>
      </c>
      <c r="AA43" s="65">
        <f>SUM($P$26:$R$26)</f>
        <v>0</v>
      </c>
    </row>
    <row r="44" spans="1:35" ht="16.149999999999999" customHeight="1">
      <c r="B44" s="72" t="s">
        <v>42</v>
      </c>
      <c r="C44" s="8" t="s">
        <v>109</v>
      </c>
      <c r="D44" s="90"/>
      <c r="E44" s="90">
        <v>0</v>
      </c>
      <c r="F44" s="65"/>
      <c r="G44" s="65"/>
      <c r="H44" s="65">
        <f>IFERROR(SUM('Konsumsi &amp; Pareto 2 Mingguan'!J45:K45),0)</f>
        <v>0</v>
      </c>
      <c r="I44" s="65">
        <f>IFERROR(SUM('Konsumsi &amp; Pareto 2 Mingguan'!L45:M45),0)</f>
        <v>0</v>
      </c>
      <c r="J44" s="65">
        <f>IFERROR(SUM('Konsumsi &amp; Pareto 2 Mingguan'!N45:O45),0)</f>
        <v>0</v>
      </c>
      <c r="K44" s="65">
        <f>IFERROR(SUM('Konsumsi &amp; Pareto 2 Mingguan'!P45:Q45),0)</f>
        <v>0</v>
      </c>
      <c r="L44" s="65">
        <f>IFERROR(SUM('Konsumsi &amp; Pareto 2 Mingguan'!R45:S45),0)</f>
        <v>0</v>
      </c>
      <c r="M44" s="65">
        <f>IFERROR(SUM('Konsumsi &amp; Pareto 2 Mingguan'!T45:U45),0)</f>
        <v>0</v>
      </c>
      <c r="N44" s="65">
        <f>IFERROR(SUM('Konsumsi &amp; Pareto 2 Mingguan'!V45:W45),0)</f>
        <v>0</v>
      </c>
      <c r="O44" s="65">
        <f>IFERROR(SUM('Konsumsi &amp; Pareto 2 Mingguan'!X45:Y45),0)</f>
        <v>0</v>
      </c>
      <c r="P44" s="65">
        <f>IFERROR(SUM('Konsumsi &amp; Pareto 2 Mingguan'!Z45:AA45),0)</f>
        <v>0</v>
      </c>
      <c r="Q44" s="65">
        <f>IFERROR(SUM('Konsumsi &amp; Pareto 2 Mingguan'!AB45:AC45),0)</f>
        <v>0</v>
      </c>
      <c r="R44" s="65">
        <f>IFERROR(SUM('Konsumsi &amp; Pareto 2 Mingguan'!AD45:AE45),0)</f>
        <v>0</v>
      </c>
      <c r="U44" s="187">
        <v>14</v>
      </c>
      <c r="V44" s="189" t="s">
        <v>50</v>
      </c>
      <c r="W44" s="193" t="s">
        <v>120</v>
      </c>
      <c r="X44" s="65">
        <f>SUM($G$27:$I$27)</f>
        <v>107.22</v>
      </c>
      <c r="Y44" s="65">
        <f>SUM($J$27:$L$27)</f>
        <v>104.64999999999998</v>
      </c>
      <c r="Z44" s="65">
        <f>SUM($M$27:$O$27)</f>
        <v>0</v>
      </c>
      <c r="AA44" s="65">
        <f>SUM($P$27:$R$27)</f>
        <v>0</v>
      </c>
    </row>
    <row r="45" spans="1:35" ht="16.149999999999999" customHeight="1">
      <c r="B45" s="78" t="s">
        <v>42</v>
      </c>
      <c r="C45" s="8" t="s">
        <v>109</v>
      </c>
      <c r="D45" s="90">
        <v>634.81084416443616</v>
      </c>
      <c r="E45" s="90">
        <v>282.8278199999998</v>
      </c>
      <c r="F45" s="65">
        <f t="shared" ref="F45:F54" si="9">SUM(G45:R45)</f>
        <v>141.19079999999991</v>
      </c>
      <c r="G45" s="65">
        <f>IFERROR(SUM('Konsumsi &amp; Pareto 2 Mingguan'!H46:I46),0)</f>
        <v>26.42119999999986</v>
      </c>
      <c r="H45" s="65">
        <f>IFERROR(SUM('Konsumsi &amp; Pareto 2 Mingguan'!J46:K46),0)</f>
        <v>24.960200000000004</v>
      </c>
      <c r="I45" s="65">
        <f>IFERROR(SUM('Konsumsi &amp; Pareto 2 Mingguan'!L46:M46),0)</f>
        <v>27.406500000000086</v>
      </c>
      <c r="J45" s="65">
        <f>IFERROR(SUM('Konsumsi &amp; Pareto 2 Mingguan'!N46:O46),0)</f>
        <v>29.774599999999918</v>
      </c>
      <c r="K45" s="65">
        <f>IFERROR(SUM('Konsumsi &amp; Pareto 2 Mingguan'!P46:Q46),0)</f>
        <v>9.629400000000091</v>
      </c>
      <c r="L45" s="65">
        <f>IFERROR(SUM('Konsumsi &amp; Pareto 2 Mingguan'!R46:S46),0)</f>
        <v>22.998899999999949</v>
      </c>
      <c r="M45" s="65">
        <f>IFERROR(SUM('Konsumsi &amp; Pareto 2 Mingguan'!T46:U46),0)</f>
        <v>0</v>
      </c>
      <c r="N45" s="65">
        <f>IFERROR(SUM('Konsumsi &amp; Pareto 2 Mingguan'!V46:W46),0)</f>
        <v>0</v>
      </c>
      <c r="O45" s="65">
        <f>IFERROR(SUM('Konsumsi &amp; Pareto 2 Mingguan'!X46:Y46),0)</f>
        <v>0</v>
      </c>
      <c r="P45" s="65">
        <f>IFERROR(SUM('Konsumsi &amp; Pareto 2 Mingguan'!Z46:AA46),0)</f>
        <v>0</v>
      </c>
      <c r="Q45" s="65">
        <f>IFERROR(SUM('Konsumsi &amp; Pareto 2 Mingguan'!AB46:AC46),0)</f>
        <v>0</v>
      </c>
      <c r="R45" s="65">
        <f>IFERROR(SUM('Konsumsi &amp; Pareto 2 Mingguan'!AD46:AE46),0)</f>
        <v>0</v>
      </c>
      <c r="U45" s="187">
        <v>15</v>
      </c>
      <c r="V45" s="189" t="s">
        <v>50</v>
      </c>
      <c r="W45" s="193" t="s">
        <v>121</v>
      </c>
      <c r="X45" s="65">
        <f>SUM($G$28:$I$28)</f>
        <v>51.449999999999989</v>
      </c>
      <c r="Y45" s="65">
        <f>SUM($J$28:$L$28)</f>
        <v>38.990000000000009</v>
      </c>
      <c r="Z45" s="65">
        <f>SUM($M$28:$O$28)</f>
        <v>0</v>
      </c>
      <c r="AA45" s="65">
        <f>SUM($P$28:$R$28)</f>
        <v>0</v>
      </c>
    </row>
    <row r="46" spans="1:35" ht="16.149999999999999" customHeight="1">
      <c r="B46" s="78" t="s">
        <v>144</v>
      </c>
      <c r="C46" s="8"/>
      <c r="D46" s="90"/>
      <c r="E46" s="90">
        <v>146.33005948444597</v>
      </c>
      <c r="F46" s="65">
        <f t="shared" si="9"/>
        <v>58.850339998653553</v>
      </c>
      <c r="G46" s="65">
        <f>IFERROR(SUM('Konsumsi &amp; Pareto 2 Mingguan'!H47:I47),0)</f>
        <v>11.281279410314582</v>
      </c>
      <c r="H46" s="65">
        <f>IFERROR(SUM('Konsumsi &amp; Pareto 2 Mingguan'!J47:K47),0)</f>
        <v>10.048533336091859</v>
      </c>
      <c r="I46" s="65">
        <f>IFERROR(SUM('Konsumsi &amp; Pareto 2 Mingguan'!L47:M47),0)</f>
        <v>10.780274243444556</v>
      </c>
      <c r="J46" s="65">
        <f>IFERROR(SUM('Konsumsi &amp; Pareto 2 Mingguan'!N47:O47),0)</f>
        <v>11.703536449972727</v>
      </c>
      <c r="K46" s="65">
        <f>IFERROR(SUM('Konsumsi &amp; Pareto 2 Mingguan'!P47:Q47),0)</f>
        <v>4.2627386525796389</v>
      </c>
      <c r="L46" s="65">
        <f>IFERROR(SUM('Konsumsi &amp; Pareto 2 Mingguan'!R47:S47),0)</f>
        <v>10.773977906250183</v>
      </c>
      <c r="M46" s="65">
        <f>IFERROR(SUM('Konsumsi &amp; Pareto 2 Mingguan'!T47:U47),0)</f>
        <v>0</v>
      </c>
      <c r="N46" s="65">
        <f>IFERROR(SUM('Konsumsi &amp; Pareto 2 Mingguan'!V47:W47),0)</f>
        <v>0</v>
      </c>
      <c r="O46" s="65">
        <f>IFERROR(SUM('Konsumsi &amp; Pareto 2 Mingguan'!X47:Y47),0)</f>
        <v>0</v>
      </c>
      <c r="P46" s="65">
        <f>IFERROR(SUM('Konsumsi &amp; Pareto 2 Mingguan'!Z47:AA47),0)</f>
        <v>0</v>
      </c>
      <c r="Q46" s="65">
        <f>IFERROR(SUM('Konsumsi &amp; Pareto 2 Mingguan'!AB47:AC47),0)</f>
        <v>0</v>
      </c>
      <c r="R46" s="65">
        <f>IFERROR(SUM('Konsumsi &amp; Pareto 2 Mingguan'!AD47:AE47),0)</f>
        <v>0</v>
      </c>
      <c r="U46" s="187">
        <v>16</v>
      </c>
      <c r="V46" s="189" t="s">
        <v>50</v>
      </c>
      <c r="W46" s="193" t="s">
        <v>122</v>
      </c>
      <c r="X46" s="65">
        <f>SUM($G$29:$I$29)</f>
        <v>86.19</v>
      </c>
      <c r="Y46" s="65">
        <f>SUM($J$29:$L$29)</f>
        <v>77.099999999999966</v>
      </c>
      <c r="Z46" s="65">
        <f>SUM($M$29:$O$29)</f>
        <v>0</v>
      </c>
      <c r="AA46" s="65">
        <f>SUM($P$29:$R$29)</f>
        <v>0</v>
      </c>
    </row>
    <row r="47" spans="1:35" ht="16.149999999999999" customHeight="1">
      <c r="B47" s="72" t="s">
        <v>43</v>
      </c>
      <c r="C47" s="8" t="s">
        <v>109</v>
      </c>
      <c r="D47" s="90">
        <v>19.47999999999999</v>
      </c>
      <c r="E47" s="90">
        <v>18.120000000000005</v>
      </c>
      <c r="F47" s="65">
        <f t="shared" si="9"/>
        <v>9.5500000000000114</v>
      </c>
      <c r="G47" s="65">
        <f>IFERROR(SUM('Konsumsi &amp; Pareto 2 Mingguan'!H48:I48),0)</f>
        <v>1.5699999999999932</v>
      </c>
      <c r="H47" s="65">
        <f>IFERROR(SUM('Konsumsi &amp; Pareto 2 Mingguan'!J48:K48),0)</f>
        <v>1.7900000000000205</v>
      </c>
      <c r="I47" s="65">
        <f>IFERROR(SUM('Konsumsi &amp; Pareto 2 Mingguan'!L48:M48),0)</f>
        <v>1.6799999999999784</v>
      </c>
      <c r="J47" s="65">
        <f>IFERROR(SUM('Konsumsi &amp; Pareto 2 Mingguan'!N48:O48),0)</f>
        <v>1.5700000000000216</v>
      </c>
      <c r="K47" s="65">
        <f>IFERROR(SUM('Konsumsi &amp; Pareto 2 Mingguan'!P48:Q48),0)</f>
        <v>1.0699999999999932</v>
      </c>
      <c r="L47" s="65">
        <f>IFERROR(SUM('Konsumsi &amp; Pareto 2 Mingguan'!R48:S48),0)</f>
        <v>1.8700000000000045</v>
      </c>
      <c r="M47" s="65">
        <f>IFERROR(SUM('Konsumsi &amp; Pareto 2 Mingguan'!T48:U48),0)</f>
        <v>0</v>
      </c>
      <c r="N47" s="65">
        <f>IFERROR(SUM('Konsumsi &amp; Pareto 2 Mingguan'!V48:W48),0)</f>
        <v>0</v>
      </c>
      <c r="O47" s="65">
        <f>IFERROR(SUM('Konsumsi &amp; Pareto 2 Mingguan'!X48:Y48),0)</f>
        <v>0</v>
      </c>
      <c r="P47" s="65">
        <f>IFERROR(SUM('Konsumsi &amp; Pareto 2 Mingguan'!Z48:AA48),0)</f>
        <v>0</v>
      </c>
      <c r="Q47" s="65">
        <f>IFERROR(SUM('Konsumsi &amp; Pareto 2 Mingguan'!AB48:AC48),0)</f>
        <v>0</v>
      </c>
      <c r="R47" s="65">
        <f>IFERROR(SUM('Konsumsi &amp; Pareto 2 Mingguan'!AD48:AE48),0)</f>
        <v>0</v>
      </c>
      <c r="U47" s="187">
        <v>17</v>
      </c>
      <c r="V47" s="189" t="s">
        <v>50</v>
      </c>
      <c r="W47" s="193" t="s">
        <v>124</v>
      </c>
      <c r="X47" s="65">
        <f>SUM($G$30:$I$30)</f>
        <v>84.244000000000568</v>
      </c>
      <c r="Y47" s="65">
        <f>SUM($J$30:$L$30)</f>
        <v>74.507000000000232</v>
      </c>
      <c r="Z47" s="65">
        <f>SUM($M$30:$O$30)</f>
        <v>0</v>
      </c>
      <c r="AA47" s="65">
        <f>SUM($P$30:$R$30)</f>
        <v>0</v>
      </c>
    </row>
    <row r="48" spans="1:35" ht="16.149999999999999" customHeight="1">
      <c r="B48" s="72" t="s">
        <v>99</v>
      </c>
      <c r="C48" s="8" t="s">
        <v>109</v>
      </c>
      <c r="D48" s="90">
        <v>301.61865209452554</v>
      </c>
      <c r="E48" s="90">
        <v>293.07360291683409</v>
      </c>
      <c r="F48" s="65">
        <f t="shared" si="9"/>
        <v>156.80724378660398</v>
      </c>
      <c r="G48" s="65">
        <f>IFERROR(SUM('Konsumsi &amp; Pareto 2 Mingguan'!H49:I49),0)</f>
        <v>28.116983206632803</v>
      </c>
      <c r="H48" s="65">
        <f>IFERROR(SUM('Konsumsi &amp; Pareto 2 Mingguan'!J49:K49),0)</f>
        <v>23.494211958883554</v>
      </c>
      <c r="I48" s="65">
        <f>IFERROR(SUM('Konsumsi &amp; Pareto 2 Mingguan'!L49:M49),0)</f>
        <v>30.079828709673009</v>
      </c>
      <c r="J48" s="65">
        <f>IFERROR(SUM('Konsumsi &amp; Pareto 2 Mingguan'!N49:O49),0)</f>
        <v>27.909733440286089</v>
      </c>
      <c r="K48" s="65">
        <f>IFERROR(SUM('Konsumsi &amp; Pareto 2 Mingguan'!P49:Q49),0)</f>
        <v>19.041929543158176</v>
      </c>
      <c r="L48" s="65">
        <f>IFERROR(SUM('Konsumsi &amp; Pareto 2 Mingguan'!R49:S49),0)</f>
        <v>28.164556927970366</v>
      </c>
      <c r="M48" s="65">
        <f>IFERROR(SUM('Konsumsi &amp; Pareto 2 Mingguan'!T49:U49),0)</f>
        <v>0</v>
      </c>
      <c r="N48" s="65">
        <f>IFERROR(SUM('Konsumsi &amp; Pareto 2 Mingguan'!V49:W49),0)</f>
        <v>0</v>
      </c>
      <c r="O48" s="65">
        <f>IFERROR(SUM('Konsumsi &amp; Pareto 2 Mingguan'!X49:Y49),0)</f>
        <v>0</v>
      </c>
      <c r="P48" s="65">
        <f>IFERROR(SUM('Konsumsi &amp; Pareto 2 Mingguan'!Z49:AA49),0)</f>
        <v>0</v>
      </c>
      <c r="Q48" s="65">
        <f>IFERROR(SUM('Konsumsi &amp; Pareto 2 Mingguan'!AB49:AC49),0)</f>
        <v>0</v>
      </c>
      <c r="R48" s="65">
        <f>IFERROR(SUM('Konsumsi &amp; Pareto 2 Mingguan'!AD49:AE49),0)</f>
        <v>0</v>
      </c>
      <c r="U48" s="187">
        <v>18</v>
      </c>
      <c r="V48" s="189" t="s">
        <v>177</v>
      </c>
      <c r="W48" s="193" t="s">
        <v>67</v>
      </c>
      <c r="X48" s="65">
        <f>SUM($G$31:$I$31)</f>
        <v>90</v>
      </c>
      <c r="Y48" s="65">
        <f>SUM($J$31:$L$31)</f>
        <v>90.800000000000182</v>
      </c>
      <c r="Z48" s="65">
        <f>SUM($M$31:$O$31)</f>
        <v>0</v>
      </c>
      <c r="AA48" s="65">
        <f>SUM($P$31:$R$31)</f>
        <v>0</v>
      </c>
    </row>
    <row r="49" spans="2:27" ht="16.149999999999999" customHeight="1">
      <c r="B49" s="72" t="s">
        <v>44</v>
      </c>
      <c r="C49" s="8" t="s">
        <v>109</v>
      </c>
      <c r="D49" s="90">
        <v>183.59000000000009</v>
      </c>
      <c r="E49" s="90">
        <v>160.5200000000001</v>
      </c>
      <c r="F49" s="65">
        <f t="shared" si="9"/>
        <v>85.709999999999923</v>
      </c>
      <c r="G49" s="65">
        <f>IFERROR(SUM('Konsumsi &amp; Pareto 2 Mingguan'!H50:I50),0)</f>
        <v>15.959999999999923</v>
      </c>
      <c r="H49" s="65">
        <f>IFERROR(SUM('Konsumsi &amp; Pareto 2 Mingguan'!J50:K50),0)</f>
        <v>13.870000000000005</v>
      </c>
      <c r="I49" s="65">
        <f>IFERROR(SUM('Konsumsi &amp; Pareto 2 Mingguan'!L50:M50),0)</f>
        <v>16.409999999999968</v>
      </c>
      <c r="J49" s="65">
        <f>IFERROR(SUM('Konsumsi &amp; Pareto 2 Mingguan'!N50:O50),0)</f>
        <v>14.180000000000064</v>
      </c>
      <c r="K49" s="65">
        <f>IFERROR(SUM('Konsumsi &amp; Pareto 2 Mingguan'!P50:Q50),0)</f>
        <v>10.720000000000027</v>
      </c>
      <c r="L49" s="65">
        <f>IFERROR(SUM('Konsumsi &amp; Pareto 2 Mingguan'!R50:S50),0)</f>
        <v>14.569999999999936</v>
      </c>
      <c r="M49" s="65">
        <f>IFERROR(SUM('Konsumsi &amp; Pareto 2 Mingguan'!T50:U50),0)</f>
        <v>0</v>
      </c>
      <c r="N49" s="65">
        <f>IFERROR(SUM('Konsumsi &amp; Pareto 2 Mingguan'!V50:W50),0)</f>
        <v>0</v>
      </c>
      <c r="O49" s="65">
        <f>IFERROR(SUM('Konsumsi &amp; Pareto 2 Mingguan'!X50:Y50),0)</f>
        <v>0</v>
      </c>
      <c r="P49" s="65">
        <f>IFERROR(SUM('Konsumsi &amp; Pareto 2 Mingguan'!Z50:AA50),0)</f>
        <v>0</v>
      </c>
      <c r="Q49" s="65">
        <f>IFERROR(SUM('Konsumsi &amp; Pareto 2 Mingguan'!AB50:AC50),0)</f>
        <v>0</v>
      </c>
      <c r="R49" s="65">
        <f>IFERROR(SUM('Konsumsi &amp; Pareto 2 Mingguan'!AD50:AE50),0)</f>
        <v>0</v>
      </c>
      <c r="U49" s="187">
        <v>19</v>
      </c>
      <c r="V49" s="189" t="s">
        <v>177</v>
      </c>
      <c r="W49" s="193" t="s">
        <v>68</v>
      </c>
      <c r="X49" s="65">
        <f>SUM($G$32:$I$32)</f>
        <v>18.241928000000001</v>
      </c>
      <c r="Y49" s="65">
        <f>SUM($J$32:$L$32)</f>
        <v>17.709840000000007</v>
      </c>
      <c r="Z49" s="65">
        <f>SUM($M$32:$O$32)</f>
        <v>0</v>
      </c>
      <c r="AA49" s="65">
        <f>SUM($P$32:$R$32)</f>
        <v>0</v>
      </c>
    </row>
    <row r="50" spans="2:27" ht="16.149999999999999" customHeight="1">
      <c r="B50" s="72" t="s">
        <v>45</v>
      </c>
      <c r="C50" s="8" t="s">
        <v>109</v>
      </c>
      <c r="D50" s="90">
        <v>431.91999999999996</v>
      </c>
      <c r="E50" s="90">
        <v>348.59999999999991</v>
      </c>
      <c r="F50" s="65">
        <f t="shared" si="9"/>
        <v>180.80000000000018</v>
      </c>
      <c r="G50" s="65">
        <f>IFERROR(SUM('Konsumsi &amp; Pareto 2 Mingguan'!H51:I51),0)</f>
        <v>30.600000000000136</v>
      </c>
      <c r="H50" s="65">
        <f>IFERROR(SUM('Konsumsi &amp; Pareto 2 Mingguan'!J51:K51),0)</f>
        <v>26.200000000000045</v>
      </c>
      <c r="I50" s="65">
        <f>IFERROR(SUM('Konsumsi &amp; Pareto 2 Mingguan'!L51:M51),0)</f>
        <v>33.199999999999818</v>
      </c>
      <c r="J50" s="65">
        <f>IFERROR(SUM('Konsumsi &amp; Pareto 2 Mingguan'!N51:O51),0)</f>
        <v>31.5</v>
      </c>
      <c r="K50" s="65">
        <f>IFERROR(SUM('Konsumsi &amp; Pareto 2 Mingguan'!P51:Q51),0)</f>
        <v>26.200000000000045</v>
      </c>
      <c r="L50" s="65">
        <f>IFERROR(SUM('Konsumsi &amp; Pareto 2 Mingguan'!R51:S51),0)</f>
        <v>33.100000000000136</v>
      </c>
      <c r="M50" s="65">
        <f>IFERROR(SUM('Konsumsi &amp; Pareto 2 Mingguan'!T51:U51),0)</f>
        <v>0</v>
      </c>
      <c r="N50" s="65">
        <f>IFERROR(SUM('Konsumsi &amp; Pareto 2 Mingguan'!V51:W51),0)</f>
        <v>0</v>
      </c>
      <c r="O50" s="65">
        <f>IFERROR(SUM('Konsumsi &amp; Pareto 2 Mingguan'!X51:Y51),0)</f>
        <v>0</v>
      </c>
      <c r="P50" s="65">
        <f>IFERROR(SUM('Konsumsi &amp; Pareto 2 Mingguan'!Z51:AA51),0)</f>
        <v>0</v>
      </c>
      <c r="Q50" s="65">
        <f>IFERROR(SUM('Konsumsi &amp; Pareto 2 Mingguan'!AB51:AC51),0)</f>
        <v>0</v>
      </c>
      <c r="R50" s="65">
        <f>IFERROR(SUM('Konsumsi &amp; Pareto 2 Mingguan'!AD51:AE51),0)</f>
        <v>0</v>
      </c>
      <c r="U50" s="187">
        <v>20</v>
      </c>
      <c r="V50" s="189" t="s">
        <v>42</v>
      </c>
      <c r="W50" s="193" t="s">
        <v>140</v>
      </c>
      <c r="X50" s="65">
        <f>SUM($G$33:$I$33)</f>
        <v>5.8179999999999907</v>
      </c>
      <c r="Y50" s="65">
        <f>SUM($J$33:$L$33)</f>
        <v>12.905000000000001</v>
      </c>
      <c r="Z50" s="65">
        <f>SUM($M$33:$O$33)</f>
        <v>0</v>
      </c>
      <c r="AA50" s="65">
        <f>SUM($P$33:$R$33)</f>
        <v>0</v>
      </c>
    </row>
    <row r="51" spans="2:27" ht="16.149999999999999" customHeight="1">
      <c r="B51" s="72" t="s">
        <v>46</v>
      </c>
      <c r="C51" s="8" t="s">
        <v>109</v>
      </c>
      <c r="D51" s="90">
        <v>13.781666666666672</v>
      </c>
      <c r="E51" s="90">
        <v>20.682499999999976</v>
      </c>
      <c r="F51" s="65">
        <f t="shared" si="9"/>
        <v>18.25500000000001</v>
      </c>
      <c r="G51" s="65">
        <f>IFERROR(SUM('Konsumsi &amp; Pareto 2 Mingguan'!H52:I52),0)</f>
        <v>2.2999999999999972</v>
      </c>
      <c r="H51" s="65">
        <f>IFERROR(SUM('Konsumsi &amp; Pareto 2 Mingguan'!J52:K52),0)</f>
        <v>3.5949999999999989</v>
      </c>
      <c r="I51" s="65">
        <f>IFERROR(SUM('Konsumsi &amp; Pareto 2 Mingguan'!L52:M52),0)</f>
        <v>4.5800000000000125</v>
      </c>
      <c r="J51" s="65">
        <f>IFERROR(SUM('Konsumsi &amp; Pareto 2 Mingguan'!N52:O52),0)</f>
        <v>3.6550000000000011</v>
      </c>
      <c r="K51" s="65">
        <f>IFERROR(SUM('Konsumsi &amp; Pareto 2 Mingguan'!P52:Q52),0)</f>
        <v>1.8024999999999949</v>
      </c>
      <c r="L51" s="65">
        <f>IFERROR(SUM('Konsumsi &amp; Pareto 2 Mingguan'!R52:S52),0)</f>
        <v>2.3225000000000051</v>
      </c>
      <c r="M51" s="65">
        <f>IFERROR(SUM('Konsumsi &amp; Pareto 2 Mingguan'!T52:U52),0)</f>
        <v>0</v>
      </c>
      <c r="N51" s="65">
        <f>IFERROR(SUM('Konsumsi &amp; Pareto 2 Mingguan'!V52:W52),0)</f>
        <v>0</v>
      </c>
      <c r="O51" s="65">
        <f>IFERROR(SUM('Konsumsi &amp; Pareto 2 Mingguan'!X52:Y52),0)</f>
        <v>0</v>
      </c>
      <c r="P51" s="65">
        <f>IFERROR(SUM('Konsumsi &amp; Pareto 2 Mingguan'!Z52:AA52),0)</f>
        <v>0</v>
      </c>
      <c r="Q51" s="65">
        <f>IFERROR(SUM('Konsumsi &amp; Pareto 2 Mingguan'!AB52:AC52),0)</f>
        <v>0</v>
      </c>
      <c r="R51" s="65">
        <f>IFERROR(SUM('Konsumsi &amp; Pareto 2 Mingguan'!AD52:AE52),0)</f>
        <v>0</v>
      </c>
      <c r="U51" s="187">
        <v>21</v>
      </c>
      <c r="V51" s="189" t="s">
        <v>177</v>
      </c>
      <c r="W51" s="193" t="s">
        <v>69</v>
      </c>
      <c r="X51" s="65">
        <f>SUM($G$34:$I$34)</f>
        <v>46.239999999999895</v>
      </c>
      <c r="Y51" s="65">
        <f>SUM($J$34:$L$34)</f>
        <v>39.470000000000027</v>
      </c>
      <c r="Z51" s="65">
        <f>SUM($M$34:$O$34)</f>
        <v>0</v>
      </c>
      <c r="AA51" s="65">
        <f>SUM($P$34:$R$34)</f>
        <v>0</v>
      </c>
    </row>
    <row r="52" spans="2:27" ht="16.149999999999999" customHeight="1">
      <c r="B52" s="72" t="s">
        <v>143</v>
      </c>
      <c r="C52" s="8"/>
      <c r="D52" s="90"/>
      <c r="E52" s="90">
        <v>57.051699999999911</v>
      </c>
      <c r="F52" s="65">
        <f t="shared" si="9"/>
        <v>0.85440000000000005</v>
      </c>
      <c r="G52" s="65">
        <f>IFERROR(SUM('Konsumsi &amp; Pareto 2 Mingguan'!H53:I53),0)</f>
        <v>0.1650999999999998</v>
      </c>
      <c r="H52" s="65">
        <f>IFERROR(SUM('Konsumsi &amp; Pareto 2 Mingguan'!J53:K53),0)</f>
        <v>0.14050000000000029</v>
      </c>
      <c r="I52" s="65">
        <f>IFERROR(SUM('Konsumsi &amp; Pareto 2 Mingguan'!L53:M53),0)</f>
        <v>0.15579999999999927</v>
      </c>
      <c r="J52" s="65">
        <f>IFERROR(SUM('Konsumsi &amp; Pareto 2 Mingguan'!N53:O53),0)</f>
        <v>0.14120000000000044</v>
      </c>
      <c r="K52" s="65">
        <f>IFERROR(SUM('Konsumsi &amp; Pareto 2 Mingguan'!P53:Q53),0)</f>
        <v>0.14459999999999962</v>
      </c>
      <c r="L52" s="65">
        <f>IFERROR(SUM('Konsumsi &amp; Pareto 2 Mingguan'!R53:S53),0)</f>
        <v>0.10720000000000063</v>
      </c>
      <c r="M52" s="65">
        <f>IFERROR(SUM('Konsumsi &amp; Pareto 2 Mingguan'!T53:U53),0)</f>
        <v>0</v>
      </c>
      <c r="N52" s="65">
        <f>IFERROR(SUM('Konsumsi &amp; Pareto 2 Mingguan'!V53:W53),0)</f>
        <v>0</v>
      </c>
      <c r="O52" s="65">
        <f>IFERROR(SUM('Konsumsi &amp; Pareto 2 Mingguan'!X53:Y53),0)</f>
        <v>0</v>
      </c>
      <c r="P52" s="65">
        <f>IFERROR(SUM('Konsumsi &amp; Pareto 2 Mingguan'!Z53:AA53),0)</f>
        <v>0</v>
      </c>
      <c r="Q52" s="65">
        <f>IFERROR(SUM('Konsumsi &amp; Pareto 2 Mingguan'!AB53:AC53),0)</f>
        <v>0</v>
      </c>
      <c r="R52" s="65">
        <f>IFERROR(SUM('Konsumsi &amp; Pareto 2 Mingguan'!AD53:AE53),0)</f>
        <v>0</v>
      </c>
    </row>
    <row r="53" spans="2:27" ht="16.149999999999999" customHeight="1">
      <c r="B53" s="72" t="s">
        <v>142</v>
      </c>
      <c r="C53" s="8"/>
      <c r="D53" s="90"/>
      <c r="E53" s="90">
        <v>17.904101620327207</v>
      </c>
      <c r="F53" s="65">
        <f t="shared" si="9"/>
        <v>6.1687884592154605</v>
      </c>
      <c r="G53" s="65">
        <f>IFERROR(SUM('Konsumsi &amp; Pareto 2 Mingguan'!H54:I54),0)</f>
        <v>1.2557112374256705</v>
      </c>
      <c r="H53" s="65">
        <f>IFERROR(SUM('Konsumsi &amp; Pareto 2 Mingguan'!J54:K54),0)</f>
        <v>0.93373086099608993</v>
      </c>
      <c r="I53" s="65">
        <f>IFERROR(SUM('Konsumsi &amp; Pareto 2 Mingguan'!L54:M54),0)</f>
        <v>1.1191285080381121</v>
      </c>
      <c r="J53" s="65">
        <f>IFERROR(SUM('Konsumsi &amp; Pareto 2 Mingguan'!N54:O54),0)</f>
        <v>1.1875264092343267</v>
      </c>
      <c r="K53" s="65">
        <f>IFERROR(SUM('Konsumsi &amp; Pareto 2 Mingguan'!P54:Q54),0)</f>
        <v>0.59252483143388357</v>
      </c>
      <c r="L53" s="65">
        <f>IFERROR(SUM('Konsumsi &amp; Pareto 2 Mingguan'!R54:S54),0)</f>
        <v>1.0801666120873783</v>
      </c>
      <c r="M53" s="65">
        <f>IFERROR(SUM('Konsumsi &amp; Pareto 2 Mingguan'!T54:U54),0)</f>
        <v>0</v>
      </c>
      <c r="N53" s="65">
        <f>IFERROR(SUM('Konsumsi &amp; Pareto 2 Mingguan'!V54:W54),0)</f>
        <v>0</v>
      </c>
      <c r="O53" s="65">
        <f>IFERROR(SUM('Konsumsi &amp; Pareto 2 Mingguan'!X54:Y54),0)</f>
        <v>0</v>
      </c>
      <c r="P53" s="65">
        <f>IFERROR(SUM('Konsumsi &amp; Pareto 2 Mingguan'!Z54:AA54),0)</f>
        <v>0</v>
      </c>
      <c r="Q53" s="65">
        <f>IFERROR(SUM('Konsumsi &amp; Pareto 2 Mingguan'!AB54:AC54),0)</f>
        <v>0</v>
      </c>
      <c r="R53" s="65">
        <f>IFERROR(SUM('Konsumsi &amp; Pareto 2 Mingguan'!AD54:AE54),0)</f>
        <v>0</v>
      </c>
    </row>
    <row r="54" spans="2:27">
      <c r="B54" s="72" t="s">
        <v>50</v>
      </c>
      <c r="C54" s="8" t="s">
        <v>109</v>
      </c>
      <c r="D54" s="90">
        <v>1040.4898487526191</v>
      </c>
      <c r="E54" s="90">
        <v>748.30103759921258</v>
      </c>
      <c r="F54" s="65">
        <f t="shared" si="9"/>
        <v>415.88266697394425</v>
      </c>
      <c r="G54" s="65">
        <f>IFERROR(SUM('Konsumsi &amp; Pareto 2 Mingguan'!H55:I55),0)</f>
        <v>71.135223603636803</v>
      </c>
      <c r="H54" s="65">
        <f>IFERROR(SUM('Konsumsi &amp; Pareto 2 Mingguan'!J55:K55),0)</f>
        <v>75.265173651662707</v>
      </c>
      <c r="I54" s="65">
        <f>IFERROR(SUM('Konsumsi &amp; Pareto 2 Mingguan'!L55:M55),0)</f>
        <v>78.443926118915542</v>
      </c>
      <c r="J54" s="65">
        <f>IFERROR(SUM('Konsumsi &amp; Pareto 2 Mingguan'!N55:O55),0)</f>
        <v>86.083987999930017</v>
      </c>
      <c r="K54" s="65">
        <f>IFERROR(SUM('Konsumsi &amp; Pareto 2 Mingguan'!P55:Q55),0)</f>
        <v>31.87019723950063</v>
      </c>
      <c r="L54" s="65">
        <f>IFERROR(SUM('Konsumsi &amp; Pareto 2 Mingguan'!R55:S55),0)</f>
        <v>73.084158360298602</v>
      </c>
      <c r="M54" s="65">
        <f>IFERROR(SUM('Konsumsi &amp; Pareto 2 Mingguan'!T55:U55),0)</f>
        <v>0</v>
      </c>
      <c r="N54" s="65">
        <f>IFERROR(SUM('Konsumsi &amp; Pareto 2 Mingguan'!V55:W55),0)</f>
        <v>0</v>
      </c>
      <c r="O54" s="65">
        <f>IFERROR(SUM('Konsumsi &amp; Pareto 2 Mingguan'!X55:Y55),0)</f>
        <v>0</v>
      </c>
      <c r="P54" s="65">
        <f>IFERROR(SUM('Konsumsi &amp; Pareto 2 Mingguan'!Z55:AA55),0)</f>
        <v>0</v>
      </c>
      <c r="Q54" s="65">
        <f>IFERROR(SUM('Konsumsi &amp; Pareto 2 Mingguan'!AB55:AC55),0)</f>
        <v>0</v>
      </c>
      <c r="R54" s="65">
        <f>IFERROR(SUM('Konsumsi &amp; Pareto 2 Mingguan'!AD55:AE55),0)</f>
        <v>0</v>
      </c>
      <c r="U54" s="18" t="s">
        <v>185</v>
      </c>
    </row>
    <row r="55" spans="2:27">
      <c r="B55" s="73"/>
      <c r="C55" s="8"/>
      <c r="D55" s="90"/>
      <c r="E55" s="90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U55" s="201" t="s">
        <v>174</v>
      </c>
      <c r="V55" s="201" t="s">
        <v>175</v>
      </c>
      <c r="W55" s="201" t="s">
        <v>41</v>
      </c>
      <c r="X55" s="204" t="s">
        <v>186</v>
      </c>
      <c r="Y55" s="204" t="s">
        <v>187</v>
      </c>
    </row>
    <row r="56" spans="2:27" ht="15" customHeight="1">
      <c r="B56" s="74" t="s">
        <v>126</v>
      </c>
      <c r="C56" s="8" t="s">
        <v>109</v>
      </c>
      <c r="D56" s="90">
        <v>895.68834472020535</v>
      </c>
      <c r="E56" s="90">
        <v>1069.1589096139267</v>
      </c>
      <c r="F56" s="65">
        <f t="shared" ref="F56:F70" si="10">SUM(G56:R56)</f>
        <v>626.96944096194954</v>
      </c>
      <c r="G56" s="65">
        <f>IFERROR(SUM('Konsumsi &amp; Pareto 2 Mingguan'!H57:I57),0)</f>
        <v>102.57116441476633</v>
      </c>
      <c r="H56" s="65">
        <f>IFERROR(SUM('Konsumsi &amp; Pareto 2 Mingguan'!J57:K57),0)</f>
        <v>98.630889158687296</v>
      </c>
      <c r="I56" s="65">
        <f>IFERROR(SUM('Konsumsi &amp; Pareto 2 Mingguan'!L57:M57),0)</f>
        <v>112.94964311325629</v>
      </c>
      <c r="J56" s="65">
        <f>IFERROR(SUM('Konsumsi &amp; Pareto 2 Mingguan'!N57:O57),0)</f>
        <v>105.07665228141934</v>
      </c>
      <c r="K56" s="65">
        <f>IFERROR(SUM('Konsumsi &amp; Pareto 2 Mingguan'!P57:Q57),0)</f>
        <v>87.820277677795247</v>
      </c>
      <c r="L56" s="65">
        <f>IFERROR(SUM('Konsumsi &amp; Pareto 2 Mingguan'!R57:S57),0)</f>
        <v>119.92081431602503</v>
      </c>
      <c r="M56" s="65">
        <f>IFERROR(SUM('Konsumsi &amp; Pareto 2 Mingguan'!T57:U57),0)</f>
        <v>0</v>
      </c>
      <c r="N56" s="65">
        <f>IFERROR(SUM('Konsumsi &amp; Pareto 2 Mingguan'!V57:W57),0)</f>
        <v>0</v>
      </c>
      <c r="O56" s="65">
        <f>IFERROR(SUM('Konsumsi &amp; Pareto 2 Mingguan'!X57:Y57),0)</f>
        <v>0</v>
      </c>
      <c r="P56" s="65">
        <f>IFERROR(SUM('Konsumsi &amp; Pareto 2 Mingguan'!Z57:AA57),0)</f>
        <v>0</v>
      </c>
      <c r="Q56" s="65">
        <f>IFERROR(SUM('Konsumsi &amp; Pareto 2 Mingguan'!AB57:AC57),0)</f>
        <v>0</v>
      </c>
      <c r="R56" s="65">
        <f>IFERROR(SUM('Konsumsi &amp; Pareto 2 Mingguan'!AD57:AE57),0)</f>
        <v>0</v>
      </c>
      <c r="U56" s="202"/>
      <c r="V56" s="202"/>
      <c r="W56" s="202"/>
      <c r="X56" s="205"/>
      <c r="Y56" s="205"/>
    </row>
    <row r="57" spans="2:27">
      <c r="B57" s="76" t="s">
        <v>0</v>
      </c>
      <c r="C57" s="8" t="s">
        <v>109</v>
      </c>
      <c r="D57" s="90">
        <v>42.055822502230846</v>
      </c>
      <c r="E57" s="90">
        <v>30.722179999999998</v>
      </c>
      <c r="F57" s="65">
        <f t="shared" si="10"/>
        <v>18.909200000000002</v>
      </c>
      <c r="G57" s="65">
        <f>IFERROR(SUM('Konsumsi &amp; Pareto 2 Mingguan'!H58:I58),0)</f>
        <v>2.9788000000000041</v>
      </c>
      <c r="H57" s="65">
        <f>IFERROR(SUM('Konsumsi &amp; Pareto 2 Mingguan'!J58:K58),0)</f>
        <v>3.0397999999999961</v>
      </c>
      <c r="I57" s="65">
        <f>IFERROR(SUM('Konsumsi &amp; Pareto 2 Mingguan'!L58:M58),0)</f>
        <v>3.9935000000000045</v>
      </c>
      <c r="J57" s="65">
        <f>IFERROR(SUM('Konsumsi &amp; Pareto 2 Mingguan'!N58:O58),0)</f>
        <v>3.8253999999999939</v>
      </c>
      <c r="K57" s="65">
        <f>IFERROR(SUM('Konsumsi &amp; Pareto 2 Mingguan'!P58:Q58),0)</f>
        <v>1.7705999999999995</v>
      </c>
      <c r="L57" s="65">
        <f>IFERROR(SUM('Konsumsi &amp; Pareto 2 Mingguan'!R58:S58),0)</f>
        <v>3.3011000000000039</v>
      </c>
      <c r="M57" s="65">
        <f>IFERROR(SUM('Konsumsi &amp; Pareto 2 Mingguan'!T58:U58),0)</f>
        <v>0</v>
      </c>
      <c r="N57" s="65">
        <f>IFERROR(SUM('Konsumsi &amp; Pareto 2 Mingguan'!V58:W58),0)</f>
        <v>0</v>
      </c>
      <c r="O57" s="65">
        <f>IFERROR(SUM('Konsumsi &amp; Pareto 2 Mingguan'!X58:Y58),0)</f>
        <v>0</v>
      </c>
      <c r="P57" s="65">
        <f>IFERROR(SUM('Konsumsi &amp; Pareto 2 Mingguan'!Z58:AA58),0)</f>
        <v>0</v>
      </c>
      <c r="Q57" s="65">
        <f>IFERROR(SUM('Konsumsi &amp; Pareto 2 Mingguan'!AB58:AC58),0)</f>
        <v>0</v>
      </c>
      <c r="R57" s="65">
        <f>IFERROR(SUM('Konsumsi &amp; Pareto 2 Mingguan'!AD58:AE58),0)</f>
        <v>0</v>
      </c>
      <c r="U57" s="187">
        <v>1</v>
      </c>
      <c r="V57" s="189" t="s">
        <v>42</v>
      </c>
      <c r="W57" s="193" t="s">
        <v>176</v>
      </c>
      <c r="X57" s="65">
        <f>SUM($G$13:$L$13)</f>
        <v>141.19079999999991</v>
      </c>
      <c r="Y57" s="65" t="s">
        <v>188</v>
      </c>
    </row>
    <row r="58" spans="2:27">
      <c r="B58" s="76" t="s">
        <v>145</v>
      </c>
      <c r="C58" s="8"/>
      <c r="D58" s="90"/>
      <c r="E58" s="90">
        <v>16.877760515553668</v>
      </c>
      <c r="F58" s="65">
        <f t="shared" si="10"/>
        <v>7.7904600013463492</v>
      </c>
      <c r="G58" s="65">
        <f>IFERROR(SUM('Konsumsi &amp; Pareto 2 Mingguan'!H59:I59),0)</f>
        <v>1.2699205896855563</v>
      </c>
      <c r="H58" s="65">
        <f>IFERROR(SUM('Konsumsi &amp; Pareto 2 Mingguan'!J59:K59),0)</f>
        <v>1.2216666639080334</v>
      </c>
      <c r="I58" s="65">
        <f>IFERROR(SUM('Konsumsi &amp; Pareto 2 Mingguan'!L59:M59),0)</f>
        <v>1.5462257565554616</v>
      </c>
      <c r="J58" s="65">
        <f>IFERROR(SUM('Konsumsi &amp; Pareto 2 Mingguan'!N59:O59),0)</f>
        <v>1.5010635500271672</v>
      </c>
      <c r="K58" s="65">
        <f>IFERROR(SUM('Konsumsi &amp; Pareto 2 Mingguan'!P59:Q59),0)</f>
        <v>0.69666134742009489</v>
      </c>
      <c r="L58" s="65">
        <f>IFERROR(SUM('Konsumsi &amp; Pareto 2 Mingguan'!R59:S59),0)</f>
        <v>1.5549220937500359</v>
      </c>
      <c r="M58" s="65">
        <f>IFERROR(SUM('Konsumsi &amp; Pareto 2 Mingguan'!T59:U59),0)</f>
        <v>0</v>
      </c>
      <c r="N58" s="65">
        <f>IFERROR(SUM('Konsumsi &amp; Pareto 2 Mingguan'!V59:W59),0)</f>
        <v>0</v>
      </c>
      <c r="O58" s="65">
        <f>IFERROR(SUM('Konsumsi &amp; Pareto 2 Mingguan'!X59:Y59),0)</f>
        <v>0</v>
      </c>
      <c r="P58" s="65">
        <f>IFERROR(SUM('Konsumsi &amp; Pareto 2 Mingguan'!Z59:AA59),0)</f>
        <v>0</v>
      </c>
      <c r="Q58" s="65">
        <f>IFERROR(SUM('Konsumsi &amp; Pareto 2 Mingguan'!AB59:AC59),0)</f>
        <v>0</v>
      </c>
      <c r="R58" s="65">
        <f>IFERROR(SUM('Konsumsi &amp; Pareto 2 Mingguan'!AD59:AE59),0)</f>
        <v>0</v>
      </c>
      <c r="U58" s="187">
        <v>2</v>
      </c>
      <c r="V58" s="189" t="s">
        <v>42</v>
      </c>
      <c r="W58" s="193" t="s">
        <v>56</v>
      </c>
      <c r="X58" s="65">
        <f>SUM($G$14:$I$14)</f>
        <v>9.257000000000005</v>
      </c>
      <c r="Y58" s="65">
        <f>SUM($M$14:$R$14)</f>
        <v>0</v>
      </c>
    </row>
    <row r="59" spans="2:27">
      <c r="B59" s="76" t="s">
        <v>1</v>
      </c>
      <c r="C59" s="8" t="s">
        <v>109</v>
      </c>
      <c r="D59" s="90">
        <v>143.05000000000001</v>
      </c>
      <c r="E59" s="90">
        <v>118.5800000000001</v>
      </c>
      <c r="F59" s="65">
        <f t="shared" si="10"/>
        <v>58.769999999999982</v>
      </c>
      <c r="G59" s="65">
        <f>IFERROR(SUM('Konsumsi &amp; Pareto 2 Mingguan'!H60:I60),0)</f>
        <v>10.170000000000073</v>
      </c>
      <c r="H59" s="65">
        <f>IFERROR(SUM('Konsumsi &amp; Pareto 2 Mingguan'!J60:K60),0)</f>
        <v>9.8099999999999454</v>
      </c>
      <c r="I59" s="65">
        <f>IFERROR(SUM('Konsumsi &amp; Pareto 2 Mingguan'!L60:M60),0)</f>
        <v>10.870000000000005</v>
      </c>
      <c r="J59" s="65">
        <f>IFERROR(SUM('Konsumsi &amp; Pareto 2 Mingguan'!N60:O60),0)</f>
        <v>9.75</v>
      </c>
      <c r="K59" s="65">
        <f>IFERROR(SUM('Konsumsi &amp; Pareto 2 Mingguan'!P60:Q60),0)</f>
        <v>7.2200000000000273</v>
      </c>
      <c r="L59" s="65">
        <f>IFERROR(SUM('Konsumsi &amp; Pareto 2 Mingguan'!R60:S60),0)</f>
        <v>10.949999999999932</v>
      </c>
      <c r="M59" s="65">
        <f>IFERROR(SUM('Konsumsi &amp; Pareto 2 Mingguan'!T60:U60),0)</f>
        <v>0</v>
      </c>
      <c r="N59" s="65">
        <f>IFERROR(SUM('Konsumsi &amp; Pareto 2 Mingguan'!V60:W60),0)</f>
        <v>0</v>
      </c>
      <c r="O59" s="65">
        <f>IFERROR(SUM('Konsumsi &amp; Pareto 2 Mingguan'!X60:Y60),0)</f>
        <v>0</v>
      </c>
      <c r="P59" s="65">
        <f>IFERROR(SUM('Konsumsi &amp; Pareto 2 Mingguan'!Z60:AA60),0)</f>
        <v>0</v>
      </c>
      <c r="Q59" s="65">
        <f>IFERROR(SUM('Konsumsi &amp; Pareto 2 Mingguan'!AB60:AC60),0)</f>
        <v>0</v>
      </c>
      <c r="R59" s="65">
        <f>IFERROR(SUM('Konsumsi &amp; Pareto 2 Mingguan'!AD60:AE60),0)</f>
        <v>0</v>
      </c>
      <c r="U59" s="187">
        <v>3</v>
      </c>
      <c r="V59" s="189" t="s">
        <v>42</v>
      </c>
      <c r="W59" s="193" t="s">
        <v>57</v>
      </c>
      <c r="X59" s="65">
        <f>SUM($G$15:$I$15)</f>
        <v>0.75509999999999988</v>
      </c>
      <c r="Y59" s="65">
        <f>SUM($M$15:$R$15)</f>
        <v>0</v>
      </c>
    </row>
    <row r="60" spans="2:27">
      <c r="B60" s="76" t="s">
        <v>47</v>
      </c>
      <c r="C60" s="8" t="s">
        <v>109</v>
      </c>
      <c r="D60" s="90">
        <v>152.99</v>
      </c>
      <c r="E60" s="90">
        <v>124.45999999999981</v>
      </c>
      <c r="F60" s="65">
        <f t="shared" si="10"/>
        <v>65.659999999999968</v>
      </c>
      <c r="G60" s="65">
        <f>IFERROR(SUM('Konsumsi &amp; Pareto 2 Mingguan'!H61:I61),0)</f>
        <v>11.199999999999932</v>
      </c>
      <c r="H60" s="65">
        <f>IFERROR(SUM('Konsumsi &amp; Pareto 2 Mingguan'!J61:K61),0)</f>
        <v>9.8100000000000591</v>
      </c>
      <c r="I60" s="65">
        <f>IFERROR(SUM('Konsumsi &amp; Pareto 2 Mingguan'!L61:M61),0)</f>
        <v>11.840000000000032</v>
      </c>
      <c r="J60" s="65">
        <f>IFERROR(SUM('Konsumsi &amp; Pareto 2 Mingguan'!N61:O61),0)</f>
        <v>10.740000000000009</v>
      </c>
      <c r="K60" s="65">
        <f>IFERROR(SUM('Konsumsi &amp; Pareto 2 Mingguan'!P61:Q61),0)</f>
        <v>9.5099999999999909</v>
      </c>
      <c r="L60" s="65">
        <f>IFERROR(SUM('Konsumsi &amp; Pareto 2 Mingguan'!R61:S61),0)</f>
        <v>12.559999999999945</v>
      </c>
      <c r="M60" s="65">
        <f>IFERROR(SUM('Konsumsi &amp; Pareto 2 Mingguan'!T61:U61),0)</f>
        <v>0</v>
      </c>
      <c r="N60" s="65">
        <f>IFERROR(SUM('Konsumsi &amp; Pareto 2 Mingguan'!V61:W61),0)</f>
        <v>0</v>
      </c>
      <c r="O60" s="65">
        <f>IFERROR(SUM('Konsumsi &amp; Pareto 2 Mingguan'!X61:Y61),0)</f>
        <v>0</v>
      </c>
      <c r="P60" s="65">
        <f>IFERROR(SUM('Konsumsi &amp; Pareto 2 Mingguan'!Z61:AA61),0)</f>
        <v>0</v>
      </c>
      <c r="Q60" s="65">
        <f>IFERROR(SUM('Konsumsi &amp; Pareto 2 Mingguan'!AB61:AC61),0)</f>
        <v>0</v>
      </c>
      <c r="R60" s="65">
        <f>IFERROR(SUM('Konsumsi &amp; Pareto 2 Mingguan'!AD61:AE61),0)</f>
        <v>0</v>
      </c>
      <c r="U60" s="187">
        <v>4</v>
      </c>
      <c r="V60" s="189" t="s">
        <v>42</v>
      </c>
      <c r="W60" s="193" t="s">
        <v>55</v>
      </c>
      <c r="X60" s="65">
        <f>SUM($G$16:$I$16)</f>
        <v>5.039999999999992</v>
      </c>
      <c r="Y60" s="65">
        <f>SUM($M$16:$R$16)</f>
        <v>0</v>
      </c>
    </row>
    <row r="61" spans="2:27">
      <c r="B61" s="76" t="s">
        <v>48</v>
      </c>
      <c r="C61" s="8" t="s">
        <v>109</v>
      </c>
      <c r="D61" s="90">
        <v>0</v>
      </c>
      <c r="E61" s="90">
        <v>39.199000000000012</v>
      </c>
      <c r="F61" s="65">
        <f t="shared" si="10"/>
        <v>18.722999999999992</v>
      </c>
      <c r="G61" s="65">
        <f>IFERROR(SUM('Konsumsi &amp; Pareto 2 Mingguan'!H62:I62),0)</f>
        <v>4.6270000000000024</v>
      </c>
      <c r="H61" s="65">
        <f>IFERROR(SUM('Konsumsi &amp; Pareto 2 Mingguan'!J62:K62),0)</f>
        <v>0.64099999999999113</v>
      </c>
      <c r="I61" s="65">
        <f>IFERROR(SUM('Konsumsi &amp; Pareto 2 Mingguan'!L62:M62),0)</f>
        <v>0.54999999999999716</v>
      </c>
      <c r="J61" s="65">
        <f>IFERROR(SUM('Konsumsi &amp; Pareto 2 Mingguan'!N62:O62),0)</f>
        <v>2.7540000000000049</v>
      </c>
      <c r="K61" s="65">
        <f>IFERROR(SUM('Konsumsi &amp; Pareto 2 Mingguan'!P62:Q62),0)</f>
        <v>4.1760000000000019</v>
      </c>
      <c r="L61" s="65">
        <f>IFERROR(SUM('Konsumsi &amp; Pareto 2 Mingguan'!R62:S62),0)</f>
        <v>5.9749999999999943</v>
      </c>
      <c r="M61" s="65">
        <f>IFERROR(SUM('Konsumsi &amp; Pareto 2 Mingguan'!T62:U62),0)</f>
        <v>0</v>
      </c>
      <c r="N61" s="65">
        <f>IFERROR(SUM('Konsumsi &amp; Pareto 2 Mingguan'!V62:W62),0)</f>
        <v>0</v>
      </c>
      <c r="O61" s="65">
        <f>IFERROR(SUM('Konsumsi &amp; Pareto 2 Mingguan'!X62:Y62),0)</f>
        <v>0</v>
      </c>
      <c r="P61" s="65">
        <f>IFERROR(SUM('Konsumsi &amp; Pareto 2 Mingguan'!Z62:AA62),0)</f>
        <v>0</v>
      </c>
      <c r="Q61" s="65">
        <f>IFERROR(SUM('Konsumsi &amp; Pareto 2 Mingguan'!AB62:AC62),0)</f>
        <v>0</v>
      </c>
      <c r="R61" s="65">
        <f>IFERROR(SUM('Konsumsi &amp; Pareto 2 Mingguan'!AD62:AE62),0)</f>
        <v>0</v>
      </c>
      <c r="U61" s="187">
        <v>5</v>
      </c>
      <c r="V61" s="189" t="s">
        <v>42</v>
      </c>
      <c r="W61" s="193" t="s">
        <v>58</v>
      </c>
      <c r="X61" s="65">
        <f>SUM($G$17:$I$17)</f>
        <v>32.850000000000023</v>
      </c>
      <c r="Y61" s="65">
        <f>SUM($M$17:$R$17)</f>
        <v>0</v>
      </c>
    </row>
    <row r="62" spans="2:27">
      <c r="B62" s="76" t="s">
        <v>49</v>
      </c>
      <c r="C62" s="8" t="s">
        <v>109</v>
      </c>
      <c r="D62" s="90">
        <v>0</v>
      </c>
      <c r="E62" s="90">
        <v>38.503447999999985</v>
      </c>
      <c r="F62" s="65">
        <f t="shared" si="10"/>
        <v>35.951768000000008</v>
      </c>
      <c r="G62" s="65">
        <f>IFERROR(SUM('Konsumsi &amp; Pareto 2 Mingguan'!H63:I63),0)</f>
        <v>5.8397119999999987</v>
      </c>
      <c r="H62" s="65">
        <f>IFERROR(SUM('Konsumsi &amp; Pareto 2 Mingguan'!J63:K63),0)</f>
        <v>5.4656680000000009</v>
      </c>
      <c r="I62" s="65">
        <f>IFERROR(SUM('Konsumsi &amp; Pareto 2 Mingguan'!L63:M63),0)</f>
        <v>6.9365480000000019</v>
      </c>
      <c r="J62" s="65">
        <f>IFERROR(SUM('Konsumsi &amp; Pareto 2 Mingguan'!N63:O63),0)</f>
        <v>6.3606279999999984</v>
      </c>
      <c r="K62" s="65">
        <f>IFERROR(SUM('Konsumsi &amp; Pareto 2 Mingguan'!P63:Q63),0)</f>
        <v>5.6752280000000042</v>
      </c>
      <c r="L62" s="65">
        <f>IFERROR(SUM('Konsumsi &amp; Pareto 2 Mingguan'!R63:S63),0)</f>
        <v>5.6739840000000044</v>
      </c>
      <c r="M62" s="65">
        <f>IFERROR(SUM('Konsumsi &amp; Pareto 2 Mingguan'!T63:U63),0)</f>
        <v>0</v>
      </c>
      <c r="N62" s="65">
        <f>IFERROR(SUM('Konsumsi &amp; Pareto 2 Mingguan'!V63:W63),0)</f>
        <v>0</v>
      </c>
      <c r="O62" s="65">
        <f>IFERROR(SUM('Konsumsi &amp; Pareto 2 Mingguan'!X63:Y63),0)</f>
        <v>0</v>
      </c>
      <c r="P62" s="65">
        <f>IFERROR(SUM('Konsumsi &amp; Pareto 2 Mingguan'!Z63:AA63),0)</f>
        <v>0</v>
      </c>
      <c r="Q62" s="65">
        <f>IFERROR(SUM('Konsumsi &amp; Pareto 2 Mingguan'!AB63:AC63),0)</f>
        <v>0</v>
      </c>
      <c r="R62" s="65">
        <f>IFERROR(SUM('Konsumsi &amp; Pareto 2 Mingguan'!AD63:AE63),0)</f>
        <v>0</v>
      </c>
      <c r="U62" s="187">
        <v>6</v>
      </c>
      <c r="V62" s="189" t="s">
        <v>42</v>
      </c>
      <c r="W62" s="193" t="s">
        <v>59</v>
      </c>
      <c r="X62" s="65">
        <f>SUM($G$18:$I$18)</f>
        <v>30.850000000000023</v>
      </c>
      <c r="Y62" s="65">
        <f>SUM($M$18:$R$18)</f>
        <v>0</v>
      </c>
    </row>
    <row r="63" spans="2:27">
      <c r="B63" s="76" t="s">
        <v>99</v>
      </c>
      <c r="C63" s="8" t="s">
        <v>109</v>
      </c>
      <c r="D63" s="90">
        <v>105.07174835220346</v>
      </c>
      <c r="E63" s="90">
        <v>90.826397083165901</v>
      </c>
      <c r="F63" s="65">
        <f t="shared" si="10"/>
        <v>56.792756213396132</v>
      </c>
      <c r="G63" s="65">
        <f>IFERROR(SUM('Konsumsi &amp; Pareto 2 Mingguan'!H64:I64),0)</f>
        <v>8.1830167933673774</v>
      </c>
      <c r="H63" s="65">
        <f>IFERROR(SUM('Konsumsi &amp; Pareto 2 Mingguan'!J64:K64),0)</f>
        <v>9.8057880411163989</v>
      </c>
      <c r="I63" s="65">
        <f>IFERROR(SUM('Konsumsi &amp; Pareto 2 Mingguan'!L64:M64),0)</f>
        <v>10.0201712903269</v>
      </c>
      <c r="J63" s="65">
        <f>IFERROR(SUM('Konsumsi &amp; Pareto 2 Mingguan'!N64:O64),0)</f>
        <v>9.4902665597139997</v>
      </c>
      <c r="K63" s="65">
        <f>IFERROR(SUM('Konsumsi &amp; Pareto 2 Mingguan'!P64:Q64),0)</f>
        <v>8.9580704568418241</v>
      </c>
      <c r="L63" s="65">
        <f>IFERROR(SUM('Konsumsi &amp; Pareto 2 Mingguan'!R64:S64),0)</f>
        <v>10.335443072029634</v>
      </c>
      <c r="M63" s="65">
        <f>IFERROR(SUM('Konsumsi &amp; Pareto 2 Mingguan'!T64:U64),0)</f>
        <v>0</v>
      </c>
      <c r="N63" s="65">
        <f>IFERROR(SUM('Konsumsi &amp; Pareto 2 Mingguan'!V64:W64),0)</f>
        <v>0</v>
      </c>
      <c r="O63" s="65">
        <f>IFERROR(SUM('Konsumsi &amp; Pareto 2 Mingguan'!X64:Y64),0)</f>
        <v>0</v>
      </c>
      <c r="P63" s="65">
        <f>IFERROR(SUM('Konsumsi &amp; Pareto 2 Mingguan'!Z64:AA64),0)</f>
        <v>0</v>
      </c>
      <c r="Q63" s="65">
        <f>IFERROR(SUM('Konsumsi &amp; Pareto 2 Mingguan'!AB64:AC64),0)</f>
        <v>0</v>
      </c>
      <c r="R63" s="65">
        <f>IFERROR(SUM('Konsumsi &amp; Pareto 2 Mingguan'!AD64:AE64),0)</f>
        <v>0</v>
      </c>
      <c r="U63" s="187">
        <v>7</v>
      </c>
      <c r="V63" s="189" t="s">
        <v>178</v>
      </c>
      <c r="W63" s="193" t="s">
        <v>60</v>
      </c>
      <c r="X63" s="65">
        <f>SUM($G$19:$I$19)</f>
        <v>109.70000000000005</v>
      </c>
      <c r="Y63" s="65">
        <f>SUM($M$19:$R$19)</f>
        <v>0</v>
      </c>
    </row>
    <row r="64" spans="2:27">
      <c r="B64" s="77" t="s">
        <v>0</v>
      </c>
      <c r="C64" s="8" t="s">
        <v>109</v>
      </c>
      <c r="D64" s="90">
        <v>28.433512018718393</v>
      </c>
      <c r="E64" s="90">
        <v>21.352249332101387</v>
      </c>
      <c r="F64" s="65">
        <f t="shared" si="10"/>
        <v>19.747486940145755</v>
      </c>
      <c r="G64" s="65">
        <f>IFERROR(SUM('Konsumsi &amp; Pareto 2 Mingguan'!H65:I65),0)</f>
        <v>2.1857819920822625</v>
      </c>
      <c r="H64" s="65">
        <f>IFERROR(SUM('Konsumsi &amp; Pareto 2 Mingguan'!J65:K65),0)</f>
        <v>3.5786296879349058</v>
      </c>
      <c r="I64" s="65">
        <f>IFERROR(SUM('Konsumsi &amp; Pareto 2 Mingguan'!L65:M65),0)</f>
        <v>3.6113816599625341</v>
      </c>
      <c r="J64" s="65">
        <f>IFERROR(SUM('Konsumsi &amp; Pareto 2 Mingguan'!N65:O65),0)</f>
        <v>4.1739285222059506</v>
      </c>
      <c r="K64" s="65">
        <f>IFERROR(SUM('Konsumsi &amp; Pareto 2 Mingguan'!P65:Q65),0)</f>
        <v>2.3669015012771859</v>
      </c>
      <c r="L64" s="65">
        <f>IFERROR(SUM('Konsumsi &amp; Pareto 2 Mingguan'!R65:S65),0)</f>
        <v>3.8308635766829182</v>
      </c>
      <c r="M64" s="65">
        <f>IFERROR(SUM('Konsumsi &amp; Pareto 2 Mingguan'!T65:U65),0)</f>
        <v>0</v>
      </c>
      <c r="N64" s="65">
        <f>IFERROR(SUM('Konsumsi &amp; Pareto 2 Mingguan'!V65:W65),0)</f>
        <v>0</v>
      </c>
      <c r="O64" s="65">
        <f>IFERROR(SUM('Konsumsi &amp; Pareto 2 Mingguan'!X65:Y65),0)</f>
        <v>0</v>
      </c>
      <c r="P64" s="65">
        <f>IFERROR(SUM('Konsumsi &amp; Pareto 2 Mingguan'!Z65:AA65),0)</f>
        <v>0</v>
      </c>
      <c r="Q64" s="65">
        <f>IFERROR(SUM('Konsumsi &amp; Pareto 2 Mingguan'!AB65:AC65),0)</f>
        <v>0</v>
      </c>
      <c r="R64" s="65">
        <f>IFERROR(SUM('Konsumsi &amp; Pareto 2 Mingguan'!AD65:AE65),0)</f>
        <v>0</v>
      </c>
      <c r="U64" s="187">
        <v>8</v>
      </c>
      <c r="V64" s="189" t="s">
        <v>178</v>
      </c>
      <c r="W64" s="193" t="s">
        <v>61</v>
      </c>
      <c r="X64" s="65">
        <f>SUM($G$20:$I$20)</f>
        <v>1.0600000000000023</v>
      </c>
      <c r="Y64" s="65">
        <f>SUM($M$20:$R$20)</f>
        <v>0</v>
      </c>
    </row>
    <row r="65" spans="2:25">
      <c r="B65" s="77" t="s">
        <v>1</v>
      </c>
      <c r="C65" s="8" t="s">
        <v>109</v>
      </c>
      <c r="D65" s="90">
        <v>60.668777266338395</v>
      </c>
      <c r="E65" s="90">
        <v>40.885936859001013</v>
      </c>
      <c r="F65" s="65">
        <f t="shared" si="10"/>
        <v>22.883990400393493</v>
      </c>
      <c r="G65" s="65">
        <f>IFERROR(SUM('Konsumsi &amp; Pareto 2 Mingguan'!H66:I66),0)</f>
        <v>3.9199542826640399</v>
      </c>
      <c r="H65" s="65">
        <f>IFERROR(SUM('Konsumsi &amp; Pareto 2 Mingguan'!J66:K66),0)</f>
        <v>4.0373396648308288</v>
      </c>
      <c r="I65" s="65">
        <f>IFERROR(SUM('Konsumsi &amp; Pareto 2 Mingguan'!L66:M66),0)</f>
        <v>4.0912925812505776</v>
      </c>
      <c r="J65" s="65">
        <f>IFERROR(SUM('Konsumsi &amp; Pareto 2 Mingguan'!N66:O66),0)</f>
        <v>3.357164535210623</v>
      </c>
      <c r="K65" s="65">
        <f>IFERROR(SUM('Konsumsi &amp; Pareto 2 Mingguan'!P66:Q66),0)</f>
        <v>3.3495565682282118</v>
      </c>
      <c r="L65" s="65">
        <f>IFERROR(SUM('Konsumsi &amp; Pareto 2 Mingguan'!R66:S66),0)</f>
        <v>4.1286827682092131</v>
      </c>
      <c r="M65" s="65">
        <f>IFERROR(SUM('Konsumsi &amp; Pareto 2 Mingguan'!T66:U66),0)</f>
        <v>0</v>
      </c>
      <c r="N65" s="65">
        <f>IFERROR(SUM('Konsumsi &amp; Pareto 2 Mingguan'!V66:W66),0)</f>
        <v>0</v>
      </c>
      <c r="O65" s="65">
        <f>IFERROR(SUM('Konsumsi &amp; Pareto 2 Mingguan'!X66:Y66),0)</f>
        <v>0</v>
      </c>
      <c r="P65" s="65">
        <f>IFERROR(SUM('Konsumsi &amp; Pareto 2 Mingguan'!Z66:AA66),0)</f>
        <v>0</v>
      </c>
      <c r="Q65" s="65">
        <f>IFERROR(SUM('Konsumsi &amp; Pareto 2 Mingguan'!AB66:AC66),0)</f>
        <v>0</v>
      </c>
      <c r="R65" s="65">
        <f>IFERROR(SUM('Konsumsi &amp; Pareto 2 Mingguan'!AD66:AE66),0)</f>
        <v>0</v>
      </c>
      <c r="U65" s="187">
        <v>9</v>
      </c>
      <c r="V65" s="189" t="s">
        <v>178</v>
      </c>
      <c r="W65" s="193" t="s">
        <v>62</v>
      </c>
      <c r="X65" s="65">
        <f>SUM($G$21:$I$21)</f>
        <v>0.46139999999999937</v>
      </c>
      <c r="Y65" s="65">
        <f>SUM($M$21:$R$21)</f>
        <v>0</v>
      </c>
    </row>
    <row r="66" spans="2:25">
      <c r="B66" s="76" t="s">
        <v>46</v>
      </c>
      <c r="C66" s="8" t="s">
        <v>109</v>
      </c>
      <c r="D66" s="90">
        <v>68.90833333333336</v>
      </c>
      <c r="E66" s="90">
        <v>210.60132299999998</v>
      </c>
      <c r="F66" s="65">
        <f t="shared" si="10"/>
        <v>130.17318</v>
      </c>
      <c r="G66" s="65">
        <f>IFERROR(SUM('Konsumsi &amp; Pareto 2 Mingguan'!H67:I67),0)</f>
        <v>22.496979999999994</v>
      </c>
      <c r="H66" s="65">
        <f>IFERROR(SUM('Konsumsi &amp; Pareto 2 Mingguan'!J67:K67),0)</f>
        <v>19.488780000000006</v>
      </c>
      <c r="I66" s="65">
        <f>IFERROR(SUM('Konsumsi &amp; Pareto 2 Mingguan'!L67:M67),0)</f>
        <v>23.91934000000002</v>
      </c>
      <c r="J66" s="65">
        <f>IFERROR(SUM('Konsumsi &amp; Pareto 2 Mingguan'!N67:O67),0)</f>
        <v>20.691060000000007</v>
      </c>
      <c r="K66" s="65">
        <f>IFERROR(SUM('Konsumsi &amp; Pareto 2 Mingguan'!P67:Q67),0)</f>
        <v>19.555479999999974</v>
      </c>
      <c r="L66" s="65">
        <f>IFERROR(SUM('Konsumsi &amp; Pareto 2 Mingguan'!R67:S67),0)</f>
        <v>24.021540000000002</v>
      </c>
      <c r="M66" s="65">
        <f>IFERROR(SUM('Konsumsi &amp; Pareto 2 Mingguan'!T67:U67),0)</f>
        <v>0</v>
      </c>
      <c r="N66" s="65">
        <f>IFERROR(SUM('Konsumsi &amp; Pareto 2 Mingguan'!V67:W67),0)</f>
        <v>0</v>
      </c>
      <c r="O66" s="65">
        <f>IFERROR(SUM('Konsumsi &amp; Pareto 2 Mingguan'!X67:Y67),0)</f>
        <v>0</v>
      </c>
      <c r="P66" s="65">
        <f>IFERROR(SUM('Konsumsi &amp; Pareto 2 Mingguan'!Z67:AA67),0)</f>
        <v>0</v>
      </c>
      <c r="Q66" s="65">
        <f>IFERROR(SUM('Konsumsi &amp; Pareto 2 Mingguan'!AB67:AC67),0)</f>
        <v>0</v>
      </c>
      <c r="R66" s="65">
        <f>IFERROR(SUM('Konsumsi &amp; Pareto 2 Mingguan'!AD67:AE67),0)</f>
        <v>0</v>
      </c>
      <c r="U66" s="187">
        <v>10</v>
      </c>
      <c r="V66" s="189" t="s">
        <v>178</v>
      </c>
      <c r="W66" s="193" t="s">
        <v>63</v>
      </c>
      <c r="X66" s="65">
        <f>SUM($G$22:$I$22)</f>
        <v>8.7000000000003297E-2</v>
      </c>
      <c r="Y66" s="65">
        <f>SUM($M$22:$R$22)</f>
        <v>0</v>
      </c>
    </row>
    <row r="67" spans="2:25">
      <c r="B67" s="76" t="s">
        <v>142</v>
      </c>
      <c r="C67" s="8"/>
      <c r="D67" s="90"/>
      <c r="E67" s="90">
        <v>4.7898386144212077</v>
      </c>
      <c r="F67" s="65">
        <f t="shared" si="10"/>
        <v>3.8817437211506443</v>
      </c>
      <c r="G67" s="65">
        <f>IFERROR(SUM('Konsumsi &amp; Pareto 2 Mingguan'!H68:I68),0)</f>
        <v>0.54095863534964173</v>
      </c>
      <c r="H67" s="65">
        <f>IFERROR(SUM('Konsumsi &amp; Pareto 2 Mingguan'!J68:K68),0)</f>
        <v>0.71336010532594285</v>
      </c>
      <c r="I67" s="65">
        <f>IFERROR(SUM('Konsumsi &amp; Pareto 2 Mingguan'!L68:M68),0)</f>
        <v>0.61778418528903689</v>
      </c>
      <c r="J67" s="65">
        <f>IFERROR(SUM('Konsumsi &amp; Pareto 2 Mingguan'!N68:O68),0)</f>
        <v>0.64822217160853124</v>
      </c>
      <c r="K67" s="65">
        <f>IFERROR(SUM('Konsumsi &amp; Pareto 2 Mingguan'!P68:Q68),0)</f>
        <v>0.72843511303340402</v>
      </c>
      <c r="L67" s="65">
        <f>IFERROR(SUM('Konsumsi &amp; Pareto 2 Mingguan'!R68:S68),0)</f>
        <v>0.63298351054408719</v>
      </c>
      <c r="M67" s="65">
        <f>IFERROR(SUM('Konsumsi &amp; Pareto 2 Mingguan'!T68:U68),0)</f>
        <v>0</v>
      </c>
      <c r="N67" s="65">
        <f>IFERROR(SUM('Konsumsi &amp; Pareto 2 Mingguan'!V68:W68),0)</f>
        <v>0</v>
      </c>
      <c r="O67" s="65">
        <f>IFERROR(SUM('Konsumsi &amp; Pareto 2 Mingguan'!X68:Y68),0)</f>
        <v>0</v>
      </c>
      <c r="P67" s="65">
        <f>IFERROR(SUM('Konsumsi &amp; Pareto 2 Mingguan'!Z68:AA68),0)</f>
        <v>0</v>
      </c>
      <c r="Q67" s="65">
        <f>IFERROR(SUM('Konsumsi &amp; Pareto 2 Mingguan'!AB68:AC68),0)</f>
        <v>0</v>
      </c>
      <c r="R67" s="65">
        <f>IFERROR(SUM('Konsumsi &amp; Pareto 2 Mingguan'!AD68:AE68),0)</f>
        <v>0</v>
      </c>
      <c r="U67" s="187">
        <v>11</v>
      </c>
      <c r="V67" s="189" t="s">
        <v>46</v>
      </c>
      <c r="W67" s="193" t="s">
        <v>64</v>
      </c>
      <c r="X67" s="65">
        <f>SUM($G$23:$I$23)</f>
        <v>25.550000000000011</v>
      </c>
      <c r="Y67" s="65">
        <f>SUM($M$23:$R$23)</f>
        <v>0</v>
      </c>
    </row>
    <row r="68" spans="2:25">
      <c r="B68" s="76" t="s">
        <v>50</v>
      </c>
      <c r="C68" s="8" t="s">
        <v>109</v>
      </c>
      <c r="D68" s="90">
        <v>294.51015124738092</v>
      </c>
      <c r="E68" s="90">
        <v>394.59896240078592</v>
      </c>
      <c r="F68" s="65">
        <f t="shared" si="10"/>
        <v>230.31733302605642</v>
      </c>
      <c r="G68" s="65">
        <f>IFERROR(SUM('Konsumsi &amp; Pareto 2 Mingguan'!H69:I69),0)</f>
        <v>35.264776396363743</v>
      </c>
      <c r="H68" s="65">
        <f>IFERROR(SUM('Konsumsi &amp; Pareto 2 Mingguan'!J69:K69),0)</f>
        <v>38.634826348336922</v>
      </c>
      <c r="I68" s="65">
        <f>IFERROR(SUM('Konsumsi &amp; Pareto 2 Mingguan'!L69:M69),0)</f>
        <v>42.656073881084822</v>
      </c>
      <c r="J68" s="65">
        <f>IFERROR(SUM('Konsumsi &amp; Pareto 2 Mingguan'!N69:O69),0)</f>
        <v>39.31601200006962</v>
      </c>
      <c r="K68" s="65">
        <f>IFERROR(SUM('Konsumsi &amp; Pareto 2 Mingguan'!P69:Q69),0)</f>
        <v>29.529802760499916</v>
      </c>
      <c r="L68" s="65">
        <f>IFERROR(SUM('Konsumsi &amp; Pareto 2 Mingguan'!R69:S69),0)</f>
        <v>44.915841639701391</v>
      </c>
      <c r="M68" s="65">
        <f>IFERROR(SUM('Konsumsi &amp; Pareto 2 Mingguan'!T69:U69),0)</f>
        <v>0</v>
      </c>
      <c r="N68" s="65">
        <f>IFERROR(SUM('Konsumsi &amp; Pareto 2 Mingguan'!V69:W69),0)</f>
        <v>0</v>
      </c>
      <c r="O68" s="65">
        <f>IFERROR(SUM('Konsumsi &amp; Pareto 2 Mingguan'!X69:Y69),0)</f>
        <v>0</v>
      </c>
      <c r="P68" s="65">
        <f>IFERROR(SUM('Konsumsi &amp; Pareto 2 Mingguan'!Z69:AA69),0)</f>
        <v>0</v>
      </c>
      <c r="Q68" s="65">
        <f>IFERROR(SUM('Konsumsi &amp; Pareto 2 Mingguan'!AB69:AC69),0)</f>
        <v>0</v>
      </c>
      <c r="R68" s="65">
        <f>IFERROR(SUM('Konsumsi &amp; Pareto 2 Mingguan'!AD69:AE69),0)</f>
        <v>0</v>
      </c>
      <c r="U68" s="187">
        <v>12</v>
      </c>
      <c r="V68" s="189" t="s">
        <v>46</v>
      </c>
      <c r="W68" s="193" t="s">
        <v>65</v>
      </c>
      <c r="X68" s="65">
        <f>SUM($G$24:$I$24)</f>
        <v>46.74260000000001</v>
      </c>
      <c r="Y68" s="65">
        <f>SUM($M$24:$R$24)</f>
        <v>0</v>
      </c>
    </row>
    <row r="69" spans="2:25">
      <c r="B69" s="77" t="s">
        <v>0</v>
      </c>
      <c r="C69" s="8" t="s">
        <v>109</v>
      </c>
      <c r="D69" s="90">
        <v>68.000380559281183</v>
      </c>
      <c r="E69" s="90">
        <v>84.599610521427692</v>
      </c>
      <c r="F69" s="65">
        <f t="shared" si="10"/>
        <v>59.256968091226483</v>
      </c>
      <c r="G69" s="65">
        <f>IFERROR(SUM('Konsumsi &amp; Pareto 2 Mingguan'!H70:I70),0)</f>
        <v>8.4884984486705903</v>
      </c>
      <c r="H69" s="65">
        <f>IFERROR(SUM('Konsumsi &amp; Pareto 2 Mingguan'!J70:K70),0)</f>
        <v>9.9430609509365198</v>
      </c>
      <c r="I69" s="65">
        <f>IFERROR(SUM('Konsumsi &amp; Pareto 2 Mingguan'!L70:M70),0)</f>
        <v>12.156997850271082</v>
      </c>
      <c r="J69" s="65">
        <f>IFERROR(SUM('Konsumsi &amp; Pareto 2 Mingguan'!N70:O70),0)</f>
        <v>11.666222283903044</v>
      </c>
      <c r="K69" s="65">
        <f>IFERROR(SUM('Konsumsi &amp; Pareto 2 Mingguan'!P70:Q70),0)</f>
        <v>5.9233117067792822</v>
      </c>
      <c r="L69" s="65">
        <f>IFERROR(SUM('Konsumsi &amp; Pareto 2 Mingguan'!R70:S70),0)</f>
        <v>11.078876850665965</v>
      </c>
      <c r="M69" s="65">
        <f>IFERROR(SUM('Konsumsi &amp; Pareto 2 Mingguan'!T70:U70),0)</f>
        <v>0</v>
      </c>
      <c r="N69" s="65">
        <f>IFERROR(SUM('Konsumsi &amp; Pareto 2 Mingguan'!V70:W70),0)</f>
        <v>0</v>
      </c>
      <c r="O69" s="65">
        <f>IFERROR(SUM('Konsumsi &amp; Pareto 2 Mingguan'!X70:Y70),0)</f>
        <v>0</v>
      </c>
      <c r="P69" s="65">
        <f>IFERROR(SUM('Konsumsi &amp; Pareto 2 Mingguan'!Z70:AA70),0)</f>
        <v>0</v>
      </c>
      <c r="Q69" s="65">
        <f>IFERROR(SUM('Konsumsi &amp; Pareto 2 Mingguan'!AB70:AC70),0)</f>
        <v>0</v>
      </c>
      <c r="R69" s="65">
        <f>IFERROR(SUM('Konsumsi &amp; Pareto 2 Mingguan'!AD70:AE70),0)</f>
        <v>0</v>
      </c>
      <c r="U69" s="187">
        <v>13</v>
      </c>
      <c r="V69" s="189" t="s">
        <v>50</v>
      </c>
      <c r="W69" s="193" t="s">
        <v>119</v>
      </c>
      <c r="X69" s="65">
        <f>SUM($G$26:$I$26)</f>
        <v>12.295999999999999</v>
      </c>
      <c r="Y69" s="65">
        <f>SUM($M$26:$R$26)</f>
        <v>0</v>
      </c>
    </row>
    <row r="70" spans="2:25">
      <c r="B70" s="77" t="s">
        <v>1</v>
      </c>
      <c r="C70" s="8" t="s">
        <v>109</v>
      </c>
      <c r="D70" s="90">
        <v>231.46774773991598</v>
      </c>
      <c r="E70" s="90">
        <v>309.99935187935819</v>
      </c>
      <c r="F70" s="65">
        <f t="shared" si="10"/>
        <v>171.06036493482989</v>
      </c>
      <c r="G70" s="65">
        <f>IFERROR(SUM('Konsumsi &amp; Pareto 2 Mingguan'!H71:I71),0)</f>
        <v>26.776277947693146</v>
      </c>
      <c r="H70" s="65">
        <f>IFERROR(SUM('Konsumsi &amp; Pareto 2 Mingguan'!J71:K71),0)</f>
        <v>28.691765397400403</v>
      </c>
      <c r="I70" s="65">
        <f>IFERROR(SUM('Konsumsi &amp; Pareto 2 Mingguan'!L71:M71),0)</f>
        <v>30.49907603081374</v>
      </c>
      <c r="J70" s="65">
        <f>IFERROR(SUM('Konsumsi &amp; Pareto 2 Mingguan'!N71:O71),0)</f>
        <v>27.649789716166573</v>
      </c>
      <c r="K70" s="65">
        <f>IFERROR(SUM('Konsumsi &amp; Pareto 2 Mingguan'!P71:Q71),0)</f>
        <v>23.606491053720632</v>
      </c>
      <c r="L70" s="65">
        <f>IFERROR(SUM('Konsumsi &amp; Pareto 2 Mingguan'!R71:S71),0)</f>
        <v>33.83696478903542</v>
      </c>
      <c r="M70" s="65">
        <f>IFERROR(SUM('Konsumsi &amp; Pareto 2 Mingguan'!T71:U71),0)</f>
        <v>0</v>
      </c>
      <c r="N70" s="65">
        <f>IFERROR(SUM('Konsumsi &amp; Pareto 2 Mingguan'!V71:W71),0)</f>
        <v>0</v>
      </c>
      <c r="O70" s="65">
        <f>IFERROR(SUM('Konsumsi &amp; Pareto 2 Mingguan'!X71:Y71),0)</f>
        <v>0</v>
      </c>
      <c r="P70" s="65">
        <f>IFERROR(SUM('Konsumsi &amp; Pareto 2 Mingguan'!Z71:AA71),0)</f>
        <v>0</v>
      </c>
      <c r="Q70" s="65">
        <f>IFERROR(SUM('Konsumsi &amp; Pareto 2 Mingguan'!AB71:AC71),0)</f>
        <v>0</v>
      </c>
      <c r="R70" s="65">
        <f>IFERROR(SUM('Konsumsi &amp; Pareto 2 Mingguan'!AD71:AE71),0)</f>
        <v>0</v>
      </c>
      <c r="U70" s="187">
        <v>14</v>
      </c>
      <c r="V70" s="189" t="s">
        <v>50</v>
      </c>
      <c r="W70" s="193" t="s">
        <v>120</v>
      </c>
      <c r="X70" s="65">
        <f>SUM($G$27:$I$27)</f>
        <v>107.22</v>
      </c>
      <c r="Y70" s="65">
        <f>SUM($M$27:$R$27)</f>
        <v>0</v>
      </c>
    </row>
    <row r="71" spans="2:25"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U71" s="187">
        <v>15</v>
      </c>
      <c r="V71" s="189" t="s">
        <v>50</v>
      </c>
      <c r="W71" s="193" t="s">
        <v>121</v>
      </c>
      <c r="X71" s="65">
        <f>SUM($G$28:$I$28)</f>
        <v>51.449999999999989</v>
      </c>
      <c r="Y71" s="65">
        <f>SUM($M$28:$R$28)</f>
        <v>0</v>
      </c>
    </row>
    <row r="72" spans="2:25" ht="15" customHeight="1"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U72" s="187">
        <v>16</v>
      </c>
      <c r="V72" s="189" t="s">
        <v>50</v>
      </c>
      <c r="W72" s="193" t="s">
        <v>122</v>
      </c>
      <c r="X72" s="65">
        <f>SUM($G$29:$I$29)</f>
        <v>86.19</v>
      </c>
      <c r="Y72" s="65">
        <f>SUM($M$29:$R$29)</f>
        <v>0</v>
      </c>
    </row>
    <row r="73" spans="2:25" ht="15" customHeight="1">
      <c r="B73" s="207" t="s">
        <v>41</v>
      </c>
      <c r="C73" s="206"/>
      <c r="D73" s="201"/>
      <c r="E73" s="206" t="s">
        <v>167</v>
      </c>
      <c r="F73" s="201" t="s">
        <v>38</v>
      </c>
      <c r="G73" s="204" t="s">
        <v>2</v>
      </c>
      <c r="H73" s="204" t="s">
        <v>3</v>
      </c>
      <c r="I73" s="204" t="s">
        <v>4</v>
      </c>
      <c r="J73" s="204" t="s">
        <v>5</v>
      </c>
      <c r="K73" s="204" t="s">
        <v>6</v>
      </c>
      <c r="L73" s="204" t="s">
        <v>7</v>
      </c>
      <c r="M73" s="204" t="s">
        <v>8</v>
      </c>
      <c r="N73" s="204" t="s">
        <v>9</v>
      </c>
      <c r="O73" s="204" t="s">
        <v>10</v>
      </c>
      <c r="P73" s="204" t="s">
        <v>11</v>
      </c>
      <c r="Q73" s="204" t="s">
        <v>12</v>
      </c>
      <c r="R73" s="204" t="s">
        <v>13</v>
      </c>
      <c r="U73" s="187">
        <v>17</v>
      </c>
      <c r="V73" s="189" t="s">
        <v>50</v>
      </c>
      <c r="W73" s="193" t="s">
        <v>124</v>
      </c>
      <c r="X73" s="65">
        <f>SUM($G$30:$I$30)</f>
        <v>84.244000000000568</v>
      </c>
      <c r="Y73" s="65">
        <f>SUM($M$30:$R$30)</f>
        <v>0</v>
      </c>
    </row>
    <row r="74" spans="2:25">
      <c r="B74" s="208"/>
      <c r="C74" s="206"/>
      <c r="D74" s="202"/>
      <c r="E74" s="206"/>
      <c r="F74" s="202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U74" s="187">
        <v>18</v>
      </c>
      <c r="V74" s="189" t="s">
        <v>177</v>
      </c>
      <c r="W74" s="193" t="s">
        <v>67</v>
      </c>
      <c r="X74" s="65">
        <f>SUM($G$31:$I$31)</f>
        <v>90</v>
      </c>
      <c r="Y74" s="65">
        <f>SUM($M$31:$R$31)</f>
        <v>0</v>
      </c>
    </row>
    <row r="75" spans="2:25">
      <c r="B75" s="69" t="s">
        <v>128</v>
      </c>
      <c r="C75" s="8" t="s">
        <v>109</v>
      </c>
      <c r="D75" s="90"/>
      <c r="E75" s="90">
        <v>1360.2265621363738</v>
      </c>
      <c r="F75" s="65">
        <f>SUM(G75:R75)</f>
        <v>729.59949921976374</v>
      </c>
      <c r="G75" s="89">
        <f t="shared" ref="G75" si="11">SUM(G45,G47,G48,G53,G54)</f>
        <v>128.49911804769513</v>
      </c>
      <c r="H75" s="89">
        <f t="shared" ref="H75:R75" si="12">SUM(H45,H47,H48,H53,H54)</f>
        <v>126.44331647154237</v>
      </c>
      <c r="I75" s="89">
        <f t="shared" si="12"/>
        <v>138.72938333662671</v>
      </c>
      <c r="J75" s="89">
        <f t="shared" si="12"/>
        <v>146.52584784945037</v>
      </c>
      <c r="K75" s="89">
        <f t="shared" si="12"/>
        <v>62.204051614092776</v>
      </c>
      <c r="L75" s="89">
        <f t="shared" si="12"/>
        <v>127.1977819003563</v>
      </c>
      <c r="M75" s="89">
        <f t="shared" si="12"/>
        <v>0</v>
      </c>
      <c r="N75" s="89">
        <f t="shared" si="12"/>
        <v>0</v>
      </c>
      <c r="O75" s="89">
        <f t="shared" si="12"/>
        <v>0</v>
      </c>
      <c r="P75" s="89">
        <f t="shared" si="12"/>
        <v>0</v>
      </c>
      <c r="Q75" s="89">
        <f t="shared" si="12"/>
        <v>0</v>
      </c>
      <c r="R75" s="89">
        <f t="shared" si="12"/>
        <v>0</v>
      </c>
      <c r="U75" s="187">
        <v>19</v>
      </c>
      <c r="V75" s="189" t="s">
        <v>177</v>
      </c>
      <c r="W75" s="193" t="s">
        <v>68</v>
      </c>
      <c r="X75" s="65">
        <f>SUM($G$32:$I$32)</f>
        <v>18.241928000000001</v>
      </c>
      <c r="Y75" s="65">
        <f>SUM($M$32:$R$32)</f>
        <v>0</v>
      </c>
    </row>
    <row r="76" spans="2:25">
      <c r="B76" s="69" t="s">
        <v>129</v>
      </c>
      <c r="C76" s="8" t="s">
        <v>109</v>
      </c>
      <c r="D76" s="90"/>
      <c r="E76" s="90">
        <v>733.18425948444576</v>
      </c>
      <c r="F76" s="65">
        <f>SUM(G76:R76)</f>
        <v>344.46973999865361</v>
      </c>
      <c r="G76" s="89">
        <f t="shared" ref="G76" si="13">SUM(G49,G50,G51,G52,G46)</f>
        <v>60.306379410314641</v>
      </c>
      <c r="H76" s="89">
        <f t="shared" ref="H76:R76" si="14">SUM(H49,H50,H51,H52,H46)</f>
        <v>53.854033336091909</v>
      </c>
      <c r="I76" s="89">
        <f t="shared" si="14"/>
        <v>65.12607424344435</v>
      </c>
      <c r="J76" s="89">
        <f t="shared" si="14"/>
        <v>61.179736449972793</v>
      </c>
      <c r="K76" s="89">
        <f t="shared" si="14"/>
        <v>43.129838652579707</v>
      </c>
      <c r="L76" s="89">
        <f t="shared" si="14"/>
        <v>60.873677906250258</v>
      </c>
      <c r="M76" s="89">
        <f t="shared" si="14"/>
        <v>0</v>
      </c>
      <c r="N76" s="89">
        <f t="shared" si="14"/>
        <v>0</v>
      </c>
      <c r="O76" s="89">
        <f t="shared" si="14"/>
        <v>0</v>
      </c>
      <c r="P76" s="89">
        <f t="shared" si="14"/>
        <v>0</v>
      </c>
      <c r="Q76" s="89">
        <f t="shared" si="14"/>
        <v>0</v>
      </c>
      <c r="R76" s="89">
        <f t="shared" si="14"/>
        <v>0</v>
      </c>
      <c r="U76" s="187">
        <v>20</v>
      </c>
      <c r="V76" s="189" t="s">
        <v>42</v>
      </c>
      <c r="W76" s="193" t="s">
        <v>140</v>
      </c>
      <c r="X76" s="65">
        <f>SUM($G$33:$I$33)</f>
        <v>5.8179999999999907</v>
      </c>
      <c r="Y76" s="65">
        <f>SUM($M$33:$R$33)</f>
        <v>0</v>
      </c>
    </row>
    <row r="77" spans="2:25">
      <c r="B77" s="74" t="s">
        <v>127</v>
      </c>
      <c r="C77" s="8" t="s">
        <v>109</v>
      </c>
      <c r="D77" s="90"/>
      <c r="E77" s="90">
        <v>627.80692772186308</v>
      </c>
      <c r="F77" s="65">
        <f>SUM(G77:R77)</f>
        <v>362.30021408909261</v>
      </c>
      <c r="G77" s="44">
        <f>SUM(G57,G59,G64,G65,G69,G70,G67,G58)</f>
        <v>56.330191896145308</v>
      </c>
      <c r="H77" s="44">
        <f t="shared" ref="H77:R77" si="15">SUM(H57,H59,H64,H65,H69,H70,H67,H58)</f>
        <v>61.03562247033657</v>
      </c>
      <c r="I77" s="44">
        <f t="shared" si="15"/>
        <v>67.386258064142439</v>
      </c>
      <c r="J77" s="44">
        <f t="shared" si="15"/>
        <v>62.571790779121883</v>
      </c>
      <c r="K77" s="44">
        <f t="shared" si="15"/>
        <v>45.661957290458844</v>
      </c>
      <c r="L77" s="44">
        <f t="shared" si="15"/>
        <v>69.314393588887583</v>
      </c>
      <c r="M77" s="44">
        <f t="shared" si="15"/>
        <v>0</v>
      </c>
      <c r="N77" s="44">
        <f t="shared" si="15"/>
        <v>0</v>
      </c>
      <c r="O77" s="44">
        <f t="shared" si="15"/>
        <v>0</v>
      </c>
      <c r="P77" s="44">
        <f t="shared" si="15"/>
        <v>0</v>
      </c>
      <c r="Q77" s="44">
        <f t="shared" si="15"/>
        <v>0</v>
      </c>
      <c r="R77" s="44">
        <f t="shared" si="15"/>
        <v>0</v>
      </c>
      <c r="U77" s="187">
        <v>21</v>
      </c>
      <c r="V77" s="189" t="s">
        <v>177</v>
      </c>
      <c r="W77" s="193" t="s">
        <v>69</v>
      </c>
      <c r="X77" s="65">
        <f>SUM($G$34:$I$34)</f>
        <v>46.239999999999895</v>
      </c>
      <c r="Y77" s="65">
        <f>SUM($M$34:$R$34)</f>
        <v>0</v>
      </c>
    </row>
    <row r="78" spans="2:25">
      <c r="B78" s="74" t="s">
        <v>130</v>
      </c>
      <c r="C78" s="8" t="s">
        <v>109</v>
      </c>
      <c r="D78" s="90"/>
      <c r="E78" s="90">
        <v>441.35198189206324</v>
      </c>
      <c r="F78" s="65">
        <f>SUM(G78:R78)</f>
        <v>264.66922687285683</v>
      </c>
      <c r="G78" s="44">
        <f>SUM(G66,G62,G61,G60)+(G63-G64-G65)</f>
        <v>46.240972518621</v>
      </c>
      <c r="H78" s="44">
        <f t="shared" ref="H78:R78" si="16">SUM(H66,H62,H61,H60)+(H63-H64-H65)</f>
        <v>37.595266688350719</v>
      </c>
      <c r="I78" s="44">
        <f t="shared" si="16"/>
        <v>45.56338504911384</v>
      </c>
      <c r="J78" s="44">
        <f t="shared" si="16"/>
        <v>42.504861502297445</v>
      </c>
      <c r="K78" s="44">
        <f t="shared" si="16"/>
        <v>42.158320387336396</v>
      </c>
      <c r="L78" s="44">
        <f t="shared" si="16"/>
        <v>50.606420727137447</v>
      </c>
      <c r="M78" s="44">
        <f t="shared" si="16"/>
        <v>0</v>
      </c>
      <c r="N78" s="44">
        <f t="shared" si="16"/>
        <v>0</v>
      </c>
      <c r="O78" s="44">
        <f t="shared" si="16"/>
        <v>0</v>
      </c>
      <c r="P78" s="44">
        <f t="shared" si="16"/>
        <v>0</v>
      </c>
      <c r="Q78" s="44">
        <f t="shared" si="16"/>
        <v>0</v>
      </c>
      <c r="R78" s="44">
        <f t="shared" si="16"/>
        <v>0</v>
      </c>
    </row>
    <row r="79" spans="2:25">
      <c r="B79" s="69" t="s">
        <v>173</v>
      </c>
      <c r="C79" s="8" t="s">
        <v>109</v>
      </c>
      <c r="D79" s="90"/>
      <c r="E79" s="90"/>
      <c r="F79" s="65"/>
      <c r="G79" s="185">
        <v>60</v>
      </c>
      <c r="H79" s="185">
        <v>60</v>
      </c>
      <c r="I79" s="185">
        <v>60</v>
      </c>
      <c r="J79" s="185">
        <v>60</v>
      </c>
      <c r="K79" s="185">
        <v>60</v>
      </c>
      <c r="L79" s="185">
        <v>60</v>
      </c>
      <c r="M79" s="185">
        <v>60</v>
      </c>
      <c r="N79" s="185">
        <v>60</v>
      </c>
      <c r="O79" s="185">
        <v>60</v>
      </c>
      <c r="P79" s="185">
        <v>60</v>
      </c>
      <c r="Q79" s="185">
        <v>60</v>
      </c>
      <c r="R79" s="89">
        <v>60</v>
      </c>
    </row>
  </sheetData>
  <autoFilter ref="U3:AI16">
    <sortState ref="U12:AJ17">
      <sortCondition descending="1" ref="X3:X25"/>
    </sortState>
  </autoFilter>
  <mergeCells count="84">
    <mergeCell ref="Z29:Z30"/>
    <mergeCell ref="AA29:AA30"/>
    <mergeCell ref="U55:U56"/>
    <mergeCell ref="V55:V56"/>
    <mergeCell ref="W55:W56"/>
    <mergeCell ref="X55:X56"/>
    <mergeCell ref="Y55:Y56"/>
    <mergeCell ref="U29:U30"/>
    <mergeCell ref="V29:V30"/>
    <mergeCell ref="W29:W30"/>
    <mergeCell ref="X29:X30"/>
    <mergeCell ref="Y29:Y30"/>
    <mergeCell ref="V3:V4"/>
    <mergeCell ref="X3:X4"/>
    <mergeCell ref="Y3:Y4"/>
    <mergeCell ref="Z3:Z4"/>
    <mergeCell ref="AA3:AA4"/>
    <mergeCell ref="AB3:AB4"/>
    <mergeCell ref="W3:W4"/>
    <mergeCell ref="AH3:AH4"/>
    <mergeCell ref="AI3:AI4"/>
    <mergeCell ref="AC3:AC4"/>
    <mergeCell ref="AD3:AD4"/>
    <mergeCell ref="AE3:AE4"/>
    <mergeCell ref="AF3:AF4"/>
    <mergeCell ref="AG3:AG4"/>
    <mergeCell ref="Q38:Q39"/>
    <mergeCell ref="R38:R39"/>
    <mergeCell ref="G73:G74"/>
    <mergeCell ref="H73:H74"/>
    <mergeCell ref="I73:I74"/>
    <mergeCell ref="J73:J74"/>
    <mergeCell ref="K73:K74"/>
    <mergeCell ref="L73:L74"/>
    <mergeCell ref="M73:M74"/>
    <mergeCell ref="N73:N74"/>
    <mergeCell ref="P73:P74"/>
    <mergeCell ref="Q73:Q74"/>
    <mergeCell ref="R73:R74"/>
    <mergeCell ref="Q71:R71"/>
    <mergeCell ref="O38:O39"/>
    <mergeCell ref="P38:P39"/>
    <mergeCell ref="L38:L39"/>
    <mergeCell ref="I3:I4"/>
    <mergeCell ref="J3:J4"/>
    <mergeCell ref="K3:K4"/>
    <mergeCell ref="L3:L4"/>
    <mergeCell ref="G38:G39"/>
    <mergeCell ref="H38:H39"/>
    <mergeCell ref="I38:I39"/>
    <mergeCell ref="J38:J39"/>
    <mergeCell ref="K38:K39"/>
    <mergeCell ref="D73:D74"/>
    <mergeCell ref="B3:B4"/>
    <mergeCell ref="G3:G4"/>
    <mergeCell ref="H3:H4"/>
    <mergeCell ref="O73:O74"/>
    <mergeCell ref="E73:E74"/>
    <mergeCell ref="F73:F74"/>
    <mergeCell ref="B73:B74"/>
    <mergeCell ref="C73:C74"/>
    <mergeCell ref="G71:H71"/>
    <mergeCell ref="I71:J71"/>
    <mergeCell ref="K71:L71"/>
    <mergeCell ref="M71:N71"/>
    <mergeCell ref="O71:P71"/>
    <mergeCell ref="M38:M39"/>
    <mergeCell ref="N38:N39"/>
    <mergeCell ref="B38:B39"/>
    <mergeCell ref="C38:C39"/>
    <mergeCell ref="D38:D39"/>
    <mergeCell ref="E38:E39"/>
    <mergeCell ref="F38:F39"/>
    <mergeCell ref="U3:U4"/>
    <mergeCell ref="F3:F4"/>
    <mergeCell ref="C3:C4"/>
    <mergeCell ref="E3:E4"/>
    <mergeCell ref="D3:D4"/>
    <mergeCell ref="R3:R4"/>
    <mergeCell ref="M3:M4"/>
    <mergeCell ref="N3:N4"/>
    <mergeCell ref="O3:O4"/>
    <mergeCell ref="P3:P4"/>
    <mergeCell ref="Q3: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25"/>
  <sheetViews>
    <sheetView topLeftCell="A54" zoomScale="88" zoomScaleNormal="88" workbookViewId="0">
      <pane xSplit="5" topLeftCell="K1" activePane="topRight" state="frozen"/>
      <selection pane="topRight" activeCell="L72" sqref="L72:M72"/>
    </sheetView>
  </sheetViews>
  <sheetFormatPr defaultRowHeight="15"/>
  <cols>
    <col min="2" max="2" width="32.7109375" bestFit="1" customWidth="1"/>
    <col min="3" max="3" width="2" bestFit="1" customWidth="1"/>
    <col min="4" max="4" width="9.5703125" customWidth="1"/>
    <col min="5" max="5" width="14.42578125" bestFit="1" customWidth="1"/>
    <col min="6" max="6" width="14.42578125" customWidth="1"/>
    <col min="7" max="7" width="12" bestFit="1" customWidth="1"/>
    <col min="8" max="8" width="10" customWidth="1"/>
    <col min="9" max="10" width="10.85546875" bestFit="1" customWidth="1"/>
    <col min="11" max="12" width="10" customWidth="1"/>
    <col min="13" max="13" width="12" bestFit="1" customWidth="1"/>
    <col min="14" max="31" width="10" customWidth="1"/>
    <col min="32" max="32" width="10.5703125" bestFit="1" customWidth="1"/>
  </cols>
  <sheetData>
    <row r="1" spans="2:32">
      <c r="E1" t="s">
        <v>91</v>
      </c>
    </row>
    <row r="2" spans="2:32">
      <c r="B2" s="18" t="s">
        <v>26</v>
      </c>
    </row>
    <row r="3" spans="2:32" ht="15" customHeight="1">
      <c r="B3" s="206" t="s">
        <v>41</v>
      </c>
      <c r="C3" s="206"/>
      <c r="D3" s="206" t="s">
        <v>40</v>
      </c>
      <c r="E3" s="206" t="s">
        <v>123</v>
      </c>
      <c r="F3" s="206" t="s">
        <v>167</v>
      </c>
      <c r="G3" s="201" t="s">
        <v>38</v>
      </c>
      <c r="H3" s="212" t="s">
        <v>2</v>
      </c>
      <c r="I3" s="212"/>
      <c r="J3" s="212" t="s">
        <v>3</v>
      </c>
      <c r="K3" s="212"/>
      <c r="L3" s="212" t="s">
        <v>4</v>
      </c>
      <c r="M3" s="212"/>
      <c r="N3" s="212" t="s">
        <v>5</v>
      </c>
      <c r="O3" s="212"/>
      <c r="P3" s="212" t="s">
        <v>6</v>
      </c>
      <c r="Q3" s="212"/>
      <c r="R3" s="212" t="s">
        <v>7</v>
      </c>
      <c r="S3" s="212"/>
      <c r="T3" s="212" t="s">
        <v>8</v>
      </c>
      <c r="U3" s="212"/>
      <c r="V3" s="212" t="s">
        <v>9</v>
      </c>
      <c r="W3" s="212"/>
      <c r="X3" s="212" t="s">
        <v>10</v>
      </c>
      <c r="Y3" s="212"/>
      <c r="Z3" s="212" t="s">
        <v>11</v>
      </c>
      <c r="AA3" s="212"/>
      <c r="AB3" s="212" t="s">
        <v>12</v>
      </c>
      <c r="AC3" s="212"/>
      <c r="AD3" s="212" t="s">
        <v>13</v>
      </c>
      <c r="AE3" s="212"/>
    </row>
    <row r="4" spans="2:32" s="1" customFormat="1">
      <c r="B4" s="206"/>
      <c r="C4" s="206"/>
      <c r="D4" s="206"/>
      <c r="E4" s="206"/>
      <c r="F4" s="206"/>
      <c r="G4" s="202"/>
      <c r="H4" s="41">
        <v>15</v>
      </c>
      <c r="I4" s="41">
        <v>31</v>
      </c>
      <c r="J4" s="41">
        <v>14</v>
      </c>
      <c r="K4" s="41">
        <v>28</v>
      </c>
      <c r="L4" s="41">
        <v>15</v>
      </c>
      <c r="M4" s="41">
        <v>31</v>
      </c>
      <c r="N4" s="41">
        <v>15</v>
      </c>
      <c r="O4" s="41">
        <v>30</v>
      </c>
      <c r="P4" s="41">
        <v>15</v>
      </c>
      <c r="Q4" s="41">
        <v>31</v>
      </c>
      <c r="R4" s="41">
        <v>15</v>
      </c>
      <c r="S4" s="41">
        <v>30</v>
      </c>
      <c r="T4" s="41">
        <v>15</v>
      </c>
      <c r="U4" s="41">
        <v>31</v>
      </c>
      <c r="V4" s="41">
        <v>15</v>
      </c>
      <c r="W4" s="41">
        <v>31</v>
      </c>
      <c r="X4" s="41">
        <v>15</v>
      </c>
      <c r="Y4" s="41">
        <v>30</v>
      </c>
      <c r="Z4" s="41">
        <v>15</v>
      </c>
      <c r="AA4" s="41">
        <v>31</v>
      </c>
      <c r="AB4" s="41">
        <v>15</v>
      </c>
      <c r="AC4" s="41">
        <v>30</v>
      </c>
      <c r="AD4" s="41">
        <v>15</v>
      </c>
      <c r="AE4" s="41">
        <v>31</v>
      </c>
    </row>
    <row r="5" spans="2:32">
      <c r="B5" s="63" t="s">
        <v>100</v>
      </c>
      <c r="C5" s="2"/>
      <c r="D5" s="65" t="s">
        <v>109</v>
      </c>
      <c r="E5" s="65">
        <v>1000.8349999999996</v>
      </c>
      <c r="F5" s="65">
        <v>859.25999999999931</v>
      </c>
      <c r="G5" s="65">
        <f>SUM(H5:AE5)</f>
        <v>470.92699999999968</v>
      </c>
      <c r="H5" s="65">
        <f>[1]JANUARI!$U33-[1]JANUARI!$F33</f>
        <v>42.813999999999396</v>
      </c>
      <c r="I5" s="65">
        <f>[1]FEBRUARI!$F33-[1]JANUARI!$U33</f>
        <v>38.113000000000284</v>
      </c>
      <c r="J5" s="65">
        <f>[1]FEBRUARI!$U33-[1]FEBRUARI!$F33</f>
        <v>38.556999999999789</v>
      </c>
      <c r="K5" s="65">
        <f>[1]MARET!$F33-[1]FEBRUARI!$U33</f>
        <v>38.230000000000473</v>
      </c>
      <c r="L5" s="65">
        <f>[1]MARET!$U33-[1]MARET!$F33</f>
        <v>45.337999999999738</v>
      </c>
      <c r="M5" s="65">
        <f>[1]APRIL!$F33-[1]MARET!$U33</f>
        <v>42.988000000000284</v>
      </c>
      <c r="N5" s="65">
        <f>[1]APRIL!$U33-[1]APRIL!$F33</f>
        <v>46.809999999999491</v>
      </c>
      <c r="O5" s="65">
        <f>[1]MEI!$F33-[1]APRIL!$U33</f>
        <v>38.476000000000568</v>
      </c>
      <c r="P5" s="65">
        <f>[1]MEI!$U33-[1]MEI!$F33</f>
        <v>30.060999999999694</v>
      </c>
      <c r="Q5" s="65">
        <f>[1]JUNI!$F33-[1]MEI!$U33</f>
        <v>23.930000000000291</v>
      </c>
      <c r="R5" s="65">
        <f>[1]JUNI!$U33-[1]JUNI!$F33</f>
        <v>48.126000000000204</v>
      </c>
      <c r="S5" s="65">
        <f>[1]JULI!$F33-[1]JUNI!$U33</f>
        <v>37.483999999999469</v>
      </c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80"/>
    </row>
    <row r="6" spans="2:32">
      <c r="B6" s="63" t="s">
        <v>101</v>
      </c>
      <c r="C6" s="2"/>
      <c r="D6" s="65" t="s">
        <v>109</v>
      </c>
      <c r="E6" s="65">
        <v>195.42300000000023</v>
      </c>
      <c r="F6" s="65">
        <v>169.35900000000004</v>
      </c>
      <c r="G6" s="65">
        <f t="shared" ref="G6:G32" si="0">SUM(H6:AE6)</f>
        <v>94.099999999999909</v>
      </c>
      <c r="H6" s="65">
        <f>[1]JANUARI!$U34-[1]JANUARI!$F34</f>
        <v>8.7849999999998545</v>
      </c>
      <c r="I6" s="65">
        <f>[1]FEBRUARI!$F34-[1]JANUARI!$U34</f>
        <v>7.40300000000002</v>
      </c>
      <c r="J6" s="65">
        <f>[1]FEBRUARI!$U34-[1]FEBRUARI!$F34</f>
        <v>7.7699999999999818</v>
      </c>
      <c r="K6" s="65">
        <f>[1]MARET!$F34-[1]FEBRUARI!$U34</f>
        <v>7.8920000000000528</v>
      </c>
      <c r="L6" s="65">
        <f>[1]MARET!$U34-[1]MARET!$F34</f>
        <v>8.9629999999999654</v>
      </c>
      <c r="M6" s="65">
        <f>[1]APRIL!$F34-[1]MARET!$U34</f>
        <v>8.2950000000000728</v>
      </c>
      <c r="N6" s="65">
        <f>[1]APRIL!$U34-[1]APRIL!$F34</f>
        <v>9.3119999999998981</v>
      </c>
      <c r="O6" s="65">
        <f>[1]MEI!$F34-[1]APRIL!$U34</f>
        <v>8.0480000000000018</v>
      </c>
      <c r="P6" s="65">
        <f>[1]MEI!$U34-[1]MEI!$F34</f>
        <v>5.8800000000001091</v>
      </c>
      <c r="Q6" s="65">
        <f>[1]JUNI!$F34-[1]MEI!$U34</f>
        <v>4.9230000000000018</v>
      </c>
      <c r="R6" s="65">
        <f>[1]JUNI!$U34-[1]JUNI!$F34</f>
        <v>9.1549999999999727</v>
      </c>
      <c r="S6" s="65">
        <f>[1]JULI!$F34-[1]JUNI!$U34</f>
        <v>7.6739999999999782</v>
      </c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80"/>
    </row>
    <row r="7" spans="2:32">
      <c r="B7" s="62" t="s">
        <v>102</v>
      </c>
      <c r="C7" s="67"/>
      <c r="D7" s="66"/>
      <c r="E7" s="68">
        <f t="shared" ref="E7:I7" si="1">E5/(SUM(E5:E6))</f>
        <v>0.83663808308909926</v>
      </c>
      <c r="F7" s="68">
        <v>0.83535303158895557</v>
      </c>
      <c r="G7" s="68">
        <f t="shared" ref="G7" si="2">G5/(SUM(G5:G6))</f>
        <v>0.8334592860164205</v>
      </c>
      <c r="H7" s="68">
        <f t="shared" si="1"/>
        <v>0.82974476249539753</v>
      </c>
      <c r="I7" s="68">
        <f t="shared" si="1"/>
        <v>0.83735389753053935</v>
      </c>
      <c r="J7" s="68">
        <f t="shared" ref="J7:K7" si="3">J5/(SUM(J5:J6))</f>
        <v>0.83227923241306323</v>
      </c>
      <c r="K7" s="68">
        <f t="shared" si="3"/>
        <v>0.82888859980052987</v>
      </c>
      <c r="L7" s="68">
        <f t="shared" ref="L7:M7" si="4">L5/(SUM(L5:L6))</f>
        <v>0.83493858308318425</v>
      </c>
      <c r="M7" s="68">
        <f t="shared" si="4"/>
        <v>0.83825049236589089</v>
      </c>
      <c r="N7" s="68">
        <f t="shared" ref="N7:O7" si="5">N5/(SUM(N5:N6))</f>
        <v>0.83407576351519908</v>
      </c>
      <c r="O7" s="68">
        <f t="shared" si="5"/>
        <v>0.82701401427220567</v>
      </c>
      <c r="P7" s="68">
        <f t="shared" ref="P7:Q7" si="6">P5/(SUM(P5:P6))</f>
        <v>0.83639854205503072</v>
      </c>
      <c r="Q7" s="68">
        <f t="shared" si="6"/>
        <v>0.82937649464527252</v>
      </c>
      <c r="R7" s="68">
        <f t="shared" ref="R7:S7" si="7">R5/(SUM(R5:R6))</f>
        <v>0.84017387964595691</v>
      </c>
      <c r="S7" s="68">
        <f t="shared" si="7"/>
        <v>0.83006333318570191</v>
      </c>
      <c r="T7" s="68" t="e">
        <f t="shared" ref="T7" si="8">T5/(SUM(T5:T6))</f>
        <v>#DIV/0!</v>
      </c>
      <c r="U7" s="68" t="e">
        <f t="shared" ref="U7:V7" si="9">U5/(SUM(U5:U6))</f>
        <v>#DIV/0!</v>
      </c>
      <c r="V7" s="68" t="e">
        <f t="shared" si="9"/>
        <v>#DIV/0!</v>
      </c>
      <c r="W7" s="68" t="e">
        <f t="shared" ref="W7:X7" si="10">W5/(SUM(W5:W6))</f>
        <v>#DIV/0!</v>
      </c>
      <c r="X7" s="68" t="e">
        <f t="shared" si="10"/>
        <v>#DIV/0!</v>
      </c>
      <c r="Y7" s="68" t="e">
        <f t="shared" ref="Y7:Z7" si="11">Y5/(SUM(Y5:Y6))</f>
        <v>#DIV/0!</v>
      </c>
      <c r="Z7" s="68" t="e">
        <f t="shared" si="11"/>
        <v>#DIV/0!</v>
      </c>
      <c r="AA7" s="68" t="e">
        <f t="shared" ref="AA7:AB7" si="12">AA5/(SUM(AA5:AA6))</f>
        <v>#DIV/0!</v>
      </c>
      <c r="AB7" s="68" t="e">
        <f t="shared" si="12"/>
        <v>#DIV/0!</v>
      </c>
      <c r="AC7" s="68" t="e">
        <f t="shared" ref="AC7:AD7" si="13">AC5/(SUM(AC5:AC6))</f>
        <v>#DIV/0!</v>
      </c>
      <c r="AD7" s="68" t="e">
        <f t="shared" si="13"/>
        <v>#DIV/0!</v>
      </c>
      <c r="AE7" s="68" t="e">
        <f t="shared" ref="AE7" si="14">AE5/(SUM(AE5:AE6))</f>
        <v>#DIV/0!</v>
      </c>
      <c r="AF7" s="80"/>
    </row>
    <row r="8" spans="2:32">
      <c r="B8" s="62" t="s">
        <v>103</v>
      </c>
      <c r="C8" s="67"/>
      <c r="D8" s="66"/>
      <c r="E8" s="68">
        <f t="shared" ref="E8:I8" si="15">E6/(SUM(E5:E6))</f>
        <v>0.16336191691090071</v>
      </c>
      <c r="F8" s="68">
        <v>0.16464696841104448</v>
      </c>
      <c r="G8" s="68">
        <f t="shared" ref="G8" si="16">G6/(SUM(G5:G6))</f>
        <v>0.1665407139835795</v>
      </c>
      <c r="H8" s="68">
        <f t="shared" si="15"/>
        <v>0.17025523750460245</v>
      </c>
      <c r="I8" s="68">
        <f t="shared" si="15"/>
        <v>0.16264610246946065</v>
      </c>
      <c r="J8" s="68">
        <f t="shared" ref="J8:K8" si="17">J6/(SUM(J5:J6))</f>
        <v>0.16772076758693677</v>
      </c>
      <c r="K8" s="68">
        <f t="shared" si="17"/>
        <v>0.17111140019947016</v>
      </c>
      <c r="L8" s="68">
        <f t="shared" ref="L8:M8" si="18">L6/(SUM(L5:L6))</f>
        <v>0.16506141691681581</v>
      </c>
      <c r="M8" s="68">
        <f t="shared" si="18"/>
        <v>0.16174950763410906</v>
      </c>
      <c r="N8" s="68">
        <f t="shared" ref="N8:O8" si="19">N6/(SUM(N5:N6))</f>
        <v>0.16592423648480095</v>
      </c>
      <c r="O8" s="68">
        <f t="shared" si="19"/>
        <v>0.17298598572779433</v>
      </c>
      <c r="P8" s="68">
        <f t="shared" ref="P8:Q8" si="20">P6/(SUM(P5:P6))</f>
        <v>0.1636014579449693</v>
      </c>
      <c r="Q8" s="68">
        <f t="shared" si="20"/>
        <v>0.17062350535472748</v>
      </c>
      <c r="R8" s="68">
        <f t="shared" ref="R8:S8" si="21">R6/(SUM(R5:R6))</f>
        <v>0.15982612035404312</v>
      </c>
      <c r="S8" s="68">
        <f t="shared" si="21"/>
        <v>0.16993666681429806</v>
      </c>
      <c r="T8" s="68" t="e">
        <f t="shared" ref="T8:U8" si="22">T6/(SUM(T5:T6))</f>
        <v>#DIV/0!</v>
      </c>
      <c r="U8" s="68" t="e">
        <f t="shared" si="22"/>
        <v>#DIV/0!</v>
      </c>
      <c r="V8" s="68" t="e">
        <f t="shared" ref="V8:W8" si="23">V6/(SUM(V5:V6))</f>
        <v>#DIV/0!</v>
      </c>
      <c r="W8" s="68" t="e">
        <f t="shared" si="23"/>
        <v>#DIV/0!</v>
      </c>
      <c r="X8" s="68" t="e">
        <f t="shared" ref="X8:Y8" si="24">X6/(SUM(X5:X6))</f>
        <v>#DIV/0!</v>
      </c>
      <c r="Y8" s="68" t="e">
        <f t="shared" si="24"/>
        <v>#DIV/0!</v>
      </c>
      <c r="Z8" s="68" t="e">
        <f t="shared" ref="Z8:AA8" si="25">Z6/(SUM(Z5:Z6))</f>
        <v>#DIV/0!</v>
      </c>
      <c r="AA8" s="68" t="e">
        <f t="shared" si="25"/>
        <v>#DIV/0!</v>
      </c>
      <c r="AB8" s="68" t="e">
        <f t="shared" ref="AB8:AC8" si="26">AB6/(SUM(AB5:AB6))</f>
        <v>#DIV/0!</v>
      </c>
      <c r="AC8" s="68" t="e">
        <f t="shared" si="26"/>
        <v>#DIV/0!</v>
      </c>
      <c r="AD8" s="68" t="e">
        <f t="shared" ref="AD8:AE8" si="27">AD6/(SUM(AD5:AD6))</f>
        <v>#DIV/0!</v>
      </c>
      <c r="AE8" s="68" t="e">
        <f t="shared" si="27"/>
        <v>#DIV/0!</v>
      </c>
      <c r="AF8" s="80"/>
    </row>
    <row r="9" spans="2:32">
      <c r="B9" s="94" t="s">
        <v>51</v>
      </c>
      <c r="C9" s="2"/>
      <c r="D9" s="65" t="s">
        <v>109</v>
      </c>
      <c r="E9" s="65">
        <v>3499.4</v>
      </c>
      <c r="F9" s="65">
        <v>3267.7000000000007</v>
      </c>
      <c r="G9" s="65">
        <f t="shared" si="0"/>
        <v>1770</v>
      </c>
      <c r="H9" s="65">
        <f>[1]JANUARI!$U35-[1]JANUARI!$F35</f>
        <v>161</v>
      </c>
      <c r="I9" s="65">
        <f>[1]FEBRUARI!$F35-[1]JANUARI!$U35</f>
        <v>143</v>
      </c>
      <c r="J9" s="65">
        <f>[1]FEBRUARI!$U35-[1]FEBRUARI!$F35</f>
        <v>145</v>
      </c>
      <c r="K9" s="65">
        <f>[1]MARET!$F35-[1]FEBRUARI!$U35</f>
        <v>145</v>
      </c>
      <c r="L9" s="65">
        <f>[1]MARET!$U35-[1]MARET!$F35</f>
        <v>170</v>
      </c>
      <c r="M9" s="65">
        <f>[1]APRIL!$F35-[1]MARET!$U35</f>
        <v>160</v>
      </c>
      <c r="N9" s="65">
        <f>[1]APRIL!$U35-[1]APRIL!$F35</f>
        <v>176</v>
      </c>
      <c r="O9" s="65">
        <f>[1]MEI!$F35-[1]APRIL!$U35</f>
        <v>146</v>
      </c>
      <c r="P9" s="65">
        <f>[1]MEI!$U35-[1]MEI!$F35</f>
        <v>113</v>
      </c>
      <c r="Q9" s="65">
        <f>[1]JUNI!$F35-[1]MEI!$U35</f>
        <v>90</v>
      </c>
      <c r="R9" s="65">
        <f>[1]JUNI!$U35-[1]JUNI!$F35</f>
        <v>182</v>
      </c>
      <c r="S9" s="65">
        <f>[1]JULI!$F35-[1]JUNI!$U35</f>
        <v>139</v>
      </c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80"/>
    </row>
    <row r="10" spans="2:32">
      <c r="B10" s="94" t="s">
        <v>52</v>
      </c>
      <c r="C10" s="2"/>
      <c r="D10" s="65" t="s">
        <v>109</v>
      </c>
      <c r="E10" s="65">
        <v>0</v>
      </c>
      <c r="F10" s="65"/>
      <c r="G10" s="65"/>
      <c r="H10" s="65">
        <f>[1]JANUARI!$U36-[1]JANUARI!$F36</f>
        <v>0</v>
      </c>
      <c r="I10" s="65">
        <f>[1]FEBRUARI!$F36-[1]JANUARI!$U36</f>
        <v>0</v>
      </c>
      <c r="J10" s="65">
        <f>[1]FEBRUARI!$U36-[1]FEBRUARI!$F36</f>
        <v>0</v>
      </c>
      <c r="K10" s="65">
        <f>[1]MARET!$F36-[1]FEBRUARI!$U36</f>
        <v>0</v>
      </c>
      <c r="L10" s="65">
        <f>[1]MARET!$U36-[1]MARET!$F36</f>
        <v>0</v>
      </c>
      <c r="M10" s="65">
        <f>[1]APRIL!$F36-[1]MARET!$U36</f>
        <v>0</v>
      </c>
      <c r="N10" s="65">
        <f>[1]APRIL!$U36-[1]APRIL!$F36</f>
        <v>0</v>
      </c>
      <c r="O10" s="65">
        <f>[1]MEI!$F36-[1]APRIL!$U36</f>
        <v>0</v>
      </c>
      <c r="P10" s="65">
        <f>[1]MEI!$U36-[1]MEI!$F36</f>
        <v>0</v>
      </c>
      <c r="Q10" s="65">
        <f>[1]JUNI!$F36-[1]MEI!$U36</f>
        <v>0</v>
      </c>
      <c r="R10" s="65">
        <f>[1]JUNI!$U36-[1]JUNI!$F36</f>
        <v>0</v>
      </c>
      <c r="S10" s="65">
        <f>[1]JULI!$F36-[1]JUNI!$U36</f>
        <v>0</v>
      </c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80"/>
    </row>
    <row r="11" spans="2:32">
      <c r="B11" s="94" t="s">
        <v>53</v>
      </c>
      <c r="C11" s="2"/>
      <c r="D11" s="65" t="s">
        <v>109</v>
      </c>
      <c r="E11" s="65">
        <v>674.20000000000027</v>
      </c>
      <c r="F11" s="65">
        <v>525.59999999999945</v>
      </c>
      <c r="G11" s="65">
        <f t="shared" si="0"/>
        <v>255.19999999999982</v>
      </c>
      <c r="H11" s="65">
        <f>[1]JANUARI!$U37-[1]JANUARI!$F37</f>
        <v>25.099999999999909</v>
      </c>
      <c r="I11" s="65">
        <f>[1]FEBRUARI!$F37-[1]JANUARI!$U37</f>
        <v>21.400000000000091</v>
      </c>
      <c r="J11" s="65">
        <f>[1]FEBRUARI!$U37-[1]FEBRUARI!$F37</f>
        <v>22.599999999999909</v>
      </c>
      <c r="K11" s="65">
        <f>[1]MARET!$F37-[1]FEBRUARI!$U37</f>
        <v>21.5</v>
      </c>
      <c r="L11" s="65">
        <f>[1]MARET!$U37-[1]MARET!$F37</f>
        <v>24.099999999999909</v>
      </c>
      <c r="M11" s="65">
        <f>[1]APRIL!$F37-[1]MARET!$U37</f>
        <v>25.300000000000182</v>
      </c>
      <c r="N11" s="65">
        <f>[1]APRIL!$U37-[1]APRIL!$F37</f>
        <v>29.699999999999818</v>
      </c>
      <c r="O11" s="65">
        <f>[1]MEI!$F37-[1]APRIL!$U37</f>
        <v>22.5</v>
      </c>
      <c r="P11" s="65">
        <f>[1]MEI!$U37-[1]MEI!$F37</f>
        <v>12.699999999999818</v>
      </c>
      <c r="Q11" s="65">
        <f>[1]JUNI!$F37-[1]MEI!$U37</f>
        <v>6.5</v>
      </c>
      <c r="R11" s="65">
        <f>[1]JUNI!$U37-[1]JUNI!$F37</f>
        <v>24.400000000000091</v>
      </c>
      <c r="S11" s="65">
        <f>[1]JULI!$F37-[1]JUNI!$U37</f>
        <v>19.400000000000091</v>
      </c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80"/>
    </row>
    <row r="12" spans="2:32">
      <c r="B12" s="95" t="s">
        <v>54</v>
      </c>
      <c r="C12" s="2"/>
      <c r="D12" s="65" t="s">
        <v>109</v>
      </c>
      <c r="E12" s="65">
        <v>350.30999999999989</v>
      </c>
      <c r="F12" s="65">
        <v>313.54999999999984</v>
      </c>
      <c r="G12" s="65">
        <f t="shared" si="0"/>
        <v>160.09999999999991</v>
      </c>
      <c r="H12" s="65">
        <f>[1]JANUARI!$U38-[1]JANUARI!$F38</f>
        <v>15.899999999999864</v>
      </c>
      <c r="I12" s="65">
        <f>[1]FEBRUARI!$F38-[1]JANUARI!$U38</f>
        <v>13.5</v>
      </c>
      <c r="J12" s="65">
        <f>[1]FEBRUARI!$U38-[1]FEBRUARI!$F38</f>
        <v>14.5</v>
      </c>
      <c r="K12" s="65">
        <f>[1]MARET!$F38-[1]FEBRUARI!$U38</f>
        <v>13.5</v>
      </c>
      <c r="L12" s="65">
        <f>[1]MARET!$U38-[1]MARET!$F38</f>
        <v>15.100000000000136</v>
      </c>
      <c r="M12" s="65">
        <f>[1]APRIL!$F38-[1]MARET!$U38</f>
        <v>16.299999999999955</v>
      </c>
      <c r="N12" s="65">
        <f>[1]APRIL!$U38-[1]APRIL!$F38</f>
        <v>19.299999999999955</v>
      </c>
      <c r="O12" s="65">
        <f>[1]MEI!$F38-[1]APRIL!$U38</f>
        <v>14.299999999999955</v>
      </c>
      <c r="P12" s="65">
        <f>[1]MEI!$U38-[1]MEI!$F38</f>
        <v>7.7000000000000455</v>
      </c>
      <c r="Q12" s="65">
        <f>[1]JUNI!$F38-[1]MEI!$U38</f>
        <v>3.7000000000000455</v>
      </c>
      <c r="R12" s="65">
        <f>[1]JUNI!$U38-[1]JUNI!$F38</f>
        <v>14.399999999999864</v>
      </c>
      <c r="S12" s="65">
        <f>[1]JULI!$F38-[1]JUNI!$U38</f>
        <v>11.900000000000091</v>
      </c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80"/>
    </row>
    <row r="13" spans="2:32">
      <c r="B13" s="95" t="s">
        <v>55</v>
      </c>
      <c r="C13" s="2"/>
      <c r="D13" s="65" t="s">
        <v>109</v>
      </c>
      <c r="E13" s="65">
        <v>19.47999999999999</v>
      </c>
      <c r="F13" s="65">
        <v>18.120000000000005</v>
      </c>
      <c r="G13" s="65">
        <f t="shared" si="0"/>
        <v>9.5500000000000114</v>
      </c>
      <c r="H13" s="65">
        <f>[1]JANUARI!$U39-[1]JANUARI!$F39</f>
        <v>0.90999999999999659</v>
      </c>
      <c r="I13" s="65">
        <f>[1]FEBRUARI!$F39-[1]JANUARI!$U39</f>
        <v>0.65999999999999659</v>
      </c>
      <c r="J13" s="65">
        <f>[1]FEBRUARI!$U39-[1]FEBRUARI!$F39</f>
        <v>0.84999999999999432</v>
      </c>
      <c r="K13" s="65">
        <f>[1]MARET!$F39-[1]FEBRUARI!$U39</f>
        <v>0.94000000000002615</v>
      </c>
      <c r="L13" s="65">
        <f>[1]MARET!$U39-[1]MARET!$F39</f>
        <v>0.9299999999999784</v>
      </c>
      <c r="M13" s="65">
        <f>[1]APRIL!$F39-[1]MARET!$U39</f>
        <v>0.75</v>
      </c>
      <c r="N13" s="65">
        <f>[1]APRIL!$U39-[1]APRIL!$F39</f>
        <v>0.80000000000001137</v>
      </c>
      <c r="O13" s="65">
        <f>[1]MEI!$F39-[1]APRIL!$U39</f>
        <v>0.77000000000001023</v>
      </c>
      <c r="P13" s="65">
        <f>[1]MEI!$U39-[1]MEI!$F39</f>
        <v>0.60999999999998522</v>
      </c>
      <c r="Q13" s="65">
        <f>[1]JUNI!$F39-[1]MEI!$U39</f>
        <v>0.46000000000000796</v>
      </c>
      <c r="R13" s="65">
        <f>[1]JUNI!$U39-[1]JUNI!$F39</f>
        <v>0.93999999999999773</v>
      </c>
      <c r="S13" s="65">
        <f>[1]JULI!$F39-[1]JUNI!$U39</f>
        <v>0.93000000000000682</v>
      </c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80"/>
    </row>
    <row r="14" spans="2:32">
      <c r="B14" s="96" t="s">
        <v>56</v>
      </c>
      <c r="C14" s="58"/>
      <c r="D14" s="97" t="s">
        <v>109</v>
      </c>
      <c r="E14" s="97">
        <v>9.7000000000000003E-2</v>
      </c>
      <c r="F14" s="97">
        <v>28.813899999999997</v>
      </c>
      <c r="G14" s="97">
        <f t="shared" si="0"/>
        <v>17.621000000000002</v>
      </c>
      <c r="H14" s="97">
        <f>[1]JANUARI!$U40-[1]JANUARI!$F40</f>
        <v>1.5360000000000014</v>
      </c>
      <c r="I14" s="97">
        <f>[1]FEBRUARI!$F40-[1]JANUARI!$U40</f>
        <v>1.203000000000003</v>
      </c>
      <c r="J14" s="97">
        <f>[1]FEBRUARI!$U40-[1]FEBRUARI!$F40</f>
        <v>1.2579999999999956</v>
      </c>
      <c r="K14" s="97">
        <f>[1]MARET!$F40-[1]FEBRUARI!$U40</f>
        <v>1.5760000000000005</v>
      </c>
      <c r="L14" s="97">
        <f>[1]MARET!$U40-[1]MARET!$F40</f>
        <v>2.2530000000000001</v>
      </c>
      <c r="M14" s="97">
        <f>[1]APRIL!$F40-[1]MARET!$U40</f>
        <v>1.4310000000000045</v>
      </c>
      <c r="N14" s="97">
        <f>[1]APRIL!$U40-[1]APRIL!$F40</f>
        <v>1.8019999999999996</v>
      </c>
      <c r="O14" s="97">
        <f>[1]MEI!$F40-[1]APRIL!$U40</f>
        <v>1.7889999999999944</v>
      </c>
      <c r="P14" s="97">
        <f>[1]MEI!$U40-[1]MEI!$F40</f>
        <v>1.4710000000000036</v>
      </c>
      <c r="Q14" s="97">
        <f>[1]JUNI!$F40-[1]MEI!$U40</f>
        <v>0.19399999999999551</v>
      </c>
      <c r="R14" s="97">
        <f>[1]JUNI!$U40-[1]JUNI!$F40</f>
        <v>1.8230000000000004</v>
      </c>
      <c r="S14" s="97">
        <f>[1]JULI!$F40-[1]JUNI!$U40</f>
        <v>1.2850000000000037</v>
      </c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80"/>
    </row>
    <row r="15" spans="2:32">
      <c r="B15" s="96" t="s">
        <v>57</v>
      </c>
      <c r="C15" s="58"/>
      <c r="D15" s="97" t="s">
        <v>109</v>
      </c>
      <c r="E15" s="97">
        <v>8.6E-3</v>
      </c>
      <c r="F15" s="97">
        <v>1.90828</v>
      </c>
      <c r="G15" s="97">
        <f t="shared" si="0"/>
        <v>1.2882</v>
      </c>
      <c r="H15" s="97">
        <f>[1]JANUARI!$U41-[1]JANUARI!$F41</f>
        <v>0.14640000000000009</v>
      </c>
      <c r="I15" s="97">
        <f>[1]FEBRUARI!$F41-[1]JANUARI!$U41</f>
        <v>9.3399999999999928E-2</v>
      </c>
      <c r="J15" s="97">
        <f>[1]FEBRUARI!$U41-[1]FEBRUARI!$F41</f>
        <v>9.6099999999999852E-2</v>
      </c>
      <c r="K15" s="97">
        <f>[1]MARET!$F41-[1]FEBRUARI!$U41</f>
        <v>0.10970000000000013</v>
      </c>
      <c r="L15" s="97">
        <f>[1]MARET!$U41-[1]MARET!$F41</f>
        <v>0.2033999999999998</v>
      </c>
      <c r="M15" s="97">
        <f>[1]APRIL!$F41-[1]MARET!$U41</f>
        <v>0.10610000000000008</v>
      </c>
      <c r="N15" s="97">
        <f>[1]APRIL!$U41-[1]APRIL!$F41</f>
        <v>0.13949999999999996</v>
      </c>
      <c r="O15" s="97">
        <f>[1]MEI!$F41-[1]APRIL!$U41</f>
        <v>9.4899999999999984E-2</v>
      </c>
      <c r="P15" s="97">
        <f>[1]MEI!$U41-[1]MEI!$F41</f>
        <v>8.3000000000000185E-2</v>
      </c>
      <c r="Q15" s="97">
        <f>[1]JUNI!$F41-[1]MEI!$U41</f>
        <v>2.2600000000000176E-2</v>
      </c>
      <c r="R15" s="97">
        <f>[1]JUNI!$U41-[1]JUNI!$F41</f>
        <v>0.11470000000000002</v>
      </c>
      <c r="S15" s="97">
        <f>[1]JULI!$F41-[1]JUNI!$U41</f>
        <v>7.8399999999999803E-2</v>
      </c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80"/>
    </row>
    <row r="16" spans="2:32">
      <c r="B16" s="94" t="s">
        <v>58</v>
      </c>
      <c r="C16" s="2"/>
      <c r="D16" s="65" t="s">
        <v>109</v>
      </c>
      <c r="E16" s="65">
        <v>152.99</v>
      </c>
      <c r="F16" s="65">
        <v>124.45999999999981</v>
      </c>
      <c r="G16" s="65">
        <f t="shared" si="0"/>
        <v>65.659999999999968</v>
      </c>
      <c r="H16" s="65">
        <f>[1]JANUARI!$U42-[1]JANUARI!$F42</f>
        <v>5.75</v>
      </c>
      <c r="I16" s="65">
        <f>[1]FEBRUARI!$F42-[1]JANUARI!$U42</f>
        <v>5.4499999999999318</v>
      </c>
      <c r="J16" s="65">
        <f>[1]FEBRUARI!$U42-[1]FEBRUARI!$F42</f>
        <v>4.9300000000000637</v>
      </c>
      <c r="K16" s="65">
        <f>[1]MARET!$F42-[1]FEBRUARI!$U42</f>
        <v>4.8799999999999955</v>
      </c>
      <c r="L16" s="65">
        <f>[1]MARET!$U42-[1]MARET!$F42</f>
        <v>6.0900000000000318</v>
      </c>
      <c r="M16" s="65">
        <f>[1]APRIL!$F42-[1]MARET!$U42</f>
        <v>5.75</v>
      </c>
      <c r="N16" s="65">
        <f>[1]APRIL!$U42-[1]APRIL!$F42</f>
        <v>5.6499999999999773</v>
      </c>
      <c r="O16" s="65">
        <f>[1]MEI!$F42-[1]APRIL!$U42</f>
        <v>5.0900000000000318</v>
      </c>
      <c r="P16" s="65">
        <f>[1]MEI!$U42-[1]MEI!$F42</f>
        <v>4.8599999999999</v>
      </c>
      <c r="Q16" s="65">
        <f>[1]JUNI!$F42-[1]MEI!$U42</f>
        <v>4.6500000000000909</v>
      </c>
      <c r="R16" s="65">
        <f>[1]JUNI!$U42-[1]JUNI!$F42</f>
        <v>6.8600000000000136</v>
      </c>
      <c r="S16" s="65">
        <f>[1]JULI!$F42-[1]JUNI!$U42</f>
        <v>5.6999999999999318</v>
      </c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80"/>
    </row>
    <row r="17" spans="2:32">
      <c r="B17" s="94" t="s">
        <v>59</v>
      </c>
      <c r="C17" s="2"/>
      <c r="D17" s="65" t="s">
        <v>109</v>
      </c>
      <c r="E17" s="65">
        <v>143.05000000000001</v>
      </c>
      <c r="F17" s="65">
        <v>118.5800000000001</v>
      </c>
      <c r="G17" s="65">
        <f t="shared" si="0"/>
        <v>58.769999999999982</v>
      </c>
      <c r="H17" s="65">
        <f>[1]JANUARI!$U43-[1]JANUARI!$F43</f>
        <v>5.2300000000000182</v>
      </c>
      <c r="I17" s="65">
        <f>[1]FEBRUARI!$F43-[1]JANUARI!$U43</f>
        <v>4.9400000000000546</v>
      </c>
      <c r="J17" s="65">
        <f>[1]FEBRUARI!$U43-[1]FEBRUARI!$F43</f>
        <v>4.7199999999999136</v>
      </c>
      <c r="K17" s="65">
        <f>[1]MARET!$F43-[1]FEBRUARI!$U43</f>
        <v>5.0900000000000318</v>
      </c>
      <c r="L17" s="65">
        <f>[1]MARET!$U43-[1]MARET!$F43</f>
        <v>5.7599999999999909</v>
      </c>
      <c r="M17" s="65">
        <f>[1]APRIL!$F43-[1]MARET!$U43</f>
        <v>5.1100000000000136</v>
      </c>
      <c r="N17" s="65">
        <f>[1]APRIL!$U43-[1]APRIL!$F43</f>
        <v>4.9800000000000182</v>
      </c>
      <c r="O17" s="65">
        <f>[1]MEI!$F43-[1]APRIL!$U43</f>
        <v>4.7699999999999818</v>
      </c>
      <c r="P17" s="65">
        <f>[1]MEI!$U43-[1]MEI!$F43</f>
        <v>3.7699999999999818</v>
      </c>
      <c r="Q17" s="65">
        <f>[1]JUNI!$F43-[1]MEI!$U43</f>
        <v>3.4500000000000455</v>
      </c>
      <c r="R17" s="65">
        <f>[1]JUNI!$U43-[1]JUNI!$F43</f>
        <v>5.7599999999999909</v>
      </c>
      <c r="S17" s="65">
        <f>[1]JULI!$F43-[1]JUNI!$U43</f>
        <v>5.1899999999999409</v>
      </c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80"/>
    </row>
    <row r="18" spans="2:32">
      <c r="B18" s="94" t="s">
        <v>60</v>
      </c>
      <c r="C18" s="2"/>
      <c r="D18" s="65" t="s">
        <v>109</v>
      </c>
      <c r="E18" s="65">
        <v>399.74000000000012</v>
      </c>
      <c r="F18" s="65">
        <v>383.90000000000009</v>
      </c>
      <c r="G18" s="65">
        <f t="shared" si="0"/>
        <v>213.60000000000014</v>
      </c>
      <c r="H18" s="65">
        <f>[1]JANUARI!$U44-[1]JANUARI!$F44</f>
        <v>19.700000000000045</v>
      </c>
      <c r="I18" s="65">
        <f>[1]FEBRUARI!$F44-[1]JANUARI!$U44</f>
        <v>16.600000000000136</v>
      </c>
      <c r="J18" s="65">
        <f>[1]FEBRUARI!$U44-[1]FEBRUARI!$F44</f>
        <v>16</v>
      </c>
      <c r="K18" s="65">
        <f>[1]MARET!$F44-[1]FEBRUARI!$U44</f>
        <v>17.299999999999955</v>
      </c>
      <c r="L18" s="65">
        <f>[1]MARET!$U44-[1]MARET!$F44</f>
        <v>20.799999999999955</v>
      </c>
      <c r="M18" s="65">
        <f>[1]APRIL!$F44-[1]MARET!$U44</f>
        <v>19.299999999999955</v>
      </c>
      <c r="N18" s="65">
        <f>[1]APRIL!$U44-[1]APRIL!$F44</f>
        <v>19.900000000000091</v>
      </c>
      <c r="O18" s="65">
        <f>[1]MEI!$F44-[1]APRIL!$U44</f>
        <v>17.5</v>
      </c>
      <c r="P18" s="65">
        <f>[1]MEI!$U44-[1]MEI!$F44</f>
        <v>14.399999999999864</v>
      </c>
      <c r="Q18" s="65">
        <f>[1]JUNI!$F44-[1]MEI!$U44</f>
        <v>13.600000000000136</v>
      </c>
      <c r="R18" s="65">
        <f>[1]JUNI!$U44-[1]JUNI!$F44</f>
        <v>22</v>
      </c>
      <c r="S18" s="65">
        <f>[1]JULI!$F44-[1]JUNI!$U44</f>
        <v>16.5</v>
      </c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80"/>
    </row>
    <row r="19" spans="2:32">
      <c r="B19" s="94" t="s">
        <v>61</v>
      </c>
      <c r="C19" s="2"/>
      <c r="D19" s="65" t="s">
        <v>109</v>
      </c>
      <c r="E19" s="65">
        <v>6.027000000000001</v>
      </c>
      <c r="F19" s="65">
        <v>229.38599999999997</v>
      </c>
      <c r="G19" s="65">
        <f t="shared" si="0"/>
        <v>1.9450000000000003</v>
      </c>
      <c r="H19" s="65">
        <f>[1]JANUARI!$U45-[1]JANUARI!$F45</f>
        <v>0.29899999999999949</v>
      </c>
      <c r="I19" s="65">
        <f>[1]FEBRUARI!$F45-[1]JANUARI!$U45</f>
        <v>0.18800000000000239</v>
      </c>
      <c r="J19" s="65">
        <f>[1]FEBRUARI!$U45-[1]FEBRUARI!$F45</f>
        <v>0.15899999999999892</v>
      </c>
      <c r="K19" s="65">
        <f>[1]MARET!$F45-[1]FEBRUARI!$U45</f>
        <v>0.10699999999999932</v>
      </c>
      <c r="L19" s="65">
        <f>[1]MARET!$U45-[1]MARET!$F45</f>
        <v>0.17500000000000071</v>
      </c>
      <c r="M19" s="65">
        <f>[1]APRIL!$F45-[1]MARET!$U45</f>
        <v>0.13200000000000145</v>
      </c>
      <c r="N19" s="65">
        <f>[1]APRIL!$U45-[1]APRIL!$F45</f>
        <v>0.18099999999999739</v>
      </c>
      <c r="O19" s="65">
        <f>[1]MEI!$F45-[1]APRIL!$U45</f>
        <v>0.14700000000000202</v>
      </c>
      <c r="P19" s="65">
        <f>[1]MEI!$U45-[1]MEI!$F45</f>
        <v>0.16799999999999926</v>
      </c>
      <c r="Q19" s="65">
        <f>[1]JUNI!$F45-[1]MEI!$U45</f>
        <v>9.1999999999998749E-2</v>
      </c>
      <c r="R19" s="65">
        <f>[1]JUNI!$U45-[1]JUNI!$F45</f>
        <v>0.14799999999999969</v>
      </c>
      <c r="S19" s="65">
        <f>[1]JULI!$F45-[1]JUNI!$U45</f>
        <v>0.14900000000000091</v>
      </c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80"/>
    </row>
    <row r="20" spans="2:32">
      <c r="B20" s="94" t="s">
        <v>62</v>
      </c>
      <c r="C20" s="2"/>
      <c r="D20" s="65" t="s">
        <v>109</v>
      </c>
      <c r="E20" s="65">
        <v>0.9020999999999999</v>
      </c>
      <c r="F20" s="65">
        <v>57.051699999999911</v>
      </c>
      <c r="G20" s="65">
        <f t="shared" si="0"/>
        <v>0.85440000000000005</v>
      </c>
      <c r="H20" s="65">
        <f>[1]JANUARI!$U46-[1]JANUARI!$F46</f>
        <v>9.3699999999999228E-2</v>
      </c>
      <c r="I20" s="65">
        <f>[1]FEBRUARI!$F46-[1]JANUARI!$U46</f>
        <v>7.1400000000000574E-2</v>
      </c>
      <c r="J20" s="65">
        <f>[1]FEBRUARI!$U46-[1]FEBRUARI!$F46</f>
        <v>7.0800000000000196E-2</v>
      </c>
      <c r="K20" s="65">
        <f>[1]MARET!$F46-[1]FEBRUARI!$U46</f>
        <v>6.9700000000000095E-2</v>
      </c>
      <c r="L20" s="65">
        <f>[1]MARET!$U46-[1]MARET!$F46</f>
        <v>8.1399999999999473E-2</v>
      </c>
      <c r="M20" s="65">
        <f>[1]APRIL!$F46-[1]MARET!$U46</f>
        <v>7.43999999999998E-2</v>
      </c>
      <c r="N20" s="65">
        <f>[1]APRIL!$U46-[1]APRIL!$F46</f>
        <v>7.2799999999999976E-2</v>
      </c>
      <c r="O20" s="65">
        <f>[1]MEI!$F46-[1]APRIL!$U46</f>
        <v>6.840000000000046E-2</v>
      </c>
      <c r="P20" s="65">
        <f>[1]MEI!$U46-[1]MEI!$F46</f>
        <v>6.9300000000000139E-2</v>
      </c>
      <c r="Q20" s="65">
        <f>[1]JUNI!$F46-[1]MEI!$U46</f>
        <v>7.5299999999999478E-2</v>
      </c>
      <c r="R20" s="65">
        <f>[1]JUNI!$U46-[1]JUNI!$F46</f>
        <v>7.9400000000000581E-2</v>
      </c>
      <c r="S20" s="65">
        <f>[1]JULI!$F46-[1]JUNI!$U46</f>
        <v>2.7800000000000047E-2</v>
      </c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80"/>
    </row>
    <row r="21" spans="2:32">
      <c r="B21" s="94" t="s">
        <v>63</v>
      </c>
      <c r="C21" s="2"/>
      <c r="D21" s="65" t="s">
        <v>109</v>
      </c>
      <c r="E21" s="65">
        <v>5.3539999999999921</v>
      </c>
      <c r="F21" s="65">
        <v>2.9529999999999887</v>
      </c>
      <c r="G21" s="65">
        <f t="shared" si="0"/>
        <v>0.42099999999999227</v>
      </c>
      <c r="H21" s="65">
        <f>[1]JANUARI!$U47-[1]JANUARI!$F47</f>
        <v>3.0000000000001137E-3</v>
      </c>
      <c r="I21" s="65">
        <f>[1]FEBRUARI!$F47-[1]JANUARI!$U47</f>
        <v>4.9999999999954525E-3</v>
      </c>
      <c r="J21" s="65">
        <f>[1]FEBRUARI!$U47-[1]FEBRUARI!$F47</f>
        <v>6.4000000000007162E-2</v>
      </c>
      <c r="K21" s="65">
        <f>[1]MARET!$F47-[1]FEBRUARI!$U47</f>
        <v>4.9999999999954525E-3</v>
      </c>
      <c r="L21" s="65">
        <f>[1]MARET!$U47-[1]MARET!$F47</f>
        <v>6.0000000000002274E-3</v>
      </c>
      <c r="M21" s="65">
        <f>[1]APRIL!$F47-[1]MARET!$U47</f>
        <v>4.0000000000048885E-3</v>
      </c>
      <c r="N21" s="65">
        <f>[1]APRIL!$U47-[1]APRIL!$F47</f>
        <v>4.9999999999954525E-3</v>
      </c>
      <c r="O21" s="65">
        <f>[1]MEI!$F47-[1]APRIL!$U47</f>
        <v>4.0000000000048885E-3</v>
      </c>
      <c r="P21" s="65">
        <f>[1]MEI!$U47-[1]MEI!$F47</f>
        <v>2.9999999999859028E-3</v>
      </c>
      <c r="Q21" s="65">
        <f>[1]JUNI!$F47-[1]MEI!$U47</f>
        <v>0.14200000000001012</v>
      </c>
      <c r="R21" s="65">
        <f>[1]JUNI!$U47-[1]JUNI!$F47</f>
        <v>0.17499999999999716</v>
      </c>
      <c r="S21" s="65">
        <f>[1]JULI!$F47-[1]JUNI!$U47</f>
        <v>4.9999999999954525E-3</v>
      </c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80"/>
    </row>
    <row r="22" spans="2:32">
      <c r="B22" s="94" t="s">
        <v>64</v>
      </c>
      <c r="C22" s="2"/>
      <c r="D22" s="65" t="s">
        <v>109</v>
      </c>
      <c r="E22" s="65">
        <v>82.690000000000026</v>
      </c>
      <c r="F22" s="65">
        <v>82.729999999999905</v>
      </c>
      <c r="G22" s="65">
        <f t="shared" si="0"/>
        <v>49.360000000000014</v>
      </c>
      <c r="H22" s="65">
        <f>[1]JANUARI!$U48-[1]JANUARI!$F48</f>
        <v>5</v>
      </c>
      <c r="I22" s="65">
        <f>[1]FEBRUARI!$F48-[1]JANUARI!$U48</f>
        <v>4.1999999999999886</v>
      </c>
      <c r="J22" s="65">
        <f>[1]FEBRUARI!$U48-[1]FEBRUARI!$F48</f>
        <v>3.5799999999999841</v>
      </c>
      <c r="K22" s="65">
        <f>[1]MARET!$F48-[1]FEBRUARI!$U48</f>
        <v>3.6100000000000136</v>
      </c>
      <c r="L22" s="65">
        <f>[1]MARET!$U48-[1]MARET!$F48</f>
        <v>4.7900000000000205</v>
      </c>
      <c r="M22" s="65">
        <f>[1]APRIL!$F48-[1]MARET!$U48</f>
        <v>4.3700000000000045</v>
      </c>
      <c r="N22" s="65">
        <f>[1]APRIL!$U48-[1]APRIL!$F48</f>
        <v>3.6299999999999955</v>
      </c>
      <c r="O22" s="65">
        <f>[1]MEI!$F48-[1]APRIL!$U48</f>
        <v>3.6800000000000068</v>
      </c>
      <c r="P22" s="65">
        <f>[1]MEI!$U48-[1]MEI!$F48</f>
        <v>3.8499999999999659</v>
      </c>
      <c r="Q22" s="65">
        <f>[1]JUNI!$F48-[1]MEI!$U48</f>
        <v>3.3600000000000136</v>
      </c>
      <c r="R22" s="65">
        <f>[1]JUNI!$U48-[1]JUNI!$F48</f>
        <v>5.1800000000000068</v>
      </c>
      <c r="S22" s="65">
        <f>[1]JULI!$F48-[1]JUNI!$U48</f>
        <v>4.1100000000000136</v>
      </c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80"/>
    </row>
    <row r="23" spans="2:32">
      <c r="B23" s="99" t="s">
        <v>65</v>
      </c>
      <c r="C23" s="58"/>
      <c r="D23" s="97" t="s">
        <v>109</v>
      </c>
      <c r="E23" s="97">
        <v>2.109753</v>
      </c>
      <c r="F23" s="97">
        <v>148.55382299999999</v>
      </c>
      <c r="G23" s="97">
        <f t="shared" si="0"/>
        <v>93.153179999999992</v>
      </c>
      <c r="H23" s="97">
        <f>[1]JANUARI!$U49-[1]JANUARI!$F49</f>
        <v>8.0047900000000141</v>
      </c>
      <c r="I23" s="97">
        <f>[1]FEBRUARI!$F49-[1]JANUARI!$U49</f>
        <v>7.592189999999988</v>
      </c>
      <c r="J23" s="97">
        <f>[1]FEBRUARI!$U49-[1]FEBRUARI!$F49</f>
        <v>6.9268800000000113</v>
      </c>
      <c r="K23" s="97">
        <f>[1]MARET!$F49-[1]FEBRUARI!$U49</f>
        <v>7.169399999999996</v>
      </c>
      <c r="L23" s="97">
        <f>[1]MARET!$U49-[1]MARET!$F49</f>
        <v>8.924900000000008</v>
      </c>
      <c r="M23" s="97">
        <f>[1]APRIL!$F49-[1]MARET!$U49</f>
        <v>8.1244399999999928</v>
      </c>
      <c r="N23" s="97">
        <f>[1]APRIL!$U49-[1]APRIL!$F49</f>
        <v>7.733159999999998</v>
      </c>
      <c r="O23" s="97">
        <f>[1]MEI!$F49-[1]APRIL!$U49</f>
        <v>7.4754000000000076</v>
      </c>
      <c r="P23" s="97">
        <f>[1]MEI!$U49-[1]MEI!$F49</f>
        <v>7.4154999999999802</v>
      </c>
      <c r="Q23" s="97">
        <f>[1]JUNI!$F49-[1]MEI!$U49</f>
        <v>6.7324800000000096</v>
      </c>
      <c r="R23" s="97">
        <f>[1]JUNI!$U49-[1]JUNI!$F49</f>
        <v>9.331860000000006</v>
      </c>
      <c r="S23" s="97">
        <f>[1]JULI!$F49-[1]JUNI!$U49</f>
        <v>7.7221799999999803</v>
      </c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80"/>
    </row>
    <row r="24" spans="2:32">
      <c r="B24" s="94" t="s">
        <v>66</v>
      </c>
      <c r="C24" s="2"/>
      <c r="D24" s="65" t="s">
        <v>109</v>
      </c>
      <c r="E24" s="65">
        <v>1335</v>
      </c>
      <c r="F24" s="65">
        <v>1142.8999999999983</v>
      </c>
      <c r="G24" s="65">
        <f t="shared" si="0"/>
        <v>646.20000000000073</v>
      </c>
      <c r="H24" s="65">
        <f>[1]JANUARI!$U50-[1]JANUARI!$F50</f>
        <v>56.5</v>
      </c>
      <c r="I24" s="65">
        <f>[1]FEBRUARI!$F50-[1]JANUARI!$U50</f>
        <v>49.900000000000546</v>
      </c>
      <c r="J24" s="65">
        <f>[1]FEBRUARI!$U50-[1]FEBRUARI!$F50</f>
        <v>57.599999999999454</v>
      </c>
      <c r="K24" s="65">
        <f>[1]MARET!$F50-[1]FEBRUARI!$U50</f>
        <v>56.300000000000182</v>
      </c>
      <c r="L24" s="65">
        <f>[1]MARET!$U50-[1]MARET!$F50</f>
        <v>62.600000000000364</v>
      </c>
      <c r="M24" s="65">
        <f>[1]APRIL!$F50-[1]MARET!$U50</f>
        <v>58.5</v>
      </c>
      <c r="N24" s="65">
        <f>[1]APRIL!$U50-[1]APRIL!$F50</f>
        <v>70.300000000000182</v>
      </c>
      <c r="O24" s="65">
        <f>[1]MEI!$F50-[1]APRIL!$U50</f>
        <v>55.099999999999454</v>
      </c>
      <c r="P24" s="65">
        <f>[1]MEI!$U50-[1]MEI!$F50</f>
        <v>36.199999999999818</v>
      </c>
      <c r="Q24" s="65">
        <f>[1]JUNI!$F50-[1]MEI!$U50</f>
        <v>25.200000000000728</v>
      </c>
      <c r="R24" s="65">
        <f>[1]JUNI!$U50-[1]JUNI!$F50</f>
        <v>66.399999999999636</v>
      </c>
      <c r="S24" s="65">
        <f>[1]JULI!$F50-[1]JUNI!$U50</f>
        <v>51.600000000000364</v>
      </c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80"/>
    </row>
    <row r="25" spans="2:32">
      <c r="B25" s="95" t="s">
        <v>119</v>
      </c>
      <c r="C25" s="2"/>
      <c r="D25" s="65" t="s">
        <v>109</v>
      </c>
      <c r="E25" s="65">
        <v>0</v>
      </c>
      <c r="F25" s="65">
        <v>38.274500000000003</v>
      </c>
      <c r="G25" s="65">
        <f t="shared" si="0"/>
        <v>21.848999999999997</v>
      </c>
      <c r="H25" s="65">
        <f>[1]JANUARI!$U51-[1]JANUARI!$F51</f>
        <v>1.7710000000000008</v>
      </c>
      <c r="I25" s="65">
        <f>[1]FEBRUARI!$F51-[1]JANUARI!$U51</f>
        <v>1.5579999999999998</v>
      </c>
      <c r="J25" s="65">
        <f>[1]FEBRUARI!$U51-[1]FEBRUARI!$F51</f>
        <v>2.5330000000000013</v>
      </c>
      <c r="K25" s="65">
        <f>[1]MARET!$F51-[1]FEBRUARI!$U51</f>
        <v>2.3969999999999985</v>
      </c>
      <c r="L25" s="65">
        <f>[1]MARET!$U51-[1]MARET!$F51</f>
        <v>1.9409999999999954</v>
      </c>
      <c r="M25" s="65">
        <f>[1]APRIL!$F51-[1]MARET!$U51</f>
        <v>2.0960000000000036</v>
      </c>
      <c r="N25" s="65">
        <f>[1]APRIL!$U51-[1]APRIL!$F51</f>
        <v>2.0129999999999981</v>
      </c>
      <c r="O25" s="65">
        <f>[1]MEI!$F51-[1]APRIL!$U51</f>
        <v>1.7390000000000043</v>
      </c>
      <c r="P25" s="65">
        <f>[1]MEI!$U51-[1]MEI!$F51</f>
        <v>1.2129999999999939</v>
      </c>
      <c r="Q25" s="65">
        <f>[1]JUNI!$F51-[1]MEI!$U51</f>
        <v>0.76000000000000512</v>
      </c>
      <c r="R25" s="65">
        <f>[1]JUNI!$U51-[1]JUNI!$F51</f>
        <v>2.1259999999999977</v>
      </c>
      <c r="S25" s="65">
        <f>[1]JULI!$F51-[1]JUNI!$U51</f>
        <v>1.7019999999999982</v>
      </c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80"/>
    </row>
    <row r="26" spans="2:32">
      <c r="B26" s="95" t="s">
        <v>120</v>
      </c>
      <c r="C26" s="2"/>
      <c r="D26" s="65" t="s">
        <v>109</v>
      </c>
      <c r="E26" s="65">
        <v>0</v>
      </c>
      <c r="F26" s="65">
        <v>191.45399999999998</v>
      </c>
      <c r="G26" s="65">
        <f t="shared" si="0"/>
        <v>211.86999999999998</v>
      </c>
      <c r="H26" s="65">
        <f>[1]JANUARI!$U52-[1]JANUARI!$F52</f>
        <v>0.25</v>
      </c>
      <c r="I26" s="65">
        <f>[1]FEBRUARI!$F52-[1]JANUARI!$U52</f>
        <v>0.18999999999999773</v>
      </c>
      <c r="J26" s="65">
        <f>[1]FEBRUARI!$U52-[1]FEBRUARI!$F52</f>
        <v>25.5</v>
      </c>
      <c r="K26" s="65">
        <f>[1]MARET!$F52-[1]FEBRUARI!$U52</f>
        <v>24.449999999999989</v>
      </c>
      <c r="L26" s="65">
        <f>[1]MARET!$U52-[1]MARET!$F52</f>
        <v>29.260000000000019</v>
      </c>
      <c r="M26" s="65">
        <f>[1]APRIL!$F52-[1]MARET!$U52</f>
        <v>27.569999999999993</v>
      </c>
      <c r="N26" s="65">
        <f>[1]APRIL!$U52-[1]APRIL!$F52</f>
        <v>34.620000000000005</v>
      </c>
      <c r="O26" s="65">
        <f>[1]MEI!$F52-[1]APRIL!$U52</f>
        <v>26.75</v>
      </c>
      <c r="P26" s="65">
        <f>[1]MEI!$U52-[1]MEI!$F52</f>
        <v>17.120000000000005</v>
      </c>
      <c r="Q26" s="65">
        <f>[1]JUNI!$F52-[1]MEI!$U52</f>
        <v>4.0399999999999636</v>
      </c>
      <c r="R26" s="65">
        <f>[1]JUNI!$U52-[1]JUNI!$F52</f>
        <v>0.29000000000002046</v>
      </c>
      <c r="S26" s="65">
        <f>[1]JULI!$F52-[1]JUNI!$U52</f>
        <v>21.829999999999984</v>
      </c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80"/>
    </row>
    <row r="27" spans="2:32">
      <c r="B27" s="95" t="s">
        <v>121</v>
      </c>
      <c r="C27" s="2"/>
      <c r="D27" s="65" t="s">
        <v>109</v>
      </c>
      <c r="E27" s="65">
        <v>0</v>
      </c>
      <c r="F27" s="65">
        <v>356.16300000000007</v>
      </c>
      <c r="G27" s="65">
        <f t="shared" si="0"/>
        <v>90.44</v>
      </c>
      <c r="H27" s="65">
        <f>[1]JANUARI!$U53-[1]JANUARI!$F53</f>
        <v>26.839999999999975</v>
      </c>
      <c r="I27" s="65">
        <f>[1]FEBRUARI!$F53-[1]JANUARI!$U53</f>
        <v>23.04000000000002</v>
      </c>
      <c r="J27" s="65">
        <f>[1]FEBRUARI!$U53-[1]FEBRUARI!$F53</f>
        <v>0.80000000000001137</v>
      </c>
      <c r="K27" s="65">
        <f>[1]MARET!$F53-[1]FEBRUARI!$U53</f>
        <v>0.22999999999996135</v>
      </c>
      <c r="L27" s="65">
        <f>[1]MARET!$U53-[1]MARET!$F53</f>
        <v>0.28000000000002956</v>
      </c>
      <c r="M27" s="65">
        <f>[1]APRIL!$F53-[1]MARET!$U53</f>
        <v>0.25999999999999091</v>
      </c>
      <c r="N27" s="65">
        <f>[1]APRIL!$U53-[1]APRIL!$F53</f>
        <v>0.25</v>
      </c>
      <c r="O27" s="65">
        <f>[1]MEI!$F53-[1]APRIL!$U53</f>
        <v>0.23000000000001819</v>
      </c>
      <c r="P27" s="65">
        <f>[1]MEI!$U53-[1]MEI!$F53</f>
        <v>0.22999999999996135</v>
      </c>
      <c r="Q27" s="65">
        <f>[1]JUNI!$F53-[1]MEI!$U53</f>
        <v>6.0200000000000387</v>
      </c>
      <c r="R27" s="65">
        <f>[1]JUNI!$U53-[1]JUNI!$F53</f>
        <v>31.099999999999966</v>
      </c>
      <c r="S27" s="65">
        <f>[1]JULI!$F53-[1]JUNI!$U53</f>
        <v>1.160000000000025</v>
      </c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80"/>
    </row>
    <row r="28" spans="2:32">
      <c r="B28" s="95" t="s">
        <v>122</v>
      </c>
      <c r="C28" s="2"/>
      <c r="D28" s="65" t="s">
        <v>109</v>
      </c>
      <c r="E28" s="65">
        <v>0</v>
      </c>
      <c r="F28" s="65">
        <v>266.76300000000003</v>
      </c>
      <c r="G28" s="65">
        <f t="shared" si="0"/>
        <v>163.28999999999996</v>
      </c>
      <c r="H28" s="65">
        <f>[1]JANUARI!$U54-[1]JANUARI!$F54</f>
        <v>13.079999999999984</v>
      </c>
      <c r="I28" s="65">
        <f>[1]FEBRUARI!$F54-[1]JANUARI!$U54</f>
        <v>12.5</v>
      </c>
      <c r="J28" s="65">
        <f>[1]FEBRUARI!$U54-[1]FEBRUARI!$F54</f>
        <v>14.71999999999997</v>
      </c>
      <c r="K28" s="65">
        <f>[1]MARET!$F54-[1]FEBRUARI!$U54</f>
        <v>14.910000000000025</v>
      </c>
      <c r="L28" s="65">
        <f>[1]MARET!$U54-[1]MARET!$F54</f>
        <v>15.920000000000016</v>
      </c>
      <c r="M28" s="65">
        <f>[1]APRIL!$F54-[1]MARET!$U54</f>
        <v>15.060000000000002</v>
      </c>
      <c r="N28" s="65">
        <f>[1]APRIL!$U54-[1]APRIL!$F54</f>
        <v>17.269999999999982</v>
      </c>
      <c r="O28" s="65">
        <f>[1]MEI!$F54-[1]APRIL!$U54</f>
        <v>13.470000000000027</v>
      </c>
      <c r="P28" s="65">
        <f>[1]MEI!$U54-[1]MEI!$F54</f>
        <v>8.7899999999999636</v>
      </c>
      <c r="Q28" s="65">
        <f>[1]JUNI!$F54-[1]MEI!$U54</f>
        <v>7.1200000000000045</v>
      </c>
      <c r="R28" s="65">
        <f>[1]JUNI!$U54-[1]JUNI!$F54</f>
        <v>16.689999999999998</v>
      </c>
      <c r="S28" s="65">
        <f>[1]JULI!$F54-[1]JUNI!$U54</f>
        <v>13.759999999999991</v>
      </c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80"/>
    </row>
    <row r="29" spans="2:32">
      <c r="B29" s="102" t="s">
        <v>124</v>
      </c>
      <c r="C29" s="43"/>
      <c r="D29" s="100" t="s">
        <v>109</v>
      </c>
      <c r="E29" s="100"/>
      <c r="F29" s="100">
        <v>290.24549999999823</v>
      </c>
      <c r="G29" s="100">
        <f t="shared" si="0"/>
        <v>158.7510000000008</v>
      </c>
      <c r="H29" s="100">
        <f t="shared" ref="H29:I29" si="28">H24-SUM(H25:H28)</f>
        <v>14.55900000000004</v>
      </c>
      <c r="I29" s="100">
        <f t="shared" si="28"/>
        <v>12.612000000000528</v>
      </c>
      <c r="J29" s="100">
        <f t="shared" ref="J29:K29" si="29">J24-SUM(J25:J28)</f>
        <v>14.046999999999471</v>
      </c>
      <c r="K29" s="100">
        <f t="shared" si="29"/>
        <v>14.313000000000208</v>
      </c>
      <c r="L29" s="100">
        <f t="shared" ref="L29:M29" si="30">L24-SUM(L25:L28)</f>
        <v>15.199000000000304</v>
      </c>
      <c r="M29" s="100">
        <f t="shared" si="30"/>
        <v>13.51400000000001</v>
      </c>
      <c r="N29" s="100">
        <f t="shared" ref="N29:O29" si="31">N24-SUM(N25:N28)</f>
        <v>16.147000000000197</v>
      </c>
      <c r="O29" s="100">
        <f t="shared" si="31"/>
        <v>12.910999999999405</v>
      </c>
      <c r="P29" s="100">
        <f t="shared" ref="P29:Q29" si="32">P24-SUM(P25:P28)</f>
        <v>8.8469999999998947</v>
      </c>
      <c r="Q29" s="100">
        <f t="shared" si="32"/>
        <v>7.2600000000007157</v>
      </c>
      <c r="R29" s="100">
        <f t="shared" ref="R29:S29" si="33">R24-SUM(R25:R28)</f>
        <v>16.193999999999654</v>
      </c>
      <c r="S29" s="100">
        <f t="shared" si="33"/>
        <v>13.148000000000366</v>
      </c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80"/>
    </row>
    <row r="30" spans="2:32">
      <c r="B30" s="94" t="s">
        <v>67</v>
      </c>
      <c r="C30" s="2"/>
      <c r="D30" s="65" t="s">
        <v>109</v>
      </c>
      <c r="E30" s="65">
        <v>431.91999999999996</v>
      </c>
      <c r="F30" s="65">
        <v>348.59999999999991</v>
      </c>
      <c r="G30" s="65">
        <f t="shared" si="0"/>
        <v>180.80000000000018</v>
      </c>
      <c r="H30" s="65">
        <f>[1]JANUARI!$U55-[1]JANUARI!$F55</f>
        <v>15.700000000000045</v>
      </c>
      <c r="I30" s="65">
        <f>[1]FEBRUARI!$F55-[1]JANUARI!$U55</f>
        <v>14.900000000000091</v>
      </c>
      <c r="J30" s="65">
        <f>[1]FEBRUARI!$U55-[1]FEBRUARI!$F55</f>
        <v>13</v>
      </c>
      <c r="K30" s="65">
        <f>[1]MARET!$F55-[1]FEBRUARI!$U55</f>
        <v>13.200000000000045</v>
      </c>
      <c r="L30" s="65">
        <f>[1]MARET!$U55-[1]MARET!$F55</f>
        <v>17.399999999999864</v>
      </c>
      <c r="M30" s="65">
        <f>[1]APRIL!$F55-[1]MARET!$U55</f>
        <v>15.799999999999955</v>
      </c>
      <c r="N30" s="65">
        <f>[1]APRIL!$U55-[1]APRIL!$F55</f>
        <v>16.800000000000182</v>
      </c>
      <c r="O30" s="65">
        <f>[1]MEI!$F55-[1]APRIL!$U55</f>
        <v>14.699999999999818</v>
      </c>
      <c r="P30" s="65">
        <f>[1]MEI!$U55-[1]MEI!$F55</f>
        <v>13.700000000000045</v>
      </c>
      <c r="Q30" s="65">
        <f>[1]JUNI!$F55-[1]MEI!$U55</f>
        <v>12.5</v>
      </c>
      <c r="R30" s="65">
        <f>[1]JUNI!$U55-[1]JUNI!$F55</f>
        <v>19.100000000000136</v>
      </c>
      <c r="S30" s="65">
        <f>[1]JULI!$F55-[1]JUNI!$U55</f>
        <v>14</v>
      </c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80"/>
    </row>
    <row r="31" spans="2:32">
      <c r="B31" s="99" t="s">
        <v>68</v>
      </c>
      <c r="C31" s="58"/>
      <c r="D31" s="97" t="s">
        <v>109</v>
      </c>
      <c r="E31" s="97">
        <v>0.38980399999999998</v>
      </c>
      <c r="F31" s="97">
        <v>38.503447999999985</v>
      </c>
      <c r="G31" s="97">
        <f t="shared" si="0"/>
        <v>35.951768000000008</v>
      </c>
      <c r="H31" s="97">
        <f>[1]JANUARI!$U56-[1]JANUARI!$F56</f>
        <v>3.082728000000003</v>
      </c>
      <c r="I31" s="97">
        <f>[1]FEBRUARI!$F56-[1]JANUARI!$U56</f>
        <v>2.7569839999999957</v>
      </c>
      <c r="J31" s="97">
        <f>[1]FEBRUARI!$U56-[1]FEBRUARI!$F56</f>
        <v>2.6262360000000058</v>
      </c>
      <c r="K31" s="97">
        <f>[1]MARET!$F56-[1]FEBRUARI!$U56</f>
        <v>2.8394319999999951</v>
      </c>
      <c r="L31" s="97">
        <f>[1]MARET!$U56-[1]MARET!$F56</f>
        <v>3.4741880000000052</v>
      </c>
      <c r="M31" s="97">
        <f>[1]APRIL!$F56-[1]MARET!$U56</f>
        <v>3.4623599999999968</v>
      </c>
      <c r="N31" s="97">
        <f>[1]APRIL!$U56-[1]APRIL!$F56</f>
        <v>3.4465520000000041</v>
      </c>
      <c r="O31" s="97">
        <f>[1]MEI!$F56-[1]APRIL!$U56</f>
        <v>2.9140759999999943</v>
      </c>
      <c r="P31" s="97">
        <f>[1]MEI!$U56-[1]MEI!$F56</f>
        <v>2.9242920000000083</v>
      </c>
      <c r="Q31" s="97">
        <f>[1]JUNI!$F56-[1]MEI!$U56</f>
        <v>2.7509359999999958</v>
      </c>
      <c r="R31" s="97">
        <f>[1]JUNI!$U56-[1]JUNI!$F56</f>
        <v>2.6403119999999944</v>
      </c>
      <c r="S31" s="97">
        <f>[1]JULI!$F56-[1]JUNI!$U56</f>
        <v>3.0336720000000099</v>
      </c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80"/>
    </row>
    <row r="32" spans="2:32">
      <c r="B32" s="108" t="s">
        <v>140</v>
      </c>
      <c r="C32" s="58"/>
      <c r="D32" s="97" t="s">
        <v>109</v>
      </c>
      <c r="E32" s="97">
        <v>0</v>
      </c>
      <c r="F32" s="97">
        <v>39.199000000000012</v>
      </c>
      <c r="G32" s="97">
        <f t="shared" si="0"/>
        <v>18.722999999999992</v>
      </c>
      <c r="H32" s="97">
        <f>[1]JANUARI!$U57-[1]JANUARI!$F57</f>
        <v>2.3999999999999986</v>
      </c>
      <c r="I32" s="97">
        <f>[1]FEBRUARI!$F57-[1]JANUARI!$U57</f>
        <v>2.2270000000000039</v>
      </c>
      <c r="J32" s="97">
        <f>[1]FEBRUARI!$U57-[1]FEBRUARI!$F57</f>
        <v>0.44599999999999795</v>
      </c>
      <c r="K32" s="97">
        <f>[1]MARET!$F57-[1]FEBRUARI!$U57</f>
        <v>0.19499999999999318</v>
      </c>
      <c r="L32" s="97">
        <f>[1]MARET!$U57-[1]MARET!$F57</f>
        <v>0.27600000000001046</v>
      </c>
      <c r="M32" s="97">
        <f>[1]APRIL!$F57-[1]MARET!$U57</f>
        <v>0.2739999999999867</v>
      </c>
      <c r="N32" s="97">
        <f>[1]APRIL!$U57-[1]APRIL!$F57</f>
        <v>0.64700000000000557</v>
      </c>
      <c r="O32" s="97">
        <f>[1]MEI!$F57-[1]APRIL!$U57</f>
        <v>2.1069999999999993</v>
      </c>
      <c r="P32" s="97">
        <f>[1]MEI!$U57-[1]MEI!$F57</f>
        <v>1.929000000000002</v>
      </c>
      <c r="Q32" s="97">
        <f>[1]JUNI!$F57-[1]MEI!$U57</f>
        <v>2.2469999999999999</v>
      </c>
      <c r="R32" s="97">
        <f>[1]JUNI!$U57-[1]JUNI!$F57</f>
        <v>3.2540000000000049</v>
      </c>
      <c r="S32" s="97">
        <f>[1]JULI!$F57-[1]JUNI!$U57</f>
        <v>2.7209999999999894</v>
      </c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80"/>
    </row>
    <row r="33" spans="1:33">
      <c r="B33" s="94" t="s">
        <v>69</v>
      </c>
      <c r="C33" s="2"/>
      <c r="D33" s="65" t="s">
        <v>109</v>
      </c>
      <c r="E33" s="65">
        <v>183.59000000000009</v>
      </c>
      <c r="F33" s="65" t="s">
        <v>91</v>
      </c>
      <c r="G33" s="65">
        <f>SUM(H33:AE33)</f>
        <v>85.709999999999923</v>
      </c>
      <c r="H33" s="65">
        <f>[1]JANUARI!$U58-[1]JANUARI!$F58</f>
        <v>8.2699999999999818</v>
      </c>
      <c r="I33" s="65">
        <f>[1]FEBRUARI!$F58-[1]JANUARI!$U58</f>
        <v>7.6899999999999409</v>
      </c>
      <c r="J33" s="65">
        <f>[1]FEBRUARI!$U58-[1]FEBRUARI!$F58</f>
        <v>7.0099999999999909</v>
      </c>
      <c r="K33" s="65">
        <f>[1]MARET!$F58-[1]FEBRUARI!$U58</f>
        <v>6.8600000000000136</v>
      </c>
      <c r="L33" s="65">
        <f>[1]MARET!$U58-[1]MARET!$F58</f>
        <v>8.3799999999999955</v>
      </c>
      <c r="M33" s="65">
        <f>[1]APRIL!$F58-[1]MARET!$U58</f>
        <v>8.0299999999999727</v>
      </c>
      <c r="N33" s="65">
        <f>[1]APRIL!$U58-[1]APRIL!$F58</f>
        <v>7.7100000000000364</v>
      </c>
      <c r="O33" s="65">
        <f>[1]MEI!$F58-[1]APRIL!$U58</f>
        <v>6.4700000000000273</v>
      </c>
      <c r="P33" s="65">
        <f>[1]MEI!$U58-[1]MEI!$F58</f>
        <v>5.4800000000000182</v>
      </c>
      <c r="Q33" s="65">
        <f>[1]JUNI!$F58-[1]MEI!$U58</f>
        <v>5.2400000000000091</v>
      </c>
      <c r="R33" s="65">
        <f>[1]JUNI!$U58-[1]JUNI!$F58</f>
        <v>8.1100000000000136</v>
      </c>
      <c r="S33" s="65">
        <f>[1]JULI!$F58-[1]JUNI!$U58</f>
        <v>6.4599999999999227</v>
      </c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80"/>
    </row>
    <row r="34" spans="1:33">
      <c r="H34" s="80"/>
      <c r="I34" s="80"/>
    </row>
    <row r="35" spans="1:33">
      <c r="Q35" s="92"/>
    </row>
    <row r="36" spans="1:33">
      <c r="B36" s="18" t="s">
        <v>26</v>
      </c>
      <c r="C36" s="18"/>
      <c r="D36" s="18"/>
      <c r="E36" s="18"/>
      <c r="F36" s="18"/>
      <c r="G36" s="18"/>
      <c r="AB36" t="s">
        <v>94</v>
      </c>
    </row>
    <row r="37" spans="1:33" ht="15" customHeight="1">
      <c r="B37" s="206" t="s">
        <v>41</v>
      </c>
      <c r="C37" s="206"/>
      <c r="D37" s="206" t="s">
        <v>40</v>
      </c>
      <c r="E37" s="206" t="s">
        <v>123</v>
      </c>
      <c r="F37" s="206" t="s">
        <v>167</v>
      </c>
      <c r="G37" s="201" t="s">
        <v>38</v>
      </c>
      <c r="H37" s="212" t="s">
        <v>2</v>
      </c>
      <c r="I37" s="212"/>
      <c r="J37" s="212" t="s">
        <v>3</v>
      </c>
      <c r="K37" s="212"/>
      <c r="L37" s="212" t="s">
        <v>4</v>
      </c>
      <c r="M37" s="212"/>
      <c r="N37" s="212" t="s">
        <v>5</v>
      </c>
      <c r="O37" s="212"/>
      <c r="P37" s="212" t="s">
        <v>6</v>
      </c>
      <c r="Q37" s="212"/>
      <c r="R37" s="212" t="s">
        <v>7</v>
      </c>
      <c r="S37" s="212"/>
      <c r="T37" s="212" t="s">
        <v>8</v>
      </c>
      <c r="U37" s="212"/>
      <c r="V37" s="212" t="s">
        <v>9</v>
      </c>
      <c r="W37" s="212"/>
      <c r="X37" s="212" t="s">
        <v>10</v>
      </c>
      <c r="Y37" s="212"/>
      <c r="Z37" s="212" t="s">
        <v>11</v>
      </c>
      <c r="AA37" s="212"/>
      <c r="AB37" s="212" t="s">
        <v>12</v>
      </c>
      <c r="AC37" s="212"/>
      <c r="AD37" s="212" t="s">
        <v>13</v>
      </c>
      <c r="AE37" s="212"/>
    </row>
    <row r="38" spans="1:33" s="1" customFormat="1">
      <c r="B38" s="206"/>
      <c r="C38" s="206"/>
      <c r="D38" s="206"/>
      <c r="E38" s="206"/>
      <c r="F38" s="206"/>
      <c r="G38" s="202"/>
      <c r="H38" s="41">
        <v>15</v>
      </c>
      <c r="I38" s="41">
        <v>31</v>
      </c>
      <c r="J38" s="41">
        <v>14</v>
      </c>
      <c r="K38" s="41">
        <v>28</v>
      </c>
      <c r="L38" s="41">
        <v>15</v>
      </c>
      <c r="M38" s="41">
        <v>31</v>
      </c>
      <c r="N38" s="41">
        <v>15</v>
      </c>
      <c r="O38" s="41">
        <v>30</v>
      </c>
      <c r="P38" s="41">
        <v>15</v>
      </c>
      <c r="Q38" s="41">
        <v>31</v>
      </c>
      <c r="R38" s="41">
        <v>15</v>
      </c>
      <c r="S38" s="41">
        <v>30</v>
      </c>
      <c r="T38" s="41">
        <v>15</v>
      </c>
      <c r="U38" s="41">
        <v>31</v>
      </c>
      <c r="V38" s="41">
        <v>15</v>
      </c>
      <c r="W38" s="41">
        <v>31</v>
      </c>
      <c r="X38" s="41">
        <v>15</v>
      </c>
      <c r="Y38" s="41">
        <v>30</v>
      </c>
      <c r="Z38" s="41">
        <v>15</v>
      </c>
      <c r="AA38" s="41">
        <v>31</v>
      </c>
      <c r="AB38" s="41">
        <v>15</v>
      </c>
      <c r="AC38" s="41">
        <v>30</v>
      </c>
      <c r="AD38" s="41">
        <v>15</v>
      </c>
      <c r="AE38" s="41">
        <v>31</v>
      </c>
    </row>
    <row r="39" spans="1:33" s="1" customFormat="1">
      <c r="B39" s="105" t="s">
        <v>70</v>
      </c>
      <c r="C39" s="105"/>
      <c r="D39" s="70"/>
      <c r="E39" s="90">
        <v>3828.025599999999</v>
      </c>
      <c r="F39" s="90">
        <v>3291.5807999999979</v>
      </c>
      <c r="G39" s="65">
        <f>SUM(H39:AE39)</f>
        <v>1808.0863999999988</v>
      </c>
      <c r="H39" s="89">
        <f>IFERROR(SUM(H5:H6)*3.2,0)</f>
        <v>165.11679999999762</v>
      </c>
      <c r="I39" s="89">
        <f>IFERROR(SUM(I5:I6)*3.2,0)</f>
        <v>145.65120000000098</v>
      </c>
      <c r="J39" s="89">
        <f t="shared" ref="J39:AE39" si="34">IFERROR(SUM(J5:J6)*3.2,0)</f>
        <v>148.24639999999928</v>
      </c>
      <c r="K39" s="89">
        <f t="shared" si="34"/>
        <v>147.59040000000169</v>
      </c>
      <c r="L39" s="89">
        <f t="shared" si="34"/>
        <v>173.76319999999907</v>
      </c>
      <c r="M39" s="89">
        <f t="shared" si="34"/>
        <v>164.10560000000115</v>
      </c>
      <c r="N39" s="89">
        <f t="shared" si="34"/>
        <v>179.59039999999806</v>
      </c>
      <c r="O39" s="89">
        <f t="shared" si="34"/>
        <v>148.87680000000182</v>
      </c>
      <c r="P39" s="89">
        <f t="shared" si="34"/>
        <v>115.01119999999938</v>
      </c>
      <c r="Q39" s="89">
        <f t="shared" si="34"/>
        <v>92.329600000000937</v>
      </c>
      <c r="R39" s="89">
        <f t="shared" si="34"/>
        <v>183.29920000000058</v>
      </c>
      <c r="S39" s="89">
        <f t="shared" si="34"/>
        <v>144.50559999999822</v>
      </c>
      <c r="T39" s="89">
        <f t="shared" si="34"/>
        <v>0</v>
      </c>
      <c r="U39" s="89">
        <f t="shared" si="34"/>
        <v>0</v>
      </c>
      <c r="V39" s="89">
        <f t="shared" si="34"/>
        <v>0</v>
      </c>
      <c r="W39" s="89">
        <f t="shared" si="34"/>
        <v>0</v>
      </c>
      <c r="X39" s="89">
        <f t="shared" si="34"/>
        <v>0</v>
      </c>
      <c r="Y39" s="89">
        <f t="shared" si="34"/>
        <v>0</v>
      </c>
      <c r="Z39" s="89">
        <f t="shared" si="34"/>
        <v>0</v>
      </c>
      <c r="AA39" s="89">
        <f t="shared" si="34"/>
        <v>0</v>
      </c>
      <c r="AB39" s="89">
        <f t="shared" si="34"/>
        <v>0</v>
      </c>
      <c r="AC39" s="89">
        <f t="shared" si="34"/>
        <v>0</v>
      </c>
      <c r="AD39" s="89">
        <f t="shared" si="34"/>
        <v>0</v>
      </c>
      <c r="AE39" s="89">
        <f t="shared" si="34"/>
        <v>0</v>
      </c>
    </row>
    <row r="40" spans="1:33" s="1" customFormat="1">
      <c r="B40" s="108" t="s">
        <v>100</v>
      </c>
      <c r="C40" s="105"/>
      <c r="D40" s="188"/>
      <c r="E40" s="90"/>
      <c r="F40" s="90"/>
      <c r="G40" s="65"/>
      <c r="H40" s="89">
        <f>H5*3.2</f>
        <v>137.00479999999808</v>
      </c>
      <c r="I40" s="89">
        <f t="shared" ref="I40:AE40" si="35">I5*3.2</f>
        <v>121.96160000000091</v>
      </c>
      <c r="J40" s="89">
        <f t="shared" si="35"/>
        <v>123.38239999999934</v>
      </c>
      <c r="K40" s="89">
        <f t="shared" si="35"/>
        <v>122.33600000000152</v>
      </c>
      <c r="L40" s="89">
        <f t="shared" si="35"/>
        <v>145.08159999999916</v>
      </c>
      <c r="M40" s="89">
        <f t="shared" si="35"/>
        <v>137.56160000000091</v>
      </c>
      <c r="N40" s="89">
        <f t="shared" si="35"/>
        <v>149.79199999999838</v>
      </c>
      <c r="O40" s="89">
        <f t="shared" si="35"/>
        <v>123.12320000000182</v>
      </c>
      <c r="P40" s="89">
        <f t="shared" si="35"/>
        <v>96.195199999999033</v>
      </c>
      <c r="Q40" s="89">
        <f t="shared" si="35"/>
        <v>76.576000000000931</v>
      </c>
      <c r="R40" s="89">
        <f t="shared" si="35"/>
        <v>154.00320000000067</v>
      </c>
      <c r="S40" s="89">
        <f t="shared" si="35"/>
        <v>119.9487999999983</v>
      </c>
      <c r="T40" s="89">
        <f t="shared" si="35"/>
        <v>0</v>
      </c>
      <c r="U40" s="89">
        <f t="shared" si="35"/>
        <v>0</v>
      </c>
      <c r="V40" s="89">
        <f t="shared" si="35"/>
        <v>0</v>
      </c>
      <c r="W40" s="89">
        <f t="shared" si="35"/>
        <v>0</v>
      </c>
      <c r="X40" s="89">
        <f t="shared" si="35"/>
        <v>0</v>
      </c>
      <c r="Y40" s="89">
        <f t="shared" si="35"/>
        <v>0</v>
      </c>
      <c r="Z40" s="89">
        <f t="shared" si="35"/>
        <v>0</v>
      </c>
      <c r="AA40" s="89">
        <f t="shared" si="35"/>
        <v>0</v>
      </c>
      <c r="AB40" s="89">
        <f t="shared" si="35"/>
        <v>0</v>
      </c>
      <c r="AC40" s="89">
        <f t="shared" si="35"/>
        <v>0</v>
      </c>
      <c r="AD40" s="89">
        <f t="shared" si="35"/>
        <v>0</v>
      </c>
      <c r="AE40" s="89">
        <f t="shared" si="35"/>
        <v>0</v>
      </c>
    </row>
    <row r="41" spans="1:33" s="1" customFormat="1">
      <c r="B41" s="108" t="s">
        <v>101</v>
      </c>
      <c r="C41" s="105"/>
      <c r="D41" s="188"/>
      <c r="E41" s="90"/>
      <c r="F41" s="90"/>
      <c r="G41" s="65"/>
      <c r="H41" s="89">
        <f>H6*3.2</f>
        <v>28.111999999999536</v>
      </c>
      <c r="I41" s="89">
        <f t="shared" ref="I41:AE41" si="36">I6*3.2</f>
        <v>23.689600000000066</v>
      </c>
      <c r="J41" s="89">
        <f t="shared" si="36"/>
        <v>24.863999999999944</v>
      </c>
      <c r="K41" s="89">
        <f t="shared" si="36"/>
        <v>25.254400000000171</v>
      </c>
      <c r="L41" s="89">
        <f t="shared" si="36"/>
        <v>28.681599999999889</v>
      </c>
      <c r="M41" s="89">
        <f t="shared" si="36"/>
        <v>26.544000000000235</v>
      </c>
      <c r="N41" s="89">
        <f t="shared" si="36"/>
        <v>29.798399999999674</v>
      </c>
      <c r="O41" s="89">
        <f t="shared" si="36"/>
        <v>25.753600000000006</v>
      </c>
      <c r="P41" s="89">
        <f t="shared" si="36"/>
        <v>18.816000000000351</v>
      </c>
      <c r="Q41" s="89">
        <f t="shared" si="36"/>
        <v>15.753600000000006</v>
      </c>
      <c r="R41" s="89">
        <f t="shared" si="36"/>
        <v>29.295999999999914</v>
      </c>
      <c r="S41" s="89">
        <f t="shared" si="36"/>
        <v>24.556799999999932</v>
      </c>
      <c r="T41" s="89">
        <f t="shared" si="36"/>
        <v>0</v>
      </c>
      <c r="U41" s="89">
        <f t="shared" si="36"/>
        <v>0</v>
      </c>
      <c r="V41" s="89">
        <f t="shared" si="36"/>
        <v>0</v>
      </c>
      <c r="W41" s="89">
        <f t="shared" si="36"/>
        <v>0</v>
      </c>
      <c r="X41" s="89">
        <f t="shared" si="36"/>
        <v>0</v>
      </c>
      <c r="Y41" s="89">
        <f t="shared" si="36"/>
        <v>0</v>
      </c>
      <c r="Z41" s="89">
        <f t="shared" si="36"/>
        <v>0</v>
      </c>
      <c r="AA41" s="89">
        <f t="shared" si="36"/>
        <v>0</v>
      </c>
      <c r="AB41" s="89">
        <f t="shared" si="36"/>
        <v>0</v>
      </c>
      <c r="AC41" s="89">
        <f t="shared" si="36"/>
        <v>0</v>
      </c>
      <c r="AD41" s="89">
        <f t="shared" si="36"/>
        <v>0</v>
      </c>
      <c r="AE41" s="89">
        <f t="shared" si="36"/>
        <v>0</v>
      </c>
    </row>
    <row r="42" spans="1:33" s="1" customFormat="1">
      <c r="B42" s="105" t="s">
        <v>141</v>
      </c>
      <c r="C42" s="105"/>
      <c r="D42" s="70"/>
      <c r="E42" s="90">
        <v>674.20000000000027</v>
      </c>
      <c r="F42" s="90">
        <v>163.20781999999963</v>
      </c>
      <c r="G42" s="65">
        <f t="shared" ref="G42:G71" si="37">SUM(H42:AE42)</f>
        <v>66.640799999999899</v>
      </c>
      <c r="H42" s="89">
        <f>IFERROR(H11-H12-H13-H14-H15,0)</f>
        <v>6.6076000000000477</v>
      </c>
      <c r="I42" s="89">
        <f>IFERROR(I11-I12-I13-I14-I15,0)</f>
        <v>5.9436000000000915</v>
      </c>
      <c r="J42" s="89">
        <f t="shared" ref="J42:AE42" si="38">IFERROR(J11-J12-J13-J14-J15,0)</f>
        <v>5.8958999999999193</v>
      </c>
      <c r="K42" s="89">
        <f t="shared" si="38"/>
        <v>5.3742999999999732</v>
      </c>
      <c r="L42" s="89">
        <f t="shared" si="38"/>
        <v>5.6135999999997939</v>
      </c>
      <c r="M42" s="89">
        <f t="shared" si="38"/>
        <v>6.7129000000002232</v>
      </c>
      <c r="N42" s="89">
        <f t="shared" si="38"/>
        <v>7.6584999999998526</v>
      </c>
      <c r="O42" s="89">
        <f t="shared" si="38"/>
        <v>5.5461000000000409</v>
      </c>
      <c r="P42" s="89">
        <f t="shared" si="38"/>
        <v>2.8359999999997836</v>
      </c>
      <c r="Q42" s="89">
        <f t="shared" si="38"/>
        <v>2.1233999999999509</v>
      </c>
      <c r="R42" s="89">
        <f t="shared" si="38"/>
        <v>7.1223000000002292</v>
      </c>
      <c r="S42" s="89">
        <f t="shared" si="38"/>
        <v>5.2065999999999892</v>
      </c>
      <c r="T42" s="89">
        <f t="shared" si="38"/>
        <v>0</v>
      </c>
      <c r="U42" s="89">
        <f t="shared" si="38"/>
        <v>0</v>
      </c>
      <c r="V42" s="89">
        <f t="shared" si="38"/>
        <v>0</v>
      </c>
      <c r="W42" s="89">
        <f t="shared" si="38"/>
        <v>0</v>
      </c>
      <c r="X42" s="89">
        <f t="shared" si="38"/>
        <v>0</v>
      </c>
      <c r="Y42" s="89">
        <f t="shared" si="38"/>
        <v>0</v>
      </c>
      <c r="Z42" s="89">
        <f t="shared" si="38"/>
        <v>0</v>
      </c>
      <c r="AA42" s="89">
        <f t="shared" si="38"/>
        <v>0</v>
      </c>
      <c r="AB42" s="89">
        <f t="shared" si="38"/>
        <v>0</v>
      </c>
      <c r="AC42" s="89">
        <f t="shared" si="38"/>
        <v>0</v>
      </c>
      <c r="AD42" s="89">
        <f t="shared" si="38"/>
        <v>0</v>
      </c>
      <c r="AE42" s="89">
        <f t="shared" si="38"/>
        <v>0</v>
      </c>
    </row>
    <row r="43" spans="1:33" s="1" customFormat="1">
      <c r="B43" s="105"/>
      <c r="C43" s="105"/>
      <c r="D43" s="70"/>
      <c r="E43" s="90"/>
      <c r="F43" s="90">
        <v>0</v>
      </c>
      <c r="G43" s="65">
        <f t="shared" si="37"/>
        <v>0</v>
      </c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</row>
    <row r="44" spans="1:33">
      <c r="B44" s="69" t="s">
        <v>125</v>
      </c>
      <c r="C44" s="69"/>
      <c r="D44" s="8" t="s">
        <v>109</v>
      </c>
      <c r="E44" s="90">
        <v>2625.6910116782474</v>
      </c>
      <c r="F44" s="90">
        <v>2093.4108216208197</v>
      </c>
      <c r="G44" s="65">
        <f t="shared" si="37"/>
        <v>1074.0692392184174</v>
      </c>
      <c r="H44" s="89">
        <f>IFERROR(SUM(H46:H55),0)</f>
        <v>101.15012551480218</v>
      </c>
      <c r="I44" s="89">
        <f>IFERROR(SUM(I46:I55),0)</f>
        <v>87.65537194320757</v>
      </c>
      <c r="J44" s="89">
        <f t="shared" ref="J44:AE44" si="39">IFERROR(SUM(J46:J55),0)</f>
        <v>93.142118749278481</v>
      </c>
      <c r="K44" s="89">
        <f t="shared" si="39"/>
        <v>87.15523105835581</v>
      </c>
      <c r="L44" s="89">
        <f t="shared" si="39"/>
        <v>101.14082949192147</v>
      </c>
      <c r="M44" s="89">
        <f t="shared" si="39"/>
        <v>102.71462808814962</v>
      </c>
      <c r="N44" s="89">
        <f t="shared" si="39"/>
        <v>117.68812587907387</v>
      </c>
      <c r="O44" s="89">
        <f t="shared" si="39"/>
        <v>90.017458420349286</v>
      </c>
      <c r="P44" s="89">
        <f t="shared" si="39"/>
        <v>58.739849828774226</v>
      </c>
      <c r="Q44" s="89">
        <f t="shared" si="39"/>
        <v>46.594040437898258</v>
      </c>
      <c r="R44" s="89">
        <f t="shared" si="39"/>
        <v>105.80066955897182</v>
      </c>
      <c r="S44" s="89">
        <f t="shared" si="39"/>
        <v>82.27079024763475</v>
      </c>
      <c r="T44" s="89">
        <f t="shared" si="39"/>
        <v>0</v>
      </c>
      <c r="U44" s="89">
        <f t="shared" si="39"/>
        <v>0</v>
      </c>
      <c r="V44" s="89">
        <f t="shared" si="39"/>
        <v>0</v>
      </c>
      <c r="W44" s="89">
        <f t="shared" si="39"/>
        <v>0</v>
      </c>
      <c r="X44" s="89">
        <f t="shared" si="39"/>
        <v>0</v>
      </c>
      <c r="Y44" s="89">
        <f t="shared" si="39"/>
        <v>0</v>
      </c>
      <c r="Z44" s="89">
        <f t="shared" si="39"/>
        <v>0</v>
      </c>
      <c r="AA44" s="89">
        <f t="shared" si="39"/>
        <v>0</v>
      </c>
      <c r="AB44" s="89">
        <f t="shared" si="39"/>
        <v>0</v>
      </c>
      <c r="AC44" s="89">
        <f t="shared" si="39"/>
        <v>0</v>
      </c>
      <c r="AD44" s="89">
        <f t="shared" si="39"/>
        <v>0</v>
      </c>
      <c r="AE44" s="89">
        <f t="shared" si="39"/>
        <v>0</v>
      </c>
      <c r="AG44" s="112"/>
    </row>
    <row r="45" spans="1:33">
      <c r="A45" t="s">
        <v>91</v>
      </c>
      <c r="B45" s="72" t="s">
        <v>42</v>
      </c>
      <c r="C45" s="69" t="s">
        <v>72</v>
      </c>
      <c r="D45" s="8" t="s">
        <v>109</v>
      </c>
      <c r="E45" s="90"/>
      <c r="F45" s="90">
        <v>0</v>
      </c>
      <c r="G45" s="65">
        <f t="shared" si="37"/>
        <v>0</v>
      </c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</row>
    <row r="46" spans="1:33" ht="16.149999999999999" customHeight="1">
      <c r="B46" s="78" t="s">
        <v>42</v>
      </c>
      <c r="C46" s="69"/>
      <c r="D46" s="8" t="s">
        <v>109</v>
      </c>
      <c r="E46" s="90">
        <v>634.81084416443616</v>
      </c>
      <c r="F46" s="90">
        <v>282.8278199999998</v>
      </c>
      <c r="G46" s="65">
        <f t="shared" si="37"/>
        <v>141.19079999999991</v>
      </c>
      <c r="H46" s="89">
        <f>IFERROR(H12-H14-H15,0)</f>
        <v>14.217599999999862</v>
      </c>
      <c r="I46" s="89">
        <f>IFERROR(I12-I14-I15,0)</f>
        <v>12.203599999999998</v>
      </c>
      <c r="J46" s="89">
        <f t="shared" ref="J46:AE46" si="40">IFERROR(J12-J14-J15,0)</f>
        <v>13.145900000000005</v>
      </c>
      <c r="K46" s="89">
        <f t="shared" si="40"/>
        <v>11.814299999999999</v>
      </c>
      <c r="L46" s="89">
        <f t="shared" si="40"/>
        <v>12.643600000000136</v>
      </c>
      <c r="M46" s="89">
        <f t="shared" si="40"/>
        <v>14.76289999999995</v>
      </c>
      <c r="N46" s="89">
        <f t="shared" si="40"/>
        <v>17.358499999999957</v>
      </c>
      <c r="O46" s="89">
        <f t="shared" si="40"/>
        <v>12.416099999999961</v>
      </c>
      <c r="P46" s="89">
        <f t="shared" si="40"/>
        <v>6.1460000000000417</v>
      </c>
      <c r="Q46" s="89">
        <f t="shared" si="40"/>
        <v>3.4834000000000498</v>
      </c>
      <c r="R46" s="89">
        <f t="shared" si="40"/>
        <v>12.462299999999864</v>
      </c>
      <c r="S46" s="89">
        <f t="shared" si="40"/>
        <v>10.536600000000087</v>
      </c>
      <c r="T46" s="89">
        <f t="shared" si="40"/>
        <v>0</v>
      </c>
      <c r="U46" s="89">
        <f t="shared" si="40"/>
        <v>0</v>
      </c>
      <c r="V46" s="89">
        <f t="shared" si="40"/>
        <v>0</v>
      </c>
      <c r="W46" s="89">
        <f t="shared" si="40"/>
        <v>0</v>
      </c>
      <c r="X46" s="89">
        <f t="shared" si="40"/>
        <v>0</v>
      </c>
      <c r="Y46" s="89">
        <f t="shared" si="40"/>
        <v>0</v>
      </c>
      <c r="Z46" s="89">
        <f t="shared" si="40"/>
        <v>0</v>
      </c>
      <c r="AA46" s="89">
        <f t="shared" si="40"/>
        <v>0</v>
      </c>
      <c r="AB46" s="89">
        <f t="shared" si="40"/>
        <v>0</v>
      </c>
      <c r="AC46" s="89">
        <f t="shared" si="40"/>
        <v>0</v>
      </c>
      <c r="AD46" s="89">
        <f t="shared" si="40"/>
        <v>0</v>
      </c>
      <c r="AE46" s="89">
        <f t="shared" si="40"/>
        <v>0</v>
      </c>
    </row>
    <row r="47" spans="1:33" ht="16.149999999999999" customHeight="1">
      <c r="B47" s="78" t="s">
        <v>144</v>
      </c>
      <c r="C47" s="69"/>
      <c r="D47" s="8"/>
      <c r="E47" s="90"/>
      <c r="F47" s="90">
        <v>146.33005948444597</v>
      </c>
      <c r="G47" s="65">
        <f t="shared" si="37"/>
        <v>58.850339998653538</v>
      </c>
      <c r="H47" s="89">
        <f>IFERROR(((H46/(H46+H58))*H42),0)</f>
        <v>5.9084411169811677</v>
      </c>
      <c r="I47" s="89">
        <f>IFERROR(((I46/(I46+I58))*I42),0)</f>
        <v>5.3728382933334151</v>
      </c>
      <c r="J47" s="89">
        <f t="shared" ref="J47:AE47" si="41">IFERROR(((J46/(J46+J58))*J42),0)</f>
        <v>5.3453042627585496</v>
      </c>
      <c r="K47" s="89">
        <f t="shared" si="41"/>
        <v>4.7032290733333095</v>
      </c>
      <c r="L47" s="89">
        <f t="shared" si="41"/>
        <v>4.7004048317879148</v>
      </c>
      <c r="M47" s="89">
        <f t="shared" si="41"/>
        <v>6.0798694116566399</v>
      </c>
      <c r="N47" s="89">
        <f t="shared" si="41"/>
        <v>6.8880866450775864</v>
      </c>
      <c r="O47" s="89">
        <f t="shared" si="41"/>
        <v>4.81544980489514</v>
      </c>
      <c r="P47" s="89">
        <f t="shared" si="41"/>
        <v>2.2636436363634655</v>
      </c>
      <c r="Q47" s="89">
        <f t="shared" si="41"/>
        <v>1.9990950162161738</v>
      </c>
      <c r="R47" s="89">
        <f t="shared" si="41"/>
        <v>6.1639055062501891</v>
      </c>
      <c r="S47" s="89">
        <f t="shared" si="41"/>
        <v>4.6100723999999937</v>
      </c>
      <c r="T47" s="89">
        <f t="shared" si="41"/>
        <v>0</v>
      </c>
      <c r="U47" s="89">
        <f t="shared" si="41"/>
        <v>0</v>
      </c>
      <c r="V47" s="89">
        <f t="shared" si="41"/>
        <v>0</v>
      </c>
      <c r="W47" s="89">
        <f t="shared" si="41"/>
        <v>0</v>
      </c>
      <c r="X47" s="89">
        <f t="shared" si="41"/>
        <v>0</v>
      </c>
      <c r="Y47" s="89">
        <f t="shared" si="41"/>
        <v>0</v>
      </c>
      <c r="Z47" s="89">
        <f t="shared" si="41"/>
        <v>0</v>
      </c>
      <c r="AA47" s="89">
        <f t="shared" si="41"/>
        <v>0</v>
      </c>
      <c r="AB47" s="89">
        <f t="shared" si="41"/>
        <v>0</v>
      </c>
      <c r="AC47" s="89">
        <f t="shared" si="41"/>
        <v>0</v>
      </c>
      <c r="AD47" s="89">
        <f t="shared" si="41"/>
        <v>0</v>
      </c>
      <c r="AE47" s="89">
        <f t="shared" si="41"/>
        <v>0</v>
      </c>
    </row>
    <row r="48" spans="1:33" ht="16.149999999999999" customHeight="1">
      <c r="B48" s="72" t="s">
        <v>43</v>
      </c>
      <c r="C48" s="69"/>
      <c r="D48" s="8" t="s">
        <v>109</v>
      </c>
      <c r="E48" s="90">
        <v>19.47999999999999</v>
      </c>
      <c r="F48" s="90">
        <v>18.120000000000005</v>
      </c>
      <c r="G48" s="65">
        <f t="shared" si="37"/>
        <v>9.5500000000000114</v>
      </c>
      <c r="H48" s="89">
        <f>IFERROR(H13,0)</f>
        <v>0.90999999999999659</v>
      </c>
      <c r="I48" s="89">
        <f>IFERROR(I13,0)</f>
        <v>0.65999999999999659</v>
      </c>
      <c r="J48" s="89">
        <f t="shared" ref="J48:AE48" si="42">IFERROR(J13,0)</f>
        <v>0.84999999999999432</v>
      </c>
      <c r="K48" s="89">
        <f t="shared" si="42"/>
        <v>0.94000000000002615</v>
      </c>
      <c r="L48" s="89">
        <f t="shared" si="42"/>
        <v>0.9299999999999784</v>
      </c>
      <c r="M48" s="89">
        <f t="shared" si="42"/>
        <v>0.75</v>
      </c>
      <c r="N48" s="89">
        <f t="shared" si="42"/>
        <v>0.80000000000001137</v>
      </c>
      <c r="O48" s="89">
        <f t="shared" si="42"/>
        <v>0.77000000000001023</v>
      </c>
      <c r="P48" s="89">
        <f t="shared" si="42"/>
        <v>0.60999999999998522</v>
      </c>
      <c r="Q48" s="89">
        <f t="shared" si="42"/>
        <v>0.46000000000000796</v>
      </c>
      <c r="R48" s="89">
        <f t="shared" si="42"/>
        <v>0.93999999999999773</v>
      </c>
      <c r="S48" s="89">
        <f t="shared" si="42"/>
        <v>0.93000000000000682</v>
      </c>
      <c r="T48" s="89">
        <f t="shared" si="42"/>
        <v>0</v>
      </c>
      <c r="U48" s="89">
        <f t="shared" si="42"/>
        <v>0</v>
      </c>
      <c r="V48" s="89">
        <f t="shared" si="42"/>
        <v>0</v>
      </c>
      <c r="W48" s="89">
        <f t="shared" si="42"/>
        <v>0</v>
      </c>
      <c r="X48" s="89">
        <f t="shared" si="42"/>
        <v>0</v>
      </c>
      <c r="Y48" s="89">
        <f t="shared" si="42"/>
        <v>0</v>
      </c>
      <c r="Z48" s="89">
        <f t="shared" si="42"/>
        <v>0</v>
      </c>
      <c r="AA48" s="89">
        <f t="shared" si="42"/>
        <v>0</v>
      </c>
      <c r="AB48" s="89">
        <f t="shared" si="42"/>
        <v>0</v>
      </c>
      <c r="AC48" s="89">
        <f t="shared" si="42"/>
        <v>0</v>
      </c>
      <c r="AD48" s="89">
        <f t="shared" si="42"/>
        <v>0</v>
      </c>
      <c r="AE48" s="89">
        <f t="shared" si="42"/>
        <v>0</v>
      </c>
    </row>
    <row r="49" spans="2:34" ht="16.149999999999999" customHeight="1">
      <c r="B49" s="72" t="s">
        <v>99</v>
      </c>
      <c r="C49" s="69" t="s">
        <v>72</v>
      </c>
      <c r="D49" s="8" t="s">
        <v>109</v>
      </c>
      <c r="E49" s="90">
        <v>301.61865209452554</v>
      </c>
      <c r="F49" s="90">
        <v>293.07360291683409</v>
      </c>
      <c r="G49" s="65">
        <f t="shared" si="37"/>
        <v>156.807243786604</v>
      </c>
      <c r="H49" s="89">
        <f>IFERROR('[2]Konsumsi &amp; pareto'!H$30/('[2]Konsumsi &amp; pareto'!H$30+'[2]Konsumsi &amp; pareto'!H$39)*H$18,0)</f>
        <v>15.969763998463486</v>
      </c>
      <c r="I49" s="89">
        <f>IFERROR('[2]Konsumsi &amp; pareto'!I$30/('[2]Konsumsi &amp; pareto'!I$30+'[2]Konsumsi &amp; pareto'!I$39)*I$18,0)</f>
        <v>12.147219208169316</v>
      </c>
      <c r="J49" s="89">
        <f>IFERROR('[2]Konsumsi &amp; pareto'!J$30/('[2]Konsumsi &amp; pareto'!J$30+'[2]Konsumsi &amp; pareto'!J$39)*J$18,0)</f>
        <v>12.012816425237993</v>
      </c>
      <c r="K49" s="89">
        <f>IFERROR('[2]Konsumsi &amp; pareto'!K$30/('[2]Konsumsi &amp; pareto'!K$30+'[2]Konsumsi &amp; pareto'!K$39)*K$18,0)</f>
        <v>11.481395533645562</v>
      </c>
      <c r="L49" s="89">
        <f>IFERROR('[2]Konsumsi &amp; pareto'!L$30/('[2]Konsumsi &amp; pareto'!L$30+'[2]Konsumsi &amp; pareto'!L$39)*L$18,0)</f>
        <v>15.885911121318664</v>
      </c>
      <c r="M49" s="89">
        <f>IFERROR('[2]Konsumsi &amp; pareto'!M$30/('[2]Konsumsi &amp; pareto'!M$30+'[2]Konsumsi &amp; pareto'!M$39)*M$18,0)</f>
        <v>14.193917588354346</v>
      </c>
      <c r="N49" s="89">
        <f>IFERROR('[2]Konsumsi &amp; pareto'!N$30/('[2]Konsumsi &amp; pareto'!N$30+'[2]Konsumsi &amp; pareto'!N$39)*N$18,0)</f>
        <v>15.334789355132676</v>
      </c>
      <c r="O49" s="89">
        <f>IFERROR('[2]Konsumsi &amp; pareto'!O$30/('[2]Konsumsi &amp; pareto'!O$30+'[2]Konsumsi &amp; pareto'!O$39)*O$18,0)</f>
        <v>12.574944085153415</v>
      </c>
      <c r="P49" s="89">
        <f>IFERROR('[2]Konsumsi &amp; pareto'!P$30/('[2]Konsumsi &amp; pareto'!P$30+'[2]Konsumsi &amp; pareto'!P$39)*P$18,0)</f>
        <v>9.6236081934063709</v>
      </c>
      <c r="Q49" s="89">
        <f>IFERROR('[2]Konsumsi &amp; pareto'!Q$30/('[2]Konsumsi &amp; pareto'!Q$30+'[2]Konsumsi &amp; pareto'!Q$39)*Q$18,0)</f>
        <v>9.4183213497518032</v>
      </c>
      <c r="R49" s="89">
        <f>IFERROR('[2]Konsumsi &amp; pareto'!R$30/('[2]Konsumsi &amp; pareto'!R$30+'[2]Konsumsi &amp; pareto'!R$39)*R$18,0)</f>
        <v>15.899896475448475</v>
      </c>
      <c r="S49" s="89">
        <f>IFERROR('[2]Konsumsi &amp; pareto'!S$30/('[2]Konsumsi &amp; pareto'!S$30+'[2]Konsumsi &amp; pareto'!S$39)*S$18,0)</f>
        <v>12.264660452521893</v>
      </c>
      <c r="T49" s="89">
        <f>IFERROR('[2]Konsumsi &amp; pareto'!T$30/('[2]Konsumsi &amp; pareto'!T$30+'[2]Konsumsi &amp; pareto'!T$39)*T$18,0)</f>
        <v>0</v>
      </c>
      <c r="U49" s="89">
        <f>IFERROR('[2]Konsumsi &amp; pareto'!U$30/('[2]Konsumsi &amp; pareto'!U$30+'[2]Konsumsi &amp; pareto'!U$39)*U$18,0)</f>
        <v>0</v>
      </c>
      <c r="V49" s="89">
        <f>IFERROR('[2]Konsumsi &amp; pareto'!V$30/('[2]Konsumsi &amp; pareto'!V$30+'[2]Konsumsi &amp; pareto'!V$39)*V$18,0)</f>
        <v>0</v>
      </c>
      <c r="W49" s="89">
        <f>IFERROR('[2]Konsumsi &amp; pareto'!W$30/('[2]Konsumsi &amp; pareto'!W$30+'[2]Konsumsi &amp; pareto'!W$39)*W$18,0)</f>
        <v>0</v>
      </c>
      <c r="X49" s="89">
        <f>IFERROR('[2]Konsumsi &amp; pareto'!X$30/('[2]Konsumsi &amp; pareto'!X$30+'[2]Konsumsi &amp; pareto'!X$39)*X$18,0)</f>
        <v>0</v>
      </c>
      <c r="Y49" s="89">
        <f>IFERROR('[2]Konsumsi &amp; pareto'!Y$30/('[2]Konsumsi &amp; pareto'!Y$30+'[2]Konsumsi &amp; pareto'!Y$39)*Y$18,0)</f>
        <v>0</v>
      </c>
      <c r="Z49" s="89">
        <f>IFERROR('[2]Konsumsi &amp; pareto'!Z$30/('[2]Konsumsi &amp; pareto'!Z$30+'[2]Konsumsi &amp; pareto'!Z$39)*Z$18,0)</f>
        <v>0</v>
      </c>
      <c r="AA49" s="89">
        <f>IFERROR('[2]Konsumsi &amp; pareto'!AA$30/('[2]Konsumsi &amp; pareto'!AA$30+'[2]Konsumsi &amp; pareto'!AA$39)*AA$18,0)</f>
        <v>0</v>
      </c>
      <c r="AB49" s="89">
        <f>IFERROR('[2]Konsumsi &amp; pareto'!AB$30/('[2]Konsumsi &amp; pareto'!AB$30+'[2]Konsumsi &amp; pareto'!AB$39)*AB$18,0)</f>
        <v>0</v>
      </c>
      <c r="AC49" s="89">
        <f>IFERROR('[2]Konsumsi &amp; pareto'!AC$30/('[2]Konsumsi &amp; pareto'!AC$30+'[2]Konsumsi &amp; pareto'!AC$39)*AC$18,0)</f>
        <v>0</v>
      </c>
      <c r="AD49" s="89">
        <f>IFERROR('[2]Konsumsi &amp; pareto'!AD$30/('[2]Konsumsi &amp; pareto'!AD$30+'[2]Konsumsi &amp; pareto'!AD$39)*AD$18,0)</f>
        <v>0</v>
      </c>
      <c r="AE49" s="89">
        <f>IFERROR('[2]Konsumsi &amp; pareto'!AE$30/('[2]Konsumsi &amp; pareto'!AE$30+'[2]Konsumsi &amp; pareto'!AE$39)*AE$18,0)</f>
        <v>0</v>
      </c>
    </row>
    <row r="50" spans="2:34" ht="16.149999999999999" customHeight="1">
      <c r="B50" s="72" t="s">
        <v>44</v>
      </c>
      <c r="C50" s="69" t="s">
        <v>72</v>
      </c>
      <c r="D50" s="8" t="s">
        <v>109</v>
      </c>
      <c r="E50" s="90">
        <v>183.59000000000009</v>
      </c>
      <c r="F50" s="90">
        <v>160.5200000000001</v>
      </c>
      <c r="G50" s="65">
        <f t="shared" si="37"/>
        <v>85.709999999999923</v>
      </c>
      <c r="H50" s="89">
        <f t="shared" ref="H50" si="43">H33</f>
        <v>8.2699999999999818</v>
      </c>
      <c r="I50" s="89">
        <f t="shared" ref="I50:J50" si="44">I33</f>
        <v>7.6899999999999409</v>
      </c>
      <c r="J50" s="89">
        <f t="shared" si="44"/>
        <v>7.0099999999999909</v>
      </c>
      <c r="K50" s="89">
        <f t="shared" ref="K50:AE50" si="45">K33</f>
        <v>6.8600000000000136</v>
      </c>
      <c r="L50" s="89">
        <f t="shared" si="45"/>
        <v>8.3799999999999955</v>
      </c>
      <c r="M50" s="89">
        <f t="shared" si="45"/>
        <v>8.0299999999999727</v>
      </c>
      <c r="N50" s="89">
        <f t="shared" si="45"/>
        <v>7.7100000000000364</v>
      </c>
      <c r="O50" s="89">
        <f t="shared" si="45"/>
        <v>6.4700000000000273</v>
      </c>
      <c r="P50" s="89">
        <f t="shared" si="45"/>
        <v>5.4800000000000182</v>
      </c>
      <c r="Q50" s="89">
        <f t="shared" si="45"/>
        <v>5.2400000000000091</v>
      </c>
      <c r="R50" s="89">
        <f t="shared" si="45"/>
        <v>8.1100000000000136</v>
      </c>
      <c r="S50" s="89">
        <f t="shared" si="45"/>
        <v>6.4599999999999227</v>
      </c>
      <c r="T50" s="89">
        <f t="shared" si="45"/>
        <v>0</v>
      </c>
      <c r="U50" s="89">
        <f t="shared" si="45"/>
        <v>0</v>
      </c>
      <c r="V50" s="89">
        <f t="shared" si="45"/>
        <v>0</v>
      </c>
      <c r="W50" s="89">
        <f t="shared" si="45"/>
        <v>0</v>
      </c>
      <c r="X50" s="89">
        <f t="shared" si="45"/>
        <v>0</v>
      </c>
      <c r="Y50" s="89">
        <f t="shared" si="45"/>
        <v>0</v>
      </c>
      <c r="Z50" s="89">
        <f t="shared" si="45"/>
        <v>0</v>
      </c>
      <c r="AA50" s="89">
        <f t="shared" si="45"/>
        <v>0</v>
      </c>
      <c r="AB50" s="89">
        <f t="shared" si="45"/>
        <v>0</v>
      </c>
      <c r="AC50" s="89">
        <f t="shared" si="45"/>
        <v>0</v>
      </c>
      <c r="AD50" s="89">
        <f t="shared" si="45"/>
        <v>0</v>
      </c>
      <c r="AE50" s="89">
        <f t="shared" si="45"/>
        <v>0</v>
      </c>
    </row>
    <row r="51" spans="2:34" ht="16.149999999999999" customHeight="1">
      <c r="B51" s="72" t="s">
        <v>45</v>
      </c>
      <c r="C51" s="69"/>
      <c r="D51" s="8" t="s">
        <v>109</v>
      </c>
      <c r="E51" s="90">
        <v>431.91999999999996</v>
      </c>
      <c r="F51" s="90">
        <v>348.59999999999991</v>
      </c>
      <c r="G51" s="65">
        <f t="shared" si="37"/>
        <v>180.80000000000018</v>
      </c>
      <c r="H51" s="89">
        <f t="shared" ref="H51" si="46">H30</f>
        <v>15.700000000000045</v>
      </c>
      <c r="I51" s="89">
        <f t="shared" ref="I51:J51" si="47">I30</f>
        <v>14.900000000000091</v>
      </c>
      <c r="J51" s="89">
        <f t="shared" si="47"/>
        <v>13</v>
      </c>
      <c r="K51" s="89">
        <f t="shared" ref="K51:AE51" si="48">K30</f>
        <v>13.200000000000045</v>
      </c>
      <c r="L51" s="89">
        <f t="shared" si="48"/>
        <v>17.399999999999864</v>
      </c>
      <c r="M51" s="89">
        <f t="shared" si="48"/>
        <v>15.799999999999955</v>
      </c>
      <c r="N51" s="89">
        <f t="shared" si="48"/>
        <v>16.800000000000182</v>
      </c>
      <c r="O51" s="89">
        <f t="shared" si="48"/>
        <v>14.699999999999818</v>
      </c>
      <c r="P51" s="89">
        <f t="shared" si="48"/>
        <v>13.700000000000045</v>
      </c>
      <c r="Q51" s="89">
        <f t="shared" si="48"/>
        <v>12.5</v>
      </c>
      <c r="R51" s="89">
        <f t="shared" si="48"/>
        <v>19.100000000000136</v>
      </c>
      <c r="S51" s="89">
        <f t="shared" si="48"/>
        <v>14</v>
      </c>
      <c r="T51" s="89">
        <f t="shared" si="48"/>
        <v>0</v>
      </c>
      <c r="U51" s="89">
        <f t="shared" si="48"/>
        <v>0</v>
      </c>
      <c r="V51" s="89">
        <f t="shared" si="48"/>
        <v>0</v>
      </c>
      <c r="W51" s="89">
        <f t="shared" si="48"/>
        <v>0</v>
      </c>
      <c r="X51" s="89">
        <f t="shared" si="48"/>
        <v>0</v>
      </c>
      <c r="Y51" s="89">
        <f t="shared" si="48"/>
        <v>0</v>
      </c>
      <c r="Z51" s="89">
        <f t="shared" si="48"/>
        <v>0</v>
      </c>
      <c r="AA51" s="89">
        <f t="shared" si="48"/>
        <v>0</v>
      </c>
      <c r="AB51" s="89">
        <f t="shared" si="48"/>
        <v>0</v>
      </c>
      <c r="AC51" s="89">
        <f t="shared" si="48"/>
        <v>0</v>
      </c>
      <c r="AD51" s="89">
        <f t="shared" si="48"/>
        <v>0</v>
      </c>
      <c r="AE51" s="89">
        <f t="shared" si="48"/>
        <v>0</v>
      </c>
    </row>
    <row r="52" spans="2:34" ht="16.149999999999999" customHeight="1">
      <c r="B52" s="72" t="s">
        <v>46</v>
      </c>
      <c r="C52" s="69" t="s">
        <v>72</v>
      </c>
      <c r="D52" s="8" t="s">
        <v>109</v>
      </c>
      <c r="E52" s="90">
        <v>13.781666666666672</v>
      </c>
      <c r="F52" s="90">
        <v>20.682499999999976</v>
      </c>
      <c r="G52" s="65">
        <f t="shared" si="37"/>
        <v>18.25500000000001</v>
      </c>
      <c r="H52" s="89">
        <f t="shared" ref="H52" si="49">1/4*H22</f>
        <v>1.25</v>
      </c>
      <c r="I52" s="89">
        <f t="shared" ref="I52" si="50">1/4*I22</f>
        <v>1.0499999999999972</v>
      </c>
      <c r="J52" s="89">
        <f>2/4*J22</f>
        <v>1.789999999999992</v>
      </c>
      <c r="K52" s="89">
        <f>2/4*K22</f>
        <v>1.8050000000000068</v>
      </c>
      <c r="L52" s="89">
        <f>2/4*L22</f>
        <v>2.3950000000000102</v>
      </c>
      <c r="M52" s="89">
        <f>2/4*M22</f>
        <v>2.1850000000000023</v>
      </c>
      <c r="N52" s="89">
        <f t="shared" ref="N52:O52" si="51">2/4*N22</f>
        <v>1.8149999999999977</v>
      </c>
      <c r="O52" s="89">
        <f t="shared" si="51"/>
        <v>1.8400000000000034</v>
      </c>
      <c r="P52" s="89">
        <f t="shared" ref="P52:AE52" si="52">1/4*P22</f>
        <v>0.96249999999999147</v>
      </c>
      <c r="Q52" s="89">
        <f t="shared" si="52"/>
        <v>0.84000000000000341</v>
      </c>
      <c r="R52" s="89">
        <f t="shared" si="52"/>
        <v>1.2950000000000017</v>
      </c>
      <c r="S52" s="89">
        <f t="shared" si="52"/>
        <v>1.0275000000000034</v>
      </c>
      <c r="T52" s="89">
        <f t="shared" si="52"/>
        <v>0</v>
      </c>
      <c r="U52" s="89">
        <f t="shared" si="52"/>
        <v>0</v>
      </c>
      <c r="V52" s="89">
        <f t="shared" si="52"/>
        <v>0</v>
      </c>
      <c r="W52" s="89">
        <f t="shared" si="52"/>
        <v>0</v>
      </c>
      <c r="X52" s="89">
        <f t="shared" si="52"/>
        <v>0</v>
      </c>
      <c r="Y52" s="89">
        <f t="shared" si="52"/>
        <v>0</v>
      </c>
      <c r="Z52" s="89">
        <f t="shared" si="52"/>
        <v>0</v>
      </c>
      <c r="AA52" s="89">
        <f t="shared" si="52"/>
        <v>0</v>
      </c>
      <c r="AB52" s="89">
        <f t="shared" si="52"/>
        <v>0</v>
      </c>
      <c r="AC52" s="89">
        <f t="shared" si="52"/>
        <v>0</v>
      </c>
      <c r="AD52" s="89">
        <f t="shared" si="52"/>
        <v>0</v>
      </c>
      <c r="AE52" s="89">
        <f t="shared" si="52"/>
        <v>0</v>
      </c>
    </row>
    <row r="53" spans="2:34" ht="16.149999999999999" customHeight="1">
      <c r="B53" s="72" t="s">
        <v>143</v>
      </c>
      <c r="C53" s="69"/>
      <c r="D53" s="8"/>
      <c r="E53" s="90"/>
      <c r="F53" s="90">
        <v>57.051699999999911</v>
      </c>
      <c r="G53" s="65">
        <f t="shared" si="37"/>
        <v>0.85440000000000005</v>
      </c>
      <c r="H53" s="89">
        <f t="shared" ref="H53" si="53">H20</f>
        <v>9.3699999999999228E-2</v>
      </c>
      <c r="I53" s="89">
        <f t="shared" ref="I53:J53" si="54">I20</f>
        <v>7.1400000000000574E-2</v>
      </c>
      <c r="J53" s="89">
        <f t="shared" si="54"/>
        <v>7.0800000000000196E-2</v>
      </c>
      <c r="K53" s="89">
        <f t="shared" ref="K53:AE53" si="55">K20</f>
        <v>6.9700000000000095E-2</v>
      </c>
      <c r="L53" s="89">
        <f t="shared" si="55"/>
        <v>8.1399999999999473E-2</v>
      </c>
      <c r="M53" s="89">
        <f t="shared" si="55"/>
        <v>7.43999999999998E-2</v>
      </c>
      <c r="N53" s="89">
        <f t="shared" si="55"/>
        <v>7.2799999999999976E-2</v>
      </c>
      <c r="O53" s="89">
        <f t="shared" si="55"/>
        <v>6.840000000000046E-2</v>
      </c>
      <c r="P53" s="89">
        <f t="shared" si="55"/>
        <v>6.9300000000000139E-2</v>
      </c>
      <c r="Q53" s="89">
        <f t="shared" si="55"/>
        <v>7.5299999999999478E-2</v>
      </c>
      <c r="R53" s="89">
        <f t="shared" si="55"/>
        <v>7.9400000000000581E-2</v>
      </c>
      <c r="S53" s="89">
        <f t="shared" si="55"/>
        <v>2.7800000000000047E-2</v>
      </c>
      <c r="T53" s="89">
        <f t="shared" si="55"/>
        <v>0</v>
      </c>
      <c r="U53" s="89">
        <f t="shared" si="55"/>
        <v>0</v>
      </c>
      <c r="V53" s="89">
        <f t="shared" si="55"/>
        <v>0</v>
      </c>
      <c r="W53" s="89">
        <f t="shared" si="55"/>
        <v>0</v>
      </c>
      <c r="X53" s="89">
        <f t="shared" si="55"/>
        <v>0</v>
      </c>
      <c r="Y53" s="89">
        <f t="shared" si="55"/>
        <v>0</v>
      </c>
      <c r="Z53" s="89">
        <f t="shared" si="55"/>
        <v>0</v>
      </c>
      <c r="AA53" s="89">
        <f t="shared" si="55"/>
        <v>0</v>
      </c>
      <c r="AB53" s="89">
        <f t="shared" si="55"/>
        <v>0</v>
      </c>
      <c r="AC53" s="89">
        <f t="shared" si="55"/>
        <v>0</v>
      </c>
      <c r="AD53" s="89">
        <f t="shared" si="55"/>
        <v>0</v>
      </c>
      <c r="AE53" s="89">
        <f t="shared" si="55"/>
        <v>0</v>
      </c>
    </row>
    <row r="54" spans="2:34" ht="16.149999999999999" customHeight="1">
      <c r="B54" s="72" t="s">
        <v>142</v>
      </c>
      <c r="C54" s="69"/>
      <c r="D54" s="8"/>
      <c r="E54" s="90"/>
      <c r="F54" s="90">
        <v>17.904101620327207</v>
      </c>
      <c r="G54" s="65">
        <f t="shared" si="37"/>
        <v>6.1687884592154605</v>
      </c>
      <c r="H54" s="89">
        <f>SUM('[2]Konsumsi &amp; pareto'!H$64:H$65)/SUM('[2]Konsumsi &amp; pareto'!$H$64:$H$65,'[2]Konsumsi &amp; pareto'!H$68:H$69)</f>
        <v>0.76637857163904122</v>
      </c>
      <c r="I54" s="89">
        <f>SUM('[2]Konsumsi &amp; pareto'!I$64:I$65)/SUM('[2]Konsumsi &amp; pareto'!$H$64:$H$65,'[2]Konsumsi &amp; pareto'!I$68:I$69)</f>
        <v>0.48933266578662921</v>
      </c>
      <c r="J54" s="89">
        <f>SUM('[2]Konsumsi &amp; pareto'!J$64:J$65)/SUM('[2]Konsumsi &amp; pareto'!$H$64:$H$65,'[2]Konsumsi &amp; pareto'!J$68:J$69)</f>
        <v>0.54624263954000885</v>
      </c>
      <c r="K54" s="89">
        <f>SUM('[2]Konsumsi &amp; pareto'!K$64:K$65)/SUM('[2]Konsumsi &amp; pareto'!$H$64:$H$65,'[2]Konsumsi &amp; pareto'!K$68:K$69)</f>
        <v>0.38748822145608108</v>
      </c>
      <c r="L54" s="89">
        <f>SUM('[2]Konsumsi &amp; pareto'!L$64:L$65)/SUM('[2]Konsumsi &amp; pareto'!$H$64:$H$65,'[2]Konsumsi &amp; pareto'!L$68:L$69)</f>
        <v>0.6367670434548387</v>
      </c>
      <c r="M54" s="89">
        <f>SUM('[2]Konsumsi &amp; pareto'!M$64:M$65)/SUM('[2]Konsumsi &amp; pareto'!$H$64:$H$65,'[2]Konsumsi &amp; pareto'!M$68:M$69)</f>
        <v>0.48236146458327345</v>
      </c>
      <c r="N54" s="89">
        <f>SUM('[2]Konsumsi &amp; pareto'!N$64:N$65)/SUM('[2]Konsumsi &amp; pareto'!$H$64:$H$65,'[2]Konsumsi &amp; pareto'!N$68:N$69)</f>
        <v>0.69947779174861213</v>
      </c>
      <c r="O54" s="89">
        <f>SUM('[2]Konsumsi &amp; pareto'!O$64:O$65)/SUM('[2]Konsumsi &amp; pareto'!$H$64:$H$65,'[2]Konsumsi &amp; pareto'!O$68:O$69)</f>
        <v>0.48804861748571454</v>
      </c>
      <c r="P54" s="89">
        <f>SUM('[2]Konsumsi &amp; pareto'!P$64:P$65)/SUM('[2]Konsumsi &amp; pareto'!$H$64:$H$65,'[2]Konsumsi &amp; pareto'!P$68:P$69)</f>
        <v>0.38887078785857138</v>
      </c>
      <c r="Q54" s="89">
        <f>SUM('[2]Konsumsi &amp; pareto'!Q$64:Q$65)/SUM('[2]Konsumsi &amp; pareto'!$H$64:$H$65,'[2]Konsumsi &amp; pareto'!Q$68:Q$69)</f>
        <v>0.20365404357531217</v>
      </c>
      <c r="R54" s="89">
        <f>SUM('[2]Konsumsi &amp; pareto'!R$64:R$65)/SUM('[2]Konsumsi &amp; pareto'!$H$64:$H$65,'[2]Konsumsi &amp; pareto'!R$68:R$69)</f>
        <v>0.56755915188129913</v>
      </c>
      <c r="S54" s="89">
        <f>SUM('[2]Konsumsi &amp; pareto'!S$64:S$65)/SUM('[2]Konsumsi &amp; pareto'!$H$64:$H$65,'[2]Konsumsi &amp; pareto'!S$68:S$69)</f>
        <v>0.51260746020607917</v>
      </c>
      <c r="T54" s="89">
        <f>SUM('[2]Konsumsi &amp; pareto'!T$64:T$65)/SUM('[2]Konsumsi &amp; pareto'!$H$64:$H$65,'[2]Konsumsi &amp; pareto'!T$68:T$69)</f>
        <v>0</v>
      </c>
      <c r="U54" s="89">
        <f>SUM('[2]Konsumsi &amp; pareto'!U$64:U$65)/SUM('[2]Konsumsi &amp; pareto'!$H$64:$H$65,'[2]Konsumsi &amp; pareto'!U$68:U$69)</f>
        <v>0</v>
      </c>
      <c r="V54" s="89">
        <f>SUM('[2]Konsumsi &amp; pareto'!V$64:V$65)/SUM('[2]Konsumsi &amp; pareto'!$H$64:$H$65,'[2]Konsumsi &amp; pareto'!V$68:V$69)</f>
        <v>0</v>
      </c>
      <c r="W54" s="89">
        <f>SUM('[2]Konsumsi &amp; pareto'!W$64:W$65)/SUM('[2]Konsumsi &amp; pareto'!$H$64:$H$65,'[2]Konsumsi &amp; pareto'!W$68:W$69)</f>
        <v>0</v>
      </c>
      <c r="X54" s="89">
        <f>SUM('[2]Konsumsi &amp; pareto'!X$64:X$65)/SUM('[2]Konsumsi &amp; pareto'!$H$64:$H$65,'[2]Konsumsi &amp; pareto'!X$68:X$69)</f>
        <v>0</v>
      </c>
      <c r="Y54" s="89">
        <f>SUM('[2]Konsumsi &amp; pareto'!Y$64:Y$65)/SUM('[2]Konsumsi &amp; pareto'!$H$64:$H$65,'[2]Konsumsi &amp; pareto'!Y$68:Y$69)</f>
        <v>0</v>
      </c>
      <c r="Z54" s="89">
        <f>SUM('[2]Konsumsi &amp; pareto'!Z$64:Z$65)/SUM('[2]Konsumsi &amp; pareto'!$H$64:$H$65,'[2]Konsumsi &amp; pareto'!Z$68:Z$69)</f>
        <v>0</v>
      </c>
      <c r="AA54" s="89">
        <f>SUM('[2]Konsumsi &amp; pareto'!AA$64:AA$65)/SUM('[2]Konsumsi &amp; pareto'!$H$64:$H$65,'[2]Konsumsi &amp; pareto'!AA$68:AA$69)</f>
        <v>0</v>
      </c>
      <c r="AB54" s="89">
        <f>SUM('[2]Konsumsi &amp; pareto'!AB$64:AB$65)/SUM('[2]Konsumsi &amp; pareto'!$H$64:$H$65,'[2]Konsumsi &amp; pareto'!AB$68:AB$69)</f>
        <v>0</v>
      </c>
      <c r="AC54" s="89">
        <f>SUM('[2]Konsumsi &amp; pareto'!AC$64:AC$65)/SUM('[2]Konsumsi &amp; pareto'!$H$64:$H$65,'[2]Konsumsi &amp; pareto'!AC$68:AC$69)</f>
        <v>0</v>
      </c>
      <c r="AD54" s="89">
        <f>SUM('[2]Konsumsi &amp; pareto'!AD$64:AD$65)/SUM('[2]Konsumsi &amp; pareto'!$H$64:$H$65,'[2]Konsumsi &amp; pareto'!AD$68:AD$69)</f>
        <v>0</v>
      </c>
      <c r="AE54" s="89">
        <f>SUM('[2]Konsumsi &amp; pareto'!AE$64:AE$65)/SUM('[2]Konsumsi &amp; pareto'!$H$64:$H$65,'[2]Konsumsi &amp; pareto'!AE$68:AE$69)</f>
        <v>0</v>
      </c>
    </row>
    <row r="55" spans="2:34" ht="16.149999999999999" customHeight="1">
      <c r="B55" s="72" t="s">
        <v>50</v>
      </c>
      <c r="C55" s="69" t="s">
        <v>72</v>
      </c>
      <c r="D55" s="8" t="s">
        <v>109</v>
      </c>
      <c r="E55" s="90">
        <v>1040.4898487526191</v>
      </c>
      <c r="F55" s="90">
        <v>748.30103759921258</v>
      </c>
      <c r="G55" s="65">
        <f t="shared" si="37"/>
        <v>415.88266697394425</v>
      </c>
      <c r="H55" s="89">
        <f>H24-H69</f>
        <v>38.064241827718611</v>
      </c>
      <c r="I55" s="89">
        <f>I24-I69</f>
        <v>33.070981775918199</v>
      </c>
      <c r="J55" s="89">
        <f t="shared" ref="J55:AE55" si="56">J24-J69</f>
        <v>39.37105542174195</v>
      </c>
      <c r="K55" s="89">
        <f t="shared" si="56"/>
        <v>35.894118229920764</v>
      </c>
      <c r="L55" s="89">
        <f t="shared" si="56"/>
        <v>38.087746495360058</v>
      </c>
      <c r="M55" s="89">
        <f t="shared" si="56"/>
        <v>40.356179623555484</v>
      </c>
      <c r="N55" s="89">
        <f t="shared" si="56"/>
        <v>50.209472087114818</v>
      </c>
      <c r="O55" s="89">
        <f t="shared" si="56"/>
        <v>35.874515912815198</v>
      </c>
      <c r="P55" s="89">
        <f t="shared" si="56"/>
        <v>19.49592721114573</v>
      </c>
      <c r="Q55" s="89">
        <f t="shared" si="56"/>
        <v>12.3742700283549</v>
      </c>
      <c r="R55" s="89">
        <f t="shared" si="56"/>
        <v>41.182608425391834</v>
      </c>
      <c r="S55" s="89">
        <f t="shared" si="56"/>
        <v>31.901549934906775</v>
      </c>
      <c r="T55" s="89">
        <f t="shared" si="56"/>
        <v>0</v>
      </c>
      <c r="U55" s="89">
        <f t="shared" si="56"/>
        <v>0</v>
      </c>
      <c r="V55" s="89">
        <f t="shared" si="56"/>
        <v>0</v>
      </c>
      <c r="W55" s="89">
        <f t="shared" si="56"/>
        <v>0</v>
      </c>
      <c r="X55" s="89">
        <f t="shared" si="56"/>
        <v>0</v>
      </c>
      <c r="Y55" s="89">
        <f t="shared" si="56"/>
        <v>0</v>
      </c>
      <c r="Z55" s="89">
        <f t="shared" si="56"/>
        <v>0</v>
      </c>
      <c r="AA55" s="89">
        <f t="shared" si="56"/>
        <v>0</v>
      </c>
      <c r="AB55" s="89">
        <f t="shared" si="56"/>
        <v>0</v>
      </c>
      <c r="AC55" s="89">
        <f t="shared" si="56"/>
        <v>0</v>
      </c>
      <c r="AD55" s="89">
        <f t="shared" si="56"/>
        <v>0</v>
      </c>
      <c r="AE55" s="89">
        <f t="shared" si="56"/>
        <v>0</v>
      </c>
    </row>
    <row r="56" spans="2:34">
      <c r="B56" s="73"/>
      <c r="C56" s="8"/>
      <c r="D56" s="8"/>
      <c r="E56" s="90">
        <v>0</v>
      </c>
      <c r="F56" s="90">
        <v>0</v>
      </c>
      <c r="G56" s="65">
        <f t="shared" si="37"/>
        <v>0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</row>
    <row r="57" spans="2:34">
      <c r="B57" s="74" t="s">
        <v>126</v>
      </c>
      <c r="C57" s="75"/>
      <c r="D57" s="8" t="s">
        <v>109</v>
      </c>
      <c r="E57" s="90">
        <v>895.68834472020535</v>
      </c>
      <c r="F57" s="90">
        <v>1069.1589096139267</v>
      </c>
      <c r="G57" s="65">
        <f t="shared" si="37"/>
        <v>626.96944096194954</v>
      </c>
      <c r="H57" s="44">
        <f>SUM(H58:H64,H67,H69,H68)</f>
        <v>52.998692485197829</v>
      </c>
      <c r="I57" s="44">
        <f>SUM(I58:I64,I67,I69,I68)</f>
        <v>49.572471929568501</v>
      </c>
      <c r="J57" s="44">
        <f t="shared" ref="J57:AE57" si="57">SUM(J58:J64,J67,J69,J68)</f>
        <v>46.761402141213331</v>
      </c>
      <c r="K57" s="44">
        <f t="shared" si="57"/>
        <v>51.869487017473965</v>
      </c>
      <c r="L57" s="44">
        <f t="shared" si="57"/>
        <v>61.212677838755674</v>
      </c>
      <c r="M57" s="44">
        <f t="shared" si="57"/>
        <v>51.736965274500605</v>
      </c>
      <c r="N57" s="44">
        <f t="shared" si="57"/>
        <v>52.844694403464658</v>
      </c>
      <c r="O57" s="44">
        <f t="shared" si="57"/>
        <v>52.231957877954677</v>
      </c>
      <c r="P57" s="44">
        <f t="shared" si="57"/>
        <v>47.799254493691535</v>
      </c>
      <c r="Q57" s="44">
        <f t="shared" si="57"/>
        <v>40.021023184103704</v>
      </c>
      <c r="R57" s="44">
        <f t="shared" si="57"/>
        <v>66.279740148607985</v>
      </c>
      <c r="S57" s="44">
        <f t="shared" si="57"/>
        <v>53.641074167417052</v>
      </c>
      <c r="T57" s="44">
        <f t="shared" si="57"/>
        <v>0</v>
      </c>
      <c r="U57" s="44">
        <f t="shared" si="57"/>
        <v>0</v>
      </c>
      <c r="V57" s="44">
        <f t="shared" si="57"/>
        <v>0</v>
      </c>
      <c r="W57" s="44">
        <f t="shared" si="57"/>
        <v>0</v>
      </c>
      <c r="X57" s="44">
        <f t="shared" si="57"/>
        <v>0</v>
      </c>
      <c r="Y57" s="44">
        <f t="shared" si="57"/>
        <v>0</v>
      </c>
      <c r="Z57" s="44">
        <f t="shared" si="57"/>
        <v>0</v>
      </c>
      <c r="AA57" s="44">
        <f t="shared" si="57"/>
        <v>0</v>
      </c>
      <c r="AB57" s="44">
        <f t="shared" si="57"/>
        <v>0</v>
      </c>
      <c r="AC57" s="44">
        <f t="shared" si="57"/>
        <v>0</v>
      </c>
      <c r="AD57" s="44">
        <f t="shared" si="57"/>
        <v>0</v>
      </c>
      <c r="AE57" s="44">
        <f t="shared" si="57"/>
        <v>0</v>
      </c>
    </row>
    <row r="58" spans="2:34">
      <c r="B58" s="76" t="s">
        <v>0</v>
      </c>
      <c r="C58" s="75" t="s">
        <v>72</v>
      </c>
      <c r="D58" s="8" t="s">
        <v>109</v>
      </c>
      <c r="E58" s="90">
        <v>42.055822502230846</v>
      </c>
      <c r="F58" s="90">
        <v>30.722179999999998</v>
      </c>
      <c r="G58" s="65">
        <f t="shared" si="37"/>
        <v>18.909200000000002</v>
      </c>
      <c r="H58" s="44">
        <f>H14+H15</f>
        <v>1.6824000000000014</v>
      </c>
      <c r="I58" s="44">
        <f>I14+I15</f>
        <v>1.2964000000000029</v>
      </c>
      <c r="J58" s="44">
        <f t="shared" ref="J58:AE58" si="58">J14+J15</f>
        <v>1.3540999999999954</v>
      </c>
      <c r="K58" s="44">
        <f t="shared" si="58"/>
        <v>1.6857000000000006</v>
      </c>
      <c r="L58" s="44">
        <f t="shared" si="58"/>
        <v>2.4563999999999999</v>
      </c>
      <c r="M58" s="44">
        <f t="shared" si="58"/>
        <v>1.5371000000000046</v>
      </c>
      <c r="N58" s="44">
        <f t="shared" si="58"/>
        <v>1.9414999999999996</v>
      </c>
      <c r="O58" s="44">
        <f t="shared" si="58"/>
        <v>1.8838999999999944</v>
      </c>
      <c r="P58" s="44">
        <f t="shared" si="58"/>
        <v>1.5540000000000038</v>
      </c>
      <c r="Q58" s="44">
        <f t="shared" si="58"/>
        <v>0.21659999999999568</v>
      </c>
      <c r="R58" s="44">
        <f t="shared" si="58"/>
        <v>1.9377000000000004</v>
      </c>
      <c r="S58" s="44">
        <f t="shared" si="58"/>
        <v>1.3634000000000035</v>
      </c>
      <c r="T58" s="44">
        <f t="shared" si="58"/>
        <v>0</v>
      </c>
      <c r="U58" s="44">
        <f t="shared" si="58"/>
        <v>0</v>
      </c>
      <c r="V58" s="44">
        <f t="shared" si="58"/>
        <v>0</v>
      </c>
      <c r="W58" s="44">
        <f t="shared" si="58"/>
        <v>0</v>
      </c>
      <c r="X58" s="44">
        <f t="shared" si="58"/>
        <v>0</v>
      </c>
      <c r="Y58" s="44">
        <f t="shared" si="58"/>
        <v>0</v>
      </c>
      <c r="Z58" s="44">
        <f t="shared" si="58"/>
        <v>0</v>
      </c>
      <c r="AA58" s="44">
        <f t="shared" si="58"/>
        <v>0</v>
      </c>
      <c r="AB58" s="44">
        <f t="shared" si="58"/>
        <v>0</v>
      </c>
      <c r="AC58" s="44">
        <f t="shared" si="58"/>
        <v>0</v>
      </c>
      <c r="AD58" s="44">
        <f t="shared" si="58"/>
        <v>0</v>
      </c>
      <c r="AE58" s="44">
        <f t="shared" si="58"/>
        <v>0</v>
      </c>
    </row>
    <row r="59" spans="2:34">
      <c r="B59" s="76" t="s">
        <v>145</v>
      </c>
      <c r="C59" s="75"/>
      <c r="D59" s="8"/>
      <c r="E59" s="90"/>
      <c r="F59" s="90">
        <v>16.877760515553668</v>
      </c>
      <c r="G59" s="65">
        <f t="shared" si="37"/>
        <v>7.7904600013463492</v>
      </c>
      <c r="H59" s="44">
        <f t="shared" ref="H59" si="59">IFERROR(((H58/(H58+H46))*H42),0)</f>
        <v>0.69915888301887963</v>
      </c>
      <c r="I59" s="44">
        <f t="shared" ref="I59:J59" si="60">IFERROR(((I58/(I58+I46))*I42),0)</f>
        <v>0.57076170666667669</v>
      </c>
      <c r="J59" s="44">
        <f t="shared" si="60"/>
        <v>0.5505957372413699</v>
      </c>
      <c r="K59" s="44">
        <f t="shared" ref="K59:AE59" si="61">IFERROR(((K58/(K58+K46))*K42),0)</f>
        <v>0.67107092666666357</v>
      </c>
      <c r="L59" s="44">
        <f t="shared" si="61"/>
        <v>0.91319516821187863</v>
      </c>
      <c r="M59" s="44">
        <f t="shared" si="61"/>
        <v>0.63303058834358295</v>
      </c>
      <c r="N59" s="44">
        <f t="shared" si="61"/>
        <v>0.77041335492226659</v>
      </c>
      <c r="O59" s="44">
        <f t="shared" si="61"/>
        <v>0.7306501951049007</v>
      </c>
      <c r="P59" s="44">
        <f t="shared" si="61"/>
        <v>0.57235636363631803</v>
      </c>
      <c r="Q59" s="44">
        <f t="shared" si="61"/>
        <v>0.12430498378377691</v>
      </c>
      <c r="R59" s="44">
        <f t="shared" si="61"/>
        <v>0.95839449375004016</v>
      </c>
      <c r="S59" s="44">
        <f t="shared" si="61"/>
        <v>0.59652759999999572</v>
      </c>
      <c r="T59" s="44">
        <f t="shared" si="61"/>
        <v>0</v>
      </c>
      <c r="U59" s="44">
        <f t="shared" si="61"/>
        <v>0</v>
      </c>
      <c r="V59" s="44">
        <f t="shared" si="61"/>
        <v>0</v>
      </c>
      <c r="W59" s="44">
        <f t="shared" si="61"/>
        <v>0</v>
      </c>
      <c r="X59" s="44">
        <f t="shared" si="61"/>
        <v>0</v>
      </c>
      <c r="Y59" s="44">
        <f t="shared" si="61"/>
        <v>0</v>
      </c>
      <c r="Z59" s="44">
        <f t="shared" si="61"/>
        <v>0</v>
      </c>
      <c r="AA59" s="44">
        <f t="shared" si="61"/>
        <v>0</v>
      </c>
      <c r="AB59" s="44">
        <f t="shared" si="61"/>
        <v>0</v>
      </c>
      <c r="AC59" s="44">
        <f t="shared" si="61"/>
        <v>0</v>
      </c>
      <c r="AD59" s="44">
        <f t="shared" si="61"/>
        <v>0</v>
      </c>
      <c r="AE59" s="44">
        <f t="shared" si="61"/>
        <v>0</v>
      </c>
    </row>
    <row r="60" spans="2:34">
      <c r="B60" s="76" t="s">
        <v>1</v>
      </c>
      <c r="C60" s="75"/>
      <c r="D60" s="8" t="s">
        <v>109</v>
      </c>
      <c r="E60" s="90">
        <v>143.05000000000001</v>
      </c>
      <c r="F60" s="90">
        <v>118.5800000000001</v>
      </c>
      <c r="G60" s="65">
        <f t="shared" si="37"/>
        <v>58.769999999999982</v>
      </c>
      <c r="H60" s="44">
        <f>H17</f>
        <v>5.2300000000000182</v>
      </c>
      <c r="I60" s="44">
        <f>I17</f>
        <v>4.9400000000000546</v>
      </c>
      <c r="J60" s="44">
        <f t="shared" ref="J60:AE60" si="62">J17</f>
        <v>4.7199999999999136</v>
      </c>
      <c r="K60" s="44">
        <f t="shared" si="62"/>
        <v>5.0900000000000318</v>
      </c>
      <c r="L60" s="44">
        <f t="shared" si="62"/>
        <v>5.7599999999999909</v>
      </c>
      <c r="M60" s="44">
        <f t="shared" si="62"/>
        <v>5.1100000000000136</v>
      </c>
      <c r="N60" s="44">
        <f t="shared" si="62"/>
        <v>4.9800000000000182</v>
      </c>
      <c r="O60" s="44">
        <f t="shared" si="62"/>
        <v>4.7699999999999818</v>
      </c>
      <c r="P60" s="44">
        <f t="shared" si="62"/>
        <v>3.7699999999999818</v>
      </c>
      <c r="Q60" s="44">
        <f t="shared" si="62"/>
        <v>3.4500000000000455</v>
      </c>
      <c r="R60" s="44">
        <f t="shared" si="62"/>
        <v>5.7599999999999909</v>
      </c>
      <c r="S60" s="44">
        <f t="shared" si="62"/>
        <v>5.1899999999999409</v>
      </c>
      <c r="T60" s="44">
        <f t="shared" si="62"/>
        <v>0</v>
      </c>
      <c r="U60" s="44">
        <f t="shared" si="62"/>
        <v>0</v>
      </c>
      <c r="V60" s="44">
        <f t="shared" si="62"/>
        <v>0</v>
      </c>
      <c r="W60" s="44">
        <f t="shared" si="62"/>
        <v>0</v>
      </c>
      <c r="X60" s="44">
        <f t="shared" si="62"/>
        <v>0</v>
      </c>
      <c r="Y60" s="44">
        <f t="shared" si="62"/>
        <v>0</v>
      </c>
      <c r="Z60" s="44">
        <f t="shared" si="62"/>
        <v>0</v>
      </c>
      <c r="AA60" s="44">
        <f t="shared" si="62"/>
        <v>0</v>
      </c>
      <c r="AB60" s="44">
        <f t="shared" si="62"/>
        <v>0</v>
      </c>
      <c r="AC60" s="44">
        <f t="shared" si="62"/>
        <v>0</v>
      </c>
      <c r="AD60" s="44">
        <f t="shared" si="62"/>
        <v>0</v>
      </c>
      <c r="AE60" s="44">
        <f t="shared" si="62"/>
        <v>0</v>
      </c>
    </row>
    <row r="61" spans="2:34">
      <c r="B61" s="76" t="s">
        <v>47</v>
      </c>
      <c r="C61" s="75"/>
      <c r="D61" s="8" t="s">
        <v>109</v>
      </c>
      <c r="E61" s="90">
        <v>152.99</v>
      </c>
      <c r="F61" s="90">
        <v>124.45999999999981</v>
      </c>
      <c r="G61" s="65">
        <f t="shared" si="37"/>
        <v>65.659999999999968</v>
      </c>
      <c r="H61" s="44">
        <f>H16</f>
        <v>5.75</v>
      </c>
      <c r="I61" s="44">
        <f>I16</f>
        <v>5.4499999999999318</v>
      </c>
      <c r="J61" s="44">
        <f t="shared" ref="J61:AE61" si="63">J16</f>
        <v>4.9300000000000637</v>
      </c>
      <c r="K61" s="44">
        <f t="shared" si="63"/>
        <v>4.8799999999999955</v>
      </c>
      <c r="L61" s="44">
        <f t="shared" si="63"/>
        <v>6.0900000000000318</v>
      </c>
      <c r="M61" s="44">
        <f t="shared" si="63"/>
        <v>5.75</v>
      </c>
      <c r="N61" s="44">
        <f t="shared" si="63"/>
        <v>5.6499999999999773</v>
      </c>
      <c r="O61" s="44">
        <f t="shared" si="63"/>
        <v>5.0900000000000318</v>
      </c>
      <c r="P61" s="44">
        <f t="shared" si="63"/>
        <v>4.8599999999999</v>
      </c>
      <c r="Q61" s="44">
        <f t="shared" si="63"/>
        <v>4.6500000000000909</v>
      </c>
      <c r="R61" s="44">
        <f t="shared" si="63"/>
        <v>6.8600000000000136</v>
      </c>
      <c r="S61" s="44">
        <f t="shared" si="63"/>
        <v>5.6999999999999318</v>
      </c>
      <c r="T61" s="44">
        <f t="shared" si="63"/>
        <v>0</v>
      </c>
      <c r="U61" s="44">
        <f t="shared" si="63"/>
        <v>0</v>
      </c>
      <c r="V61" s="44">
        <f t="shared" si="63"/>
        <v>0</v>
      </c>
      <c r="W61" s="44">
        <f t="shared" si="63"/>
        <v>0</v>
      </c>
      <c r="X61" s="44">
        <f t="shared" si="63"/>
        <v>0</v>
      </c>
      <c r="Y61" s="44">
        <f t="shared" si="63"/>
        <v>0</v>
      </c>
      <c r="Z61" s="44">
        <f t="shared" si="63"/>
        <v>0</v>
      </c>
      <c r="AA61" s="44">
        <f t="shared" si="63"/>
        <v>0</v>
      </c>
      <c r="AB61" s="44">
        <f t="shared" si="63"/>
        <v>0</v>
      </c>
      <c r="AC61" s="44">
        <f t="shared" si="63"/>
        <v>0</v>
      </c>
      <c r="AD61" s="44">
        <f t="shared" si="63"/>
        <v>0</v>
      </c>
      <c r="AE61" s="44">
        <f t="shared" si="63"/>
        <v>0</v>
      </c>
    </row>
    <row r="62" spans="2:34">
      <c r="B62" s="76" t="s">
        <v>48</v>
      </c>
      <c r="C62" s="75"/>
      <c r="D62" s="8" t="s">
        <v>109</v>
      </c>
      <c r="E62" s="90">
        <v>0</v>
      </c>
      <c r="F62" s="90">
        <v>39.199000000000012</v>
      </c>
      <c r="G62" s="65">
        <f t="shared" si="37"/>
        <v>18.722999999999992</v>
      </c>
      <c r="H62" s="44">
        <f>H32</f>
        <v>2.3999999999999986</v>
      </c>
      <c r="I62" s="44">
        <f>I32</f>
        <v>2.2270000000000039</v>
      </c>
      <c r="J62" s="44">
        <f t="shared" ref="J62:AE62" si="64">J32</f>
        <v>0.44599999999999795</v>
      </c>
      <c r="K62" s="44">
        <f t="shared" si="64"/>
        <v>0.19499999999999318</v>
      </c>
      <c r="L62" s="44">
        <f t="shared" si="64"/>
        <v>0.27600000000001046</v>
      </c>
      <c r="M62" s="44">
        <f t="shared" si="64"/>
        <v>0.2739999999999867</v>
      </c>
      <c r="N62" s="44">
        <f t="shared" si="64"/>
        <v>0.64700000000000557</v>
      </c>
      <c r="O62" s="44">
        <f t="shared" si="64"/>
        <v>2.1069999999999993</v>
      </c>
      <c r="P62" s="44">
        <f t="shared" si="64"/>
        <v>1.929000000000002</v>
      </c>
      <c r="Q62" s="44">
        <f t="shared" si="64"/>
        <v>2.2469999999999999</v>
      </c>
      <c r="R62" s="44">
        <f t="shared" si="64"/>
        <v>3.2540000000000049</v>
      </c>
      <c r="S62" s="44">
        <f t="shared" si="64"/>
        <v>2.7209999999999894</v>
      </c>
      <c r="T62" s="44">
        <f t="shared" si="64"/>
        <v>0</v>
      </c>
      <c r="U62" s="44">
        <f t="shared" si="64"/>
        <v>0</v>
      </c>
      <c r="V62" s="44">
        <f t="shared" si="64"/>
        <v>0</v>
      </c>
      <c r="W62" s="44">
        <f t="shared" si="64"/>
        <v>0</v>
      </c>
      <c r="X62" s="44">
        <f t="shared" si="64"/>
        <v>0</v>
      </c>
      <c r="Y62" s="44">
        <f t="shared" si="64"/>
        <v>0</v>
      </c>
      <c r="Z62" s="44">
        <f t="shared" si="64"/>
        <v>0</v>
      </c>
      <c r="AA62" s="44">
        <f t="shared" si="64"/>
        <v>0</v>
      </c>
      <c r="AB62" s="44">
        <f t="shared" si="64"/>
        <v>0</v>
      </c>
      <c r="AC62" s="44">
        <f t="shared" si="64"/>
        <v>0</v>
      </c>
      <c r="AD62" s="44">
        <f t="shared" si="64"/>
        <v>0</v>
      </c>
      <c r="AE62" s="44">
        <f t="shared" si="64"/>
        <v>0</v>
      </c>
      <c r="AH62" t="s">
        <v>94</v>
      </c>
    </row>
    <row r="63" spans="2:34">
      <c r="B63" s="76" t="s">
        <v>49</v>
      </c>
      <c r="C63" s="75" t="s">
        <v>72</v>
      </c>
      <c r="D63" s="8" t="s">
        <v>109</v>
      </c>
      <c r="E63" s="90">
        <v>0</v>
      </c>
      <c r="F63" s="90">
        <v>38.503447999999985</v>
      </c>
      <c r="G63" s="65">
        <f t="shared" si="37"/>
        <v>35.951768000000008</v>
      </c>
      <c r="H63" s="44">
        <f>H31</f>
        <v>3.082728000000003</v>
      </c>
      <c r="I63" s="44">
        <f>I31</f>
        <v>2.7569839999999957</v>
      </c>
      <c r="J63" s="44">
        <f t="shared" ref="J63:AE63" si="65">J31</f>
        <v>2.6262360000000058</v>
      </c>
      <c r="K63" s="44">
        <f t="shared" si="65"/>
        <v>2.8394319999999951</v>
      </c>
      <c r="L63" s="44">
        <f t="shared" si="65"/>
        <v>3.4741880000000052</v>
      </c>
      <c r="M63" s="44">
        <f t="shared" si="65"/>
        <v>3.4623599999999968</v>
      </c>
      <c r="N63" s="44">
        <f t="shared" si="65"/>
        <v>3.4465520000000041</v>
      </c>
      <c r="O63" s="44">
        <f t="shared" si="65"/>
        <v>2.9140759999999943</v>
      </c>
      <c r="P63" s="44">
        <f t="shared" si="65"/>
        <v>2.9242920000000083</v>
      </c>
      <c r="Q63" s="44">
        <f t="shared" si="65"/>
        <v>2.7509359999999958</v>
      </c>
      <c r="R63" s="44">
        <f t="shared" si="65"/>
        <v>2.6403119999999944</v>
      </c>
      <c r="S63" s="44">
        <f t="shared" si="65"/>
        <v>3.0336720000000099</v>
      </c>
      <c r="T63" s="44">
        <f t="shared" si="65"/>
        <v>0</v>
      </c>
      <c r="U63" s="44">
        <f t="shared" si="65"/>
        <v>0</v>
      </c>
      <c r="V63" s="44">
        <f t="shared" si="65"/>
        <v>0</v>
      </c>
      <c r="W63" s="44">
        <f t="shared" si="65"/>
        <v>0</v>
      </c>
      <c r="X63" s="44">
        <f t="shared" si="65"/>
        <v>0</v>
      </c>
      <c r="Y63" s="44">
        <f t="shared" si="65"/>
        <v>0</v>
      </c>
      <c r="Z63" s="44">
        <f t="shared" si="65"/>
        <v>0</v>
      </c>
      <c r="AA63" s="44">
        <f t="shared" si="65"/>
        <v>0</v>
      </c>
      <c r="AB63" s="44">
        <f t="shared" si="65"/>
        <v>0</v>
      </c>
      <c r="AC63" s="44">
        <f t="shared" si="65"/>
        <v>0</v>
      </c>
      <c r="AD63" s="44">
        <f t="shared" si="65"/>
        <v>0</v>
      </c>
      <c r="AE63" s="44">
        <f t="shared" si="65"/>
        <v>0</v>
      </c>
    </row>
    <row r="64" spans="2:34">
      <c r="B64" s="76" t="s">
        <v>99</v>
      </c>
      <c r="C64" s="75" t="s">
        <v>72</v>
      </c>
      <c r="D64" s="8" t="s">
        <v>109</v>
      </c>
      <c r="E64" s="90">
        <v>105.07174835220346</v>
      </c>
      <c r="F64" s="90">
        <v>90.826397083165901</v>
      </c>
      <c r="G64" s="65">
        <f t="shared" si="37"/>
        <v>56.792756213396125</v>
      </c>
      <c r="H64" s="89">
        <f>IFERROR('[2]Konsumsi &amp; pareto'!H$39/('[2]Konsumsi &amp; pareto'!H$39+'[2]Konsumsi &amp; pareto'!H$30)*H18,0)</f>
        <v>3.730236001536559</v>
      </c>
      <c r="I64" s="89">
        <f>IFERROR('[2]Konsumsi &amp; pareto'!I$39/('[2]Konsumsi &amp; pareto'!I$39+'[2]Konsumsi &amp; pareto'!I$30)*I18,0)</f>
        <v>4.4527807918308184</v>
      </c>
      <c r="J64" s="89">
        <f>IFERROR('[2]Konsumsi &amp; pareto'!J$39/('[2]Konsumsi &amp; pareto'!J$39+'[2]Konsumsi &amp; pareto'!J$30)*J18,0)</f>
        <v>3.9871835747620068</v>
      </c>
      <c r="K64" s="89">
        <f>IFERROR('[2]Konsumsi &amp; pareto'!K$39/('[2]Konsumsi &amp; pareto'!K$39+'[2]Konsumsi &amp; pareto'!K$30)*K18,0)</f>
        <v>5.8186044663543921</v>
      </c>
      <c r="L64" s="89">
        <f>IFERROR('[2]Konsumsi &amp; pareto'!L$39/('[2]Konsumsi &amp; pareto'!L$39+'[2]Konsumsi &amp; pareto'!L$30)*L18,0)</f>
        <v>4.9140888786812891</v>
      </c>
      <c r="M64" s="89">
        <f>IFERROR('[2]Konsumsi &amp; pareto'!M$39/('[2]Konsumsi &amp; pareto'!M$39+'[2]Konsumsi &amp; pareto'!M$30)*M18,0)</f>
        <v>5.1060824116456098</v>
      </c>
      <c r="N64" s="89">
        <f>IFERROR('[2]Konsumsi &amp; pareto'!N$39/('[2]Konsumsi &amp; pareto'!N$39+'[2]Konsumsi &amp; pareto'!N$30)*N18,0)</f>
        <v>4.5652106448674159</v>
      </c>
      <c r="O64" s="89">
        <f>IFERROR('[2]Konsumsi &amp; pareto'!O$39/('[2]Konsumsi &amp; pareto'!O$39+'[2]Konsumsi &amp; pareto'!O$30)*O18,0)</f>
        <v>4.9250559148465838</v>
      </c>
      <c r="P64" s="89">
        <f>IFERROR('[2]Konsumsi &amp; pareto'!P$39/('[2]Konsumsi &amp; pareto'!P$39+'[2]Konsumsi &amp; pareto'!P$30)*P18,0)</f>
        <v>4.7763918065934918</v>
      </c>
      <c r="Q64" s="89">
        <f>IFERROR('[2]Konsumsi &amp; pareto'!Q$39/('[2]Konsumsi &amp; pareto'!Q$39+'[2]Konsumsi &amp; pareto'!Q$30)*Q18,0)</f>
        <v>4.1816786502483323</v>
      </c>
      <c r="R64" s="89">
        <f>IFERROR('[2]Konsumsi &amp; pareto'!R$39/('[2]Konsumsi &amp; pareto'!R$39+'[2]Konsumsi &amp; pareto'!R$30)*R18,0)</f>
        <v>6.1001035245515256</v>
      </c>
      <c r="S64" s="89">
        <f>IFERROR('[2]Konsumsi &amp; pareto'!S$39/('[2]Konsumsi &amp; pareto'!S$39+'[2]Konsumsi &amp; pareto'!S$30)*S18,0)</f>
        <v>4.2353395474781079</v>
      </c>
      <c r="T64" s="89">
        <f>IFERROR('[2]Konsumsi &amp; pareto'!T$39/('[2]Konsumsi &amp; pareto'!T$39+'[2]Konsumsi &amp; pareto'!T$30)*T18,0)</f>
        <v>0</v>
      </c>
      <c r="U64" s="89">
        <f>IFERROR('[2]Konsumsi &amp; pareto'!U$39/('[2]Konsumsi &amp; pareto'!U$39+'[2]Konsumsi &amp; pareto'!U$30)*U18,0)</f>
        <v>0</v>
      </c>
      <c r="V64" s="89">
        <f>IFERROR('[2]Konsumsi &amp; pareto'!V$39/('[2]Konsumsi &amp; pareto'!V$39+'[2]Konsumsi &amp; pareto'!V$30)*V18,0)</f>
        <v>0</v>
      </c>
      <c r="W64" s="89">
        <f>IFERROR('[2]Konsumsi &amp; pareto'!W$39/('[2]Konsumsi &amp; pareto'!W$39+'[2]Konsumsi &amp; pareto'!W$30)*W18,0)</f>
        <v>0</v>
      </c>
      <c r="X64" s="89">
        <f>IFERROR('[2]Konsumsi &amp; pareto'!X$39/('[2]Konsumsi &amp; pareto'!X$39+'[2]Konsumsi &amp; pareto'!X$30)*X18,0)</f>
        <v>0</v>
      </c>
      <c r="Y64" s="89">
        <f>IFERROR('[2]Konsumsi &amp; pareto'!Y$39/('[2]Konsumsi &amp; pareto'!Y$39+'[2]Konsumsi &amp; pareto'!Y$30)*Y18,0)</f>
        <v>0</v>
      </c>
      <c r="Z64" s="89">
        <f>IFERROR('[2]Konsumsi &amp; pareto'!Z$39/('[2]Konsumsi &amp; pareto'!Z$39+'[2]Konsumsi &amp; pareto'!Z$30)*Z18,0)</f>
        <v>0</v>
      </c>
      <c r="AA64" s="89">
        <f>IFERROR('[2]Konsumsi &amp; pareto'!AA$39/('[2]Konsumsi &amp; pareto'!AA$39+'[2]Konsumsi &amp; pareto'!AA$30)*AA18,0)</f>
        <v>0</v>
      </c>
      <c r="AB64" s="89">
        <f>IFERROR('[2]Konsumsi &amp; pareto'!AB$39/('[2]Konsumsi &amp; pareto'!AB$39+'[2]Konsumsi &amp; pareto'!AB$30)*AB18,0)</f>
        <v>0</v>
      </c>
      <c r="AC64" s="89">
        <f>IFERROR('[2]Konsumsi &amp; pareto'!AC$39/('[2]Konsumsi &amp; pareto'!AC$39+'[2]Konsumsi &amp; pareto'!AC$30)*AC18,0)</f>
        <v>0</v>
      </c>
      <c r="AD64" s="89">
        <f>IFERROR('[2]Konsumsi &amp; pareto'!AD$39/('[2]Konsumsi &amp; pareto'!AD$39+'[2]Konsumsi &amp; pareto'!AD$30)*AD18,0)</f>
        <v>0</v>
      </c>
      <c r="AE64" s="89">
        <f>IFERROR('[2]Konsumsi &amp; pareto'!AE$39/('[2]Konsumsi &amp; pareto'!AE$39+'[2]Konsumsi &amp; pareto'!AE$30)*AE18,0)</f>
        <v>0</v>
      </c>
    </row>
    <row r="65" spans="2:32">
      <c r="B65" s="77" t="s">
        <v>0</v>
      </c>
      <c r="C65" s="75"/>
      <c r="D65" s="8" t="s">
        <v>109</v>
      </c>
      <c r="E65" s="90">
        <v>28.433512018718393</v>
      </c>
      <c r="F65" s="90">
        <v>21.352249332101387</v>
      </c>
      <c r="G65" s="65">
        <f t="shared" si="37"/>
        <v>19.747486940145759</v>
      </c>
      <c r="H65" s="44">
        <f>IFERROR('[2]Konsumsi &amp; pareto'!H$55/('[2]Konsumsi &amp; pareto'!H$39+'[2]Konsumsi &amp; pareto'!H$30)*H18,0)</f>
        <v>1.0280590061727899</v>
      </c>
      <c r="I65" s="44">
        <f>IFERROR('[2]Konsumsi &amp; pareto'!I$55/('[2]Konsumsi &amp; pareto'!I$39+'[2]Konsumsi &amp; pareto'!I$30)*I18,0)</f>
        <v>1.1577229859094726</v>
      </c>
      <c r="J65" s="44">
        <f>IFERROR('[2]Konsumsi &amp; pareto'!J$55/('[2]Konsumsi &amp; pareto'!J$39+'[2]Konsumsi &amp; pareto'!J$30)*J18,0)</f>
        <v>1.2598337657451377</v>
      </c>
      <c r="K65" s="44">
        <f>IFERROR('[2]Konsumsi &amp; pareto'!K$55/('[2]Konsumsi &amp; pareto'!K$39+'[2]Konsumsi &amp; pareto'!K$30)*K18,0)</f>
        <v>2.3187959221897683</v>
      </c>
      <c r="L65" s="44">
        <f>IFERROR('[2]Konsumsi &amp; pareto'!L$55/('[2]Konsumsi &amp; pareto'!L$39+'[2]Konsumsi &amp; pareto'!L$30)*L18,0)</f>
        <v>1.9848111477954404</v>
      </c>
      <c r="M65" s="44">
        <f>IFERROR('[2]Konsumsi &amp; pareto'!M$55/('[2]Konsumsi &amp; pareto'!M$39+'[2]Konsumsi &amp; pareto'!M$30)*M18,0)</f>
        <v>1.6265705121670935</v>
      </c>
      <c r="N65" s="44">
        <f>IFERROR('[2]Konsumsi &amp; pareto'!N$55/('[2]Konsumsi &amp; pareto'!N$39+'[2]Konsumsi &amp; pareto'!N$30)*N18,0)</f>
        <v>2.0702697148559603</v>
      </c>
      <c r="O65" s="44">
        <f>IFERROR('[2]Konsumsi &amp; pareto'!O$55/('[2]Konsumsi &amp; pareto'!O$39+'[2]Konsumsi &amp; pareto'!O$30)*O18,0)</f>
        <v>2.1036588073499902</v>
      </c>
      <c r="P65" s="44">
        <f>IFERROR('[2]Konsumsi &amp; pareto'!P$55/('[2]Konsumsi &amp; pareto'!P$39+'[2]Konsumsi &amp; pareto'!P$30)*P18,0)</f>
        <v>1.9289264627725378</v>
      </c>
      <c r="Q65" s="44">
        <f>IFERROR('[2]Konsumsi &amp; pareto'!Q$55/('[2]Konsumsi &amp; pareto'!Q$39+'[2]Konsumsi &amp; pareto'!Q$30)*Q18,0)</f>
        <v>0.43797503850464803</v>
      </c>
      <c r="R65" s="44">
        <f>IFERROR('[2]Konsumsi &amp; pareto'!R$55/('[2]Konsumsi &amp; pareto'!R$39+'[2]Konsumsi &amp; pareto'!R$30)*R18,0)</f>
        <v>2.6980864858064995</v>
      </c>
      <c r="S65" s="44">
        <f>IFERROR('[2]Konsumsi &amp; pareto'!S$55/('[2]Konsumsi &amp; pareto'!S$39+'[2]Konsumsi &amp; pareto'!S$30)*S18,0)</f>
        <v>1.132777090876419</v>
      </c>
      <c r="T65" s="44">
        <f>IFERROR('[2]Konsumsi &amp; pareto'!T$55/('[2]Konsumsi &amp; pareto'!T$39+'[2]Konsumsi &amp; pareto'!T$30)*T18,0)</f>
        <v>0</v>
      </c>
      <c r="U65" s="44">
        <f>IFERROR('[2]Konsumsi &amp; pareto'!U$55/('[2]Konsumsi &amp; pareto'!U$39+'[2]Konsumsi &amp; pareto'!U$30)*U18,0)</f>
        <v>0</v>
      </c>
      <c r="V65" s="44">
        <f>IFERROR('[2]Konsumsi &amp; pareto'!V$55/('[2]Konsumsi &amp; pareto'!V$39+'[2]Konsumsi &amp; pareto'!V$30)*V18,0)</f>
        <v>0</v>
      </c>
      <c r="W65" s="44">
        <f>IFERROR('[2]Konsumsi &amp; pareto'!W$55/('[2]Konsumsi &amp; pareto'!W$39+'[2]Konsumsi &amp; pareto'!W$30)*W18,0)</f>
        <v>0</v>
      </c>
      <c r="X65" s="44">
        <f>IFERROR('[2]Konsumsi &amp; pareto'!X$55/('[2]Konsumsi &amp; pareto'!X$39+'[2]Konsumsi &amp; pareto'!X$30)*X18,0)</f>
        <v>0</v>
      </c>
      <c r="Y65" s="44">
        <f>IFERROR('[2]Konsumsi &amp; pareto'!Y$55/('[2]Konsumsi &amp; pareto'!Y$39+'[2]Konsumsi &amp; pareto'!Y$30)*Y18,0)</f>
        <v>0</v>
      </c>
      <c r="Z65" s="44">
        <f>IFERROR('[2]Konsumsi &amp; pareto'!Z$55/('[2]Konsumsi &amp; pareto'!Z$39+'[2]Konsumsi &amp; pareto'!Z$30)*Z18,0)</f>
        <v>0</v>
      </c>
      <c r="AA65" s="44">
        <f>IFERROR('[2]Konsumsi &amp; pareto'!AA$55/('[2]Konsumsi &amp; pareto'!AA$39+'[2]Konsumsi &amp; pareto'!AA$30)*AA18,0)</f>
        <v>0</v>
      </c>
      <c r="AB65" s="44">
        <f>IFERROR('[2]Konsumsi &amp; pareto'!AB$55/('[2]Konsumsi &amp; pareto'!AB$39+'[2]Konsumsi &amp; pareto'!AB$30)*AB18,0)</f>
        <v>0</v>
      </c>
      <c r="AC65" s="44">
        <f>IFERROR('[2]Konsumsi &amp; pareto'!AC$55/('[2]Konsumsi &amp; pareto'!AC$39+'[2]Konsumsi &amp; pareto'!AC$30)*AC18,0)</f>
        <v>0</v>
      </c>
      <c r="AD65" s="44">
        <f>IFERROR('[2]Konsumsi &amp; pareto'!AD$55/('[2]Konsumsi &amp; pareto'!AD$39+'[2]Konsumsi &amp; pareto'!AD$30)*AD18,0)</f>
        <v>0</v>
      </c>
      <c r="AE65" s="44">
        <f>IFERROR('[2]Konsumsi &amp; pareto'!AE$55/('[2]Konsumsi &amp; pareto'!AE$39+'[2]Konsumsi &amp; pareto'!AE$30)*AE18,0)</f>
        <v>0</v>
      </c>
    </row>
    <row r="66" spans="2:32">
      <c r="B66" s="77" t="s">
        <v>1</v>
      </c>
      <c r="C66" s="75"/>
      <c r="D66" s="8" t="s">
        <v>109</v>
      </c>
      <c r="E66" s="90">
        <v>60.668777266338395</v>
      </c>
      <c r="F66" s="90">
        <v>40.885936859001013</v>
      </c>
      <c r="G66" s="65">
        <f t="shared" si="37"/>
        <v>22.883990400393493</v>
      </c>
      <c r="H66" s="88">
        <f>IFERROR('[2]Konsumsi &amp; pareto'!H$56/('[2]Konsumsi &amp; pareto'!H$39+'[2]Konsumsi &amp; pareto'!H$30)*H18,0)</f>
        <v>1.7884218167437527</v>
      </c>
      <c r="I66" s="88">
        <f>IFERROR('[2]Konsumsi &amp; pareto'!I$56/('[2]Konsumsi &amp; pareto'!I$39+'[2]Konsumsi &amp; pareto'!I$30)*I18,0)</f>
        <v>2.1315324659202872</v>
      </c>
      <c r="J66" s="88">
        <f>IFERROR('[2]Konsumsi &amp; pareto'!J$56/('[2]Konsumsi &amp; pareto'!J$39+'[2]Konsumsi &amp; pareto'!J$30)*J18,0)</f>
        <v>1.7785941684305016</v>
      </c>
      <c r="K66" s="88">
        <f>IFERROR('[2]Konsumsi &amp; pareto'!K$56/('[2]Konsumsi &amp; pareto'!K$39+'[2]Konsumsi &amp; pareto'!K$30)*K18,0)</f>
        <v>2.2587454964003273</v>
      </c>
      <c r="L66" s="88">
        <f>IFERROR('[2]Konsumsi &amp; pareto'!L$56/('[2]Konsumsi &amp; pareto'!L$39+'[2]Konsumsi &amp; pareto'!L$30)*L18,0)</f>
        <v>1.8816253332625368</v>
      </c>
      <c r="M66" s="88">
        <f>IFERROR('[2]Konsumsi &amp; pareto'!M$56/('[2]Konsumsi &amp; pareto'!M$39+'[2]Konsumsi &amp; pareto'!M$30)*M18,0)</f>
        <v>2.2096672479880408</v>
      </c>
      <c r="N66" s="88">
        <f>IFERROR('[2]Konsumsi &amp; pareto'!N$56/('[2]Konsumsi &amp; pareto'!N$39+'[2]Konsumsi &amp; pareto'!N$30)*N18,0)</f>
        <v>1.6004513665350406</v>
      </c>
      <c r="O66" s="88">
        <f>IFERROR('[2]Konsumsi &amp; pareto'!O$56/('[2]Konsumsi &amp; pareto'!O$39+'[2]Konsumsi &amp; pareto'!O$30)*O18,0)</f>
        <v>1.7567131686755824</v>
      </c>
      <c r="P66" s="88">
        <f>IFERROR('[2]Konsumsi &amp; pareto'!P$56/('[2]Konsumsi &amp; pareto'!P$39+'[2]Konsumsi &amp; pareto'!P$30)*P18,0)</f>
        <v>1.8554703693590078</v>
      </c>
      <c r="Q66" s="88">
        <f>IFERROR('[2]Konsumsi &amp; pareto'!Q$56/('[2]Konsumsi &amp; pareto'!Q$39+'[2]Konsumsi &amp; pareto'!Q$30)*Q18,0)</f>
        <v>1.494086198869204</v>
      </c>
      <c r="R66" s="88">
        <f>IFERROR('[2]Konsumsi &amp; pareto'!R$56/('[2]Konsumsi &amp; pareto'!R$39+'[2]Konsumsi &amp; pareto'!R$30)*R18,0)</f>
        <v>2.1425939224117383</v>
      </c>
      <c r="S66" s="88">
        <f>IFERROR('[2]Konsumsi &amp; pareto'!S$56/('[2]Konsumsi &amp; pareto'!S$39+'[2]Konsumsi &amp; pareto'!S$30)*S18,0)</f>
        <v>1.986088845797475</v>
      </c>
      <c r="T66" s="88">
        <f>IFERROR('[2]Konsumsi &amp; pareto'!T$56/('[2]Konsumsi &amp; pareto'!T$39+'[2]Konsumsi &amp; pareto'!T$30)*T18,0)</f>
        <v>0</v>
      </c>
      <c r="U66" s="88">
        <f>IFERROR('[2]Konsumsi &amp; pareto'!U$56/('[2]Konsumsi &amp; pareto'!U$39+'[2]Konsumsi &amp; pareto'!U$30)*U18,0)</f>
        <v>0</v>
      </c>
      <c r="V66" s="88">
        <f>IFERROR('[2]Konsumsi &amp; pareto'!V$56/('[2]Konsumsi &amp; pareto'!V$39+'[2]Konsumsi &amp; pareto'!V$30)*V18,0)</f>
        <v>0</v>
      </c>
      <c r="W66" s="88">
        <f>IFERROR('[2]Konsumsi &amp; pareto'!W$56/('[2]Konsumsi &amp; pareto'!W$39+'[2]Konsumsi &amp; pareto'!W$30)*W18,0)</f>
        <v>0</v>
      </c>
      <c r="X66" s="88">
        <f>IFERROR('[2]Konsumsi &amp; pareto'!X$56/('[2]Konsumsi &amp; pareto'!X$39+'[2]Konsumsi &amp; pareto'!X$30)*X18,0)</f>
        <v>0</v>
      </c>
      <c r="Y66" s="88">
        <f>IFERROR('[2]Konsumsi &amp; pareto'!Y$56/('[2]Konsumsi &amp; pareto'!Y$39+'[2]Konsumsi &amp; pareto'!Y$30)*Y18,0)</f>
        <v>0</v>
      </c>
      <c r="Z66" s="88">
        <f>IFERROR('[2]Konsumsi &amp; pareto'!Z$56/('[2]Konsumsi &amp; pareto'!Z$39+'[2]Konsumsi &amp; pareto'!Z$30)*Z18,0)</f>
        <v>0</v>
      </c>
      <c r="AA66" s="88">
        <f>IFERROR('[2]Konsumsi &amp; pareto'!AA$56/('[2]Konsumsi &amp; pareto'!AA$39+'[2]Konsumsi &amp; pareto'!AA$30)*AA18,0)</f>
        <v>0</v>
      </c>
      <c r="AB66" s="88">
        <f>IFERROR('[2]Konsumsi &amp; pareto'!AB$56/('[2]Konsumsi &amp; pareto'!AB$39+'[2]Konsumsi &amp; pareto'!AB$30)*AB18,0)</f>
        <v>0</v>
      </c>
      <c r="AC66" s="88">
        <f>IFERROR('[2]Konsumsi &amp; pareto'!AC$56/('[2]Konsumsi &amp; pareto'!AC$39+'[2]Konsumsi &amp; pareto'!AC$30)*AC18,0)</f>
        <v>0</v>
      </c>
      <c r="AD66" s="88">
        <f>IFERROR('[2]Konsumsi &amp; pareto'!AD$56/('[2]Konsumsi &amp; pareto'!AD$39+'[2]Konsumsi &amp; pareto'!AD$30)*AD18,0)</f>
        <v>0</v>
      </c>
      <c r="AE66" s="88">
        <f>IFERROR('[2]Konsumsi &amp; pareto'!AE$56/('[2]Konsumsi &amp; pareto'!AE$39+'[2]Konsumsi &amp; pareto'!AE$30)*AE18,0)</f>
        <v>0</v>
      </c>
    </row>
    <row r="67" spans="2:32">
      <c r="B67" s="76" t="s">
        <v>46</v>
      </c>
      <c r="C67" s="75" t="s">
        <v>72</v>
      </c>
      <c r="D67" s="8" t="s">
        <v>109</v>
      </c>
      <c r="E67" s="90">
        <v>68.90833333333336</v>
      </c>
      <c r="F67" s="90">
        <v>210.60132299999998</v>
      </c>
      <c r="G67" s="65">
        <f t="shared" si="37"/>
        <v>130.17318</v>
      </c>
      <c r="H67" s="44">
        <f t="shared" ref="H67" si="66">IFERROR(H23+(3/4*H22),0)</f>
        <v>11.754790000000014</v>
      </c>
      <c r="I67" s="44">
        <f t="shared" ref="I67:J67" si="67">IFERROR(I23+(3/4*I22),0)</f>
        <v>10.742189999999979</v>
      </c>
      <c r="J67" s="44">
        <f t="shared" si="67"/>
        <v>9.6118799999999993</v>
      </c>
      <c r="K67" s="44">
        <f t="shared" ref="K67:AE67" si="68">IFERROR(K23+(3/4*K22),0)</f>
        <v>9.8769000000000062</v>
      </c>
      <c r="L67" s="44">
        <f t="shared" si="68"/>
        <v>12.517400000000023</v>
      </c>
      <c r="M67" s="44">
        <f t="shared" si="68"/>
        <v>11.401939999999996</v>
      </c>
      <c r="N67" s="44">
        <f t="shared" si="68"/>
        <v>10.455659999999995</v>
      </c>
      <c r="O67" s="44">
        <f t="shared" si="68"/>
        <v>10.235400000000013</v>
      </c>
      <c r="P67" s="44">
        <f t="shared" si="68"/>
        <v>10.302999999999955</v>
      </c>
      <c r="Q67" s="44">
        <f t="shared" si="68"/>
        <v>9.2524800000000198</v>
      </c>
      <c r="R67" s="44">
        <f t="shared" si="68"/>
        <v>13.216860000000011</v>
      </c>
      <c r="S67" s="44">
        <f t="shared" si="68"/>
        <v>10.804679999999991</v>
      </c>
      <c r="T67" s="44">
        <f t="shared" si="68"/>
        <v>0</v>
      </c>
      <c r="U67" s="44">
        <f t="shared" si="68"/>
        <v>0</v>
      </c>
      <c r="V67" s="44">
        <f t="shared" si="68"/>
        <v>0</v>
      </c>
      <c r="W67" s="44">
        <f t="shared" si="68"/>
        <v>0</v>
      </c>
      <c r="X67" s="44">
        <f t="shared" si="68"/>
        <v>0</v>
      </c>
      <c r="Y67" s="44">
        <f t="shared" si="68"/>
        <v>0</v>
      </c>
      <c r="Z67" s="44">
        <f t="shared" si="68"/>
        <v>0</v>
      </c>
      <c r="AA67" s="44">
        <f t="shared" si="68"/>
        <v>0</v>
      </c>
      <c r="AB67" s="44">
        <f t="shared" si="68"/>
        <v>0</v>
      </c>
      <c r="AC67" s="44">
        <f t="shared" si="68"/>
        <v>0</v>
      </c>
      <c r="AD67" s="44">
        <f t="shared" si="68"/>
        <v>0</v>
      </c>
      <c r="AE67" s="44">
        <f t="shared" si="68"/>
        <v>0</v>
      </c>
    </row>
    <row r="68" spans="2:32">
      <c r="B68" s="76" t="s">
        <v>142</v>
      </c>
      <c r="C68" s="75"/>
      <c r="D68" s="8"/>
      <c r="E68" s="90"/>
      <c r="F68" s="90">
        <v>4.7898386144212077</v>
      </c>
      <c r="G68" s="65">
        <f t="shared" si="37"/>
        <v>3.8817437211506443</v>
      </c>
      <c r="H68" s="44">
        <f>IFERROR(SUM('[2]Konsumsi &amp; pareto'!H$68:H$69)/SUM('[2]Konsumsi &amp; pareto'!H$64:H$65,'[2]Konsumsi &amp; pareto'!H$68:H$69),0)</f>
        <v>0.23362142836095884</v>
      </c>
      <c r="I68" s="44">
        <f>IFERROR(SUM('[2]Konsumsi &amp; pareto'!I$68:I$69)/SUM('[2]Konsumsi &amp; pareto'!I$64:I$65,'[2]Konsumsi &amp; pareto'!I$68:I$69),0)</f>
        <v>0.30733720698868289</v>
      </c>
      <c r="J68" s="44">
        <f>IFERROR(SUM('[2]Konsumsi &amp; pareto'!J$68:J$69)/SUM('[2]Konsumsi &amp; pareto'!J$64:J$65,'[2]Konsumsi &amp; pareto'!J$68:J$69),0)</f>
        <v>0.30646225095247071</v>
      </c>
      <c r="K68" s="44">
        <f>IFERROR(SUM('[2]Konsumsi &amp; pareto'!K$68:K$69)/SUM('[2]Konsumsi &amp; pareto'!K$64:K$65,'[2]Konsumsi &amp; pareto'!K$68:K$69),0)</f>
        <v>0.40689785437347215</v>
      </c>
      <c r="L68" s="44">
        <f>IFERROR(SUM('[2]Konsumsi &amp; pareto'!L$68:L$69)/SUM('[2]Konsumsi &amp; pareto'!L$64:L$65,'[2]Konsumsi &amp; pareto'!L$68:L$69),0)</f>
        <v>0.29915228722213616</v>
      </c>
      <c r="M68" s="44">
        <f>IFERROR(SUM('[2]Konsumsi &amp; pareto'!M$68:M$69)/SUM('[2]Konsumsi &amp; pareto'!M$64:M$65,'[2]Konsumsi &amp; pareto'!M$68:M$69),0)</f>
        <v>0.31863189806690073</v>
      </c>
      <c r="N68" s="44">
        <f>IFERROR(SUM('[2]Konsumsi &amp; pareto'!N$68:N$69)/SUM('[2]Konsumsi &amp; pareto'!N$64:N$65,'[2]Konsumsi &amp; pareto'!N$68:N$69),0)</f>
        <v>0.29783049078960883</v>
      </c>
      <c r="O68" s="44">
        <f>IFERROR(SUM('[2]Konsumsi &amp; pareto'!O$68:O$69)/SUM('[2]Konsumsi &amp; pareto'!O$64:O$65,'[2]Konsumsi &amp; pareto'!O$68:O$69),0)</f>
        <v>0.35039168081892247</v>
      </c>
      <c r="P68" s="44">
        <f>IFERROR(SUM('[2]Konsumsi &amp; pareto'!P$68:P$69)/SUM('[2]Konsumsi &amp; pareto'!P$64:P$65,'[2]Konsumsi &amp; pareto'!P$68:P$69),0)</f>
        <v>0.40614153460778202</v>
      </c>
      <c r="Q68" s="44">
        <f>IFERROR(SUM('[2]Konsumsi &amp; pareto'!Q$68:Q$69)/SUM('[2]Konsumsi &amp; pareto'!Q$64:Q$65,'[2]Konsumsi &amp; pareto'!Q$68:Q$69),0)</f>
        <v>0.32229357842562201</v>
      </c>
      <c r="R68" s="44">
        <f>IFERROR(SUM('[2]Konsumsi &amp; pareto'!R$68:R$69)/SUM('[2]Konsumsi &amp; pareto'!R$64:R$65,'[2]Konsumsi &amp; pareto'!R$68:R$69),0)</f>
        <v>0.33497855569859292</v>
      </c>
      <c r="S68" s="44">
        <f>IFERROR(SUM('[2]Konsumsi &amp; pareto'!S$68:S$69)/SUM('[2]Konsumsi &amp; pareto'!S$64:S$65,'[2]Konsumsi &amp; pareto'!S$68:S$69),0)</f>
        <v>0.29800495484549427</v>
      </c>
      <c r="T68" s="44">
        <f>IFERROR(SUM('[2]Konsumsi &amp; pareto'!T$68:T$69)/SUM('[2]Konsumsi &amp; pareto'!T$64:T$65,'[2]Konsumsi &amp; pareto'!T$68:T$69),0)</f>
        <v>0</v>
      </c>
      <c r="U68" s="44">
        <f>IFERROR(SUM('[2]Konsumsi &amp; pareto'!U$68:U$69)/SUM('[2]Konsumsi &amp; pareto'!U$64:U$65,'[2]Konsumsi &amp; pareto'!U$68:U$69),0)</f>
        <v>0</v>
      </c>
      <c r="V68" s="44">
        <f>IFERROR(SUM('[2]Konsumsi &amp; pareto'!V$68:V$69)/SUM('[2]Konsumsi &amp; pareto'!V$64:V$65,'[2]Konsumsi &amp; pareto'!V$68:V$69),0)</f>
        <v>0</v>
      </c>
      <c r="W68" s="44">
        <f>IFERROR(SUM('[2]Konsumsi &amp; pareto'!W$68:W$69)/SUM('[2]Konsumsi &amp; pareto'!W$64:W$65,'[2]Konsumsi &amp; pareto'!W$68:W$69),0)</f>
        <v>0</v>
      </c>
      <c r="X68" s="44">
        <f>IFERROR(SUM('[2]Konsumsi &amp; pareto'!X$68:X$69)/SUM('[2]Konsumsi &amp; pareto'!X$64:X$65,'[2]Konsumsi &amp; pareto'!X$68:X$69),0)</f>
        <v>0</v>
      </c>
      <c r="Y68" s="44">
        <f>IFERROR(SUM('[2]Konsumsi &amp; pareto'!Y$68:Y$69)/SUM('[2]Konsumsi &amp; pareto'!Y$64:Y$65,'[2]Konsumsi &amp; pareto'!Y$68:Y$69),0)</f>
        <v>0</v>
      </c>
      <c r="Z68" s="44">
        <f>IFERROR(SUM('[2]Konsumsi &amp; pareto'!Z$68:Z$69)/SUM('[2]Konsumsi &amp; pareto'!Z$64:Z$65,'[2]Konsumsi &amp; pareto'!Z$68:Z$69),0)</f>
        <v>0</v>
      </c>
      <c r="AA68" s="44">
        <f>IFERROR(SUM('[2]Konsumsi &amp; pareto'!AA$68:AA$69)/SUM('[2]Konsumsi &amp; pareto'!AA$64:AA$65,'[2]Konsumsi &amp; pareto'!AA$68:AA$69),0)</f>
        <v>0</v>
      </c>
      <c r="AB68" s="44">
        <f>IFERROR(SUM('[2]Konsumsi &amp; pareto'!AB$68:AB$69)/SUM('[2]Konsumsi &amp; pareto'!AB$64:AB$65,'[2]Konsumsi &amp; pareto'!AB$68:AB$69),0)</f>
        <v>0</v>
      </c>
      <c r="AC68" s="44">
        <f>IFERROR(SUM('[2]Konsumsi &amp; pareto'!AC$68:AC$69)/SUM('[2]Konsumsi &amp; pareto'!AC$64:AC$65,'[2]Konsumsi &amp; pareto'!AC$68:AC$69),0)</f>
        <v>0</v>
      </c>
      <c r="AD68" s="44">
        <f>IFERROR(SUM('[2]Konsumsi &amp; pareto'!AD$68:AD$69)/SUM('[2]Konsumsi &amp; pareto'!AD$64:AD$65,'[2]Konsumsi &amp; pareto'!AD$68:AD$69),0)</f>
        <v>0</v>
      </c>
      <c r="AE68" s="44">
        <f>IFERROR(SUM('[2]Konsumsi &amp; pareto'!AE$68:AE$69)/SUM('[2]Konsumsi &amp; pareto'!AE$64:AE$65,'[2]Konsumsi &amp; pareto'!AE$68:AE$69),0)</f>
        <v>0</v>
      </c>
    </row>
    <row r="69" spans="2:32">
      <c r="B69" s="76" t="s">
        <v>50</v>
      </c>
      <c r="C69" s="75" t="s">
        <v>72</v>
      </c>
      <c r="D69" s="8" t="s">
        <v>109</v>
      </c>
      <c r="E69" s="90">
        <v>294.51015124738092</v>
      </c>
      <c r="F69" s="90">
        <v>394.59896240078592</v>
      </c>
      <c r="G69" s="65">
        <f t="shared" si="37"/>
        <v>230.31733302605642</v>
      </c>
      <c r="H69" s="44">
        <f>IFERROR(SUM(H70:H71),0)</f>
        <v>18.435758172281389</v>
      </c>
      <c r="I69" s="44">
        <f>IFERROR(SUM(I70:I71),0)</f>
        <v>16.82901822408235</v>
      </c>
      <c r="J69" s="44">
        <f t="shared" ref="J69:AE69" si="69">IFERROR(SUM(J70:J71),0)</f>
        <v>18.228944578257504</v>
      </c>
      <c r="K69" s="44">
        <f t="shared" si="69"/>
        <v>20.405881770079418</v>
      </c>
      <c r="L69" s="44">
        <f t="shared" si="69"/>
        <v>24.512253504640306</v>
      </c>
      <c r="M69" s="44">
        <f t="shared" si="69"/>
        <v>18.143820376444516</v>
      </c>
      <c r="N69" s="44">
        <f t="shared" si="69"/>
        <v>20.090527912885367</v>
      </c>
      <c r="O69" s="44">
        <f t="shared" si="69"/>
        <v>19.225484087184253</v>
      </c>
      <c r="P69" s="44">
        <f t="shared" si="69"/>
        <v>16.704072788854088</v>
      </c>
      <c r="Q69" s="44">
        <f t="shared" si="69"/>
        <v>12.825729971645828</v>
      </c>
      <c r="R69" s="44">
        <f t="shared" si="69"/>
        <v>25.217391574607802</v>
      </c>
      <c r="S69" s="44">
        <f t="shared" si="69"/>
        <v>19.698450065093589</v>
      </c>
      <c r="T69" s="44">
        <f t="shared" si="69"/>
        <v>0</v>
      </c>
      <c r="U69" s="44">
        <f t="shared" si="69"/>
        <v>0</v>
      </c>
      <c r="V69" s="44">
        <f t="shared" si="69"/>
        <v>0</v>
      </c>
      <c r="W69" s="44">
        <f t="shared" si="69"/>
        <v>0</v>
      </c>
      <c r="X69" s="44">
        <f t="shared" si="69"/>
        <v>0</v>
      </c>
      <c r="Y69" s="44">
        <f t="shared" si="69"/>
        <v>0</v>
      </c>
      <c r="Z69" s="44">
        <f t="shared" si="69"/>
        <v>0</v>
      </c>
      <c r="AA69" s="44">
        <f t="shared" si="69"/>
        <v>0</v>
      </c>
      <c r="AB69" s="44">
        <f t="shared" si="69"/>
        <v>0</v>
      </c>
      <c r="AC69" s="44">
        <f t="shared" si="69"/>
        <v>0</v>
      </c>
      <c r="AD69" s="44">
        <f t="shared" si="69"/>
        <v>0</v>
      </c>
      <c r="AE69" s="44">
        <f t="shared" si="69"/>
        <v>0</v>
      </c>
    </row>
    <row r="70" spans="2:32">
      <c r="B70" s="77" t="s">
        <v>0</v>
      </c>
      <c r="C70" s="75"/>
      <c r="D70" s="8" t="s">
        <v>109</v>
      </c>
      <c r="E70" s="90">
        <v>68.000380559281183</v>
      </c>
      <c r="F70" s="90">
        <v>84.599610521427692</v>
      </c>
      <c r="G70" s="65">
        <f t="shared" si="37"/>
        <v>59.256968091226483</v>
      </c>
      <c r="H70" s="44">
        <f>IFERROR(((H58/(H$46+H$60+H$58))*(H26+H27+H29+H28))+(('[3]Konsumsi &amp; pareto'!G$13/'[3]Konsumsi &amp; pareto'!G$10)*H25),0)</f>
        <v>4.7536683008834171</v>
      </c>
      <c r="I70" s="44">
        <f>IFERROR(((I58/(I$46+I$60+I$58))*(I26+I27+I29+I28))+(('[3]Konsumsi &amp; pareto'!H$13/'[3]Konsumsi &amp; pareto'!H$10)*I25),0)</f>
        <v>3.7348301477871741</v>
      </c>
      <c r="J70" s="44">
        <f>IFERROR(((J58/(J$46+J$60+J$58))*(J26+J27+J29+J28))+(('[3]Konsumsi &amp; pareto'!I$13/'[3]Konsumsi &amp; pareto'!I$10)*J25),0)</f>
        <v>4.4914462531406754</v>
      </c>
      <c r="K70" s="44">
        <f>IFERROR(((K58/(K$46+K$60+K$58))*(K26+K27+K29+K28))+(('[3]Konsumsi &amp; pareto'!J$13/'[3]Konsumsi &amp; pareto'!J$10)*K25),0)</f>
        <v>5.4516146977958435</v>
      </c>
      <c r="L70" s="44">
        <f>IFERROR(((L58/(L$46+L$60+L$58))*(L26+L27+L29+L28))+(('[3]Konsumsi &amp; pareto'!K$13/'[3]Konsumsi &amp; pareto'!K$10)*L25),0)</f>
        <v>7.613352420327864</v>
      </c>
      <c r="M70" s="44">
        <f>IFERROR(((M58/(M$46+M$60+M$58))*(M26+M27+M29+M28))+(('[3]Konsumsi &amp; pareto'!L$13/'[3]Konsumsi &amp; pareto'!L$10)*M25),0)</f>
        <v>4.5436454299432185</v>
      </c>
      <c r="N70" s="44">
        <f>IFERROR(((N58/(N$46+N$60+N$58))*(N26+N27+N29+N28))+(('[3]Konsumsi &amp; pareto'!M$13/'[3]Konsumsi &amp; pareto'!M$10)*N25),0)</f>
        <v>5.9559825684064114</v>
      </c>
      <c r="O70" s="44">
        <f>IFERROR(((O58/(O$46+O$60+O$58))*(O26+O27+O29+O28))+(('[3]Konsumsi &amp; pareto'!N$13/'[3]Konsumsi &amp; pareto'!N$10)*O25),0)</f>
        <v>5.7102397154966331</v>
      </c>
      <c r="P70" s="44">
        <f>IFERROR(((P58/(P$46+P$60+P$58))*(P26+P27+P29+P28))+(('[3]Konsumsi &amp; pareto'!O$13/'[3]Konsumsi &amp; pareto'!O$10)*P25),0)</f>
        <v>5.0065999525729898</v>
      </c>
      <c r="Q70" s="44">
        <f>IFERROR(((Q58/(Q$46+Q$60+Q$58))*(Q26+Q27+Q29+Q28))+(('[3]Konsumsi &amp; pareto'!P$13/'[3]Konsumsi &amp; pareto'!P$10)*Q25),0)</f>
        <v>0.91671175420629236</v>
      </c>
      <c r="R70" s="44">
        <f>IFERROR(((R58/(R$46+R$60+R$58))*(R26+R27+R29+R28))+(('[3]Konsumsi &amp; pareto'!Q$13/'[3]Konsumsi &amp; pareto'!Q$10)*R25),0)</f>
        <v>6.6901588376926941</v>
      </c>
      <c r="S70" s="44">
        <f>IFERROR(((S58/(S$46+S$60+S$58))*(S26+S27+S29+S28))+(('[3]Konsumsi &amp; pareto'!R$13/'[3]Konsumsi &amp; pareto'!R$10)*S25),0)</f>
        <v>4.3887180129732712</v>
      </c>
      <c r="T70" s="44">
        <f>IFERROR(((T58/(T$46+T$60+T$58))*(T26+T27+T29+T28))+(('[3]Konsumsi &amp; pareto'!S$13/'[3]Konsumsi &amp; pareto'!S$10)*T25),0)</f>
        <v>0</v>
      </c>
      <c r="U70" s="44">
        <f>IFERROR(((U58/(U$46+U$60+U$58))*(U26+U27+U29+U28))+(('[3]Konsumsi &amp; pareto'!T$13/'[3]Konsumsi &amp; pareto'!T$10)*U25),0)</f>
        <v>0</v>
      </c>
      <c r="V70" s="44">
        <f>IFERROR(((V58/(V$46+V$60+V$58))*(V26+V27+V29+V28))+(('[3]Konsumsi &amp; pareto'!U$13/'[3]Konsumsi &amp; pareto'!U$10)*V25),0)</f>
        <v>0</v>
      </c>
      <c r="W70" s="44">
        <f>IFERROR(((W58/(W$46+W$60+W$58))*(W26+W27+W29+W28))+(('[3]Konsumsi &amp; pareto'!V$13/'[3]Konsumsi &amp; pareto'!V$10)*W25),0)</f>
        <v>0</v>
      </c>
      <c r="X70" s="44">
        <f>IFERROR(((X58/(X$46+X$60+X$58))*(X26+X27+X29+X28))+(('[3]Konsumsi &amp; pareto'!W$13/'[3]Konsumsi &amp; pareto'!W$10)*X25),0)</f>
        <v>0</v>
      </c>
      <c r="Y70" s="44">
        <f>IFERROR(((Y58/(Y$46+Y$60+Y$58))*(Y26+Y27+Y29+Y28))+(('[3]Konsumsi &amp; pareto'!X$13/'[3]Konsumsi &amp; pareto'!X$10)*Y25),0)</f>
        <v>0</v>
      </c>
      <c r="Z70" s="44">
        <f>IFERROR(((Z58/(Z$46+Z$60+Z$58))*(Z26+Z27+Z29+Z28))+(('[3]Konsumsi &amp; pareto'!Y$13/'[3]Konsumsi &amp; pareto'!Y$10)*Z25),0)</f>
        <v>0</v>
      </c>
      <c r="AA70" s="44">
        <f>IFERROR(((AA58/(AA$46+AA$60+AA$58))*(AA26+AA27+AA29+AA28))+(('[3]Konsumsi &amp; pareto'!Z$13/'[3]Konsumsi &amp; pareto'!Z$10)*AA25),0)</f>
        <v>0</v>
      </c>
      <c r="AB70" s="44">
        <f>IFERROR(((AB58/(AB$46+AB$60+AB$58))*(AB26+AB27+AB29+AB28))+(('[3]Konsumsi &amp; pareto'!AA$13/'[3]Konsumsi &amp; pareto'!AA$10)*AB25),0)</f>
        <v>0</v>
      </c>
      <c r="AC70" s="44">
        <f>IFERROR(((AC58/(AC$46+AC$60+AC$58))*(AC26+AC27+AC29+AC28))+(('[3]Konsumsi &amp; pareto'!AB$13/'[3]Konsumsi &amp; pareto'!AB$10)*AC25),0)</f>
        <v>0</v>
      </c>
      <c r="AD70" s="44">
        <f>IFERROR(((AD58/(AD$46+AD$60+AD$58))*(AD26+AD27+AD29+AD28))+(('[3]Konsumsi &amp; pareto'!AC$13/'[3]Konsumsi &amp; pareto'!AC$10)*AD25),0)</f>
        <v>0</v>
      </c>
      <c r="AE70" s="44">
        <f>IFERROR(((AE58/(AE$46+AE$60+AE$58))*(AE26+AE27+AE29+AE28))+(('[3]Konsumsi &amp; pareto'!AD$13/'[3]Konsumsi &amp; pareto'!AD$10)*AE25),0)</f>
        <v>0</v>
      </c>
    </row>
    <row r="71" spans="2:32">
      <c r="B71" s="77" t="s">
        <v>1</v>
      </c>
      <c r="C71" s="75"/>
      <c r="D71" s="8" t="s">
        <v>109</v>
      </c>
      <c r="E71" s="90">
        <v>231.46774773991598</v>
      </c>
      <c r="F71" s="90">
        <v>309.99935187935819</v>
      </c>
      <c r="G71" s="65">
        <f t="shared" si="37"/>
        <v>171.06036493482989</v>
      </c>
      <c r="H71" s="44">
        <f>IFERROR(((H60/(H$46+H$60+H$58))*(H26+H27+H29+H28))+((('[3]Konsumsi &amp; pareto'!G$14+'[3]Konsumsi &amp; pareto'!G$15)/'[3]Konsumsi &amp; pareto'!G$10)*H$25),0)</f>
        <v>13.68208987139797</v>
      </c>
      <c r="I71" s="44">
        <f>IFERROR(((I60/(I$46+I$60+I$58))*(I26+I27+I29+I28))+((('[3]Konsumsi &amp; pareto'!H$14+'[3]Konsumsi &amp; pareto'!H$15)/'[3]Konsumsi &amp; pareto'!H$10)*I$25),0)</f>
        <v>13.094188076295175</v>
      </c>
      <c r="J71" s="44">
        <f>IFERROR(((J60/(J$46+J$60+J$58))*(J26+J27+J29+J28))+((('[3]Konsumsi &amp; pareto'!I$14+'[3]Konsumsi &amp; pareto'!I$15)/'[3]Konsumsi &amp; pareto'!I$10)*J$25),0)</f>
        <v>13.737498325116828</v>
      </c>
      <c r="K71" s="44">
        <f>IFERROR(((K60/(K$46+K$60+K$58))*(K26+K27+K29+K28))+((('[3]Konsumsi &amp; pareto'!J$14+'[3]Konsumsi &amp; pareto'!J$15)/'[3]Konsumsi &amp; pareto'!J$10)*K$25),0)</f>
        <v>14.954267072283574</v>
      </c>
      <c r="L71" s="44">
        <f>IFERROR(((L60/(L$46+L$60+L$58))*(L26+L27+L29+L28))+((('[3]Konsumsi &amp; pareto'!K$14+'[3]Konsumsi &amp; pareto'!K$15)/'[3]Konsumsi &amp; pareto'!K$10)*L$25),0)</f>
        <v>16.898901084312442</v>
      </c>
      <c r="M71" s="44">
        <f>IFERROR(((M60/(M$46+M$60+M$58))*(M26+M27+M29+M28))+((('[3]Konsumsi &amp; pareto'!L$14+'[3]Konsumsi &amp; pareto'!L$15)/'[3]Konsumsi &amp; pareto'!L$10)*M$25),0)</f>
        <v>13.600174946501296</v>
      </c>
      <c r="N71" s="44">
        <f>IFERROR(((N60/(N$46+N$60+N$58))*(N26+N27+N29+N28))+((('[3]Konsumsi &amp; pareto'!M$14+'[3]Konsumsi &amp; pareto'!M$15)/'[3]Konsumsi &amp; pareto'!M$10)*N$25),0)</f>
        <v>14.134545344478955</v>
      </c>
      <c r="O71" s="44">
        <f>IFERROR(((O60/(O$46+O$60+O$58))*(O26+O27+O29+O28))+((('[3]Konsumsi &amp; pareto'!N$14+'[3]Konsumsi &amp; pareto'!N$15)/'[3]Konsumsi &amp; pareto'!N$10)*O$25),0)</f>
        <v>13.515244371687618</v>
      </c>
      <c r="P71" s="44">
        <f>IFERROR(((P60/(P$46+P$60+P$58))*(P26+P27+P29+P28))+((('[3]Konsumsi &amp; pareto'!O$14+'[3]Konsumsi &amp; pareto'!O$15)/'[3]Konsumsi &amp; pareto'!O$10)*P$25),0)</f>
        <v>11.697472836281099</v>
      </c>
      <c r="Q71" s="44">
        <f>IFERROR(((Q60/(Q$46+Q$60+Q$58))*(Q26+Q27+Q29+Q28))+((('[3]Konsumsi &amp; pareto'!P$14+'[3]Konsumsi &amp; pareto'!P$15)/'[3]Konsumsi &amp; pareto'!P$10)*Q$25),0)</f>
        <v>11.909018217439534</v>
      </c>
      <c r="R71" s="44">
        <f>IFERROR(((R60/(R$46+R$60+R$58))*(R26+R27+R29+R28))+((('[3]Konsumsi &amp; pareto'!Q$14+'[3]Konsumsi &amp; pareto'!Q$15)/'[3]Konsumsi &amp; pareto'!Q$10)*R$25),0)</f>
        <v>18.527232736915106</v>
      </c>
      <c r="S71" s="44">
        <f>IFERROR(((S60/(S$46+S$60+S$58))*(S26+S27+S29+S28))+((('[3]Konsumsi &amp; pareto'!R$14+'[3]Konsumsi &amp; pareto'!R$15)/'[3]Konsumsi &amp; pareto'!R$10)*S$25),0)</f>
        <v>15.309732052120317</v>
      </c>
      <c r="T71" s="44">
        <f>IFERROR(((T60/(T$46+T$60+T$58))*(T26+T27+T29+T28))+((('[3]Konsumsi &amp; pareto'!S$14+'[3]Konsumsi &amp; pareto'!S$15)/'[3]Konsumsi &amp; pareto'!S$10)*T$25),0)</f>
        <v>0</v>
      </c>
      <c r="U71" s="44">
        <f>IFERROR(((U60/(U$46+U$60+U$58))*(U26+U27+U29+U28))+((('[3]Konsumsi &amp; pareto'!T$14+'[3]Konsumsi &amp; pareto'!T$15)/'[3]Konsumsi &amp; pareto'!T$10)*U$25),0)</f>
        <v>0</v>
      </c>
      <c r="V71" s="44">
        <f>IFERROR(((V60/(V$46+V$60+V$58))*(V26+V27+V29+V28))+((('[3]Konsumsi &amp; pareto'!U$14+'[3]Konsumsi &amp; pareto'!U$15)/'[3]Konsumsi &amp; pareto'!U$10)*V$25),0)</f>
        <v>0</v>
      </c>
      <c r="W71" s="44">
        <f>IFERROR(((W60/(W$46+W$60+W$58))*(W26+W27+W29+W28))+((('[3]Konsumsi &amp; pareto'!V$14+'[3]Konsumsi &amp; pareto'!V$15)/'[3]Konsumsi &amp; pareto'!V$10)*W$25),0)</f>
        <v>0</v>
      </c>
      <c r="X71" s="44">
        <f>IFERROR(((X60/(X$46+X$60+X$58))*(X26+X27+X29+X28))+((('[3]Konsumsi &amp; pareto'!W$14+'[3]Konsumsi &amp; pareto'!W$15)/'[3]Konsumsi &amp; pareto'!W$10)*X$25),0)</f>
        <v>0</v>
      </c>
      <c r="Y71" s="44">
        <f>IFERROR(((Y60/(Y$46+Y$60+Y$58))*(Y26+Y27+Y29+Y28))+((('[3]Konsumsi &amp; pareto'!X$14+'[3]Konsumsi &amp; pareto'!X$15)/'[3]Konsumsi &amp; pareto'!X$10)*Y$25),0)</f>
        <v>0</v>
      </c>
      <c r="Z71" s="44">
        <f>IFERROR(((Z60/(Z$46+Z$60+Z$58))*(Z26+Z27+Z29+Z28))+((('[3]Konsumsi &amp; pareto'!Y$14+'[3]Konsumsi &amp; pareto'!Y$15)/'[3]Konsumsi &amp; pareto'!Y$10)*Z$25),0)</f>
        <v>0</v>
      </c>
      <c r="AA71" s="44">
        <f>IFERROR(((AA60/(AA$46+AA$60+AA$58))*(AA26+AA27+AA29+AA28))+((('[3]Konsumsi &amp; pareto'!Z$14+'[3]Konsumsi &amp; pareto'!Z$15)/'[3]Konsumsi &amp; pareto'!Z$10)*AA$25),0)</f>
        <v>0</v>
      </c>
      <c r="AB71" s="44">
        <f>IFERROR(((AB60/(AB$46+AB$60+AB$58))*(AB26+AB27+AB29+AB28))+((('[3]Konsumsi &amp; pareto'!AA$14+'[3]Konsumsi &amp; pareto'!AA$15)/'[3]Konsumsi &amp; pareto'!AA$10)*AB$25),0)</f>
        <v>0</v>
      </c>
      <c r="AC71" s="44">
        <f>IFERROR(((AC60/(AC$46+AC$60+AC$58))*(AC26+AC27+AC29+AC28))+((('[3]Konsumsi &amp; pareto'!AB$14+'[3]Konsumsi &amp; pareto'!AB$15)/'[3]Konsumsi &amp; pareto'!AB$10)*AC$25),0)</f>
        <v>0</v>
      </c>
      <c r="AD71" s="44">
        <f>IFERROR(((AD60/(AD$46+AD$60+AD$58))*(AD26+AD27+AD29+AD28))+((('[3]Konsumsi &amp; pareto'!AC$14+'[3]Konsumsi &amp; pareto'!AC$15)/'[3]Konsumsi &amp; pareto'!AC$10)*AD$25),0)</f>
        <v>0</v>
      </c>
      <c r="AE71" s="44">
        <f>IFERROR(((AE60/(AE$46+AE$60+AE$58))*(AE26+AE27+AE29+AE28))+((('[3]Konsumsi &amp; pareto'!AD$14+'[3]Konsumsi &amp; pareto'!AD$15)/'[3]Konsumsi &amp; pareto'!AD$10)*AE$25),0)</f>
        <v>0</v>
      </c>
    </row>
    <row r="72" spans="2:32"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</row>
    <row r="73" spans="2:32"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t="s">
        <v>90</v>
      </c>
    </row>
    <row r="74" spans="2:32" ht="15" customHeight="1">
      <c r="B74" s="207" t="s">
        <v>41</v>
      </c>
      <c r="C74" s="201"/>
      <c r="D74" s="206"/>
      <c r="E74" s="206"/>
      <c r="F74" s="206" t="s">
        <v>167</v>
      </c>
      <c r="G74" s="201" t="s">
        <v>38</v>
      </c>
      <c r="H74" s="212" t="s">
        <v>2</v>
      </c>
      <c r="I74" s="212"/>
      <c r="J74" s="212" t="s">
        <v>3</v>
      </c>
      <c r="K74" s="212"/>
      <c r="L74" s="212" t="s">
        <v>4</v>
      </c>
      <c r="M74" s="212"/>
      <c r="N74" s="212" t="s">
        <v>5</v>
      </c>
      <c r="O74" s="212"/>
      <c r="P74" s="212" t="s">
        <v>6</v>
      </c>
      <c r="Q74" s="212"/>
      <c r="R74" s="212" t="s">
        <v>7</v>
      </c>
      <c r="S74" s="212"/>
      <c r="T74" s="212" t="s">
        <v>8</v>
      </c>
      <c r="U74" s="212"/>
      <c r="V74" s="212" t="s">
        <v>9</v>
      </c>
      <c r="W74" s="212"/>
      <c r="X74" s="212" t="s">
        <v>10</v>
      </c>
      <c r="Y74" s="212"/>
      <c r="Z74" s="212" t="s">
        <v>11</v>
      </c>
      <c r="AA74" s="212"/>
      <c r="AB74" s="212" t="s">
        <v>12</v>
      </c>
      <c r="AC74" s="212"/>
      <c r="AD74" s="212" t="s">
        <v>13</v>
      </c>
      <c r="AE74" s="212"/>
    </row>
    <row r="75" spans="2:32" ht="15" customHeight="1">
      <c r="B75" s="208"/>
      <c r="C75" s="202"/>
      <c r="D75" s="206"/>
      <c r="E75" s="206"/>
      <c r="F75" s="206"/>
      <c r="G75" s="202"/>
      <c r="H75" s="41">
        <v>15</v>
      </c>
      <c r="I75" s="41">
        <v>31</v>
      </c>
      <c r="J75" s="41">
        <v>14</v>
      </c>
      <c r="K75" s="41">
        <v>28</v>
      </c>
      <c r="L75" s="41">
        <v>15</v>
      </c>
      <c r="M75" s="41">
        <v>31</v>
      </c>
      <c r="N75" s="41">
        <v>15</v>
      </c>
      <c r="O75" s="41">
        <v>30</v>
      </c>
      <c r="P75" s="41">
        <v>15</v>
      </c>
      <c r="Q75" s="41">
        <v>31</v>
      </c>
      <c r="R75" s="41">
        <v>15</v>
      </c>
      <c r="S75" s="41">
        <v>30</v>
      </c>
      <c r="T75" s="41">
        <v>15</v>
      </c>
      <c r="U75" s="41">
        <v>31</v>
      </c>
      <c r="V75" s="41">
        <v>15</v>
      </c>
      <c r="W75" s="41">
        <v>31</v>
      </c>
      <c r="X75" s="41">
        <v>15</v>
      </c>
      <c r="Y75" s="41">
        <v>30</v>
      </c>
      <c r="Z75" s="41">
        <v>15</v>
      </c>
      <c r="AA75" s="41">
        <v>31</v>
      </c>
      <c r="AB75" s="41">
        <v>15</v>
      </c>
      <c r="AC75" s="41">
        <v>30</v>
      </c>
      <c r="AD75" s="41">
        <v>15</v>
      </c>
      <c r="AE75" s="41">
        <v>31</v>
      </c>
    </row>
    <row r="76" spans="2:32">
      <c r="B76" s="69" t="s">
        <v>128</v>
      </c>
      <c r="C76" s="69"/>
      <c r="D76" s="8" t="s">
        <v>109</v>
      </c>
      <c r="E76" s="90"/>
      <c r="F76" s="90">
        <v>1360.2265621363738</v>
      </c>
      <c r="G76" s="65">
        <f t="shared" ref="G76:G81" si="70">SUM(H76:AE76)</f>
        <v>729.59949921976352</v>
      </c>
      <c r="H76" s="89">
        <f t="shared" ref="H76:AE76" si="71">SUM(H46,H48,H49,H54,H55)</f>
        <v>69.927984397820993</v>
      </c>
      <c r="I76" s="89">
        <f t="shared" si="71"/>
        <v>58.571133649874142</v>
      </c>
      <c r="J76" s="89">
        <f>SUM(J46,J48,J49,J54,J55)</f>
        <v>65.926014486519946</v>
      </c>
      <c r="K76" s="89">
        <f t="shared" si="71"/>
        <v>60.517301985022435</v>
      </c>
      <c r="L76" s="89">
        <f t="shared" si="71"/>
        <v>68.184024660133673</v>
      </c>
      <c r="M76" s="89">
        <f t="shared" si="71"/>
        <v>70.545358676493052</v>
      </c>
      <c r="N76" s="89">
        <f t="shared" si="71"/>
        <v>84.402239233996085</v>
      </c>
      <c r="O76" s="89">
        <f t="shared" si="71"/>
        <v>62.123608615454302</v>
      </c>
      <c r="P76" s="89">
        <f t="shared" si="71"/>
        <v>36.264406192410704</v>
      </c>
      <c r="Q76" s="89">
        <f t="shared" si="71"/>
        <v>25.939645421682073</v>
      </c>
      <c r="R76" s="89">
        <f t="shared" si="71"/>
        <v>71.052364052721472</v>
      </c>
      <c r="S76" s="89">
        <f t="shared" si="71"/>
        <v>56.145417847634846</v>
      </c>
      <c r="T76" s="89">
        <f t="shared" si="71"/>
        <v>0</v>
      </c>
      <c r="U76" s="89">
        <f t="shared" si="71"/>
        <v>0</v>
      </c>
      <c r="V76" s="89">
        <f t="shared" si="71"/>
        <v>0</v>
      </c>
      <c r="W76" s="89">
        <f t="shared" si="71"/>
        <v>0</v>
      </c>
      <c r="X76" s="89">
        <f t="shared" si="71"/>
        <v>0</v>
      </c>
      <c r="Y76" s="89">
        <f t="shared" si="71"/>
        <v>0</v>
      </c>
      <c r="Z76" s="89">
        <f t="shared" si="71"/>
        <v>0</v>
      </c>
      <c r="AA76" s="89">
        <f t="shared" si="71"/>
        <v>0</v>
      </c>
      <c r="AB76" s="89">
        <f t="shared" si="71"/>
        <v>0</v>
      </c>
      <c r="AC76" s="89">
        <f t="shared" si="71"/>
        <v>0</v>
      </c>
      <c r="AD76" s="89">
        <f t="shared" si="71"/>
        <v>0</v>
      </c>
      <c r="AE76" s="89">
        <f t="shared" si="71"/>
        <v>0</v>
      </c>
    </row>
    <row r="77" spans="2:32">
      <c r="B77" s="69" t="s">
        <v>129</v>
      </c>
      <c r="C77" s="69"/>
      <c r="D77" s="8" t="s">
        <v>109</v>
      </c>
      <c r="E77" s="90"/>
      <c r="F77" s="90">
        <v>733.18425948444576</v>
      </c>
      <c r="G77" s="65">
        <f t="shared" si="70"/>
        <v>344.46973999865372</v>
      </c>
      <c r="H77" s="89">
        <f t="shared" ref="H77:AE77" si="72">SUM(H50,H51,H52,H53,H47)</f>
        <v>31.222141116981192</v>
      </c>
      <c r="I77" s="89">
        <f t="shared" si="72"/>
        <v>29.084238293333446</v>
      </c>
      <c r="J77" s="89">
        <f>SUM(J50,J51,J52,J53,J47)</f>
        <v>27.216104262758531</v>
      </c>
      <c r="K77" s="89">
        <f>SUM(K50,K51,K52,K53,K47)</f>
        <v>26.637929073333375</v>
      </c>
      <c r="L77" s="89">
        <f t="shared" si="72"/>
        <v>32.956804831787785</v>
      </c>
      <c r="M77" s="89">
        <f t="shared" si="72"/>
        <v>32.169269411656572</v>
      </c>
      <c r="N77" s="89">
        <f t="shared" si="72"/>
        <v>33.285886645077802</v>
      </c>
      <c r="O77" s="89">
        <f t="shared" si="72"/>
        <v>27.893849804894991</v>
      </c>
      <c r="P77" s="89">
        <f t="shared" si="72"/>
        <v>22.475443636363519</v>
      </c>
      <c r="Q77" s="89">
        <f t="shared" si="72"/>
        <v>20.654395016216185</v>
      </c>
      <c r="R77" s="89">
        <f>SUM(R50,R51,R52,R53,R47)</f>
        <v>34.74830550625034</v>
      </c>
      <c r="S77" s="89">
        <f t="shared" si="72"/>
        <v>26.125372399999918</v>
      </c>
      <c r="T77" s="89">
        <f t="shared" si="72"/>
        <v>0</v>
      </c>
      <c r="U77" s="89">
        <f t="shared" si="72"/>
        <v>0</v>
      </c>
      <c r="V77" s="89">
        <f t="shared" si="72"/>
        <v>0</v>
      </c>
      <c r="W77" s="89">
        <f t="shared" si="72"/>
        <v>0</v>
      </c>
      <c r="X77" s="89">
        <f t="shared" si="72"/>
        <v>0</v>
      </c>
      <c r="Y77" s="89">
        <f t="shared" si="72"/>
        <v>0</v>
      </c>
      <c r="Z77" s="89">
        <f t="shared" si="72"/>
        <v>0</v>
      </c>
      <c r="AA77" s="89">
        <f t="shared" si="72"/>
        <v>0</v>
      </c>
      <c r="AB77" s="89">
        <f t="shared" si="72"/>
        <v>0</v>
      </c>
      <c r="AC77" s="89">
        <f t="shared" si="72"/>
        <v>0</v>
      </c>
      <c r="AD77" s="89">
        <f t="shared" si="72"/>
        <v>0</v>
      </c>
      <c r="AE77" s="89">
        <f t="shared" si="72"/>
        <v>0</v>
      </c>
    </row>
    <row r="78" spans="2:32">
      <c r="B78" s="69" t="s">
        <v>169</v>
      </c>
      <c r="C78" s="69"/>
      <c r="D78" s="8" t="s">
        <v>109</v>
      </c>
      <c r="E78" s="90"/>
      <c r="F78" s="90"/>
      <c r="G78" s="65"/>
      <c r="H78" s="210">
        <f>H76+I76</f>
        <v>128.49911804769513</v>
      </c>
      <c r="I78" s="211"/>
      <c r="J78" s="210">
        <f t="shared" ref="J78" si="73">J76+K76</f>
        <v>126.44331647154237</v>
      </c>
      <c r="K78" s="211"/>
      <c r="L78" s="210">
        <f t="shared" ref="L78" si="74">L76+M76</f>
        <v>138.72938333662671</v>
      </c>
      <c r="M78" s="211"/>
      <c r="N78" s="210">
        <f t="shared" ref="N78" si="75">N76+O76</f>
        <v>146.52584784945037</v>
      </c>
      <c r="O78" s="211"/>
      <c r="P78" s="210">
        <f t="shared" ref="P78" si="76">P76+Q76</f>
        <v>62.204051614092776</v>
      </c>
      <c r="Q78" s="211"/>
      <c r="R78" s="210" t="s">
        <v>90</v>
      </c>
      <c r="S78" s="211"/>
      <c r="T78" s="210">
        <f t="shared" ref="T78" si="77">T76+U76</f>
        <v>0</v>
      </c>
      <c r="U78" s="211"/>
      <c r="V78" s="210">
        <f t="shared" ref="V78" si="78">V76+W76</f>
        <v>0</v>
      </c>
      <c r="W78" s="211"/>
      <c r="X78" s="210">
        <f t="shared" ref="X78" si="79">X76+Y76</f>
        <v>0</v>
      </c>
      <c r="Y78" s="211"/>
      <c r="Z78" s="210">
        <f t="shared" ref="Z78" si="80">Z76+AA76</f>
        <v>0</v>
      </c>
      <c r="AA78" s="211"/>
      <c r="AB78" s="210">
        <f t="shared" ref="AB78" si="81">AB76+AC76</f>
        <v>0</v>
      </c>
      <c r="AC78" s="211"/>
      <c r="AD78" s="210">
        <f t="shared" ref="AD78" si="82">AD76+AE76</f>
        <v>0</v>
      </c>
      <c r="AE78" s="211"/>
    </row>
    <row r="79" spans="2:32">
      <c r="B79" s="69" t="s">
        <v>170</v>
      </c>
      <c r="C79" s="69"/>
      <c r="D79" s="8" t="s">
        <v>109</v>
      </c>
      <c r="E79" s="90"/>
      <c r="F79" s="90"/>
      <c r="G79" s="65"/>
      <c r="H79" s="210">
        <f>H77+I77</f>
        <v>60.306379410314634</v>
      </c>
      <c r="I79" s="211"/>
      <c r="J79" s="210">
        <f>J77+K77</f>
        <v>53.854033336091902</v>
      </c>
      <c r="K79" s="211"/>
      <c r="L79" s="210">
        <f t="shared" ref="L79" si="83">L77+M77</f>
        <v>65.12607424344435</v>
      </c>
      <c r="M79" s="211"/>
      <c r="N79" s="210">
        <f t="shared" ref="N79" si="84">N77+O77</f>
        <v>61.179736449972793</v>
      </c>
      <c r="O79" s="211"/>
      <c r="P79" s="210">
        <f t="shared" ref="P79" si="85">P77+Q77</f>
        <v>43.129838652579707</v>
      </c>
      <c r="Q79" s="211"/>
      <c r="R79" s="210">
        <f t="shared" ref="R79" si="86">R77+S77</f>
        <v>60.873677906250258</v>
      </c>
      <c r="S79" s="211"/>
      <c r="T79" s="210">
        <f t="shared" ref="T79" si="87">T77+U77</f>
        <v>0</v>
      </c>
      <c r="U79" s="211"/>
      <c r="V79" s="210">
        <f t="shared" ref="V79" si="88">V77+W77</f>
        <v>0</v>
      </c>
      <c r="W79" s="211"/>
      <c r="X79" s="210">
        <f t="shared" ref="X79" si="89">X77+Y77</f>
        <v>0</v>
      </c>
      <c r="Y79" s="211"/>
      <c r="Z79" s="210">
        <f t="shared" ref="Z79" si="90">Z77+AA77</f>
        <v>0</v>
      </c>
      <c r="AA79" s="211"/>
      <c r="AB79" s="210">
        <f t="shared" ref="AB79" si="91">AB77+AC77</f>
        <v>0</v>
      </c>
      <c r="AC79" s="211"/>
      <c r="AD79" s="210">
        <f t="shared" ref="AD79" si="92">AD77+AE77</f>
        <v>0</v>
      </c>
      <c r="AE79" s="211"/>
    </row>
    <row r="80" spans="2:32">
      <c r="B80" s="74" t="s">
        <v>127</v>
      </c>
      <c r="C80" s="75"/>
      <c r="D80" s="8" t="s">
        <v>109</v>
      </c>
      <c r="E80" s="90"/>
      <c r="F80" s="90">
        <v>627.80692772186308</v>
      </c>
      <c r="G80" s="65">
        <f t="shared" si="70"/>
        <v>362.30021408909261</v>
      </c>
      <c r="H80" s="44">
        <f t="shared" ref="H80:AE80" si="93">SUM(H58,H60,H65,H66,H70,H71,H68,H59)</f>
        <v>29.097419306577784</v>
      </c>
      <c r="I80" s="44">
        <f t="shared" si="93"/>
        <v>27.232772589567528</v>
      </c>
      <c r="J80" s="44">
        <f t="shared" si="93"/>
        <v>28.198530500626894</v>
      </c>
      <c r="K80" s="44">
        <f t="shared" si="93"/>
        <v>32.837091969709682</v>
      </c>
      <c r="L80" s="44">
        <f t="shared" si="93"/>
        <v>37.807437441132286</v>
      </c>
      <c r="M80" s="44">
        <f t="shared" si="93"/>
        <v>29.578820623010152</v>
      </c>
      <c r="N80" s="44">
        <f t="shared" si="93"/>
        <v>31.750992839988257</v>
      </c>
      <c r="O80" s="44">
        <f t="shared" si="93"/>
        <v>30.820797939133623</v>
      </c>
      <c r="P80" s="44">
        <f t="shared" si="93"/>
        <v>26.790967519229717</v>
      </c>
      <c r="Q80" s="44">
        <f t="shared" si="93"/>
        <v>18.870989771229119</v>
      </c>
      <c r="R80" s="44">
        <f t="shared" si="93"/>
        <v>39.049145032274666</v>
      </c>
      <c r="S80" s="44">
        <f t="shared" si="93"/>
        <v>30.265248556612917</v>
      </c>
      <c r="T80" s="44">
        <f t="shared" si="93"/>
        <v>0</v>
      </c>
      <c r="U80" s="44">
        <f t="shared" si="93"/>
        <v>0</v>
      </c>
      <c r="V80" s="44">
        <f t="shared" si="93"/>
        <v>0</v>
      </c>
      <c r="W80" s="44">
        <f t="shared" si="93"/>
        <v>0</v>
      </c>
      <c r="X80" s="44">
        <f t="shared" si="93"/>
        <v>0</v>
      </c>
      <c r="Y80" s="44">
        <f t="shared" si="93"/>
        <v>0</v>
      </c>
      <c r="Z80" s="44">
        <f t="shared" si="93"/>
        <v>0</v>
      </c>
      <c r="AA80" s="44">
        <f t="shared" si="93"/>
        <v>0</v>
      </c>
      <c r="AB80" s="44">
        <f t="shared" si="93"/>
        <v>0</v>
      </c>
      <c r="AC80" s="44">
        <f t="shared" si="93"/>
        <v>0</v>
      </c>
      <c r="AD80" s="44">
        <f t="shared" si="93"/>
        <v>0</v>
      </c>
      <c r="AE80" s="44">
        <f t="shared" si="93"/>
        <v>0</v>
      </c>
    </row>
    <row r="81" spans="2:31">
      <c r="B81" s="74" t="s">
        <v>130</v>
      </c>
      <c r="C81" s="75"/>
      <c r="D81" s="8" t="s">
        <v>109</v>
      </c>
      <c r="E81" s="90"/>
      <c r="F81" s="90">
        <v>441.35198189206324</v>
      </c>
      <c r="G81" s="65">
        <f t="shared" si="70"/>
        <v>264.66922687285688</v>
      </c>
      <c r="H81" s="44">
        <f t="shared" ref="H81:AE81" si="94">SUM(H67,H63,H62,H61)+(H64-H65-H66)</f>
        <v>23.901273178620031</v>
      </c>
      <c r="I81" s="44">
        <f t="shared" si="94"/>
        <v>22.339699340000969</v>
      </c>
      <c r="J81" s="44">
        <f t="shared" si="94"/>
        <v>18.562871640586433</v>
      </c>
      <c r="K81" s="44">
        <f t="shared" si="94"/>
        <v>19.032395047764286</v>
      </c>
      <c r="L81" s="44">
        <f t="shared" si="94"/>
        <v>23.405240397623384</v>
      </c>
      <c r="M81" s="44">
        <f t="shared" si="94"/>
        <v>22.158144651490456</v>
      </c>
      <c r="N81" s="44">
        <f t="shared" si="94"/>
        <v>21.093701563476397</v>
      </c>
      <c r="O81" s="44">
        <f t="shared" si="94"/>
        <v>21.411159938821051</v>
      </c>
      <c r="P81" s="44">
        <f t="shared" si="94"/>
        <v>21.008286974461811</v>
      </c>
      <c r="Q81" s="44">
        <f t="shared" si="94"/>
        <v>21.150033412874585</v>
      </c>
      <c r="R81" s="44">
        <f t="shared" si="94"/>
        <v>27.230595116333312</v>
      </c>
      <c r="S81" s="44">
        <f t="shared" si="94"/>
        <v>23.375825610804135</v>
      </c>
      <c r="T81" s="44">
        <f t="shared" si="94"/>
        <v>0</v>
      </c>
      <c r="U81" s="44">
        <f t="shared" si="94"/>
        <v>0</v>
      </c>
      <c r="V81" s="44">
        <f t="shared" si="94"/>
        <v>0</v>
      </c>
      <c r="W81" s="44">
        <f t="shared" si="94"/>
        <v>0</v>
      </c>
      <c r="X81" s="44">
        <f t="shared" si="94"/>
        <v>0</v>
      </c>
      <c r="Y81" s="44">
        <f t="shared" si="94"/>
        <v>0</v>
      </c>
      <c r="Z81" s="44">
        <f t="shared" si="94"/>
        <v>0</v>
      </c>
      <c r="AA81" s="44">
        <f t="shared" si="94"/>
        <v>0</v>
      </c>
      <c r="AB81" s="44">
        <f t="shared" si="94"/>
        <v>0</v>
      </c>
      <c r="AC81" s="44">
        <f t="shared" si="94"/>
        <v>0</v>
      </c>
      <c r="AD81" s="44">
        <f t="shared" si="94"/>
        <v>0</v>
      </c>
      <c r="AE81" s="44">
        <f t="shared" si="94"/>
        <v>0</v>
      </c>
    </row>
    <row r="82" spans="2:31">
      <c r="B82" s="74" t="s">
        <v>171</v>
      </c>
      <c r="C82" s="75"/>
      <c r="D82" s="8" t="s">
        <v>109</v>
      </c>
      <c r="E82" s="90"/>
      <c r="F82" s="90">
        <v>442.35198189206301</v>
      </c>
      <c r="G82" s="65">
        <f t="shared" ref="G82" si="95">SUM(H82:AE82)</f>
        <v>362.30021408909261</v>
      </c>
      <c r="H82" s="210">
        <f>H80+I80</f>
        <v>56.330191896145308</v>
      </c>
      <c r="I82" s="211"/>
      <c r="J82" s="210">
        <f t="shared" ref="J82" si="96">J80+K80</f>
        <v>61.035622470336577</v>
      </c>
      <c r="K82" s="211"/>
      <c r="L82" s="210">
        <f t="shared" ref="L82" si="97">L80+M80</f>
        <v>67.386258064142439</v>
      </c>
      <c r="M82" s="211"/>
      <c r="N82" s="210">
        <f t="shared" ref="N82" si="98">N80+O80</f>
        <v>62.571790779121883</v>
      </c>
      <c r="O82" s="211"/>
      <c r="P82" s="210">
        <f t="shared" ref="P82" si="99">P80+Q80</f>
        <v>45.661957290458837</v>
      </c>
      <c r="Q82" s="211"/>
      <c r="R82" s="210">
        <f t="shared" ref="R82" si="100">R80+S80</f>
        <v>69.314393588887583</v>
      </c>
      <c r="S82" s="211"/>
      <c r="T82" s="210">
        <f t="shared" ref="T82" si="101">T80+U80</f>
        <v>0</v>
      </c>
      <c r="U82" s="211"/>
      <c r="V82" s="210">
        <f t="shared" ref="V82" si="102">V80+W80</f>
        <v>0</v>
      </c>
      <c r="W82" s="211"/>
      <c r="X82" s="210">
        <f t="shared" ref="X82" si="103">X80+Y80</f>
        <v>0</v>
      </c>
      <c r="Y82" s="211"/>
      <c r="Z82" s="210">
        <f t="shared" ref="Z82" si="104">Z80+AA80</f>
        <v>0</v>
      </c>
      <c r="AA82" s="211"/>
      <c r="AB82" s="210">
        <f t="shared" ref="AB82" si="105">AB80+AC80</f>
        <v>0</v>
      </c>
      <c r="AC82" s="211"/>
      <c r="AD82" s="210">
        <f t="shared" ref="AD82" si="106">AD80+AE80</f>
        <v>0</v>
      </c>
      <c r="AE82" s="211"/>
    </row>
    <row r="83" spans="2:31">
      <c r="B83" s="74" t="s">
        <v>172</v>
      </c>
      <c r="C83" s="75"/>
      <c r="D83" s="8" t="s">
        <v>109</v>
      </c>
      <c r="E83" s="90"/>
      <c r="F83" s="90"/>
      <c r="G83" s="65"/>
      <c r="H83" s="210">
        <f>H81+I81</f>
        <v>46.240972518621</v>
      </c>
      <c r="I83" s="211"/>
      <c r="J83" s="210">
        <f t="shared" ref="J83" si="107">J81+K81</f>
        <v>37.595266688350719</v>
      </c>
      <c r="K83" s="211"/>
      <c r="L83" s="210">
        <f t="shared" ref="L83" si="108">L81+M81</f>
        <v>45.56338504911384</v>
      </c>
      <c r="M83" s="211"/>
      <c r="N83" s="210">
        <f t="shared" ref="N83" si="109">N81+O81</f>
        <v>42.504861502297445</v>
      </c>
      <c r="O83" s="211"/>
      <c r="P83" s="210">
        <f t="shared" ref="P83" si="110">P81+Q81</f>
        <v>42.158320387336396</v>
      </c>
      <c r="Q83" s="211"/>
      <c r="R83" s="210">
        <f t="shared" ref="R83" si="111">R81+S81</f>
        <v>50.606420727137447</v>
      </c>
      <c r="S83" s="211"/>
      <c r="T83" s="210">
        <f t="shared" ref="T83" si="112">T81+U81</f>
        <v>0</v>
      </c>
      <c r="U83" s="211"/>
      <c r="V83" s="210">
        <f t="shared" ref="V83" si="113">V81+W81</f>
        <v>0</v>
      </c>
      <c r="W83" s="211"/>
      <c r="X83" s="210">
        <f t="shared" ref="X83" si="114">X81+Y81</f>
        <v>0</v>
      </c>
      <c r="Y83" s="211"/>
      <c r="Z83" s="210">
        <f t="shared" ref="Z83" si="115">Z81+AA81</f>
        <v>0</v>
      </c>
      <c r="AA83" s="211"/>
      <c r="AB83" s="210">
        <f t="shared" ref="AB83" si="116">AB81+AC81</f>
        <v>0</v>
      </c>
      <c r="AC83" s="211"/>
      <c r="AD83" s="210">
        <f t="shared" ref="AD83" si="117">AD81+AE81</f>
        <v>0</v>
      </c>
      <c r="AE83" s="211"/>
    </row>
    <row r="84" spans="2:31">
      <c r="B84" s="69" t="s">
        <v>173</v>
      </c>
      <c r="C84" s="69"/>
      <c r="D84" s="8" t="s">
        <v>109</v>
      </c>
      <c r="E84" s="90"/>
      <c r="F84" s="90"/>
      <c r="G84" s="65"/>
      <c r="H84" s="210">
        <v>60</v>
      </c>
      <c r="I84" s="211"/>
      <c r="J84" s="210">
        <v>60</v>
      </c>
      <c r="K84" s="211"/>
      <c r="L84" s="210">
        <v>60</v>
      </c>
      <c r="M84" s="211"/>
      <c r="N84" s="210">
        <v>60</v>
      </c>
      <c r="O84" s="211"/>
      <c r="P84" s="210">
        <v>60</v>
      </c>
      <c r="Q84" s="211"/>
      <c r="R84" s="210">
        <v>60</v>
      </c>
      <c r="S84" s="211"/>
      <c r="T84" s="210">
        <v>60</v>
      </c>
      <c r="U84" s="211"/>
      <c r="V84" s="210">
        <v>60</v>
      </c>
      <c r="W84" s="211"/>
      <c r="X84" s="210">
        <v>60</v>
      </c>
      <c r="Y84" s="211"/>
      <c r="Z84" s="210">
        <v>60</v>
      </c>
      <c r="AA84" s="211"/>
      <c r="AB84" s="210">
        <v>60</v>
      </c>
      <c r="AC84" s="211"/>
      <c r="AD84" s="210">
        <v>60</v>
      </c>
      <c r="AE84" s="211"/>
    </row>
    <row r="108" spans="2:31">
      <c r="B108" s="207" t="s">
        <v>151</v>
      </c>
      <c r="C108" s="201"/>
      <c r="D108" s="206"/>
      <c r="E108" s="206"/>
      <c r="F108" s="206" t="s">
        <v>167</v>
      </c>
      <c r="G108" s="201" t="s">
        <v>38</v>
      </c>
      <c r="H108" s="212" t="s">
        <v>2</v>
      </c>
      <c r="I108" s="212"/>
      <c r="J108" s="212" t="s">
        <v>3</v>
      </c>
      <c r="K108" s="212"/>
      <c r="L108" s="212" t="s">
        <v>4</v>
      </c>
      <c r="M108" s="212"/>
      <c r="N108" s="212" t="s">
        <v>5</v>
      </c>
      <c r="O108" s="212"/>
      <c r="P108" s="212" t="s">
        <v>6</v>
      </c>
      <c r="Q108" s="212"/>
      <c r="R108" s="212" t="s">
        <v>7</v>
      </c>
      <c r="S108" s="212"/>
      <c r="T108" s="212" t="s">
        <v>8</v>
      </c>
      <c r="U108" s="212"/>
      <c r="V108" s="212" t="s">
        <v>9</v>
      </c>
      <c r="W108" s="212"/>
      <c r="X108" s="212" t="s">
        <v>10</v>
      </c>
      <c r="Y108" s="212"/>
      <c r="Z108" s="212" t="s">
        <v>11</v>
      </c>
      <c r="AA108" s="212"/>
      <c r="AB108" s="212" t="s">
        <v>12</v>
      </c>
      <c r="AC108" s="212"/>
      <c r="AD108" s="212" t="s">
        <v>13</v>
      </c>
      <c r="AE108" s="212"/>
    </row>
    <row r="109" spans="2:31">
      <c r="B109" s="208"/>
      <c r="C109" s="202"/>
      <c r="D109" s="206"/>
      <c r="E109" s="206"/>
      <c r="F109" s="206"/>
      <c r="G109" s="202"/>
      <c r="H109" s="140">
        <v>15</v>
      </c>
      <c r="I109" s="140">
        <v>31</v>
      </c>
      <c r="J109" s="140">
        <v>14</v>
      </c>
      <c r="K109" s="140">
        <v>28</v>
      </c>
      <c r="L109" s="140">
        <v>15</v>
      </c>
      <c r="M109" s="140">
        <v>31</v>
      </c>
      <c r="N109" s="140">
        <v>15</v>
      </c>
      <c r="O109" s="140">
        <v>30</v>
      </c>
      <c r="P109" s="140">
        <v>15</v>
      </c>
      <c r="Q109" s="140">
        <v>31</v>
      </c>
      <c r="R109" s="140">
        <v>15</v>
      </c>
      <c r="S109" s="140">
        <v>30</v>
      </c>
      <c r="T109" s="140">
        <v>15</v>
      </c>
      <c r="U109" s="140">
        <v>31</v>
      </c>
      <c r="V109" s="140">
        <v>15</v>
      </c>
      <c r="W109" s="140">
        <v>31</v>
      </c>
      <c r="X109" s="140">
        <v>15</v>
      </c>
      <c r="Y109" s="140">
        <v>30</v>
      </c>
      <c r="Z109" s="140">
        <v>15</v>
      </c>
      <c r="AA109" s="140">
        <v>31</v>
      </c>
      <c r="AB109" s="140">
        <v>15</v>
      </c>
      <c r="AC109" s="140">
        <v>30</v>
      </c>
      <c r="AD109" s="140">
        <v>15</v>
      </c>
      <c r="AE109" s="140">
        <v>31</v>
      </c>
    </row>
    <row r="110" spans="2:31">
      <c r="B110" s="69" t="s">
        <v>153</v>
      </c>
      <c r="C110" s="69"/>
      <c r="D110" s="8" t="s">
        <v>152</v>
      </c>
      <c r="E110" s="90"/>
      <c r="F110" s="141">
        <v>851.39999999999964</v>
      </c>
      <c r="G110" s="164">
        <f t="shared" ref="G110:G123" si="118">SUM(H110:AE110)</f>
        <v>851.39999999999964</v>
      </c>
      <c r="H110" s="2">
        <f>'[4]JANUARI 2019'!$AJ164</f>
        <v>0</v>
      </c>
      <c r="I110" s="2">
        <f>'[4]JANUARI 2019'!$AK164</f>
        <v>0</v>
      </c>
      <c r="J110" s="2">
        <f>'[4]FEBRUARI 2019'!$AJ164</f>
        <v>0</v>
      </c>
      <c r="K110" s="2">
        <f>'[4]FEBRUARI 2019'!$AK164</f>
        <v>0</v>
      </c>
      <c r="L110" s="2">
        <f>'[4]MARET 2019'!$AJ164</f>
        <v>0</v>
      </c>
      <c r="M110" s="2">
        <f>'[4]MARET 2019'!$AK164</f>
        <v>1.8400000000001455</v>
      </c>
      <c r="N110" s="2">
        <f>'[4]APRIL 2019'!$AJ164</f>
        <v>2.4899999999997817</v>
      </c>
      <c r="O110" s="2">
        <f>'[4]APRIL 2019'!$AK164</f>
        <v>0.44000000000050932</v>
      </c>
      <c r="P110" s="2">
        <f>'[4]MEI 2019'!$AJ164</f>
        <v>2.9699999999993452</v>
      </c>
      <c r="Q110" s="2">
        <f>'[4]MEI 2019'!$AK164</f>
        <v>0</v>
      </c>
      <c r="R110" s="2">
        <f>'[4]JUNI 2019'!$AK164</f>
        <v>0</v>
      </c>
      <c r="S110" s="2">
        <f>'[4]JUNI 2019'!$AL164</f>
        <v>8.5799999999999272</v>
      </c>
      <c r="T110" s="2">
        <f>'[4]JULI 2019'!$AK164</f>
        <v>288.55999999999949</v>
      </c>
      <c r="U110" s="2">
        <f>'[4]JULI 2019'!$AL164</f>
        <v>248.32000000000153</v>
      </c>
      <c r="V110" s="2">
        <f>'[4]AGUSTUS 2019'!$AK164</f>
        <v>125.46999999999935</v>
      </c>
      <c r="W110" s="2">
        <f>'[4]AGUSTUS 2019'!$AL164</f>
        <v>21.319999999999709</v>
      </c>
      <c r="X110" s="2">
        <f>'[4]SEPTEMBER 2019'!$AK164</f>
        <v>49.920000000000073</v>
      </c>
      <c r="Y110" s="2">
        <f>'[4]SEPTEMBER 2019'!$AL164</f>
        <v>93.270000000000437</v>
      </c>
      <c r="Z110" s="2">
        <f>'[4]OKTOBER 2019'!$AK164</f>
        <v>1.0300000000006548</v>
      </c>
      <c r="AA110" s="2">
        <f>'[4]OKTOBER 2019'!$AL164</f>
        <v>0</v>
      </c>
      <c r="AB110" s="2">
        <f>'[4]NOVEMBER 2019'!$AK164</f>
        <v>0</v>
      </c>
      <c r="AC110" s="2">
        <f>'[4]NOVEMBER 2019'!$AL164</f>
        <v>0</v>
      </c>
      <c r="AD110" s="2">
        <f>'[4]DESEMBER 2019'!$AK164</f>
        <v>0</v>
      </c>
      <c r="AE110" s="2">
        <f>'[4]DESEMBER 2019'!$AL164</f>
        <v>7.1899999999986903</v>
      </c>
    </row>
    <row r="111" spans="2:31">
      <c r="B111" s="69" t="s">
        <v>154</v>
      </c>
      <c r="C111" s="69"/>
      <c r="D111" s="8" t="s">
        <v>152</v>
      </c>
      <c r="E111" s="90"/>
      <c r="F111" s="141">
        <v>4425.6099999999969</v>
      </c>
      <c r="G111" s="164">
        <f t="shared" si="118"/>
        <v>4425.6099999999969</v>
      </c>
      <c r="H111" s="164">
        <f>'[4]JANUARI 2019'!$AJ165</f>
        <v>244.78999999999724</v>
      </c>
      <c r="I111" s="164">
        <f>'[4]JANUARI 2019'!$AK165</f>
        <v>135.95000000000073</v>
      </c>
      <c r="J111" s="164">
        <f>'[4]FEBRUARI 2019'!$AJ165</f>
        <v>187.68000000000029</v>
      </c>
      <c r="K111" s="164">
        <f>'[4]FEBRUARI 2019'!$AK165</f>
        <v>149.47999999999956</v>
      </c>
      <c r="L111" s="164">
        <f>'[4]MARET 2019'!$AJ165</f>
        <v>184.65000000000146</v>
      </c>
      <c r="M111" s="164">
        <f>'[4]MARET 2019'!$AK165</f>
        <v>114.05999999999767</v>
      </c>
      <c r="N111" s="164">
        <f>'[4]APRIL 2019'!$AJ165</f>
        <v>228.36000000000058</v>
      </c>
      <c r="O111" s="164">
        <f>'[4]APRIL 2019'!$AK165</f>
        <v>221.38000000000102</v>
      </c>
      <c r="P111" s="164">
        <f>'[4]MEI 2019'!$AJ165</f>
        <v>324.38000000000102</v>
      </c>
      <c r="Q111" s="164">
        <f>'[4]MEI 2019'!$AK165</f>
        <v>205.59000000000015</v>
      </c>
      <c r="R111" s="164">
        <f>'[4]JUNI 2019'!$AK165</f>
        <v>69.549999999999272</v>
      </c>
      <c r="S111" s="164">
        <f>'[4]JUNI 2019'!$AL165</f>
        <v>274.22000000000116</v>
      </c>
      <c r="T111" s="164">
        <f>'[4]JULI 2019'!$AK165</f>
        <v>0</v>
      </c>
      <c r="U111" s="164">
        <f>'[4]JULI 2019'!$AL165</f>
        <v>0</v>
      </c>
      <c r="V111" s="164">
        <f>'[4]AGUSTUS 2019'!$AK165</f>
        <v>139.84000000000015</v>
      </c>
      <c r="W111" s="164">
        <f>'[4]AGUSTUS 2019'!$AL165</f>
        <v>230.55999999999767</v>
      </c>
      <c r="X111" s="164">
        <f>'[4]SEPTEMBER 2019'!$AK165</f>
        <v>122.84000000000015</v>
      </c>
      <c r="Y111" s="164">
        <f>'[4]SEPTEMBER 2019'!$AL165</f>
        <v>180.79999999999927</v>
      </c>
      <c r="Z111" s="164">
        <f>'[4]OKTOBER 2019'!$AK165</f>
        <v>250.71000000000276</v>
      </c>
      <c r="AA111" s="164">
        <f>'[4]OKTOBER 2019'!$AL165</f>
        <v>214.20999999999913</v>
      </c>
      <c r="AB111" s="164">
        <f>'[4]NOVEMBER 2019'!$AK165</f>
        <v>276.13000000000102</v>
      </c>
      <c r="AC111" s="164">
        <f>'[4]NOVEMBER 2019'!$AL165</f>
        <v>194.90999999999985</v>
      </c>
      <c r="AD111" s="164">
        <f>'[4]DESEMBER 2019'!$AK165</f>
        <v>203.30999999999767</v>
      </c>
      <c r="AE111" s="164">
        <f>'[4]DESEMBER 2019'!$AL165</f>
        <v>272.20999999999913</v>
      </c>
    </row>
    <row r="112" spans="2:31">
      <c r="B112" s="69" t="s">
        <v>155</v>
      </c>
      <c r="C112" s="69"/>
      <c r="D112" s="8" t="s">
        <v>152</v>
      </c>
      <c r="E112" s="90"/>
      <c r="F112" s="141">
        <v>5235</v>
      </c>
      <c r="G112" s="164">
        <f t="shared" si="118"/>
        <v>5235</v>
      </c>
      <c r="H112" s="164">
        <f>'[4]JANUARI 2019'!$AJ166</f>
        <v>253</v>
      </c>
      <c r="I112" s="164">
        <f>'[4]JANUARI 2019'!$AK166</f>
        <v>174</v>
      </c>
      <c r="J112" s="164">
        <f>'[4]FEBRUARI 2019'!$AJ166</f>
        <v>184</v>
      </c>
      <c r="K112" s="164">
        <f>'[4]FEBRUARI 2019'!$AK166</f>
        <v>186</v>
      </c>
      <c r="L112" s="164">
        <f>'[4]MARET 2019'!$AJ166</f>
        <v>221</v>
      </c>
      <c r="M112" s="164">
        <f>'[4]MARET 2019'!$AK166</f>
        <v>121</v>
      </c>
      <c r="N112" s="164">
        <f>'[4]APRIL 2019'!$AJ166</f>
        <v>231</v>
      </c>
      <c r="O112" s="164">
        <f>'[4]APRIL 2019'!$AK166</f>
        <v>217</v>
      </c>
      <c r="P112" s="164">
        <f>'[4]MEI 2019'!$AJ166</f>
        <v>319</v>
      </c>
      <c r="Q112" s="164">
        <f>'[4]MEI 2019'!$AK166</f>
        <v>198</v>
      </c>
      <c r="R112" s="164">
        <f>'[4]JUNI 2019'!$AK166</f>
        <v>135</v>
      </c>
      <c r="S112" s="164">
        <f>'[4]JUNI 2019'!$AL166</f>
        <v>282</v>
      </c>
      <c r="T112" s="164">
        <f>'[4]JULI 2019'!$AK166</f>
        <v>277</v>
      </c>
      <c r="U112" s="164">
        <f>'[4]JULI 2019'!$AL166</f>
        <v>128</v>
      </c>
      <c r="V112" s="164">
        <f>'[4]AGUSTUS 2019'!$AK166</f>
        <v>289</v>
      </c>
      <c r="W112" s="164">
        <f>'[4]AGUSTUS 2019'!$AL166</f>
        <v>213</v>
      </c>
      <c r="X112" s="164">
        <f>'[4]SEPTEMBER 2019'!$AK166</f>
        <v>172</v>
      </c>
      <c r="Y112" s="164">
        <f>'[4]SEPTEMBER 2019'!$AL166</f>
        <v>258</v>
      </c>
      <c r="Z112" s="164">
        <f>'[4]OKTOBER 2019'!$AK166</f>
        <v>246</v>
      </c>
      <c r="AA112" s="164">
        <f>'[4]OKTOBER 2019'!$AL166</f>
        <v>245</v>
      </c>
      <c r="AB112" s="164">
        <f>'[4]NOVEMBER 2019'!$AK166</f>
        <v>270</v>
      </c>
      <c r="AC112" s="164">
        <f>'[4]NOVEMBER 2019'!$AL166</f>
        <v>204</v>
      </c>
      <c r="AD112" s="164">
        <f>'[4]DESEMBER 2019'!$AK166</f>
        <v>143</v>
      </c>
      <c r="AE112" s="164">
        <f>'[4]DESEMBER 2019'!$AL166</f>
        <v>269</v>
      </c>
    </row>
    <row r="113" spans="2:31">
      <c r="B113" s="69" t="s">
        <v>156</v>
      </c>
      <c r="C113" s="69"/>
      <c r="D113" s="8" t="s">
        <v>152</v>
      </c>
      <c r="E113" s="90"/>
      <c r="F113" s="141">
        <v>2132</v>
      </c>
      <c r="G113" s="164">
        <f t="shared" si="118"/>
        <v>2132</v>
      </c>
      <c r="H113" s="164">
        <f>'[4]JANUARI 2019'!$AJ167</f>
        <v>116</v>
      </c>
      <c r="I113" s="164">
        <f>'[4]JANUARI 2019'!$AK167</f>
        <v>130</v>
      </c>
      <c r="J113" s="164">
        <f>'[4]FEBRUARI 2019'!$AJ167</f>
        <v>20</v>
      </c>
      <c r="K113" s="164">
        <f>'[4]FEBRUARI 2019'!$AK167</f>
        <v>39</v>
      </c>
      <c r="L113" s="164">
        <f>'[4]MARET 2019'!$AJ167</f>
        <v>73</v>
      </c>
      <c r="M113" s="164">
        <f>'[4]MARET 2019'!$AK167</f>
        <v>65</v>
      </c>
      <c r="N113" s="164">
        <f>'[4]APRIL 2019'!$AJ167</f>
        <v>125</v>
      </c>
      <c r="O113" s="164">
        <f>'[4]APRIL 2019'!$AK167</f>
        <v>39</v>
      </c>
      <c r="P113" s="164">
        <f>'[4]MEI 2019'!$AJ167</f>
        <v>128</v>
      </c>
      <c r="Q113" s="164">
        <f>'[4]MEI 2019'!$AK167</f>
        <v>50</v>
      </c>
      <c r="R113" s="164">
        <f>'[4]JUNI 2019'!$AK167</f>
        <v>9</v>
      </c>
      <c r="S113" s="164">
        <f>'[4]JUNI 2019'!$AL167</f>
        <v>84</v>
      </c>
      <c r="T113" s="164">
        <f>'[4]JULI 2019'!$AK167</f>
        <v>108</v>
      </c>
      <c r="U113" s="164">
        <f>'[4]JULI 2019'!$AL167</f>
        <v>202</v>
      </c>
      <c r="V113" s="164">
        <f>'[4]AGUSTUS 2019'!$AK167</f>
        <v>157</v>
      </c>
      <c r="W113" s="164">
        <f>'[4]AGUSTUS 2019'!$AL167</f>
        <v>112</v>
      </c>
      <c r="X113" s="164">
        <f>'[4]SEPTEMBER 2019'!$AK167</f>
        <v>82</v>
      </c>
      <c r="Y113" s="164">
        <f>'[4]SEPTEMBER 2019'!$AL167</f>
        <v>63</v>
      </c>
      <c r="Z113" s="164">
        <f>'[4]OKTOBER 2019'!$AK167</f>
        <v>90</v>
      </c>
      <c r="AA113" s="164">
        <f>'[4]OKTOBER 2019'!$AL167</f>
        <v>63</v>
      </c>
      <c r="AB113" s="164">
        <f>'[4]NOVEMBER 2019'!$AK167</f>
        <v>96</v>
      </c>
      <c r="AC113" s="164">
        <f>'[4]NOVEMBER 2019'!$AL167</f>
        <v>62</v>
      </c>
      <c r="AD113" s="164">
        <f>'[4]DESEMBER 2019'!$AK167</f>
        <v>131</v>
      </c>
      <c r="AE113" s="164">
        <f>'[4]DESEMBER 2019'!$AL167</f>
        <v>88</v>
      </c>
    </row>
    <row r="114" spans="2:31">
      <c r="B114" s="69" t="s">
        <v>157</v>
      </c>
      <c r="C114" s="69"/>
      <c r="D114" s="8" t="s">
        <v>152</v>
      </c>
      <c r="E114" s="90"/>
      <c r="F114" s="141">
        <v>2288</v>
      </c>
      <c r="G114" s="164">
        <f t="shared" si="118"/>
        <v>2288</v>
      </c>
      <c r="H114" s="164">
        <f>'[4]JANUARI 2019'!$AJ168</f>
        <v>75</v>
      </c>
      <c r="I114" s="164">
        <f>'[4]JANUARI 2019'!$AK168</f>
        <v>69</v>
      </c>
      <c r="J114" s="164">
        <f>'[4]FEBRUARI 2019'!$AJ168</f>
        <v>149</v>
      </c>
      <c r="K114" s="164">
        <f>'[4]FEBRUARI 2019'!$AK168</f>
        <v>37</v>
      </c>
      <c r="L114" s="164">
        <f>'[4]MARET 2019'!$AJ168</f>
        <v>130</v>
      </c>
      <c r="M114" s="164">
        <f>'[4]MARET 2019'!$AK168</f>
        <v>67</v>
      </c>
      <c r="N114" s="164">
        <f>'[4]APRIL 2019'!$AJ168</f>
        <v>67</v>
      </c>
      <c r="O114" s="164">
        <f>'[4]APRIL 2019'!$AK168</f>
        <v>221</v>
      </c>
      <c r="P114" s="164">
        <f>'[4]MEI 2019'!$AJ168</f>
        <v>312</v>
      </c>
      <c r="Q114" s="164">
        <f>'[4]MEI 2019'!$AK168</f>
        <v>185</v>
      </c>
      <c r="R114" s="164">
        <f>'[4]JUNI 2019'!$AK168</f>
        <v>0</v>
      </c>
      <c r="S114" s="164">
        <f>'[4]JUNI 2019'!$AL168</f>
        <v>78</v>
      </c>
      <c r="T114" s="164">
        <f>'[4]JULI 2019'!$AK168</f>
        <v>88</v>
      </c>
      <c r="U114" s="164">
        <f>'[4]JULI 2019'!$AL168</f>
        <v>134</v>
      </c>
      <c r="V114" s="164">
        <f>'[4]AGUSTUS 2019'!$AK168</f>
        <v>61</v>
      </c>
      <c r="W114" s="164">
        <f>'[4]AGUSTUS 2019'!$AL168</f>
        <v>64</v>
      </c>
      <c r="X114" s="164">
        <f>'[4]SEPTEMBER 2019'!$AK168</f>
        <v>54</v>
      </c>
      <c r="Y114" s="164">
        <f>'[4]SEPTEMBER 2019'!$AL168</f>
        <v>55</v>
      </c>
      <c r="Z114" s="164">
        <f>'[4]OKTOBER 2019'!$AK168</f>
        <v>53</v>
      </c>
      <c r="AA114" s="164">
        <f>'[4]OKTOBER 2019'!$AL168</f>
        <v>57</v>
      </c>
      <c r="AB114" s="164">
        <f>'[4]NOVEMBER 2019'!$AK168</f>
        <v>90</v>
      </c>
      <c r="AC114" s="164">
        <f>'[4]NOVEMBER 2019'!$AL168</f>
        <v>47</v>
      </c>
      <c r="AD114" s="164">
        <f>'[4]DESEMBER 2019'!$AK168</f>
        <v>111</v>
      </c>
      <c r="AE114" s="164">
        <f>'[4]DESEMBER 2019'!$AL168</f>
        <v>84</v>
      </c>
    </row>
    <row r="115" spans="2:31">
      <c r="B115" s="69" t="s">
        <v>158</v>
      </c>
      <c r="C115" s="69"/>
      <c r="D115" s="8" t="s">
        <v>152</v>
      </c>
      <c r="E115" s="90"/>
      <c r="F115" s="141">
        <v>1029</v>
      </c>
      <c r="G115" s="164">
        <f t="shared" si="118"/>
        <v>1029</v>
      </c>
      <c r="H115" s="164">
        <f>'[4]JANUARI 2019'!$AJ169</f>
        <v>82</v>
      </c>
      <c r="I115" s="164">
        <f>'[4]JANUARI 2019'!$AK169</f>
        <v>22</v>
      </c>
      <c r="J115" s="164">
        <f>'[4]FEBRUARI 2019'!$AJ169</f>
        <v>68</v>
      </c>
      <c r="K115" s="164">
        <f>'[4]FEBRUARI 2019'!$AK169</f>
        <v>0</v>
      </c>
      <c r="L115" s="164">
        <f>'[4]MARET 2019'!$AJ169</f>
        <v>0</v>
      </c>
      <c r="M115" s="164">
        <f>'[4]MARET 2019'!$AK169</f>
        <v>55</v>
      </c>
      <c r="N115" s="164">
        <f>'[4]APRIL 2019'!$AJ169</f>
        <v>82</v>
      </c>
      <c r="O115" s="164">
        <f>'[4]APRIL 2019'!$AK169</f>
        <v>17</v>
      </c>
      <c r="P115" s="164">
        <f>'[4]MEI 2019'!$AJ169</f>
        <v>28</v>
      </c>
      <c r="Q115" s="164">
        <f>'[4]MEI 2019'!$AK169</f>
        <v>96</v>
      </c>
      <c r="R115" s="164">
        <f>'[4]JUNI 2019'!$AK169</f>
        <v>0</v>
      </c>
      <c r="S115" s="164">
        <f>'[4]JUNI 2019'!$AL169</f>
        <v>170</v>
      </c>
      <c r="T115" s="164">
        <f>'[4]JULI 2019'!$AK169</f>
        <v>93</v>
      </c>
      <c r="U115" s="164">
        <f>'[4]JULI 2019'!$AL169</f>
        <v>116</v>
      </c>
      <c r="V115" s="164">
        <f>'[4]AGUSTUS 2019'!$AK169</f>
        <v>187</v>
      </c>
      <c r="W115" s="164">
        <f>'[4]AGUSTUS 2019'!$AL169</f>
        <v>13</v>
      </c>
      <c r="X115" s="164">
        <f>'[4]SEPTEMBER 2019'!$AK169</f>
        <v>0</v>
      </c>
      <c r="Y115" s="164">
        <f>'[4]SEPTEMBER 2019'!$AL169</f>
        <v>0</v>
      </c>
      <c r="Z115" s="164">
        <f>'[4]OKTOBER 2019'!$AK169</f>
        <v>0</v>
      </c>
      <c r="AA115" s="164">
        <f>'[4]OKTOBER 2019'!$AL169</f>
        <v>0</v>
      </c>
      <c r="AB115" s="164">
        <f>'[4]NOVEMBER 2019'!$AK169</f>
        <v>0</v>
      </c>
      <c r="AC115" s="164">
        <f>'[4]NOVEMBER 2019'!$AL169</f>
        <v>0</v>
      </c>
      <c r="AD115" s="164">
        <f>'[4]DESEMBER 2019'!$AK169</f>
        <v>0</v>
      </c>
      <c r="AE115" s="164">
        <f>'[4]DESEMBER 2019'!$AL169</f>
        <v>0</v>
      </c>
    </row>
    <row r="116" spans="2:31">
      <c r="B116" s="69" t="s">
        <v>159</v>
      </c>
      <c r="C116" s="69"/>
      <c r="D116" s="8" t="s">
        <v>152</v>
      </c>
      <c r="E116" s="90"/>
      <c r="F116" s="141">
        <v>1012</v>
      </c>
      <c r="G116" s="164">
        <f t="shared" si="118"/>
        <v>1012</v>
      </c>
      <c r="H116" s="164">
        <f>'[4]JANUARI 2019'!$AJ170</f>
        <v>72</v>
      </c>
      <c r="I116" s="164">
        <f>'[4]JANUARI 2019'!$AK170</f>
        <v>24</v>
      </c>
      <c r="J116" s="164">
        <f>'[4]FEBRUARI 2019'!$AJ170</f>
        <v>69</v>
      </c>
      <c r="K116" s="164">
        <f>'[4]FEBRUARI 2019'!$AK170</f>
        <v>0</v>
      </c>
      <c r="L116" s="164">
        <f>'[4]MARET 2019'!$AJ170</f>
        <v>0</v>
      </c>
      <c r="M116" s="164">
        <f>'[4]MARET 2019'!$AK170</f>
        <v>57</v>
      </c>
      <c r="N116" s="164">
        <f>'[4]APRIL 2019'!$AJ170</f>
        <v>81</v>
      </c>
      <c r="O116" s="164">
        <f>'[4]APRIL 2019'!$AK170</f>
        <v>8</v>
      </c>
      <c r="P116" s="164">
        <f>'[4]MEI 2019'!$AJ170</f>
        <v>29</v>
      </c>
      <c r="Q116" s="164">
        <f>'[4]MEI 2019'!$AK170</f>
        <v>92</v>
      </c>
      <c r="R116" s="164">
        <f>'[4]JUNI 2019'!$AK170</f>
        <v>0</v>
      </c>
      <c r="S116" s="164">
        <f>'[4]JUNI 2019'!$AL170</f>
        <v>171</v>
      </c>
      <c r="T116" s="164">
        <f>'[4]JULI 2019'!$AK170</f>
        <v>101</v>
      </c>
      <c r="U116" s="164">
        <f>'[4]JULI 2019'!$AL170</f>
        <v>119</v>
      </c>
      <c r="V116" s="164">
        <f>'[4]AGUSTUS 2019'!$AK170</f>
        <v>187</v>
      </c>
      <c r="W116" s="164">
        <f>'[4]AGUSTUS 2019'!$AL170</f>
        <v>2</v>
      </c>
      <c r="X116" s="164">
        <f>'[4]SEPTEMBER 2019'!$AK170</f>
        <v>0</v>
      </c>
      <c r="Y116" s="164">
        <f>'[4]SEPTEMBER 2019'!$AL170</f>
        <v>0</v>
      </c>
      <c r="Z116" s="164">
        <f>'[4]OKTOBER 2019'!$AK170</f>
        <v>0</v>
      </c>
      <c r="AA116" s="164">
        <f>'[4]OKTOBER 2019'!$AL170</f>
        <v>0</v>
      </c>
      <c r="AB116" s="164">
        <f>'[4]NOVEMBER 2019'!$AK170</f>
        <v>0</v>
      </c>
      <c r="AC116" s="164">
        <f>'[4]NOVEMBER 2019'!$AL170</f>
        <v>0</v>
      </c>
      <c r="AD116" s="164">
        <f>'[4]DESEMBER 2019'!$AK170</f>
        <v>0</v>
      </c>
      <c r="AE116" s="164">
        <f>'[4]DESEMBER 2019'!$AL170</f>
        <v>0</v>
      </c>
    </row>
    <row r="117" spans="2:31">
      <c r="B117" s="69" t="s">
        <v>160</v>
      </c>
      <c r="C117" s="69"/>
      <c r="D117" s="8" t="s">
        <v>152</v>
      </c>
      <c r="E117" s="90"/>
      <c r="F117" s="141">
        <v>2195</v>
      </c>
      <c r="G117" s="164">
        <f t="shared" si="118"/>
        <v>2195</v>
      </c>
      <c r="H117" s="164">
        <f>'[4]JANUARI 2019'!$AJ171</f>
        <v>60</v>
      </c>
      <c r="I117" s="164">
        <f>'[4]JANUARI 2019'!$AK171</f>
        <v>63</v>
      </c>
      <c r="J117" s="164">
        <f>'[4]FEBRUARI 2019'!$AJ171</f>
        <v>32</v>
      </c>
      <c r="K117" s="164">
        <f>'[4]FEBRUARI 2019'!$AK171</f>
        <v>61</v>
      </c>
      <c r="L117" s="164">
        <f>'[4]MARET 2019'!$AJ171</f>
        <v>93</v>
      </c>
      <c r="M117" s="164">
        <f>'[4]MARET 2019'!$AK171</f>
        <v>0</v>
      </c>
      <c r="N117" s="164">
        <f>'[4]APRIL 2019'!$AJ171</f>
        <v>61</v>
      </c>
      <c r="O117" s="164">
        <f>'[4]APRIL 2019'!$AK171</f>
        <v>110</v>
      </c>
      <c r="P117" s="164">
        <f>'[4]MEI 2019'!$AJ171</f>
        <v>164</v>
      </c>
      <c r="Q117" s="164">
        <f>'[4]MEI 2019'!$AK171</f>
        <v>41</v>
      </c>
      <c r="R117" s="164">
        <f>'[4]JUNI 2019'!$AK171</f>
        <v>29</v>
      </c>
      <c r="S117" s="164">
        <f>'[4]JUNI 2019'!$AL171</f>
        <v>3</v>
      </c>
      <c r="T117" s="164">
        <f>'[4]JULI 2019'!$AK171</f>
        <v>93</v>
      </c>
      <c r="U117" s="164">
        <f>'[4]JULI 2019'!$AL171</f>
        <v>54</v>
      </c>
      <c r="V117" s="164">
        <f>'[4]AGUSTUS 2019'!$AK171</f>
        <v>0</v>
      </c>
      <c r="W117" s="164">
        <f>'[4]AGUSTUS 2019'!$AL171</f>
        <v>122</v>
      </c>
      <c r="X117" s="164">
        <f>'[4]SEPTEMBER 2019'!$AK171</f>
        <v>120</v>
      </c>
      <c r="Y117" s="164">
        <f>'[4]SEPTEMBER 2019'!$AL171</f>
        <v>184</v>
      </c>
      <c r="Z117" s="164">
        <f>'[4]OKTOBER 2019'!$AK171</f>
        <v>159</v>
      </c>
      <c r="AA117" s="164">
        <f>'[4]OKTOBER 2019'!$AL171</f>
        <v>136</v>
      </c>
      <c r="AB117" s="164">
        <f>'[4]NOVEMBER 2019'!$AK171</f>
        <v>177</v>
      </c>
      <c r="AC117" s="164">
        <f>'[4]NOVEMBER 2019'!$AL171</f>
        <v>131</v>
      </c>
      <c r="AD117" s="164">
        <f>'[4]DESEMBER 2019'!$AK171</f>
        <v>119</v>
      </c>
      <c r="AE117" s="164">
        <f>'[4]DESEMBER 2019'!$AL171</f>
        <v>183</v>
      </c>
    </row>
    <row r="118" spans="2:31">
      <c r="B118" s="69" t="s">
        <v>161</v>
      </c>
      <c r="C118" s="69"/>
      <c r="D118" s="8" t="s">
        <v>152</v>
      </c>
      <c r="E118" s="90"/>
      <c r="F118" s="141">
        <v>2198</v>
      </c>
      <c r="G118" s="164">
        <f t="shared" si="118"/>
        <v>2198</v>
      </c>
      <c r="H118" s="164">
        <f>'[4]JANUARI 2019'!$AJ172</f>
        <v>62</v>
      </c>
      <c r="I118" s="164">
        <f>'[4]JANUARI 2019'!$AK172</f>
        <v>51</v>
      </c>
      <c r="J118" s="164">
        <f>'[4]FEBRUARI 2019'!$AJ172</f>
        <v>41</v>
      </c>
      <c r="K118" s="164">
        <f>'[4]FEBRUARI 2019'!$AK172</f>
        <v>68</v>
      </c>
      <c r="L118" s="164">
        <f>'[4]MARET 2019'!$AJ172</f>
        <v>92</v>
      </c>
      <c r="M118" s="164">
        <f>'[4]MARET 2019'!$AK172</f>
        <v>0</v>
      </c>
      <c r="N118" s="164">
        <f>'[4]APRIL 2019'!$AJ172</f>
        <v>49</v>
      </c>
      <c r="O118" s="164">
        <f>'[4]APRIL 2019'!$AK172</f>
        <v>123</v>
      </c>
      <c r="P118" s="164">
        <f>'[4]MEI 2019'!$AJ172</f>
        <v>164</v>
      </c>
      <c r="Q118" s="164">
        <f>'[4]MEI 2019'!$AK172</f>
        <v>30</v>
      </c>
      <c r="R118" s="164">
        <f>'[4]JUNI 2019'!$AK172</f>
        <v>38</v>
      </c>
      <c r="S118" s="164">
        <f>'[4]JUNI 2019'!$AL172</f>
        <v>2</v>
      </c>
      <c r="T118" s="164">
        <f>'[4]JULI 2019'!$AK172</f>
        <v>98</v>
      </c>
      <c r="U118" s="164">
        <f>'[4]JULI 2019'!$AL172</f>
        <v>64</v>
      </c>
      <c r="V118" s="164">
        <f>'[4]AGUSTUS 2019'!$AK172</f>
        <v>0</v>
      </c>
      <c r="W118" s="164">
        <f>'[4]AGUSTUS 2019'!$AL172</f>
        <v>115</v>
      </c>
      <c r="X118" s="164">
        <f>'[4]SEPTEMBER 2019'!$AK172</f>
        <v>114</v>
      </c>
      <c r="Y118" s="164">
        <f>'[4]SEPTEMBER 2019'!$AL172</f>
        <v>183</v>
      </c>
      <c r="Z118" s="164">
        <f>'[4]OKTOBER 2019'!$AK172</f>
        <v>161</v>
      </c>
      <c r="AA118" s="164">
        <f>'[4]OKTOBER 2019'!$AL172</f>
        <v>136</v>
      </c>
      <c r="AB118" s="164">
        <f>'[4]NOVEMBER 2019'!$AK172</f>
        <v>178</v>
      </c>
      <c r="AC118" s="164">
        <f>'[4]NOVEMBER 2019'!$AL172</f>
        <v>132</v>
      </c>
      <c r="AD118" s="164">
        <f>'[4]DESEMBER 2019'!$AK172</f>
        <v>118</v>
      </c>
      <c r="AE118" s="164">
        <f>'[4]DESEMBER 2019'!$AL172</f>
        <v>179</v>
      </c>
    </row>
    <row r="119" spans="2:31">
      <c r="B119" s="69" t="s">
        <v>162</v>
      </c>
      <c r="C119" s="69"/>
      <c r="D119" s="8" t="s">
        <v>152</v>
      </c>
      <c r="E119" s="90"/>
      <c r="F119" s="141">
        <v>5440.6999999999989</v>
      </c>
      <c r="G119" s="164">
        <f t="shared" si="118"/>
        <v>5440.6999999999989</v>
      </c>
      <c r="H119" s="164">
        <f>'[4]JANUARI 2019'!$AJ173</f>
        <v>238.70000000000073</v>
      </c>
      <c r="I119" s="164">
        <f>'[4]JANUARI 2019'!$AK173</f>
        <v>163</v>
      </c>
      <c r="J119" s="164">
        <f>'[4]FEBRUARI 2019'!$AJ173</f>
        <v>190.57999999999993</v>
      </c>
      <c r="K119" s="164">
        <f>'[4]FEBRUARI 2019'!$AK173</f>
        <v>125.73999999999978</v>
      </c>
      <c r="L119" s="164">
        <f>'[4]MARET 2019'!$AJ173</f>
        <v>194.84000000000015</v>
      </c>
      <c r="M119" s="164">
        <f>'[4]MARET 2019'!$AK173</f>
        <v>95.170000000000073</v>
      </c>
      <c r="N119" s="164">
        <f>'[4]APRIL 2019'!$AJ173</f>
        <v>223.60000000000036</v>
      </c>
      <c r="O119" s="164">
        <f>'[4]APRIL 2019'!$AK173</f>
        <v>220.14999999999964</v>
      </c>
      <c r="P119" s="164">
        <f>'[4]MEI 2019'!$AJ173</f>
        <v>322.76000000000022</v>
      </c>
      <c r="Q119" s="164">
        <f>'[4]MEI 2019'!$AK173</f>
        <v>205.03999999999905</v>
      </c>
      <c r="R119" s="164">
        <f>'[4]JUNI 2019'!$AK173</f>
        <v>93.040000000000873</v>
      </c>
      <c r="S119" s="164">
        <f>'[4]JUNI 2019'!$AL173</f>
        <v>273.8799999999992</v>
      </c>
      <c r="T119" s="164">
        <f>'[4]JULI 2019'!$AK173</f>
        <v>291.23000000000138</v>
      </c>
      <c r="U119" s="164">
        <f>'[4]JULI 2019'!$AL173</f>
        <v>312.82999999999993</v>
      </c>
      <c r="V119" s="164">
        <f>'[4]AGUSTUS 2019'!$AK173</f>
        <v>326.32999999999993</v>
      </c>
      <c r="W119" s="164">
        <f>'[4]AGUSTUS 2019'!$AL173</f>
        <v>229.54999999999927</v>
      </c>
      <c r="X119" s="164">
        <f>'[4]SEPTEMBER 2019'!$AK173</f>
        <v>179.52000000000044</v>
      </c>
      <c r="Y119" s="164">
        <f>'[4]SEPTEMBER 2019'!$AL173</f>
        <v>302.65999999999985</v>
      </c>
      <c r="Z119" s="164">
        <f>'[4]OKTOBER 2019'!$AK173</f>
        <v>246.25</v>
      </c>
      <c r="AA119" s="164">
        <f>'[4]OKTOBER 2019'!$AL173</f>
        <v>225.70999999999913</v>
      </c>
      <c r="AB119" s="164">
        <f>'[4]NOVEMBER 2019'!$AK173</f>
        <v>274.11000000000058</v>
      </c>
      <c r="AC119" s="164">
        <f>'[4]NOVEMBER 2019'!$AL173</f>
        <v>200.04000000000087</v>
      </c>
      <c r="AD119" s="164">
        <f>'[4]DESEMBER 2019'!$AK173</f>
        <v>217.86999999999898</v>
      </c>
      <c r="AE119" s="164">
        <f>'[4]DESEMBER 2019'!$AL173</f>
        <v>288.09999999999854</v>
      </c>
    </row>
    <row r="120" spans="2:31">
      <c r="B120" s="69" t="s">
        <v>163</v>
      </c>
      <c r="C120" s="69"/>
      <c r="D120" s="8" t="s">
        <v>152</v>
      </c>
      <c r="E120" s="90"/>
      <c r="F120" s="141">
        <v>0</v>
      </c>
      <c r="G120" s="164">
        <f t="shared" si="118"/>
        <v>0</v>
      </c>
      <c r="H120" s="164">
        <f>'[4]JANUARI 2019'!$AJ174</f>
        <v>0</v>
      </c>
      <c r="I120" s="164">
        <f>'[4]JANUARI 2019'!$AK174</f>
        <v>0</v>
      </c>
      <c r="J120" s="164">
        <f>'[4]FEBRUARI 2019'!$AJ174</f>
        <v>0</v>
      </c>
      <c r="K120" s="164">
        <f>'[4]FEBRUARI 2019'!$AK174</f>
        <v>0</v>
      </c>
      <c r="L120" s="164">
        <f>'[4]MARET 2019'!$AJ174</f>
        <v>0</v>
      </c>
      <c r="M120" s="164">
        <f>'[4]MARET 2019'!$AK174</f>
        <v>0</v>
      </c>
      <c r="N120" s="164">
        <f>'[4]APRIL 2019'!$AJ174</f>
        <v>0</v>
      </c>
      <c r="O120" s="164">
        <f>'[4]APRIL 2019'!$AK174</f>
        <v>0</v>
      </c>
      <c r="P120" s="164">
        <f>'[4]MEI 2019'!$AJ174</f>
        <v>0</v>
      </c>
      <c r="Q120" s="164">
        <f>'[4]MEI 2019'!$AK174</f>
        <v>0</v>
      </c>
      <c r="R120" s="164">
        <f>'[4]JUNI 2019'!$AK174</f>
        <v>0</v>
      </c>
      <c r="S120" s="164">
        <f>'[4]JUNI 2019'!$AL174</f>
        <v>0</v>
      </c>
      <c r="T120" s="164">
        <f>'[4]JULI 2019'!$AK174</f>
        <v>0</v>
      </c>
      <c r="U120" s="164">
        <f>'[4]JULI 2019'!$AL174</f>
        <v>0</v>
      </c>
      <c r="V120" s="164">
        <f>'[4]AGUSTUS 2019'!$AK174</f>
        <v>0</v>
      </c>
      <c r="W120" s="164">
        <f>'[4]AGUSTUS 2019'!$AL174</f>
        <v>0</v>
      </c>
      <c r="X120" s="164">
        <f>'[4]SEPTEMBER 2019'!$AK174</f>
        <v>0</v>
      </c>
      <c r="Y120" s="164">
        <f>'[4]SEPTEMBER 2019'!$AL174</f>
        <v>0</v>
      </c>
      <c r="Z120" s="164">
        <f>'[4]OKTOBER 2019'!$AK174</f>
        <v>0</v>
      </c>
      <c r="AA120" s="164">
        <f>'[4]OKTOBER 2019'!$AL174</f>
        <v>0</v>
      </c>
      <c r="AB120" s="164">
        <f>'[4]NOVEMBER 2019'!$AK174</f>
        <v>0</v>
      </c>
      <c r="AC120" s="164">
        <f>'[4]NOVEMBER 2019'!$AL174</f>
        <v>0</v>
      </c>
      <c r="AD120" s="164">
        <f>'[4]DESEMBER 2019'!$AK174</f>
        <v>0</v>
      </c>
      <c r="AE120" s="164">
        <f>'[4]DESEMBER 2019'!$AL174</f>
        <v>0</v>
      </c>
    </row>
    <row r="121" spans="2:31">
      <c r="B121" s="69" t="s">
        <v>164</v>
      </c>
      <c r="C121" s="69"/>
      <c r="D121" s="8" t="s">
        <v>152</v>
      </c>
      <c r="E121" s="90"/>
      <c r="F121" s="141">
        <v>0</v>
      </c>
      <c r="G121" s="164">
        <f t="shared" si="118"/>
        <v>0</v>
      </c>
      <c r="H121" s="164">
        <f>'[4]JANUARI 2019'!$AJ175</f>
        <v>0</v>
      </c>
      <c r="I121" s="164">
        <f>'[4]JANUARI 2019'!$AK175</f>
        <v>0</v>
      </c>
      <c r="J121" s="164">
        <f>'[4]FEBRUARI 2019'!$AJ175</f>
        <v>0</v>
      </c>
      <c r="K121" s="164">
        <f>'[4]FEBRUARI 2019'!$AK175</f>
        <v>0</v>
      </c>
      <c r="L121" s="164">
        <f>'[4]MARET 2019'!$AJ175</f>
        <v>0</v>
      </c>
      <c r="M121" s="164">
        <f>'[4]MARET 2019'!$AK175</f>
        <v>0</v>
      </c>
      <c r="N121" s="164">
        <f>'[4]APRIL 2019'!$AJ175</f>
        <v>0</v>
      </c>
      <c r="O121" s="164">
        <f>'[4]APRIL 2019'!$AK175</f>
        <v>0</v>
      </c>
      <c r="P121" s="164">
        <f>'[4]MEI 2019'!$AJ175</f>
        <v>0</v>
      </c>
      <c r="Q121" s="164">
        <f>'[4]MEI 2019'!$AK175</f>
        <v>0</v>
      </c>
      <c r="R121" s="164">
        <f>'[4]JUNI 2019'!$AK175</f>
        <v>0</v>
      </c>
      <c r="S121" s="164">
        <f>'[4]JUNI 2019'!$AL175</f>
        <v>0</v>
      </c>
      <c r="T121" s="164">
        <f>'[4]JULI 2019'!$AK175</f>
        <v>0</v>
      </c>
      <c r="U121" s="164">
        <f>'[4]JULI 2019'!$AL175</f>
        <v>0</v>
      </c>
      <c r="V121" s="164">
        <f>'[4]AGUSTUS 2019'!$AK175</f>
        <v>0</v>
      </c>
      <c r="W121" s="164">
        <f>'[4]AGUSTUS 2019'!$AL175</f>
        <v>0</v>
      </c>
      <c r="X121" s="164">
        <f>'[4]SEPTEMBER 2019'!$AK175</f>
        <v>0</v>
      </c>
      <c r="Y121" s="164">
        <f>'[4]SEPTEMBER 2019'!$AL175</f>
        <v>0</v>
      </c>
      <c r="Z121" s="164">
        <f>'[4]OKTOBER 2019'!$AK175</f>
        <v>0</v>
      </c>
      <c r="AA121" s="164">
        <f>'[4]OKTOBER 2019'!$AL175</f>
        <v>0</v>
      </c>
      <c r="AB121" s="164">
        <f>'[4]NOVEMBER 2019'!$AK175</f>
        <v>0</v>
      </c>
      <c r="AC121" s="164">
        <f>'[4]NOVEMBER 2019'!$AL175</f>
        <v>0</v>
      </c>
      <c r="AD121" s="164">
        <f>'[4]DESEMBER 2019'!$AK175</f>
        <v>0</v>
      </c>
      <c r="AE121" s="164">
        <f>'[4]DESEMBER 2019'!$AL175</f>
        <v>0</v>
      </c>
    </row>
    <row r="122" spans="2:31">
      <c r="B122" s="69" t="s">
        <v>165</v>
      </c>
      <c r="C122" s="69"/>
      <c r="D122" s="8" t="s">
        <v>152</v>
      </c>
      <c r="E122" s="90"/>
      <c r="F122" s="141">
        <v>5445.380000000001</v>
      </c>
      <c r="G122" s="164">
        <f t="shared" si="118"/>
        <v>5445.380000000001</v>
      </c>
      <c r="H122" s="164">
        <f>'[4]JANUARI 2019'!$AJ176</f>
        <v>243.32000000000153</v>
      </c>
      <c r="I122" s="164">
        <f>'[4]JANUARI 2019'!$AK176</f>
        <v>160</v>
      </c>
      <c r="J122" s="164">
        <f>'[4]FEBRUARI 2019'!$AJ176</f>
        <v>177.75</v>
      </c>
      <c r="K122" s="164">
        <f>'[4]FEBRUARI 2019'!$AK176</f>
        <v>162.34999999999854</v>
      </c>
      <c r="L122" s="164">
        <f>'[4]MARET 2019'!$AJ176</f>
        <v>208.84000000000015</v>
      </c>
      <c r="M122" s="164">
        <f>'[4]MARET 2019'!$AK176</f>
        <v>119.84000000000015</v>
      </c>
      <c r="N122" s="164">
        <f>'[4]APRIL 2019'!$AJ176</f>
        <v>229.90999999999985</v>
      </c>
      <c r="O122" s="164">
        <f>'[4]APRIL 2019'!$AK176</f>
        <v>208.98000000000138</v>
      </c>
      <c r="P122" s="164">
        <f>'[4]MEI 2019'!$AJ176</f>
        <v>318.33999999999833</v>
      </c>
      <c r="Q122" s="164">
        <f>'[4]MEI 2019'!$AK176</f>
        <v>204.02000000000044</v>
      </c>
      <c r="R122" s="164">
        <f>'[4]JUNI 2019'!$AK176</f>
        <v>96.010000000000218</v>
      </c>
      <c r="S122" s="164">
        <f>'[4]JUNI 2019'!$AL176</f>
        <v>287.52000000000044</v>
      </c>
      <c r="T122" s="164">
        <f>'[4]JULI 2019'!$AK176</f>
        <v>296.40999999999985</v>
      </c>
      <c r="U122" s="164">
        <f>'[4]JULI 2019'!$AL176</f>
        <v>300.81000000000131</v>
      </c>
      <c r="V122" s="164">
        <f>'[4]AGUSTUS 2019'!$AK176</f>
        <v>286.22999999999956</v>
      </c>
      <c r="W122" s="164">
        <f>'[4]AGUSTUS 2019'!$AL176</f>
        <v>234.57000000000153</v>
      </c>
      <c r="X122" s="164">
        <f>'[4]SEPTEMBER 2019'!$AK176</f>
        <v>180.30999999999949</v>
      </c>
      <c r="Y122" s="164">
        <f>'[4]SEPTEMBER 2019'!$AL176</f>
        <v>269.01000000000022</v>
      </c>
      <c r="Z122" s="164">
        <f>'[4]OKTOBER 2019'!$AK176</f>
        <v>247.04999999999927</v>
      </c>
      <c r="AA122" s="164">
        <f>'[4]OKTOBER 2019'!$AL176</f>
        <v>249.57999999999993</v>
      </c>
      <c r="AB122" s="164">
        <f>'[4]NOVEMBER 2019'!$AK176</f>
        <v>278.13000000000102</v>
      </c>
      <c r="AC122" s="164">
        <f>'[4]NOVEMBER 2019'!$AL176</f>
        <v>199.27999999999884</v>
      </c>
      <c r="AD122" s="164">
        <f>'[4]DESEMBER 2019'!$AK176</f>
        <v>226.68000000000029</v>
      </c>
      <c r="AE122" s="164">
        <f>'[4]DESEMBER 2019'!$AL176</f>
        <v>260.43999999999869</v>
      </c>
    </row>
    <row r="123" spans="2:31">
      <c r="B123" s="69" t="s">
        <v>166</v>
      </c>
      <c r="C123" s="69"/>
      <c r="D123" s="8" t="s">
        <v>152</v>
      </c>
      <c r="E123" s="90"/>
      <c r="F123" s="141">
        <v>0</v>
      </c>
      <c r="G123" s="164">
        <f t="shared" si="118"/>
        <v>0</v>
      </c>
      <c r="H123" s="164">
        <f>'[4]JANUARI 2019'!$AJ177</f>
        <v>0</v>
      </c>
      <c r="I123" s="164">
        <f>'[4]JANUARI 2019'!$AK177</f>
        <v>0</v>
      </c>
      <c r="J123" s="164">
        <f>'[4]FEBRUARI 2019'!$AJ177</f>
        <v>0</v>
      </c>
      <c r="K123" s="164">
        <f>'[4]FEBRUARI 2019'!$AK177</f>
        <v>0</v>
      </c>
      <c r="L123" s="164">
        <f>'[4]MARET 2019'!$AJ177</f>
        <v>0</v>
      </c>
      <c r="M123" s="164">
        <f>'[4]MARET 2019'!$AK177</f>
        <v>0</v>
      </c>
      <c r="N123" s="164">
        <f>'[4]APRIL 2019'!$AJ177</f>
        <v>0</v>
      </c>
      <c r="O123" s="164">
        <f>'[4]APRIL 2019'!$AK177</f>
        <v>0</v>
      </c>
      <c r="P123" s="164">
        <f>'[4]MEI 2019'!$AJ177</f>
        <v>0</v>
      </c>
      <c r="Q123" s="164">
        <f>'[4]MEI 2019'!$AK177</f>
        <v>0</v>
      </c>
      <c r="R123" s="164">
        <f>'[4]JUNI 2019'!$AK177</f>
        <v>0</v>
      </c>
      <c r="S123" s="164">
        <f>'[4]JUNI 2019'!$AL177</f>
        <v>0</v>
      </c>
      <c r="T123" s="164">
        <f>'[4]JULI 2019'!$AK177</f>
        <v>0</v>
      </c>
      <c r="U123" s="164">
        <f>'[4]JULI 2019'!$AL177</f>
        <v>0</v>
      </c>
      <c r="V123" s="164">
        <f>'[4]AGUSTUS 2019'!$AK177</f>
        <v>0</v>
      </c>
      <c r="W123" s="164">
        <f>'[4]AGUSTUS 2019'!$AL177</f>
        <v>0</v>
      </c>
      <c r="X123" s="164">
        <f>'[4]SEPTEMBER 2019'!$AK177</f>
        <v>0</v>
      </c>
      <c r="Y123" s="164">
        <f>'[4]SEPTEMBER 2019'!$AL177</f>
        <v>0</v>
      </c>
      <c r="Z123" s="164">
        <f>'[4]OKTOBER 2019'!$AK177</f>
        <v>0</v>
      </c>
      <c r="AA123" s="164">
        <f>'[4]OKTOBER 2019'!$AL177</f>
        <v>0</v>
      </c>
      <c r="AB123" s="164">
        <f>'[4]NOVEMBER 2019'!$AK177</f>
        <v>0</v>
      </c>
      <c r="AC123" s="164">
        <f>'[4]NOVEMBER 2019'!$AL177</f>
        <v>0</v>
      </c>
      <c r="AD123" s="164">
        <f>'[4]DESEMBER 2019'!$AK177</f>
        <v>0</v>
      </c>
      <c r="AE123" s="164">
        <f>'[4]DESEMBER 2019'!$AL177</f>
        <v>0</v>
      </c>
    </row>
    <row r="124" spans="2:31">
      <c r="G124" s="117"/>
    </row>
    <row r="125" spans="2:31">
      <c r="G125" s="117"/>
    </row>
  </sheetData>
  <mergeCells count="142">
    <mergeCell ref="AB74:AC74"/>
    <mergeCell ref="AD74:AE74"/>
    <mergeCell ref="D74:D75"/>
    <mergeCell ref="E74:E75"/>
    <mergeCell ref="X74:Y74"/>
    <mergeCell ref="Z74:AA74"/>
    <mergeCell ref="B74:B75"/>
    <mergeCell ref="C74:C75"/>
    <mergeCell ref="R74:S74"/>
    <mergeCell ref="T74:U74"/>
    <mergeCell ref="V74:W74"/>
    <mergeCell ref="H74:I74"/>
    <mergeCell ref="J74:K74"/>
    <mergeCell ref="L74:M74"/>
    <mergeCell ref="N74:O74"/>
    <mergeCell ref="P74:Q74"/>
    <mergeCell ref="T37:U37"/>
    <mergeCell ref="V37:W37"/>
    <mergeCell ref="X37:Y37"/>
    <mergeCell ref="Z37:AA37"/>
    <mergeCell ref="AB37:AC37"/>
    <mergeCell ref="H37:I37"/>
    <mergeCell ref="J37:K37"/>
    <mergeCell ref="L37:M37"/>
    <mergeCell ref="N37:O37"/>
    <mergeCell ref="P37:Q37"/>
    <mergeCell ref="AD3:AE3"/>
    <mergeCell ref="T3:U3"/>
    <mergeCell ref="V3:W3"/>
    <mergeCell ref="X3:Y3"/>
    <mergeCell ref="Z3:AA3"/>
    <mergeCell ref="AB3:AC3"/>
    <mergeCell ref="H72:I72"/>
    <mergeCell ref="J72:K72"/>
    <mergeCell ref="L72:M72"/>
    <mergeCell ref="N72:O72"/>
    <mergeCell ref="P72:Q72"/>
    <mergeCell ref="AB72:AC72"/>
    <mergeCell ref="AD72:AE72"/>
    <mergeCell ref="R72:S72"/>
    <mergeCell ref="T72:U72"/>
    <mergeCell ref="V72:W72"/>
    <mergeCell ref="X72:Y72"/>
    <mergeCell ref="Z72:AA72"/>
    <mergeCell ref="H3:I3"/>
    <mergeCell ref="J3:K3"/>
    <mergeCell ref="L3:M3"/>
    <mergeCell ref="N3:O3"/>
    <mergeCell ref="AD37:AE37"/>
    <mergeCell ref="R37:S37"/>
    <mergeCell ref="B108:B109"/>
    <mergeCell ref="C108:C109"/>
    <mergeCell ref="D108:D109"/>
    <mergeCell ref="E108:E109"/>
    <mergeCell ref="H108:I108"/>
    <mergeCell ref="J108:K108"/>
    <mergeCell ref="P3:Q3"/>
    <mergeCell ref="B3:C4"/>
    <mergeCell ref="D3:D4"/>
    <mergeCell ref="E3:E4"/>
    <mergeCell ref="E37:E38"/>
    <mergeCell ref="B37:C38"/>
    <mergeCell ref="D37:D38"/>
    <mergeCell ref="H78:I78"/>
    <mergeCell ref="J78:K78"/>
    <mergeCell ref="L78:M78"/>
    <mergeCell ref="N78:O78"/>
    <mergeCell ref="P78:Q78"/>
    <mergeCell ref="AD108:AE108"/>
    <mergeCell ref="F3:F4"/>
    <mergeCell ref="F37:F38"/>
    <mergeCell ref="G3:G4"/>
    <mergeCell ref="G37:G38"/>
    <mergeCell ref="F74:F75"/>
    <mergeCell ref="G74:G75"/>
    <mergeCell ref="F108:F109"/>
    <mergeCell ref="G108:G109"/>
    <mergeCell ref="L108:M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R3:S3"/>
    <mergeCell ref="H82:I82"/>
    <mergeCell ref="H83:I83"/>
    <mergeCell ref="J82:K82"/>
    <mergeCell ref="L82:M82"/>
    <mergeCell ref="N82:O82"/>
    <mergeCell ref="AB78:AC78"/>
    <mergeCell ref="AD78:AE78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R78:S78"/>
    <mergeCell ref="T78:U78"/>
    <mergeCell ref="V78:W78"/>
    <mergeCell ref="X78:Y78"/>
    <mergeCell ref="Z78:AA78"/>
    <mergeCell ref="Z82:AA82"/>
    <mergeCell ref="AB82:AC82"/>
    <mergeCell ref="AD82:AE82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P82:Q82"/>
    <mergeCell ref="R82:S82"/>
    <mergeCell ref="T82:U82"/>
    <mergeCell ref="V82:W82"/>
    <mergeCell ref="X82:Y82"/>
    <mergeCell ref="AB84:AC84"/>
    <mergeCell ref="AD84:AE84"/>
    <mergeCell ref="R84:S84"/>
    <mergeCell ref="T84:U84"/>
    <mergeCell ref="V84:W84"/>
    <mergeCell ref="X84:Y84"/>
    <mergeCell ref="Z84:AA84"/>
    <mergeCell ref="H84:I84"/>
    <mergeCell ref="J84:K84"/>
    <mergeCell ref="L84:M84"/>
    <mergeCell ref="N84:O84"/>
    <mergeCell ref="P84:Q8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AH75"/>
  <sheetViews>
    <sheetView tabSelected="1" zoomScale="60" zoomScaleNormal="60" workbookViewId="0">
      <pane xSplit="5" ySplit="4" topLeftCell="O5" activePane="bottomRight" state="frozen"/>
      <selection pane="topRight" activeCell="G1" sqref="G1"/>
      <selection pane="bottomLeft" activeCell="A5" sqref="A5"/>
      <selection pane="bottomRight" activeCell="R25" sqref="R25:S25"/>
    </sheetView>
  </sheetViews>
  <sheetFormatPr defaultRowHeight="15" outlineLevelRow="1"/>
  <cols>
    <col min="1" max="1" width="4.7109375" customWidth="1"/>
    <col min="2" max="2" width="20.5703125" customWidth="1"/>
    <col min="3" max="3" width="6.5703125" bestFit="1" customWidth="1"/>
    <col min="4" max="4" width="6.5703125" customWidth="1"/>
    <col min="5" max="5" width="12" customWidth="1"/>
    <col min="6" max="6" width="21.140625" bestFit="1" customWidth="1"/>
    <col min="7" max="7" width="21.140625" customWidth="1"/>
    <col min="8" max="31" width="17.7109375" customWidth="1"/>
    <col min="32" max="32" width="10.5703125" bestFit="1" customWidth="1"/>
  </cols>
  <sheetData>
    <row r="2" spans="1:31" ht="15.75" thickBot="1">
      <c r="B2" s="4" t="s">
        <v>23</v>
      </c>
      <c r="C2" s="4"/>
      <c r="D2" s="4"/>
      <c r="E2" s="4"/>
      <c r="F2" s="4"/>
      <c r="G2" s="4"/>
    </row>
    <row r="3" spans="1:31">
      <c r="B3" s="251" t="s">
        <v>41</v>
      </c>
      <c r="C3" s="252"/>
      <c r="D3" s="166"/>
      <c r="E3" s="214" t="s">
        <v>123</v>
      </c>
      <c r="F3" s="214" t="s">
        <v>167</v>
      </c>
      <c r="G3" s="214" t="s">
        <v>38</v>
      </c>
      <c r="H3" s="247" t="s">
        <v>2</v>
      </c>
      <c r="I3" s="248"/>
      <c r="J3" s="247" t="s">
        <v>3</v>
      </c>
      <c r="K3" s="248"/>
      <c r="L3" s="247" t="s">
        <v>4</v>
      </c>
      <c r="M3" s="248"/>
      <c r="N3" s="247" t="s">
        <v>5</v>
      </c>
      <c r="O3" s="248"/>
      <c r="P3" s="247" t="s">
        <v>6</v>
      </c>
      <c r="Q3" s="248"/>
      <c r="R3" s="247" t="s">
        <v>7</v>
      </c>
      <c r="S3" s="248"/>
      <c r="T3" s="247" t="s">
        <v>8</v>
      </c>
      <c r="U3" s="248"/>
      <c r="V3" s="247" t="s">
        <v>104</v>
      </c>
      <c r="W3" s="248"/>
      <c r="X3" s="247" t="s">
        <v>10</v>
      </c>
      <c r="Y3" s="248"/>
      <c r="Z3" s="247" t="s">
        <v>11</v>
      </c>
      <c r="AA3" s="248"/>
      <c r="AB3" s="247" t="s">
        <v>12</v>
      </c>
      <c r="AC3" s="248"/>
      <c r="AD3" s="247" t="s">
        <v>13</v>
      </c>
      <c r="AE3" s="248"/>
    </row>
    <row r="4" spans="1:31" ht="15.75" thickBot="1">
      <c r="B4" s="253"/>
      <c r="C4" s="254"/>
      <c r="D4" s="167"/>
      <c r="E4" s="215"/>
      <c r="F4" s="215"/>
      <c r="G4" s="215"/>
      <c r="H4" s="161">
        <v>15</v>
      </c>
      <c r="I4" s="27">
        <v>31</v>
      </c>
      <c r="J4" s="161">
        <v>14</v>
      </c>
      <c r="K4" s="27">
        <v>28</v>
      </c>
      <c r="L4" s="161">
        <v>15</v>
      </c>
      <c r="M4" s="27">
        <v>31</v>
      </c>
      <c r="N4" s="161">
        <v>15</v>
      </c>
      <c r="O4" s="27">
        <v>30</v>
      </c>
      <c r="P4" s="161">
        <v>15</v>
      </c>
      <c r="Q4" s="27">
        <v>31</v>
      </c>
      <c r="R4" s="161">
        <v>15</v>
      </c>
      <c r="S4" s="27">
        <v>30</v>
      </c>
      <c r="T4" s="161">
        <v>15</v>
      </c>
      <c r="U4" s="27">
        <v>31</v>
      </c>
      <c r="V4" s="161">
        <v>15</v>
      </c>
      <c r="W4" s="27">
        <v>31</v>
      </c>
      <c r="X4" s="161">
        <v>15</v>
      </c>
      <c r="Y4" s="27">
        <v>30</v>
      </c>
      <c r="Z4" s="161">
        <v>15</v>
      </c>
      <c r="AA4" s="27">
        <v>31</v>
      </c>
      <c r="AB4" s="161">
        <v>15</v>
      </c>
      <c r="AC4" s="27">
        <v>30</v>
      </c>
      <c r="AD4" s="161">
        <v>15</v>
      </c>
      <c r="AE4" s="27">
        <v>31</v>
      </c>
    </row>
    <row r="5" spans="1:31" ht="15.75">
      <c r="B5" s="243" t="s">
        <v>14</v>
      </c>
      <c r="C5" s="13" t="s">
        <v>24</v>
      </c>
      <c r="D5" s="13"/>
      <c r="E5" s="142"/>
      <c r="F5" s="143">
        <v>265.06963751169883</v>
      </c>
      <c r="G5" s="143">
        <f>SUM(H5:AE5)</f>
        <v>250</v>
      </c>
      <c r="H5" s="245">
        <v>20</v>
      </c>
      <c r="I5" s="246"/>
      <c r="J5" s="245">
        <v>18</v>
      </c>
      <c r="K5" s="246"/>
      <c r="L5" s="245">
        <v>21</v>
      </c>
      <c r="M5" s="246"/>
      <c r="N5" s="245">
        <v>23</v>
      </c>
      <c r="O5" s="246"/>
      <c r="P5" s="245">
        <v>8</v>
      </c>
      <c r="Q5" s="246"/>
      <c r="R5" s="245">
        <v>18</v>
      </c>
      <c r="S5" s="246"/>
      <c r="T5" s="245">
        <v>26</v>
      </c>
      <c r="U5" s="246"/>
      <c r="V5" s="245">
        <v>22</v>
      </c>
      <c r="W5" s="246"/>
      <c r="X5" s="245">
        <v>24</v>
      </c>
      <c r="Y5" s="246"/>
      <c r="Z5" s="245">
        <v>23</v>
      </c>
      <c r="AA5" s="246"/>
      <c r="AB5" s="245">
        <v>23</v>
      </c>
      <c r="AC5" s="246"/>
      <c r="AD5" s="245">
        <v>24</v>
      </c>
      <c r="AE5" s="246"/>
    </row>
    <row r="6" spans="1:31" ht="15.75">
      <c r="B6" s="244"/>
      <c r="C6" s="14" t="s">
        <v>25</v>
      </c>
      <c r="D6" s="14"/>
      <c r="E6" s="14"/>
      <c r="F6" s="144">
        <v>27.49666666666667</v>
      </c>
      <c r="G6" s="144">
        <f t="shared" ref="G6:G14" si="0">SUM(H6:AE6)</f>
        <v>107.82291666666667</v>
      </c>
      <c r="H6" s="91">
        <f>Summary!$AV4</f>
        <v>9</v>
      </c>
      <c r="I6" s="163">
        <f>Summary!$AW4</f>
        <v>9</v>
      </c>
      <c r="J6" s="91">
        <f>Summary!$AV10</f>
        <v>9.2500000000000018</v>
      </c>
      <c r="K6" s="91">
        <f>Summary!$AW10</f>
        <v>8.6666666666666661</v>
      </c>
      <c r="L6" s="91">
        <f>Summary!$AV16</f>
        <v>9.7083333333333339</v>
      </c>
      <c r="M6" s="163">
        <f>Summary!$AW16</f>
        <v>9.375</v>
      </c>
      <c r="N6" s="91">
        <f>Summary!$AV22</f>
        <v>11.03125</v>
      </c>
      <c r="O6" s="163">
        <f>Summary!$AW22</f>
        <v>8.5833333333333339</v>
      </c>
      <c r="P6" s="91">
        <f>Summary!$AV28</f>
        <v>6.4166666666666661</v>
      </c>
      <c r="Q6" s="163">
        <f>Summary!$AW28</f>
        <v>2.6666666666666665</v>
      </c>
      <c r="R6" s="91">
        <f>Summary!$AV34</f>
        <v>10.062499999999998</v>
      </c>
      <c r="S6" s="163">
        <f>Summary!$AW34</f>
        <v>10.229166666666666</v>
      </c>
      <c r="T6" s="91">
        <f>Summary!$AV40</f>
        <v>3.8333333333333335</v>
      </c>
      <c r="U6" s="163">
        <f>Summary!$AW40</f>
        <v>0</v>
      </c>
      <c r="V6" s="91">
        <f>Summary!$AV46</f>
        <v>0</v>
      </c>
      <c r="W6" s="163">
        <f>Summary!$AW46</f>
        <v>0</v>
      </c>
      <c r="X6" s="91">
        <f>Summary!$AV52</f>
        <v>0</v>
      </c>
      <c r="Y6" s="163">
        <f>Summary!$AW52</f>
        <v>0</v>
      </c>
      <c r="Z6" s="91">
        <f>Summary!$AV58</f>
        <v>0</v>
      </c>
      <c r="AA6" s="163">
        <f>Summary!$AW58</f>
        <v>0</v>
      </c>
      <c r="AB6" s="91">
        <f>Summary!$AV64</f>
        <v>0</v>
      </c>
      <c r="AC6" s="163">
        <f>Summary!$AW64</f>
        <v>0</v>
      </c>
      <c r="AD6" s="91">
        <f>Summary!$AV70</f>
        <v>0</v>
      </c>
      <c r="AE6" s="163">
        <f>Summary!$AW70</f>
        <v>0</v>
      </c>
    </row>
    <row r="7" spans="1:31" ht="15.75">
      <c r="B7" s="255" t="s">
        <v>21</v>
      </c>
      <c r="C7" s="15" t="s">
        <v>24</v>
      </c>
      <c r="D7" s="15"/>
      <c r="E7" s="15"/>
      <c r="F7" s="145">
        <v>0</v>
      </c>
      <c r="G7" s="145">
        <f t="shared" si="0"/>
        <v>0</v>
      </c>
      <c r="H7" s="257"/>
      <c r="I7" s="258"/>
      <c r="J7" s="257"/>
      <c r="K7" s="258"/>
      <c r="L7" s="257"/>
      <c r="M7" s="258"/>
      <c r="N7" s="257"/>
      <c r="O7" s="258"/>
      <c r="P7" s="257"/>
      <c r="Q7" s="258"/>
      <c r="R7" s="257"/>
      <c r="S7" s="258"/>
      <c r="T7" s="257"/>
      <c r="U7" s="258"/>
      <c r="V7" s="257"/>
      <c r="W7" s="258"/>
      <c r="X7" s="257"/>
      <c r="Y7" s="258"/>
      <c r="Z7" s="257"/>
      <c r="AA7" s="258"/>
      <c r="AB7" s="257"/>
      <c r="AC7" s="258"/>
      <c r="AD7" s="257"/>
      <c r="AE7" s="258"/>
    </row>
    <row r="8" spans="1:31" ht="15.75">
      <c r="B8" s="256"/>
      <c r="C8" s="14" t="s">
        <v>25</v>
      </c>
      <c r="D8" s="14"/>
      <c r="E8" s="14"/>
      <c r="F8" s="144">
        <v>39</v>
      </c>
      <c r="G8" s="144">
        <f t="shared" si="0"/>
        <v>202</v>
      </c>
      <c r="H8" s="3">
        <f>SUM(H10,H12,H14)</f>
        <v>17</v>
      </c>
      <c r="I8" s="162">
        <f t="shared" ref="I8:AE8" si="1">SUM(I10,I12,I14)</f>
        <v>18</v>
      </c>
      <c r="J8" s="3">
        <f>SUM(J10,J12,J14)</f>
        <v>20</v>
      </c>
      <c r="K8" s="162">
        <f t="shared" si="1"/>
        <v>18</v>
      </c>
      <c r="L8" s="3">
        <f t="shared" si="1"/>
        <v>20</v>
      </c>
      <c r="M8" s="162">
        <f t="shared" si="1"/>
        <v>18</v>
      </c>
      <c r="N8" s="3">
        <f t="shared" si="1"/>
        <v>19</v>
      </c>
      <c r="O8" s="162">
        <f t="shared" si="1"/>
        <v>16</v>
      </c>
      <c r="P8" s="3">
        <f t="shared" si="1"/>
        <v>15</v>
      </c>
      <c r="Q8" s="162">
        <f t="shared" si="1"/>
        <v>3</v>
      </c>
      <c r="R8" s="3">
        <f t="shared" si="1"/>
        <v>18</v>
      </c>
      <c r="S8" s="162">
        <f t="shared" si="1"/>
        <v>20</v>
      </c>
      <c r="T8" s="3">
        <f t="shared" si="1"/>
        <v>0</v>
      </c>
      <c r="U8" s="162">
        <f t="shared" si="1"/>
        <v>0</v>
      </c>
      <c r="V8" s="3">
        <f t="shared" si="1"/>
        <v>0</v>
      </c>
      <c r="W8" s="162">
        <f t="shared" si="1"/>
        <v>0</v>
      </c>
      <c r="X8" s="3">
        <f t="shared" si="1"/>
        <v>0</v>
      </c>
      <c r="Y8" s="162">
        <f t="shared" si="1"/>
        <v>0</v>
      </c>
      <c r="Z8" s="3">
        <f t="shared" si="1"/>
        <v>0</v>
      </c>
      <c r="AA8" s="162">
        <f t="shared" si="1"/>
        <v>0</v>
      </c>
      <c r="AB8" s="3">
        <f t="shared" si="1"/>
        <v>0</v>
      </c>
      <c r="AC8" s="162">
        <f t="shared" si="1"/>
        <v>0</v>
      </c>
      <c r="AD8" s="3">
        <f t="shared" si="1"/>
        <v>0</v>
      </c>
      <c r="AE8" s="162">
        <f t="shared" si="1"/>
        <v>0</v>
      </c>
    </row>
    <row r="9" spans="1:31" ht="15.75">
      <c r="B9" s="234" t="s">
        <v>168</v>
      </c>
      <c r="C9" s="16" t="s">
        <v>24</v>
      </c>
      <c r="D9" s="16"/>
      <c r="E9" s="16"/>
      <c r="F9" s="146">
        <v>114.58854000000001</v>
      </c>
      <c r="G9" s="146">
        <f t="shared" si="0"/>
        <v>114.58854000000001</v>
      </c>
      <c r="H9" s="259">
        <v>5.7052800000000019</v>
      </c>
      <c r="I9" s="260"/>
      <c r="J9" s="259">
        <v>6.3052799999999998</v>
      </c>
      <c r="K9" s="260"/>
      <c r="L9" s="259">
        <v>5.3875800000000007</v>
      </c>
      <c r="M9" s="260"/>
      <c r="N9" s="259">
        <v>5.5249199999999998</v>
      </c>
      <c r="O9" s="260"/>
      <c r="P9" s="259">
        <v>5.25</v>
      </c>
      <c r="Q9" s="260"/>
      <c r="R9" s="259">
        <v>3.4884599999999999</v>
      </c>
      <c r="S9" s="260"/>
      <c r="T9" s="259">
        <v>11.791739999999999</v>
      </c>
      <c r="U9" s="260"/>
      <c r="V9" s="259">
        <v>13.05</v>
      </c>
      <c r="W9" s="260"/>
      <c r="X9" s="259">
        <v>14.957640000000001</v>
      </c>
      <c r="Y9" s="260"/>
      <c r="Z9" s="259">
        <v>15.81</v>
      </c>
      <c r="AA9" s="260"/>
      <c r="AB9" s="259">
        <v>14.842919999999999</v>
      </c>
      <c r="AC9" s="260"/>
      <c r="AD9" s="259">
        <v>12.474720000000001</v>
      </c>
      <c r="AE9" s="260"/>
    </row>
    <row r="10" spans="1:31" ht="15.75">
      <c r="B10" s="235"/>
      <c r="C10" s="17" t="s">
        <v>25</v>
      </c>
      <c r="D10" s="17"/>
      <c r="E10" s="17"/>
      <c r="F10" s="147">
        <v>12</v>
      </c>
      <c r="G10" s="147">
        <f t="shared" si="0"/>
        <v>0</v>
      </c>
      <c r="H10" s="3">
        <f>Summary!AV5</f>
        <v>0</v>
      </c>
      <c r="I10" s="162">
        <f>Summary!AW5</f>
        <v>0</v>
      </c>
      <c r="J10" s="3">
        <f>COUNTIF(Summary!$M$11:$AA$11,"&gt;0")</f>
        <v>0</v>
      </c>
      <c r="K10" s="162">
        <f>COUNTIF(Summary!$AB$11:$AQ$11,"&gt;0")</f>
        <v>0</v>
      </c>
      <c r="L10" s="3">
        <f>COUNTIF(Summary!$M$17:$AA$17,"&gt;0")</f>
        <v>0</v>
      </c>
      <c r="M10" s="162">
        <f>COUNTIF(Summary!$AB$17:$AQ$17,"&gt;0")</f>
        <v>0</v>
      </c>
      <c r="N10" s="3">
        <f>COUNTIF(Summary!$M$23:$AA$23,"&gt;0")</f>
        <v>0</v>
      </c>
      <c r="O10" s="162">
        <f>COUNTIF(Summary!$AB$23:$AQ$23,"&gt;0")</f>
        <v>0</v>
      </c>
      <c r="P10" s="3">
        <f>COUNTIF(Summary!$M$29:$AA$29,"&gt;0")</f>
        <v>0</v>
      </c>
      <c r="Q10" s="162">
        <f>COUNTIF(Summary!$AB$29:$AQ$29,"&gt;0")</f>
        <v>0</v>
      </c>
      <c r="R10" s="3">
        <f>COUNTIF(Summary!$M$35:$AA$35,"&gt;0")</f>
        <v>0</v>
      </c>
      <c r="S10" s="162">
        <f>COUNTIF(Summary!$AB$35:$AQ$35,"&gt;0")</f>
        <v>0</v>
      </c>
      <c r="T10" s="3">
        <f>COUNTIF(Summary!$M$41:$AA$41,"&gt;0")</f>
        <v>0</v>
      </c>
      <c r="U10" s="162">
        <f>COUNTIF(Summary!$AB$41:$AQ$41,"&gt;0")</f>
        <v>0</v>
      </c>
      <c r="V10" s="3">
        <f>COUNTIF(Summary!$M$47:$AA$47,"&gt;0")</f>
        <v>0</v>
      </c>
      <c r="W10" s="162">
        <f>COUNTIF(Summary!$AB$47:$AQ$47,"&gt;0")</f>
        <v>0</v>
      </c>
      <c r="X10" s="3">
        <f>COUNTIF(Summary!$M$53:$AA$53,"&gt;0")</f>
        <v>0</v>
      </c>
      <c r="Y10" s="162">
        <f>COUNTIF(Summary!$AB$53:$AQ$53,"&gt;0")</f>
        <v>0</v>
      </c>
      <c r="Z10" s="3">
        <f>COUNTIF(Summary!$M$59:$AA$59,"&gt;0")</f>
        <v>0</v>
      </c>
      <c r="AA10" s="162">
        <f>COUNTIF(Summary!$AB$59:$AQ$59,"&gt;0")</f>
        <v>0</v>
      </c>
      <c r="AB10" s="3">
        <f>COUNTIF(Summary!$M$65:$AA$65,"&gt;0")</f>
        <v>0</v>
      </c>
      <c r="AC10" s="162">
        <f>COUNTIF(Summary!$AB$65:$AQ$65,"&gt;0")</f>
        <v>0</v>
      </c>
      <c r="AD10" s="3"/>
      <c r="AE10" s="162"/>
    </row>
    <row r="11" spans="1:31" ht="15.75">
      <c r="B11" s="234" t="s">
        <v>20</v>
      </c>
      <c r="C11" s="16" t="s">
        <v>24</v>
      </c>
      <c r="D11" s="16"/>
      <c r="E11" s="16"/>
      <c r="F11" s="146">
        <v>307.02799999999996</v>
      </c>
      <c r="G11" s="146">
        <f t="shared" si="0"/>
        <v>234.0853115008</v>
      </c>
      <c r="H11" s="259">
        <v>20</v>
      </c>
      <c r="I11" s="260"/>
      <c r="J11" s="259">
        <v>21</v>
      </c>
      <c r="K11" s="260"/>
      <c r="L11" s="259">
        <v>20</v>
      </c>
      <c r="M11" s="260"/>
      <c r="N11" s="259">
        <v>17.172001440000003</v>
      </c>
      <c r="O11" s="260"/>
      <c r="P11" s="259">
        <v>17.172001440000003</v>
      </c>
      <c r="Q11" s="260"/>
      <c r="R11" s="259">
        <v>21.487681728000002</v>
      </c>
      <c r="S11" s="260"/>
      <c r="T11" s="259">
        <v>21.047041728000004</v>
      </c>
      <c r="U11" s="260"/>
      <c r="V11" s="259">
        <v>20.976539328000001</v>
      </c>
      <c r="W11" s="260"/>
      <c r="X11" s="259">
        <v>18.686939135999999</v>
      </c>
      <c r="Y11" s="260"/>
      <c r="Z11" s="259">
        <v>18.797980416000001</v>
      </c>
      <c r="AA11" s="260"/>
      <c r="AB11" s="259">
        <v>18.846098304000002</v>
      </c>
      <c r="AC11" s="260"/>
      <c r="AD11" s="259">
        <v>18.8990279808</v>
      </c>
      <c r="AE11" s="260"/>
    </row>
    <row r="12" spans="1:31" ht="15.75">
      <c r="B12" s="235"/>
      <c r="C12" s="17" t="s">
        <v>25</v>
      </c>
      <c r="D12" s="17"/>
      <c r="E12" s="17"/>
      <c r="F12" s="147">
        <v>21</v>
      </c>
      <c r="G12" s="147">
        <f t="shared" si="0"/>
        <v>111</v>
      </c>
      <c r="H12" s="3">
        <f>Summary!AV6</f>
        <v>10</v>
      </c>
      <c r="I12" s="162">
        <f>Summary!AW6</f>
        <v>11</v>
      </c>
      <c r="J12" s="3">
        <f>COUNTIF(Summary!$M$12:$AA$12,"&gt;0")</f>
        <v>10</v>
      </c>
      <c r="K12" s="162">
        <f>COUNTIF(Summary!$AB$12:$AQ$12,"&gt;0")</f>
        <v>10</v>
      </c>
      <c r="L12" s="3">
        <f>COUNTIF(Summary!$M$18:$AA$18,"&gt;0")</f>
        <v>10</v>
      </c>
      <c r="M12" s="162">
        <f>COUNTIF(Summary!$AB$18:$AQ$18,"&gt;0")</f>
        <v>10</v>
      </c>
      <c r="N12" s="3">
        <f>COUNTIF(Summary!$M$24:$AA$24,"&gt;0")</f>
        <v>10</v>
      </c>
      <c r="O12" s="162">
        <f>COUNTIF(Summary!$AB$24:$AQ$24,"&gt;0")</f>
        <v>9</v>
      </c>
      <c r="P12" s="3">
        <f>COUNTIF(Summary!$M$30:$AA$30,"&gt;0")</f>
        <v>9</v>
      </c>
      <c r="Q12" s="162">
        <f>COUNTIF(Summary!$AB$30:$AQ$30,"&gt;0")</f>
        <v>3</v>
      </c>
      <c r="R12" s="3">
        <f>COUNTIF(Summary!$M$36:$AA$36,"&gt;0")</f>
        <v>9</v>
      </c>
      <c r="S12" s="162">
        <f>COUNTIF(Summary!$AB$36:$AQ$36,"&gt;0")</f>
        <v>10</v>
      </c>
      <c r="T12" s="3">
        <f>COUNTIF(Summary!$M$42:$AA$42,"&gt;0")</f>
        <v>0</v>
      </c>
      <c r="U12" s="162">
        <f>COUNTIF(Summary!$AB$42:$AQ$42,"&gt;0")</f>
        <v>0</v>
      </c>
      <c r="V12" s="3">
        <f>COUNTIF(Summary!$M$48:$AA$48,"&gt;0")</f>
        <v>0</v>
      </c>
      <c r="W12" s="162">
        <f>COUNTIF(Summary!$AB$48:$AQ$48,"&gt;0")</f>
        <v>0</v>
      </c>
      <c r="X12" s="3">
        <f>COUNTIF(Summary!$M$54:$AA$54,"&gt;0")</f>
        <v>0</v>
      </c>
      <c r="Y12" s="162">
        <f>COUNTIF(Summary!$AB$54:$AQ$54,"&gt;0")</f>
        <v>0</v>
      </c>
      <c r="Z12" s="3">
        <f>COUNTIF(Summary!$M$60:$AA$60,"&gt;0")</f>
        <v>0</v>
      </c>
      <c r="AA12" s="162">
        <f>COUNTIF(Summary!$AB$60:$AQ$60,"&gt;0")</f>
        <v>0</v>
      </c>
      <c r="AB12" s="3">
        <f>COUNTIF(Summary!$M$66:$AA$66,"&gt;0")</f>
        <v>0</v>
      </c>
      <c r="AC12" s="162">
        <f>COUNTIF(Summary!$AB$66:$AQ$66,"&gt;0")</f>
        <v>0</v>
      </c>
      <c r="AD12" s="3">
        <f>COUNTIF(Summary!$M$72:$AA$72,"&gt;0")</f>
        <v>0</v>
      </c>
      <c r="AE12" s="162">
        <f>COUNTIF(Summary!$AB$72:$AQ$72,"&gt;0")</f>
        <v>0</v>
      </c>
    </row>
    <row r="13" spans="1:31" ht="15.75">
      <c r="B13" s="236" t="s">
        <v>19</v>
      </c>
      <c r="C13" s="16" t="s">
        <v>24</v>
      </c>
      <c r="D13" s="16"/>
      <c r="E13" s="16"/>
      <c r="F13" s="146">
        <v>0</v>
      </c>
      <c r="G13" s="146">
        <f t="shared" si="0"/>
        <v>139.4352552</v>
      </c>
      <c r="H13" s="259">
        <v>5</v>
      </c>
      <c r="I13" s="260"/>
      <c r="J13" s="259">
        <v>12</v>
      </c>
      <c r="K13" s="260"/>
      <c r="L13" s="259">
        <v>12</v>
      </c>
      <c r="M13" s="260"/>
      <c r="N13" s="259">
        <v>9.527441952000002</v>
      </c>
      <c r="O13" s="260"/>
      <c r="P13" s="259">
        <v>9.527441952000002</v>
      </c>
      <c r="Q13" s="260"/>
      <c r="R13" s="259">
        <v>9.527441952000002</v>
      </c>
      <c r="S13" s="260"/>
      <c r="T13" s="259">
        <v>12.021731754666668</v>
      </c>
      <c r="U13" s="260"/>
      <c r="V13" s="259">
        <v>13.076714890666667</v>
      </c>
      <c r="W13" s="260"/>
      <c r="X13" s="259">
        <v>13.076714890666667</v>
      </c>
      <c r="Y13" s="260"/>
      <c r="Z13" s="259">
        <v>15.364231360000002</v>
      </c>
      <c r="AA13" s="260"/>
      <c r="AB13" s="259">
        <v>14.156768224000002</v>
      </c>
      <c r="AC13" s="260"/>
      <c r="AD13" s="259">
        <v>14.156768224000002</v>
      </c>
      <c r="AE13" s="260"/>
    </row>
    <row r="14" spans="1:31" ht="16.5" thickBot="1">
      <c r="A14" t="s">
        <v>117</v>
      </c>
      <c r="B14" s="237"/>
      <c r="C14" s="19" t="s">
        <v>25</v>
      </c>
      <c r="D14" s="19"/>
      <c r="E14" s="19"/>
      <c r="F14" s="148">
        <v>6</v>
      </c>
      <c r="G14" s="148">
        <f t="shared" si="0"/>
        <v>91</v>
      </c>
      <c r="H14" s="56">
        <f>Summary!AV7</f>
        <v>7</v>
      </c>
      <c r="I14" s="57">
        <f>Summary!AW7</f>
        <v>7</v>
      </c>
      <c r="J14" s="56">
        <f>COUNTIF(Summary!$M$13:$AA$13,"&gt;0")</f>
        <v>10</v>
      </c>
      <c r="K14" s="57">
        <f>COUNTIF(Summary!$AB$13:$AQ$13,"&gt;0")</f>
        <v>8</v>
      </c>
      <c r="L14" s="56">
        <f>COUNTIF(Summary!$M$19:$AA$19,"&gt;0")</f>
        <v>10</v>
      </c>
      <c r="M14" s="57">
        <f>COUNTIF(Summary!$AB$19:$AQ$19,"&gt;0")</f>
        <v>8</v>
      </c>
      <c r="N14" s="56">
        <f>COUNTIF(Summary!$M$25:$AA$25,"&gt;0")</f>
        <v>9</v>
      </c>
      <c r="O14" s="57">
        <f>COUNTIF(Summary!$AB$25:$AQ$25,"&gt;0")</f>
        <v>7</v>
      </c>
      <c r="P14" s="56">
        <f>COUNTIF(Summary!$M$31:$AA$31,"&gt;0")</f>
        <v>6</v>
      </c>
      <c r="Q14" s="57">
        <f>COUNTIF(Summary!$AB$31:$AQ$31,"&gt;0")</f>
        <v>0</v>
      </c>
      <c r="R14" s="56">
        <f>COUNTIF(Summary!$M$37:$AA$37,"&gt;0")</f>
        <v>9</v>
      </c>
      <c r="S14" s="57">
        <f>COUNTIF(Summary!$AB$37:$AQ$37,"&gt;0")</f>
        <v>10</v>
      </c>
      <c r="T14" s="56">
        <f>COUNTIF(Summary!$M$43:$AA$43,"&gt;0")</f>
        <v>0</v>
      </c>
      <c r="U14" s="57">
        <f>COUNTIF(Summary!$AB$43:$AQ$43,"&gt;0")</f>
        <v>0</v>
      </c>
      <c r="V14" s="56">
        <f>COUNTIF(Summary!$M$49:$AA$49,"&gt;0")</f>
        <v>0</v>
      </c>
      <c r="W14" s="57">
        <f>COUNTIF(Summary!$AB$49:$AQ$49,"&gt;0")</f>
        <v>0</v>
      </c>
      <c r="X14" s="56">
        <f>COUNTIF(Summary!$M$55:$AA$55,"&gt;0")</f>
        <v>0</v>
      </c>
      <c r="Y14" s="57">
        <f>COUNTIF(Summary!$AB$55:$AQ$55,"&gt;0")</f>
        <v>0</v>
      </c>
      <c r="Z14" s="56">
        <f>COUNTIF(Summary!$M$61:$AA$61,"&gt;0")</f>
        <v>0</v>
      </c>
      <c r="AA14" s="57">
        <f>COUNTIF(Summary!$AB$61:$AQ$61,"&gt;0")</f>
        <v>0</v>
      </c>
      <c r="AB14" s="56">
        <f>COUNTIF(Summary!$M$67:$AA$67,"&gt;0")</f>
        <v>0</v>
      </c>
      <c r="AC14" s="57">
        <f>COUNTIF(Summary!$AB$67:$AQ$67,"&gt;0")</f>
        <v>0</v>
      </c>
      <c r="AD14" s="56">
        <f>COUNTIF(Summary!$M$67:$AA$67,"&gt;0")</f>
        <v>0</v>
      </c>
      <c r="AE14" s="57">
        <f>COUNTIF(Summary!$AB$67:$AQ$67,"&gt;0")</f>
        <v>0</v>
      </c>
    </row>
    <row r="15" spans="1:31">
      <c r="B15" s="239" t="s">
        <v>29</v>
      </c>
      <c r="C15" s="240"/>
      <c r="D15" s="169"/>
      <c r="E15" s="103"/>
      <c r="F15" s="103"/>
      <c r="G15" s="103"/>
      <c r="H15" s="228">
        <f>IFERROR((H5-(SUM(H6:I6))/(SUM(H6:I6))),0)</f>
        <v>19</v>
      </c>
      <c r="I15" s="229"/>
      <c r="J15" s="228">
        <f>IFERROR((J5-(SUM(J6:K6))/(SUM(J6:K6))),0)</f>
        <v>17</v>
      </c>
      <c r="K15" s="229"/>
      <c r="L15" s="228">
        <f>IFERROR((L5-(SUM(L6:M6))/(SUM(L6:M6))),0)</f>
        <v>20</v>
      </c>
      <c r="M15" s="229"/>
      <c r="N15" s="228">
        <f>IFERROR((N5-(SUM(N6:O6))/(SUM(N6:O6))),0)</f>
        <v>22</v>
      </c>
      <c r="O15" s="229"/>
      <c r="P15" s="228">
        <f>IFERROR((P5-(SUM(P6:Q6))/(SUM(P6:Q6))),0)</f>
        <v>7</v>
      </c>
      <c r="Q15" s="229"/>
      <c r="R15" s="228">
        <f>IFERROR((R5-(SUM(R6:S6))/(SUM(R6:S6))),0)</f>
        <v>17</v>
      </c>
      <c r="S15" s="229"/>
      <c r="T15" s="228">
        <f>IFERROR((T5-(SUM(T6:U6))/(SUM(T6:U6))),0)</f>
        <v>25</v>
      </c>
      <c r="U15" s="229"/>
      <c r="V15" s="228">
        <f>IFERROR((V5-(SUM(V6:W6))/(SUM(V6:W6))),0)</f>
        <v>0</v>
      </c>
      <c r="W15" s="229"/>
      <c r="X15" s="228">
        <f>IFERROR((X5-(SUM(X6:Y6))/(SUM(X6:Y6))),0)</f>
        <v>0</v>
      </c>
      <c r="Y15" s="229"/>
      <c r="Z15" s="228">
        <f>IFERROR((Z5-(SUM(Z6:AA6))/(SUM(Z6:AA6))),0)</f>
        <v>0</v>
      </c>
      <c r="AA15" s="229"/>
      <c r="AB15" s="228">
        <f>IFERROR((AB5-(SUM(AB6:AC6))/(SUM(AB6:AC6))),0)</f>
        <v>0</v>
      </c>
      <c r="AC15" s="229"/>
      <c r="AD15" s="228">
        <f>IFERROR((AD5-(SUM(AD6:AE6))/(SUM(AD6:AE6))),0)</f>
        <v>0</v>
      </c>
      <c r="AE15" s="229"/>
    </row>
    <row r="16" spans="1:31" ht="15.75" thickBot="1">
      <c r="B16" s="241" t="s">
        <v>30</v>
      </c>
      <c r="C16" s="242"/>
      <c r="D16" s="170"/>
      <c r="E16" s="104"/>
      <c r="F16" s="104"/>
      <c r="G16" s="104"/>
      <c r="H16" s="226">
        <f>IFERROR((H7-(SUM(H8:I8))/(SUM(H8:I8))),0)</f>
        <v>-1</v>
      </c>
      <c r="I16" s="227"/>
      <c r="J16" s="226">
        <f>IFERROR((J7-(SUM(J8:K8))/(SUM(J8:K8))),0)</f>
        <v>-1</v>
      </c>
      <c r="K16" s="227"/>
      <c r="L16" s="226">
        <f>IFERROR((L7-(SUM(L8:M8))/(SUM(L8:M8))),0)</f>
        <v>-1</v>
      </c>
      <c r="M16" s="227"/>
      <c r="N16" s="226">
        <f>IFERROR((N7-(SUM(N8:O8))/(SUM(N8:O8))),0)</f>
        <v>-1</v>
      </c>
      <c r="O16" s="227"/>
      <c r="P16" s="226">
        <f>IFERROR((P7-(SUM(P8:Q8))/(SUM(P8:Q8))),0)</f>
        <v>-1</v>
      </c>
      <c r="Q16" s="227"/>
      <c r="R16" s="226">
        <f>IFERROR((R7-(SUM(R8:S8))/(SUM(R8:S8))),0)</f>
        <v>-1</v>
      </c>
      <c r="S16" s="227"/>
      <c r="T16" s="226">
        <f>IFERROR((T7-(SUM(T8:U8))/(SUM(T8:U8))),0)</f>
        <v>0</v>
      </c>
      <c r="U16" s="227"/>
      <c r="V16" s="226">
        <f>IFERROR((V7-(SUM(V8:W8))/(SUM(V8:W8))),0)</f>
        <v>0</v>
      </c>
      <c r="W16" s="227"/>
      <c r="X16" s="226">
        <f>IFERROR((X7-(SUM(X8:Y8))/(SUM(X8:Y8))),0)</f>
        <v>0</v>
      </c>
      <c r="Y16" s="227"/>
      <c r="Z16" s="226">
        <f>IFERROR((Z7-(SUM(Z8:AA8))/(SUM(Z8:AA8))),0)</f>
        <v>0</v>
      </c>
      <c r="AA16" s="227"/>
      <c r="AB16" s="226">
        <f>IFERROR((AB7-(SUM(AB8:AC8))/(SUM(AB8:AC8))),0)</f>
        <v>0</v>
      </c>
      <c r="AC16" s="227"/>
      <c r="AD16" s="226">
        <f>IFERROR((AD7-(SUM(AD8:AE8))/(SUM(AD8:AE8))),0)</f>
        <v>0</v>
      </c>
      <c r="AE16" s="227"/>
    </row>
    <row r="17" spans="2:32">
      <c r="H17" s="80"/>
      <c r="J17" s="80"/>
      <c r="L17" s="80"/>
      <c r="N17" s="80"/>
      <c r="P17" s="80"/>
      <c r="R17" s="80"/>
    </row>
    <row r="18" spans="2:32" ht="15.75" thickBot="1">
      <c r="B18" s="18" t="s">
        <v>27</v>
      </c>
      <c r="H18" s="80"/>
      <c r="J18" s="80"/>
      <c r="L18" s="80"/>
      <c r="N18" s="80"/>
      <c r="P18" s="80"/>
      <c r="R18" s="80"/>
      <c r="T18" s="80"/>
      <c r="V18" s="80"/>
      <c r="X18" s="80"/>
      <c r="Z18" s="80"/>
      <c r="AB18" s="80"/>
      <c r="AD18" s="80"/>
    </row>
    <row r="19" spans="2:32">
      <c r="B19" s="249" t="s">
        <v>14</v>
      </c>
      <c r="C19" s="20" t="s">
        <v>24</v>
      </c>
      <c r="D19" s="171"/>
      <c r="E19" s="149"/>
      <c r="F19" s="152">
        <v>3611155.6523704785</v>
      </c>
      <c r="G19" s="156">
        <f t="shared" ref="G19" si="2">SUM(H19:AE19)</f>
        <v>3444811.140063257</v>
      </c>
      <c r="H19" s="232">
        <v>276937.25256259006</v>
      </c>
      <c r="I19" s="233"/>
      <c r="J19" s="232">
        <v>255417.1163751134</v>
      </c>
      <c r="K19" s="233"/>
      <c r="L19" s="232">
        <v>287697.32065632835</v>
      </c>
      <c r="M19" s="233"/>
      <c r="N19" s="232">
        <v>287697.32065632835</v>
      </c>
      <c r="O19" s="233"/>
      <c r="P19" s="232">
        <v>183300</v>
      </c>
      <c r="Q19" s="233"/>
      <c r="R19" s="232">
        <v>255417.1163751134</v>
      </c>
      <c r="S19" s="233"/>
      <c r="T19" s="232">
        <v>341497.66112501989</v>
      </c>
      <c r="U19" s="233"/>
      <c r="V19" s="232">
        <v>298457.38875006663</v>
      </c>
      <c r="W19" s="233"/>
      <c r="X19" s="232">
        <v>319977.52493754332</v>
      </c>
      <c r="Y19" s="233"/>
      <c r="Z19" s="232">
        <v>309217.45684380498</v>
      </c>
      <c r="AA19" s="233"/>
      <c r="AB19" s="232">
        <v>309217.45684380498</v>
      </c>
      <c r="AC19" s="233"/>
      <c r="AD19" s="232">
        <v>319977.52493754332</v>
      </c>
      <c r="AE19" s="233"/>
      <c r="AF19" s="84"/>
    </row>
    <row r="20" spans="2:32">
      <c r="B20" s="250"/>
      <c r="C20" s="21" t="s">
        <v>25</v>
      </c>
      <c r="D20" s="172"/>
      <c r="E20" s="150"/>
      <c r="F20" s="153"/>
      <c r="G20" s="157"/>
      <c r="H20" s="64">
        <f>(((('Konsumsi &amp; Pareto 2 Mingguan'!H44/SUM('Konsumsi &amp; Pareto 2 Mingguan'!H44,'Konsumsi &amp; Pareto 2 Mingguan'!H57))*'Konsumsi &amp; Pareto 2 Mingguan'!H39*1000)*'Konsumsi &amp; Pareto 2 Mingguan'!H7*'HK - BDGT'!$C$74)+((('Konsumsi &amp; Pareto 2 Mingguan'!H44/SUM('Konsumsi &amp; Pareto 2 Mingguan'!H44,'Konsumsi &amp; Pareto 2 Mingguan'!H57))*'Konsumsi &amp; Pareto 2 Mingguan'!H39*1000)*'Konsumsi &amp; Pareto 2 Mingguan'!H8*'HK - BDGT'!$C$75))</f>
        <v>122987.84192473273</v>
      </c>
      <c r="I20" s="159">
        <f>(((('Konsumsi &amp; Pareto 2 Mingguan'!I44/SUM('Konsumsi &amp; Pareto 2 Mingguan'!I44,'Konsumsi &amp; Pareto 2 Mingguan'!I57))*'Konsumsi &amp; Pareto 2 Mingguan'!I39*1000)*'Konsumsi &amp; Pareto 2 Mingguan'!I7*'HK - BDGT'!$C$74)+((('Konsumsi &amp; Pareto 2 Mingguan'!I44/SUM('Konsumsi &amp; Pareto 2 Mingguan'!I44,'Konsumsi &amp; Pareto 2 Mingguan'!I57))*'Konsumsi &amp; Pareto 2 Mingguan'!I39*1000)*'Konsumsi &amp; Pareto 2 Mingguan'!I8*'HK - BDGT'!$C$75))</f>
        <v>105253.61003599979</v>
      </c>
      <c r="J20" s="64">
        <f>(((('Konsumsi &amp; Pareto 2 Mingguan'!J44/SUM('Konsumsi &amp; Pareto 2 Mingguan'!J44,'Konsumsi &amp; Pareto 2 Mingguan'!J57))*'Konsumsi &amp; Pareto 2 Mingguan'!J39*1000)*'Konsumsi &amp; Pareto 2 Mingguan'!J7*'HK - BDGT'!$C$74)+((('Konsumsi &amp; Pareto 2 Mingguan'!J44/SUM('Konsumsi &amp; Pareto 2 Mingguan'!J44,'Konsumsi &amp; Pareto 2 Mingguan'!J57))*'Konsumsi &amp; Pareto 2 Mingguan'!J39*1000)*'Konsumsi &amp; Pareto 2 Mingguan'!J8*'HK - BDGT'!$C$75))</f>
        <v>111908.0184918755</v>
      </c>
      <c r="K20" s="159">
        <f>(((('Konsumsi &amp; Pareto 2 Mingguan'!K44/SUM('Konsumsi &amp; Pareto 2 Mingguan'!K44,'Konsumsi &amp; Pareto 2 Mingguan'!K57))*'Konsumsi &amp; Pareto 2 Mingguan'!K39*1000)*'Konsumsi &amp; Pareto 2 Mingguan'!K7*'HK - BDGT'!$C$74)+((('Konsumsi &amp; Pareto 2 Mingguan'!K44/SUM('Konsumsi &amp; Pareto 2 Mingguan'!K44,'Konsumsi &amp; Pareto 2 Mingguan'!K57))*'Konsumsi &amp; Pareto 2 Mingguan'!K39*1000)*'Konsumsi &amp; Pareto 2 Mingguan'!K8*'HK - BDGT'!$C$75))</f>
        <v>105067.40039097155</v>
      </c>
      <c r="L20" s="64">
        <f>(((('Konsumsi &amp; Pareto 2 Mingguan'!L44/SUM('Konsumsi &amp; Pareto 2 Mingguan'!L44,'Konsumsi &amp; Pareto 2 Mingguan'!L57))*'Konsumsi &amp; Pareto 2 Mingguan'!L39*1000)*'Konsumsi &amp; Pareto 2 Mingguan'!L7*'HK - BDGT'!$C$74)+((('Konsumsi &amp; Pareto 2 Mingguan'!L44/SUM('Konsumsi &amp; Pareto 2 Mingguan'!L44,'Konsumsi &amp; Pareto 2 Mingguan'!L57))*'Konsumsi &amp; Pareto 2 Mingguan'!L39*1000)*'Konsumsi &amp; Pareto 2 Mingguan'!L8*'HK - BDGT'!$C$75))</f>
        <v>122594.96346677301</v>
      </c>
      <c r="M20" s="159">
        <f>(((('Konsumsi &amp; Pareto 2 Mingguan'!M44/SUM('Konsumsi &amp; Pareto 2 Mingguan'!M44,'Konsumsi &amp; Pareto 2 Mingguan'!M57))*'Konsumsi &amp; Pareto 2 Mingguan'!M39*1000)*'Konsumsi &amp; Pareto 2 Mingguan'!M7*'HK - BDGT'!$C$74)+((('Konsumsi &amp; Pareto 2 Mingguan'!M44/SUM('Konsumsi &amp; Pareto 2 Mingguan'!M44,'Konsumsi &amp; Pareto 2 Mingguan'!M57))*'Konsumsi &amp; Pareto 2 Mingguan'!M39*1000)*'Konsumsi &amp; Pareto 2 Mingguan'!M8*'HK - BDGT'!$C$75))</f>
        <v>123417.80413990511</v>
      </c>
      <c r="N20" s="64">
        <f>(((('Konsumsi &amp; Pareto 2 Mingguan'!N44/SUM('Konsumsi &amp; Pareto 2 Mingguan'!N44,'Konsumsi &amp; Pareto 2 Mingguan'!N57))*'Konsumsi &amp; Pareto 2 Mingguan'!N39*1000)*'Konsumsi &amp; Pareto 2 Mingguan'!N7*'HK - BDGT'!$C$74)+((('Konsumsi &amp; Pareto 2 Mingguan'!N44/SUM('Konsumsi &amp; Pareto 2 Mingguan'!N44,'Konsumsi &amp; Pareto 2 Mingguan'!N57))*'Konsumsi &amp; Pareto 2 Mingguan'!N39*1000)*'Konsumsi &amp; Pareto 2 Mingguan'!N8*'HK - BDGT'!$C$75))</f>
        <v>140418.12811979884</v>
      </c>
      <c r="O20" s="159">
        <f>(((('Konsumsi &amp; Pareto 2 Mingguan'!O44/SUM('Konsumsi &amp; Pareto 2 Mingguan'!O44,'Konsumsi &amp; Pareto 2 Mingguan'!O57))*'Konsumsi &amp; Pareto 2 Mingguan'!O39*1000)*'Konsumsi &amp; Pareto 2 Mingguan'!O7*'HK - BDGT'!$C$74)+((('Konsumsi &amp; Pareto 2 Mingguan'!O44/SUM('Konsumsi &amp; Pareto 2 Mingguan'!O44,'Konsumsi &amp; Pareto 2 Mingguan'!O57))*'Konsumsi &amp; Pareto 2 Mingguan'!O39*1000)*'Konsumsi &amp; Pareto 2 Mingguan'!O8*'HK - BDGT'!$C$75))</f>
        <v>107070.55196690682</v>
      </c>
      <c r="P20" s="64">
        <f>(((('Konsumsi &amp; Pareto 2 Mingguan'!P44/SUM('Konsumsi &amp; Pareto 2 Mingguan'!P44,'Konsumsi &amp; Pareto 2 Mingguan'!P57))*'Konsumsi &amp; Pareto 2 Mingguan'!P39*1000)*'Konsumsi &amp; Pareto 2 Mingguan'!P7*'HK - BDGT'!$C$74)+((('Konsumsi &amp; Pareto 2 Mingguan'!P44/SUM('Konsumsi &amp; Pareto 2 Mingguan'!P44,'Konsumsi &amp; Pareto 2 Mingguan'!P57))*'Konsumsi &amp; Pareto 2 Mingguan'!P39*1000)*'Konsumsi &amp; Pareto 2 Mingguan'!P8*'HK - BDGT'!$C$75))</f>
        <v>71768.504187013532</v>
      </c>
      <c r="Q20" s="159">
        <f>(((('Konsumsi &amp; Pareto 2 Mingguan'!Q44/SUM('Konsumsi &amp; Pareto 2 Mingguan'!Q44,'Konsumsi &amp; Pareto 2 Mingguan'!Q57))*'Konsumsi &amp; Pareto 2 Mingguan'!Q39*1000)*'Konsumsi &amp; Pareto 2 Mingguan'!Q7*'HK - BDGT'!$C$74)+((('Konsumsi &amp; Pareto 2 Mingguan'!Q44/SUM('Konsumsi &amp; Pareto 2 Mingguan'!Q44,'Konsumsi &amp; Pareto 2 Mingguan'!Q57))*'Konsumsi &amp; Pareto 2 Mingguan'!Q39*1000)*'Konsumsi &amp; Pareto 2 Mingguan'!Q8*'HK - BDGT'!$C$75))</f>
        <v>56388.823205763227</v>
      </c>
      <c r="R20" s="64">
        <f>(((('Konsumsi &amp; Pareto 2 Mingguan'!R44/SUM('Konsumsi &amp; Pareto 2 Mingguan'!R44,'Konsumsi &amp; Pareto 2 Mingguan'!R57))*'Konsumsi &amp; Pareto 2 Mingguan'!R39*1000)*'Konsumsi &amp; Pareto 2 Mingguan'!R7*'HK - BDGT'!$C$74)+((('Konsumsi &amp; Pareto 2 Mingguan'!R44/SUM('Konsumsi &amp; Pareto 2 Mingguan'!R44,'Konsumsi &amp; Pareto 2 Mingguan'!R57))*'Konsumsi &amp; Pareto 2 Mingguan'!R39*1000)*'Konsumsi &amp; Pareto 2 Mingguan'!R8*'HK - BDGT'!$C$75))</f>
        <v>127339.33652901895</v>
      </c>
      <c r="S20" s="159">
        <f>(((('Konsumsi &amp; Pareto 2 Mingguan'!S44/SUM('Konsumsi &amp; Pareto 2 Mingguan'!S44,'Konsumsi &amp; Pareto 2 Mingguan'!S57))*'Konsumsi &amp; Pareto 2 Mingguan'!S39*1000)*'Konsumsi &amp; Pareto 2 Mingguan'!S7*'HK - BDGT'!$C$74)+((('Konsumsi &amp; Pareto 2 Mingguan'!S44/SUM('Konsumsi &amp; Pareto 2 Mingguan'!S44,'Konsumsi &amp; Pareto 2 Mingguan'!S57))*'Konsumsi &amp; Pareto 2 Mingguan'!S39*1000)*'Konsumsi &amp; Pareto 2 Mingguan'!S8*'HK - BDGT'!$C$75))</f>
        <v>99278.846122951974</v>
      </c>
      <c r="T20" s="64" t="e">
        <f>(((('Konsumsi &amp; Pareto 2 Mingguan'!T44/SUM('Konsumsi &amp; Pareto 2 Mingguan'!T44,'Konsumsi &amp; Pareto 2 Mingguan'!T57))*'Konsumsi &amp; Pareto 2 Mingguan'!T39*1000)*'Konsumsi &amp; Pareto 2 Mingguan'!T7*'HK - BDGT'!$C$74)+((('Konsumsi &amp; Pareto 2 Mingguan'!T44/SUM('Konsumsi &amp; Pareto 2 Mingguan'!T44,'Konsumsi &amp; Pareto 2 Mingguan'!T57))*'Konsumsi &amp; Pareto 2 Mingguan'!T39*1000)*'Konsumsi &amp; Pareto 2 Mingguan'!T8*'HK - BDGT'!$C$75))</f>
        <v>#DIV/0!</v>
      </c>
      <c r="U20" s="159" t="e">
        <f>(((('Konsumsi &amp; Pareto 2 Mingguan'!U44/SUM('Konsumsi &amp; Pareto 2 Mingguan'!U44,'Konsumsi &amp; Pareto 2 Mingguan'!U57))*'Konsumsi &amp; Pareto 2 Mingguan'!U39*1000)*'Konsumsi &amp; Pareto 2 Mingguan'!U7*'HK - BDGT'!$C$74)+((('Konsumsi &amp; Pareto 2 Mingguan'!U44/SUM('Konsumsi &amp; Pareto 2 Mingguan'!U44,'Konsumsi &amp; Pareto 2 Mingguan'!U57))*'Konsumsi &amp; Pareto 2 Mingguan'!U39*1000)*'Konsumsi &amp; Pareto 2 Mingguan'!U8*'HK - BDGT'!$C$75))</f>
        <v>#DIV/0!</v>
      </c>
      <c r="V20" s="64" t="e">
        <f>(((('Konsumsi &amp; Pareto 2 Mingguan'!V44/SUM('Konsumsi &amp; Pareto 2 Mingguan'!V44,'Konsumsi &amp; Pareto 2 Mingguan'!V57))*'Konsumsi &amp; Pareto 2 Mingguan'!V39*1000)*'Konsumsi &amp; Pareto 2 Mingguan'!V7*'HK - BDGT'!$C$74)+((('Konsumsi &amp; Pareto 2 Mingguan'!V44/SUM('Konsumsi &amp; Pareto 2 Mingguan'!V44,'Konsumsi &amp; Pareto 2 Mingguan'!V57))*'Konsumsi &amp; Pareto 2 Mingguan'!V39*1000)*'Konsumsi &amp; Pareto 2 Mingguan'!V8*'HK - BDGT'!$C$75))</f>
        <v>#DIV/0!</v>
      </c>
      <c r="W20" s="159" t="e">
        <f>(((('Konsumsi &amp; Pareto 2 Mingguan'!W44/SUM('Konsumsi &amp; Pareto 2 Mingguan'!W44,'Konsumsi &amp; Pareto 2 Mingguan'!W57))*'Konsumsi &amp; Pareto 2 Mingguan'!W39*1000)*'Konsumsi &amp; Pareto 2 Mingguan'!W7*'HK - BDGT'!$C$74)+((('Konsumsi &amp; Pareto 2 Mingguan'!W44/SUM('Konsumsi &amp; Pareto 2 Mingguan'!W44,'Konsumsi &amp; Pareto 2 Mingguan'!W57))*'Konsumsi &amp; Pareto 2 Mingguan'!W39*1000)*'Konsumsi &amp; Pareto 2 Mingguan'!W8*'HK - BDGT'!$C$75))</f>
        <v>#DIV/0!</v>
      </c>
      <c r="X20" s="64" t="e">
        <f>(((('Konsumsi &amp; Pareto 2 Mingguan'!X44/SUM('Konsumsi &amp; Pareto 2 Mingguan'!X44,'Konsumsi &amp; Pareto 2 Mingguan'!X57))*'Konsumsi &amp; Pareto 2 Mingguan'!X39*1000)*'Konsumsi &amp; Pareto 2 Mingguan'!X7*'HK - BDGT'!$C$74)+((('Konsumsi &amp; Pareto 2 Mingguan'!X44/SUM('Konsumsi &amp; Pareto 2 Mingguan'!X44,'Konsumsi &amp; Pareto 2 Mingguan'!X57))*'Konsumsi &amp; Pareto 2 Mingguan'!X39*1000)*'Konsumsi &amp; Pareto 2 Mingguan'!X8*'HK - BDGT'!$C$75))</f>
        <v>#DIV/0!</v>
      </c>
      <c r="Y20" s="159" t="e">
        <f>(((('Konsumsi &amp; Pareto 2 Mingguan'!Y44/SUM('Konsumsi &amp; Pareto 2 Mingguan'!Y44,'Konsumsi &amp; Pareto 2 Mingguan'!Y57))*'Konsumsi &amp; Pareto 2 Mingguan'!Y39*1000)*'Konsumsi &amp; Pareto 2 Mingguan'!Y7*'HK - BDGT'!$C$74)+((('Konsumsi &amp; Pareto 2 Mingguan'!Y44/SUM('Konsumsi &amp; Pareto 2 Mingguan'!Y44,'Konsumsi &amp; Pareto 2 Mingguan'!Y57))*'Konsumsi &amp; Pareto 2 Mingguan'!Y39*1000)*'Konsumsi &amp; Pareto 2 Mingguan'!Y8*'HK - BDGT'!$C$75))</f>
        <v>#DIV/0!</v>
      </c>
      <c r="Z20" s="64" t="e">
        <f>(((('Konsumsi &amp; Pareto 2 Mingguan'!Z44/SUM('Konsumsi &amp; Pareto 2 Mingguan'!Z44,'Konsumsi &amp; Pareto 2 Mingguan'!Z57))*'Konsumsi &amp; Pareto 2 Mingguan'!Z39*1000)*'Konsumsi &amp; Pareto 2 Mingguan'!Z7*'HK - BDGT'!$C$74)+((('Konsumsi &amp; Pareto 2 Mingguan'!Z44/SUM('Konsumsi &amp; Pareto 2 Mingguan'!Z44,'Konsumsi &amp; Pareto 2 Mingguan'!Z57))*'Konsumsi &amp; Pareto 2 Mingguan'!Z39*1000)*'Konsumsi &amp; Pareto 2 Mingguan'!Z8*'HK - BDGT'!$C$75))</f>
        <v>#DIV/0!</v>
      </c>
      <c r="AA20" s="159" t="e">
        <f>(((('Konsumsi &amp; Pareto 2 Mingguan'!AA44/SUM('Konsumsi &amp; Pareto 2 Mingguan'!AA44,'Konsumsi &amp; Pareto 2 Mingguan'!AA57))*'Konsumsi &amp; Pareto 2 Mingguan'!AA39*1000)*'Konsumsi &amp; Pareto 2 Mingguan'!AA7*'HK - BDGT'!$C$74)+((('Konsumsi &amp; Pareto 2 Mingguan'!AA44/SUM('Konsumsi &amp; Pareto 2 Mingguan'!AA44,'Konsumsi &amp; Pareto 2 Mingguan'!AA57))*'Konsumsi &amp; Pareto 2 Mingguan'!AA39*1000)*'Konsumsi &amp; Pareto 2 Mingguan'!AA8*'HK - BDGT'!$C$75))</f>
        <v>#DIV/0!</v>
      </c>
      <c r="AB20" s="64" t="e">
        <f>(((('Konsumsi &amp; Pareto 2 Mingguan'!AB44/SUM('Konsumsi &amp; Pareto 2 Mingguan'!AB44,'Konsumsi &amp; Pareto 2 Mingguan'!AB57))*'Konsumsi &amp; Pareto 2 Mingguan'!AB39*1000)*'Konsumsi &amp; Pareto 2 Mingguan'!AB7*'HK - BDGT'!$C$74)+((('Konsumsi &amp; Pareto 2 Mingguan'!AB44/SUM('Konsumsi &amp; Pareto 2 Mingguan'!AB44,'Konsumsi &amp; Pareto 2 Mingguan'!AB57))*'Konsumsi &amp; Pareto 2 Mingguan'!AB39*1000)*'Konsumsi &amp; Pareto 2 Mingguan'!AB8*'HK - BDGT'!$C$75))</f>
        <v>#DIV/0!</v>
      </c>
      <c r="AC20" s="159" t="e">
        <f>(((('Konsumsi &amp; Pareto 2 Mingguan'!AC44/SUM('Konsumsi &amp; Pareto 2 Mingguan'!AC44,'Konsumsi &amp; Pareto 2 Mingguan'!AC57))*'Konsumsi &amp; Pareto 2 Mingguan'!AC39*1000)*'Konsumsi &amp; Pareto 2 Mingguan'!AC7*'HK - BDGT'!$C$74)+((('Konsumsi &amp; Pareto 2 Mingguan'!AC44/SUM('Konsumsi &amp; Pareto 2 Mingguan'!AC44,'Konsumsi &amp; Pareto 2 Mingguan'!AC57))*'Konsumsi &amp; Pareto 2 Mingguan'!AC39*1000)*'Konsumsi &amp; Pareto 2 Mingguan'!AC8*'HK - BDGT'!$C$75))</f>
        <v>#DIV/0!</v>
      </c>
      <c r="AD20" s="64" t="e">
        <f>(((('Konsumsi &amp; Pareto 2 Mingguan'!AD44/SUM('Konsumsi &amp; Pareto 2 Mingguan'!AD44,'Konsumsi &amp; Pareto 2 Mingguan'!AD57))*'Konsumsi &amp; Pareto 2 Mingguan'!AD39*1000)*'Konsumsi &amp; Pareto 2 Mingguan'!AD7*'HK - BDGT'!$C$74)+((('Konsumsi &amp; Pareto 2 Mingguan'!AD44/SUM('Konsumsi &amp; Pareto 2 Mingguan'!AD44,'Konsumsi &amp; Pareto 2 Mingguan'!AD57))*'Konsumsi &amp; Pareto 2 Mingguan'!AD39*1000)*'Konsumsi &amp; Pareto 2 Mingguan'!AD8*'HK - BDGT'!$C$75))</f>
        <v>#DIV/0!</v>
      </c>
      <c r="AE20" s="159" t="e">
        <f>(((('Konsumsi &amp; Pareto 2 Mingguan'!AE44/SUM('Konsumsi &amp; Pareto 2 Mingguan'!AE44,'Konsumsi &amp; Pareto 2 Mingguan'!AE57))*'Konsumsi &amp; Pareto 2 Mingguan'!AE39*1000)*'Konsumsi &amp; Pareto 2 Mingguan'!AE7*'HK - BDGT'!$C$74)+((('Konsumsi &amp; Pareto 2 Mingguan'!AE44/SUM('Konsumsi &amp; Pareto 2 Mingguan'!AE44,'Konsumsi &amp; Pareto 2 Mingguan'!AE57))*'Konsumsi &amp; Pareto 2 Mingguan'!AE39*1000)*'Konsumsi &amp; Pareto 2 Mingguan'!AE8*'HK - BDGT'!$C$75))</f>
        <v>#DIV/0!</v>
      </c>
    </row>
    <row r="21" spans="2:32" ht="15.75" thickBot="1">
      <c r="B21" s="220" t="s">
        <v>28</v>
      </c>
      <c r="C21" s="221"/>
      <c r="D21" s="173"/>
      <c r="E21" s="151"/>
      <c r="F21" s="154"/>
      <c r="G21" s="158"/>
      <c r="H21" s="224">
        <f>((H19-(SUM(H20:I20))))/(SUM(H20:I20))</f>
        <v>0.21335213294312261</v>
      </c>
      <c r="I21" s="225"/>
      <c r="J21" s="224">
        <f>((J19-(SUM(J20:K20))))/(SUM(J20:K20))</f>
        <v>0.17717074906546168</v>
      </c>
      <c r="K21" s="225"/>
      <c r="L21" s="224">
        <f>((L19-(SUM(L20:M20))))/(SUM(L20:M20))</f>
        <v>0.16944060853091542</v>
      </c>
      <c r="M21" s="225"/>
      <c r="N21" s="224">
        <f>((N19-(SUM(N20:O20))))/(SUM(N20:O20))</f>
        <v>0.16246658455463867</v>
      </c>
      <c r="O21" s="225"/>
      <c r="P21" s="224">
        <f>((P19-(SUM(P20:Q20))))/(SUM(P20:Q20))</f>
        <v>0.4302732721494878</v>
      </c>
      <c r="Q21" s="225"/>
      <c r="R21" s="224">
        <f>((R19-(SUM(R20:S20))))/(SUM(R20:S20))</f>
        <v>0.12708130206555598</v>
      </c>
      <c r="S21" s="225"/>
      <c r="T21" s="224" t="e">
        <f>((T19-(SUM(T20:U20))))/(SUM(T20:U20))</f>
        <v>#DIV/0!</v>
      </c>
      <c r="U21" s="225"/>
      <c r="V21" s="224" t="e">
        <f>((V19-(SUM(V20:W20))))/(SUM(V20:W20))</f>
        <v>#DIV/0!</v>
      </c>
      <c r="W21" s="225"/>
      <c r="X21" s="224" t="e">
        <f>((X19-(SUM(X20:Y20))))/(SUM(X20:Y20))</f>
        <v>#DIV/0!</v>
      </c>
      <c r="Y21" s="225"/>
      <c r="Z21" s="224" t="e">
        <f>((Z19-(SUM(Z20:AA20))))/(SUM(Z20:AA20))</f>
        <v>#DIV/0!</v>
      </c>
      <c r="AA21" s="225"/>
      <c r="AB21" s="224" t="e">
        <f>((AB19-(SUM(AB20:AC20))))/(SUM(AB20:AC20))</f>
        <v>#DIV/0!</v>
      </c>
      <c r="AC21" s="225"/>
      <c r="AD21" s="224" t="e">
        <f>((AD19-(SUM(AD20:AE20))))/(SUM(AD20:AE20))</f>
        <v>#DIV/0!</v>
      </c>
      <c r="AE21" s="225"/>
    </row>
    <row r="22" spans="2:32">
      <c r="B22" s="238" t="s">
        <v>21</v>
      </c>
      <c r="C22" s="22" t="s">
        <v>24</v>
      </c>
      <c r="D22" s="174"/>
      <c r="E22" s="149"/>
      <c r="F22" s="152">
        <v>1559496.4362438251</v>
      </c>
      <c r="G22" s="156">
        <f t="shared" ref="G22:G23" si="3">SUM(H22:AE22)</f>
        <v>1452557.4535444118</v>
      </c>
      <c r="H22" s="232">
        <v>109162.78174947519</v>
      </c>
      <c r="I22" s="233"/>
      <c r="J22" s="232">
        <v>109162.78174947519</v>
      </c>
      <c r="K22" s="233"/>
      <c r="L22" s="232">
        <v>119804.5974050278</v>
      </c>
      <c r="M22" s="233"/>
      <c r="N22" s="232">
        <v>124309.44742104928</v>
      </c>
      <c r="O22" s="233"/>
      <c r="P22" s="232">
        <v>129955.25562327677</v>
      </c>
      <c r="Q22" s="233"/>
      <c r="R22" s="232">
        <v>115289.95733866013</v>
      </c>
      <c r="S22" s="233"/>
      <c r="T22" s="232">
        <v>123793.78765642796</v>
      </c>
      <c r="U22" s="233"/>
      <c r="V22" s="232">
        <v>126500.53464893604</v>
      </c>
      <c r="W22" s="233"/>
      <c r="X22" s="232">
        <v>120854.72644670855</v>
      </c>
      <c r="Y22" s="233"/>
      <c r="Z22" s="232">
        <v>126256.41933899856</v>
      </c>
      <c r="AA22" s="233"/>
      <c r="AB22" s="232">
        <v>123668.32378952121</v>
      </c>
      <c r="AC22" s="233"/>
      <c r="AD22" s="232">
        <v>123798.84037685502</v>
      </c>
      <c r="AE22" s="233"/>
    </row>
    <row r="23" spans="2:32">
      <c r="B23" s="238"/>
      <c r="C23" s="21" t="s">
        <v>25</v>
      </c>
      <c r="D23" s="172"/>
      <c r="E23" s="150"/>
      <c r="F23" s="153"/>
      <c r="G23" s="157" t="e">
        <f t="shared" si="3"/>
        <v>#DIV/0!</v>
      </c>
      <c r="H23" s="64">
        <f>(((('Konsumsi &amp; Pareto 2 Mingguan'!H57/SUM('Konsumsi &amp; Pareto 2 Mingguan'!H44,'Konsumsi &amp; Pareto 2 Mingguan'!H57))*'Konsumsi &amp; Pareto 2 Mingguan'!H39*1000)*'Konsumsi &amp; Pareto 2 Mingguan'!H7*'HK - BDGT'!$C$74)+((('Konsumsi &amp; Pareto 2 Mingguan'!H57/SUM('Konsumsi &amp; Pareto 2 Mingguan'!H44,'Konsumsi &amp; Pareto 2 Mingguan'!H57))*'Konsumsi &amp; Pareto 2 Mingguan'!H39*1000)*'Konsumsi &amp; Pareto 2 Mingguan'!H8*'HK - BDGT'!$C$75))</f>
        <v>64440.798075264538</v>
      </c>
      <c r="I23" s="159">
        <f>(((('Konsumsi &amp; Pareto 2 Mingguan'!I57/SUM('Konsumsi &amp; Pareto 2 Mingguan'!I44,'Konsumsi &amp; Pareto 2 Mingguan'!I57))*'Konsumsi &amp; Pareto 2 Mingguan'!I39*1000)*'Konsumsi &amp; Pareto 2 Mingguan'!I7*'HK - BDGT'!$C$74)+((('Konsumsi &amp; Pareto 2 Mingguan'!I57/SUM('Konsumsi &amp; Pareto 2 Mingguan'!I44,'Konsumsi &amp; Pareto 2 Mingguan'!I57))*'Konsumsi &amp; Pareto 2 Mingguan'!I39*1000)*'Konsumsi &amp; Pareto 2 Mingguan'!I8*'HK - BDGT'!$C$75))</f>
        <v>59524.949964001251</v>
      </c>
      <c r="J23" s="64">
        <f>(((('Konsumsi &amp; Pareto 2 Mingguan'!J57/SUM('Konsumsi &amp; Pareto 2 Mingguan'!J44,'Konsumsi &amp; Pareto 2 Mingguan'!J57))*'Konsumsi &amp; Pareto 2 Mingguan'!J39*1000)*'Konsumsi &amp; Pareto 2 Mingguan'!J7*'HK - BDGT'!$C$74)+((('Konsumsi &amp; Pareto 2 Mingguan'!J57/SUM('Konsumsi &amp; Pareto 2 Mingguan'!J44,'Konsumsi &amp; Pareto 2 Mingguan'!J57))*'Konsumsi &amp; Pareto 2 Mingguan'!J39*1000)*'Konsumsi &amp; Pareto 2 Mingguan'!J8*'HK - BDGT'!$C$75))</f>
        <v>56182.701508123726</v>
      </c>
      <c r="K23" s="159">
        <f>(((('Konsumsi &amp; Pareto 2 Mingguan'!K57/SUM('Konsumsi &amp; Pareto 2 Mingguan'!K44,'Konsumsi &amp; Pareto 2 Mingguan'!K57))*'Konsumsi &amp; Pareto 2 Mingguan'!K39*1000)*'Konsumsi &amp; Pareto 2 Mingguan'!K7*'HK - BDGT'!$C$74)+((('Konsumsi &amp; Pareto 2 Mingguan'!K57/SUM('Konsumsi &amp; Pareto 2 Mingguan'!K44,'Konsumsi &amp; Pareto 2 Mingguan'!K57))*'Konsumsi &amp; Pareto 2 Mingguan'!K39*1000)*'Konsumsi &amp; Pareto 2 Mingguan'!K8*'HK - BDGT'!$C$75))</f>
        <v>62529.719609030311</v>
      </c>
      <c r="L23" s="64">
        <f>(((('Konsumsi &amp; Pareto 2 Mingguan'!L57/SUM('Konsumsi &amp; Pareto 2 Mingguan'!L44,'Konsumsi &amp; Pareto 2 Mingguan'!L57))*'Konsumsi &amp; Pareto 2 Mingguan'!L39*1000)*'Konsumsi &amp; Pareto 2 Mingguan'!L7*'HK - BDGT'!$C$74)+((('Konsumsi &amp; Pareto 2 Mingguan'!L57/SUM('Konsumsi &amp; Pareto 2 Mingguan'!L44,'Konsumsi &amp; Pareto 2 Mingguan'!L57))*'Konsumsi &amp; Pareto 2 Mingguan'!L39*1000)*'Konsumsi &amp; Pareto 2 Mingguan'!L8*'HK - BDGT'!$C$75))</f>
        <v>74197.196533225986</v>
      </c>
      <c r="M23" s="159">
        <f>(((('Konsumsi &amp; Pareto 2 Mingguan'!M57/SUM('Konsumsi &amp; Pareto 2 Mingguan'!M44,'Konsumsi &amp; Pareto 2 Mingguan'!M57))*'Konsumsi &amp; Pareto 2 Mingguan'!M39*1000)*'Konsumsi &amp; Pareto 2 Mingguan'!M7*'HK - BDGT'!$C$74)+((('Konsumsi &amp; Pareto 2 Mingguan'!M57/SUM('Konsumsi &amp; Pareto 2 Mingguan'!M44,'Konsumsi &amp; Pareto 2 Mingguan'!M57))*'Konsumsi &amp; Pareto 2 Mingguan'!M39*1000)*'Konsumsi &amp; Pareto 2 Mingguan'!M8*'HK - BDGT'!$C$75))</f>
        <v>62165.075860096193</v>
      </c>
      <c r="N23" s="64">
        <f>(((('Konsumsi &amp; Pareto 2 Mingguan'!N57/SUM('Konsumsi &amp; Pareto 2 Mingguan'!N44,'Konsumsi &amp; Pareto 2 Mingguan'!N57))*'Konsumsi &amp; Pareto 2 Mingguan'!N39*1000)*'Konsumsi &amp; Pareto 2 Mingguan'!N7*'HK - BDGT'!$C$74)+((('Konsumsi &amp; Pareto 2 Mingguan'!N57/SUM('Konsumsi &amp; Pareto 2 Mingguan'!N44,'Konsumsi &amp; Pareto 2 Mingguan'!N57))*'Konsumsi &amp; Pareto 2 Mingguan'!N39*1000)*'Konsumsi &amp; Pareto 2 Mingguan'!N8*'HK - BDGT'!$C$75))</f>
        <v>63050.991880198948</v>
      </c>
      <c r="O23" s="159">
        <f>(((('Konsumsi &amp; Pareto 2 Mingguan'!O57/SUM('Konsumsi &amp; Pareto 2 Mingguan'!O44,'Konsumsi &amp; Pareto 2 Mingguan'!O57))*'Konsumsi &amp; Pareto 2 Mingguan'!O39*1000)*'Konsumsi &amp; Pareto 2 Mingguan'!O7*'HK - BDGT'!$C$74)+((('Konsumsi &amp; Pareto 2 Mingguan'!O57/SUM('Konsumsi &amp; Pareto 2 Mingguan'!O44,'Konsumsi &amp; Pareto 2 Mingguan'!O57))*'Konsumsi &amp; Pareto 2 Mingguan'!O39*1000)*'Konsumsi &amp; Pareto 2 Mingguan'!O8*'HK - BDGT'!$C$75))</f>
        <v>62126.8880330951</v>
      </c>
      <c r="P23" s="64">
        <f>(((('Konsumsi &amp; Pareto 2 Mingguan'!P57/SUM('Konsumsi &amp; Pareto 2 Mingguan'!P44,'Konsumsi &amp; Pareto 2 Mingguan'!P57))*'Konsumsi &amp; Pareto 2 Mingguan'!P39*1000)*'Konsumsi &amp; Pareto 2 Mingguan'!P7*'HK - BDGT'!$C$74)+((('Konsumsi &amp; Pareto 2 Mingguan'!P57/SUM('Konsumsi &amp; Pareto 2 Mingguan'!P44,'Konsumsi &amp; Pareto 2 Mingguan'!P57))*'Konsumsi &amp; Pareto 2 Mingguan'!P39*1000)*'Konsumsi &amp; Pareto 2 Mingguan'!P8*'HK - BDGT'!$C$75))</f>
        <v>58401.255812986012</v>
      </c>
      <c r="Q23" s="159">
        <f>(((('Konsumsi &amp; Pareto 2 Mingguan'!Q57/SUM('Konsumsi &amp; Pareto 2 Mingguan'!Q44,'Konsumsi &amp; Pareto 2 Mingguan'!Q57))*'Konsumsi &amp; Pareto 2 Mingguan'!Q39*1000)*'Konsumsi &amp; Pareto 2 Mingguan'!Q7*'HK - BDGT'!$C$74)+((('Konsumsi &amp; Pareto 2 Mingguan'!Q57/SUM('Konsumsi &amp; Pareto 2 Mingguan'!Q44,'Konsumsi &amp; Pareto 2 Mingguan'!Q57))*'Konsumsi &amp; Pareto 2 Mingguan'!Q39*1000)*'Konsumsi &amp; Pareto 2 Mingguan'!Q8*'HK - BDGT'!$C$75))</f>
        <v>48434.056794237746</v>
      </c>
      <c r="R23" s="64">
        <f>(((('Konsumsi &amp; Pareto 2 Mingguan'!R57/SUM('Konsumsi &amp; Pareto 2 Mingguan'!R44,'Konsumsi &amp; Pareto 2 Mingguan'!R57))*'Konsumsi &amp; Pareto 2 Mingguan'!R39*1000)*'Konsumsi &amp; Pareto 2 Mingguan'!R7*'HK - BDGT'!$C$74)+((('Konsumsi &amp; Pareto 2 Mingguan'!R57/SUM('Konsumsi &amp; Pareto 2 Mingguan'!R44,'Konsumsi &amp; Pareto 2 Mingguan'!R57))*'Konsumsi &amp; Pareto 2 Mingguan'!R39*1000)*'Konsumsi &amp; Pareto 2 Mingguan'!R8*'HK - BDGT'!$C$75))</f>
        <v>79772.823470981646</v>
      </c>
      <c r="S23" s="159">
        <f>(((('Konsumsi &amp; Pareto 2 Mingguan'!S57/SUM('Konsumsi &amp; Pareto 2 Mingguan'!S44,'Konsumsi &amp; Pareto 2 Mingguan'!S57))*'Konsumsi &amp; Pareto 2 Mingguan'!S39*1000)*'Konsumsi &amp; Pareto 2 Mingguan'!S7*'HK - BDGT'!$C$74)+((('Konsumsi &amp; Pareto 2 Mingguan'!S57/SUM('Konsumsi &amp; Pareto 2 Mingguan'!S44,'Konsumsi &amp; Pareto 2 Mingguan'!S57))*'Konsumsi &amp; Pareto 2 Mingguan'!S39*1000)*'Konsumsi &amp; Pareto 2 Mingguan'!S8*'HK - BDGT'!$C$75))</f>
        <v>64730.433877046118</v>
      </c>
      <c r="T23" s="64" t="e">
        <f>(((('Konsumsi &amp; Pareto 2 Mingguan'!T57/SUM('Konsumsi &amp; Pareto 2 Mingguan'!T44,'Konsumsi &amp; Pareto 2 Mingguan'!T57))*'Konsumsi &amp; Pareto 2 Mingguan'!T39*1000)*'Konsumsi &amp; Pareto 2 Mingguan'!T7*'HK - BDGT'!$C$74)+((('Konsumsi &amp; Pareto 2 Mingguan'!T57/SUM('Konsumsi &amp; Pareto 2 Mingguan'!T44,'Konsumsi &amp; Pareto 2 Mingguan'!T57))*'Konsumsi &amp; Pareto 2 Mingguan'!T39*1000)*'Konsumsi &amp; Pareto 2 Mingguan'!T8*'HK - BDGT'!$C$75))</f>
        <v>#DIV/0!</v>
      </c>
      <c r="U23" s="159" t="e">
        <f>(((('Konsumsi &amp; Pareto 2 Mingguan'!U57/SUM('Konsumsi &amp; Pareto 2 Mingguan'!U44,'Konsumsi &amp; Pareto 2 Mingguan'!U57))*'Konsumsi &amp; Pareto 2 Mingguan'!U39*1000)*'Konsumsi &amp; Pareto 2 Mingguan'!U7*'HK - BDGT'!$C$74)+((('Konsumsi &amp; Pareto 2 Mingguan'!U57/SUM('Konsumsi &amp; Pareto 2 Mingguan'!U44,'Konsumsi &amp; Pareto 2 Mingguan'!U57))*'Konsumsi &amp; Pareto 2 Mingguan'!U39*1000)*'Konsumsi &amp; Pareto 2 Mingguan'!U8*'HK - BDGT'!$C$75))</f>
        <v>#DIV/0!</v>
      </c>
      <c r="V23" s="64" t="e">
        <f>(((('Konsumsi &amp; Pareto 2 Mingguan'!V57/SUM('Konsumsi &amp; Pareto 2 Mingguan'!V44,'Konsumsi &amp; Pareto 2 Mingguan'!V57))*'Konsumsi &amp; Pareto 2 Mingguan'!V39*1000)*'Konsumsi &amp; Pareto 2 Mingguan'!V7*'HK - BDGT'!$C$74)+((('Konsumsi &amp; Pareto 2 Mingguan'!V57/SUM('Konsumsi &amp; Pareto 2 Mingguan'!V44,'Konsumsi &amp; Pareto 2 Mingguan'!V57))*'Konsumsi &amp; Pareto 2 Mingguan'!V39*1000)*'Konsumsi &amp; Pareto 2 Mingguan'!V8*'HK - BDGT'!$C$75))</f>
        <v>#DIV/0!</v>
      </c>
      <c r="W23" s="159" t="e">
        <f>(((('Konsumsi &amp; Pareto 2 Mingguan'!W57/SUM('Konsumsi &amp; Pareto 2 Mingguan'!W44,'Konsumsi &amp; Pareto 2 Mingguan'!W57))*'Konsumsi &amp; Pareto 2 Mingguan'!W39*1000)*'Konsumsi &amp; Pareto 2 Mingguan'!W7*'HK - BDGT'!$C$74)+((('Konsumsi &amp; Pareto 2 Mingguan'!W57/SUM('Konsumsi &amp; Pareto 2 Mingguan'!W44,'Konsumsi &amp; Pareto 2 Mingguan'!W57))*'Konsumsi &amp; Pareto 2 Mingguan'!W39*1000)*'Konsumsi &amp; Pareto 2 Mingguan'!W8*'HK - BDGT'!$C$75))</f>
        <v>#DIV/0!</v>
      </c>
      <c r="X23" s="64" t="e">
        <f>(((('Konsumsi &amp; Pareto 2 Mingguan'!X57/SUM('Konsumsi &amp; Pareto 2 Mingguan'!X44,'Konsumsi &amp; Pareto 2 Mingguan'!X57))*'Konsumsi &amp; Pareto 2 Mingguan'!X39*1000)*'Konsumsi &amp; Pareto 2 Mingguan'!X7*'HK - BDGT'!$C$74)+((('Konsumsi &amp; Pareto 2 Mingguan'!X57/SUM('Konsumsi &amp; Pareto 2 Mingguan'!X44,'Konsumsi &amp; Pareto 2 Mingguan'!X57))*'Konsumsi &amp; Pareto 2 Mingguan'!X39*1000)*'Konsumsi &amp; Pareto 2 Mingguan'!X8*'HK - BDGT'!$C$75))</f>
        <v>#DIV/0!</v>
      </c>
      <c r="Y23" s="159" t="e">
        <f>(((('Konsumsi &amp; Pareto 2 Mingguan'!Y57/SUM('Konsumsi &amp; Pareto 2 Mingguan'!Y44,'Konsumsi &amp; Pareto 2 Mingguan'!Y57))*'Konsumsi &amp; Pareto 2 Mingguan'!Y39*1000)*'Konsumsi &amp; Pareto 2 Mingguan'!Y7*'HK - BDGT'!$C$74)+((('Konsumsi &amp; Pareto 2 Mingguan'!Y57/SUM('Konsumsi &amp; Pareto 2 Mingguan'!Y44,'Konsumsi &amp; Pareto 2 Mingguan'!Y57))*'Konsumsi &amp; Pareto 2 Mingguan'!Y39*1000)*'Konsumsi &amp; Pareto 2 Mingguan'!Y8*'HK - BDGT'!$C$75))</f>
        <v>#DIV/0!</v>
      </c>
      <c r="Z23" s="64" t="e">
        <f>(((('Konsumsi &amp; Pareto 2 Mingguan'!Z57/SUM('Konsumsi &amp; Pareto 2 Mingguan'!Z44,'Konsumsi &amp; Pareto 2 Mingguan'!Z57))*'Konsumsi &amp; Pareto 2 Mingguan'!Z39*1000)*'Konsumsi &amp; Pareto 2 Mingguan'!Z7*'HK - BDGT'!$C$74)+((('Konsumsi &amp; Pareto 2 Mingguan'!Z57/SUM('Konsumsi &amp; Pareto 2 Mingguan'!Z44,'Konsumsi &amp; Pareto 2 Mingguan'!Z57))*'Konsumsi &amp; Pareto 2 Mingguan'!Z39*1000)*'Konsumsi &amp; Pareto 2 Mingguan'!Z8*'HK - BDGT'!$C$75))</f>
        <v>#DIV/0!</v>
      </c>
      <c r="AA23" s="159" t="e">
        <f>(((('Konsumsi &amp; Pareto 2 Mingguan'!AA57/SUM('Konsumsi &amp; Pareto 2 Mingguan'!AA44,'Konsumsi &amp; Pareto 2 Mingguan'!AA57))*'Konsumsi &amp; Pareto 2 Mingguan'!AA39*1000)*'Konsumsi &amp; Pareto 2 Mingguan'!AA7*'HK - BDGT'!$C$74)+((('Konsumsi &amp; Pareto 2 Mingguan'!AA57/SUM('Konsumsi &amp; Pareto 2 Mingguan'!AA44,'Konsumsi &amp; Pareto 2 Mingguan'!AA57))*'Konsumsi &amp; Pareto 2 Mingguan'!AA39*1000)*'Konsumsi &amp; Pareto 2 Mingguan'!AA8*'HK - BDGT'!$C$75))</f>
        <v>#DIV/0!</v>
      </c>
      <c r="AB23" s="64" t="e">
        <f>(((('Konsumsi &amp; Pareto 2 Mingguan'!AB57/SUM('Konsumsi &amp; Pareto 2 Mingguan'!AB44,'Konsumsi &amp; Pareto 2 Mingguan'!AB57))*'Konsumsi &amp; Pareto 2 Mingguan'!AB39*1000)*'Konsumsi &amp; Pareto 2 Mingguan'!AB7*'HK - BDGT'!$C$74)+((('Konsumsi &amp; Pareto 2 Mingguan'!AB57/SUM('Konsumsi &amp; Pareto 2 Mingguan'!AB44,'Konsumsi &amp; Pareto 2 Mingguan'!AB57))*'Konsumsi &amp; Pareto 2 Mingguan'!AB39*1000)*'Konsumsi &amp; Pareto 2 Mingguan'!AB8*'HK - BDGT'!$C$75))</f>
        <v>#DIV/0!</v>
      </c>
      <c r="AC23" s="159" t="e">
        <f>(((('Konsumsi &amp; Pareto 2 Mingguan'!AC57/SUM('Konsumsi &amp; Pareto 2 Mingguan'!AC44,'Konsumsi &amp; Pareto 2 Mingguan'!AC57))*'Konsumsi &amp; Pareto 2 Mingguan'!AC39*1000)*'Konsumsi &amp; Pareto 2 Mingguan'!AC7*'HK - BDGT'!$C$74)+((('Konsumsi &amp; Pareto 2 Mingguan'!AC57/SUM('Konsumsi &amp; Pareto 2 Mingguan'!AC44,'Konsumsi &amp; Pareto 2 Mingguan'!AC57))*'Konsumsi &amp; Pareto 2 Mingguan'!AC39*1000)*'Konsumsi &amp; Pareto 2 Mingguan'!AC8*'HK - BDGT'!$C$75))</f>
        <v>#DIV/0!</v>
      </c>
      <c r="AD23" s="64" t="e">
        <f>(((('Konsumsi &amp; Pareto 2 Mingguan'!AD57/SUM('Konsumsi &amp; Pareto 2 Mingguan'!AD44,'Konsumsi &amp; Pareto 2 Mingguan'!AD57))*'Konsumsi &amp; Pareto 2 Mingguan'!AD39*1000)*'Konsumsi &amp; Pareto 2 Mingguan'!AD7*'HK - BDGT'!$C$74)+((('Konsumsi &amp; Pareto 2 Mingguan'!AD57/SUM('Konsumsi &amp; Pareto 2 Mingguan'!AD44,'Konsumsi &amp; Pareto 2 Mingguan'!AD57))*'Konsumsi &amp; Pareto 2 Mingguan'!AD39*1000)*'Konsumsi &amp; Pareto 2 Mingguan'!AD8*'HK - BDGT'!$C$75))</f>
        <v>#DIV/0!</v>
      </c>
      <c r="AE23" s="159" t="e">
        <f>(((('Konsumsi &amp; Pareto 2 Mingguan'!AE57/SUM('Konsumsi &amp; Pareto 2 Mingguan'!AE44,'Konsumsi &amp; Pareto 2 Mingguan'!AE57))*'Konsumsi &amp; Pareto 2 Mingguan'!AE39*1000)*'Konsumsi &amp; Pareto 2 Mingguan'!AE7*'HK - BDGT'!$C$74)+((('Konsumsi &amp; Pareto 2 Mingguan'!AE57/SUM('Konsumsi &amp; Pareto 2 Mingguan'!AE44,'Konsumsi &amp; Pareto 2 Mingguan'!AE57))*'Konsumsi &amp; Pareto 2 Mingguan'!AE39*1000)*'Konsumsi &amp; Pareto 2 Mingguan'!AE8*'HK - BDGT'!$C$75))</f>
        <v>#DIV/0!</v>
      </c>
    </row>
    <row r="24" spans="2:32" ht="15.75" thickBot="1">
      <c r="B24" s="222" t="s">
        <v>28</v>
      </c>
      <c r="C24" s="223"/>
      <c r="D24" s="175"/>
      <c r="E24" s="151"/>
      <c r="F24" s="154"/>
      <c r="G24" s="158"/>
      <c r="H24" s="230">
        <f>((H22-(SUM(H23:I23))))/(SUM(H23:I23))</f>
        <v>-0.11941174496927812</v>
      </c>
      <c r="I24" s="231"/>
      <c r="J24" s="230">
        <f>((J22-(SUM(J23:K23))))/(SUM(J23:K23))</f>
        <v>-8.0443472366337851E-2</v>
      </c>
      <c r="K24" s="231"/>
      <c r="L24" s="230">
        <f>((L22-(SUM(L23:M23))))/(SUM(L23:M23))</f>
        <v>-0.12142416445316746</v>
      </c>
      <c r="M24" s="231"/>
      <c r="N24" s="230">
        <f>((N22-(SUM(N23:O23))))/(SUM(N23:O23))</f>
        <v>-6.9375874782853049E-3</v>
      </c>
      <c r="O24" s="231"/>
      <c r="P24" s="230">
        <f>((P22-(SUM(P23:Q23))))/(SUM(P23:Q23))</f>
        <v>0.21640731376012975</v>
      </c>
      <c r="Q24" s="231"/>
      <c r="R24" s="230">
        <f>((R22-(SUM(R23:S23))))/(SUM(R23:S23))</f>
        <v>-0.20216360894210919</v>
      </c>
      <c r="S24" s="231"/>
      <c r="T24" s="230" t="e">
        <f>((T22-(SUM(T23:U23))))/(SUM(T23:U23))</f>
        <v>#DIV/0!</v>
      </c>
      <c r="U24" s="231"/>
      <c r="V24" s="230" t="e">
        <f>((V22-(SUM(V23:W23))))/(SUM(V23:W23))</f>
        <v>#DIV/0!</v>
      </c>
      <c r="W24" s="231"/>
      <c r="X24" s="230" t="e">
        <f>((X22-(SUM(X23:Y23))))/(SUM(X23:Y23))</f>
        <v>#DIV/0!</v>
      </c>
      <c r="Y24" s="231"/>
      <c r="Z24" s="230" t="e">
        <f>((Z22-(SUM(Z23:AA23))))/(SUM(Z23:AA23))</f>
        <v>#DIV/0!</v>
      </c>
      <c r="AA24" s="231"/>
      <c r="AB24" s="230" t="e">
        <f>((AB22-(SUM(AB23:AC23))))/(SUM(AB23:AC23))</f>
        <v>#DIV/0!</v>
      </c>
      <c r="AC24" s="231"/>
      <c r="AD24" s="230" t="e">
        <f>((AD22-(SUM(AD23:AE23))))/(SUM(AD23:AE23))</f>
        <v>#DIV/0!</v>
      </c>
      <c r="AE24" s="231"/>
    </row>
    <row r="25" spans="2:32" ht="15.75" thickBot="1">
      <c r="B25" s="61" t="s">
        <v>95</v>
      </c>
      <c r="C25" s="61"/>
      <c r="D25" s="176"/>
      <c r="E25" s="2"/>
      <c r="F25" s="155">
        <v>4092496888.6559997</v>
      </c>
      <c r="G25" s="160">
        <f t="shared" ref="G25:G27" si="4">SUM(H25:AE25)</f>
        <v>2084273992</v>
      </c>
      <c r="H25" s="216">
        <v>340511466</v>
      </c>
      <c r="I25" s="217"/>
      <c r="J25" s="216">
        <v>349569453</v>
      </c>
      <c r="K25" s="217"/>
      <c r="L25" s="216">
        <v>376886900</v>
      </c>
      <c r="M25" s="217"/>
      <c r="N25" s="216">
        <v>387583573</v>
      </c>
      <c r="O25" s="217"/>
      <c r="P25" s="216">
        <v>252756352</v>
      </c>
      <c r="Q25" s="217"/>
      <c r="R25" s="216">
        <v>376966248</v>
      </c>
      <c r="S25" s="217"/>
      <c r="T25" s="216"/>
      <c r="U25" s="217"/>
      <c r="V25" s="216"/>
      <c r="W25" s="217"/>
      <c r="X25" s="216"/>
      <c r="Y25" s="217"/>
      <c r="Z25" s="216"/>
      <c r="AA25" s="217"/>
      <c r="AB25" s="216"/>
      <c r="AC25" s="217"/>
      <c r="AD25" s="216"/>
      <c r="AE25" s="217"/>
    </row>
    <row r="26" spans="2:32" ht="15.75" thickBot="1">
      <c r="B26" s="61" t="s">
        <v>110</v>
      </c>
      <c r="C26" s="81"/>
      <c r="D26" s="176"/>
      <c r="E26" s="2"/>
      <c r="F26" s="155"/>
      <c r="G26" s="160" t="e">
        <f t="shared" si="4"/>
        <v>#DIV/0!</v>
      </c>
      <c r="H26" s="216">
        <f>((SUM(H20:I20)/SUM(H20:I20,H23:I23))*H25)</f>
        <v>220662244.86358592</v>
      </c>
      <c r="I26" s="217"/>
      <c r="J26" s="216">
        <f>((SUM(J20:K20)/SUM(J20:K20,J23:K23))*J25)</f>
        <v>225947947.63290349</v>
      </c>
      <c r="K26" s="217"/>
      <c r="L26" s="216">
        <f>((SUM(L20:M20)/SUM(L20:M20,L23:M23))*L25)</f>
        <v>242481803.58137724</v>
      </c>
      <c r="M26" s="217"/>
      <c r="N26" s="216">
        <f>((SUM(N20:O20)/SUM(N20:O20,N23:O23))*N25)</f>
        <v>257395101.14634219</v>
      </c>
      <c r="O26" s="217"/>
      <c r="P26" s="216">
        <f>((SUM(P20:Q20)/SUM(P20:Q20,P23:Q23))*P25)</f>
        <v>137845076.9941895</v>
      </c>
      <c r="Q26" s="217"/>
      <c r="R26" s="216">
        <f>((SUM(R20:S20)/SUM(R20:S20,R23:S23))*R25)</f>
        <v>230187202.45020735</v>
      </c>
      <c r="S26" s="217"/>
      <c r="T26" s="216" t="e">
        <f>((SUM(T20:U20)/SUM(T20:U20,T23:U23))*T25)</f>
        <v>#DIV/0!</v>
      </c>
      <c r="U26" s="217"/>
      <c r="V26" s="216" t="e">
        <f>((SUM(V20:W20)/SUM(V20:W20,V23:W23))*V25)</f>
        <v>#DIV/0!</v>
      </c>
      <c r="W26" s="217"/>
      <c r="X26" s="216" t="e">
        <f>((SUM(X20:Y20)/SUM(X20:Y20,X23:Y23))*X25)</f>
        <v>#DIV/0!</v>
      </c>
      <c r="Y26" s="217"/>
      <c r="Z26" s="216" t="e">
        <f>((SUM(Z20:AA20)/SUM(Z20:AA20,Z23:AA23))*Z25)</f>
        <v>#DIV/0!</v>
      </c>
      <c r="AA26" s="217"/>
      <c r="AB26" s="216" t="e">
        <f>((SUM(AB20:AC20)/SUM(AB20:AC20,AB23:AC23))*AB25)</f>
        <v>#DIV/0!</v>
      </c>
      <c r="AC26" s="217"/>
      <c r="AD26" s="216" t="e">
        <f>((SUM(AD20:AE20)/SUM(AD20:AE20,AD23:AE23))*AD25)</f>
        <v>#DIV/0!</v>
      </c>
      <c r="AE26" s="217"/>
      <c r="AF26" s="84"/>
    </row>
    <row r="27" spans="2:32" ht="15.75" thickBot="1">
      <c r="B27" s="82" t="s">
        <v>111</v>
      </c>
      <c r="C27" s="83"/>
      <c r="D27" s="176"/>
      <c r="E27" s="2"/>
      <c r="F27" s="155"/>
      <c r="G27" s="160" t="e">
        <f t="shared" si="4"/>
        <v>#DIV/0!</v>
      </c>
      <c r="H27" s="218">
        <f>((SUM(H23:I23)/SUM(H20:I20,H23:I23))*H25)</f>
        <v>119849221.13641408</v>
      </c>
      <c r="I27" s="219"/>
      <c r="J27" s="218">
        <f>((SUM(J23:K23)/SUM(J20:K20,J23:K23))*J25)</f>
        <v>123621505.36709656</v>
      </c>
      <c r="K27" s="219"/>
      <c r="L27" s="218">
        <f>((SUM(L23:M23)/SUM(L20:M20,L23:M23))*L25)</f>
        <v>134405096.41862276</v>
      </c>
      <c r="M27" s="219"/>
      <c r="N27" s="218">
        <f>((SUM(N23:O23)/SUM(N20:O20,N23:O23))*N25)</f>
        <v>130188471.8536578</v>
      </c>
      <c r="O27" s="219"/>
      <c r="P27" s="218">
        <f>((SUM(P23:Q23)/SUM(P20:Q20,P23:Q23))*P25)</f>
        <v>114911275.00581048</v>
      </c>
      <c r="Q27" s="219"/>
      <c r="R27" s="218">
        <f>((SUM(R23:S23)/SUM(R20:S20,R23:S23))*R25)</f>
        <v>146779045.54979271</v>
      </c>
      <c r="S27" s="219"/>
      <c r="T27" s="218" t="e">
        <f>((SUM(T23:U23)/SUM(T20:U20,T23:U23))*T25)</f>
        <v>#DIV/0!</v>
      </c>
      <c r="U27" s="219"/>
      <c r="V27" s="218" t="e">
        <f>((SUM(V23:W23)/SUM(V20:W20,V23:W23))*V25)</f>
        <v>#DIV/0!</v>
      </c>
      <c r="W27" s="219"/>
      <c r="X27" s="218" t="e">
        <f>((SUM(X23:Y23)/SUM(X20:Y20,X23:Y23))*X25)</f>
        <v>#DIV/0!</v>
      </c>
      <c r="Y27" s="219"/>
      <c r="Z27" s="218" t="e">
        <f>((SUM(Z23:AA23)/SUM(Z20:AA20,Z23:AA23))*Z25)</f>
        <v>#DIV/0!</v>
      </c>
      <c r="AA27" s="219"/>
      <c r="AB27" s="218" t="e">
        <f>((SUM(AB23:AC23)/SUM(AB20:AC20,AB23:AC23))*AB25)</f>
        <v>#DIV/0!</v>
      </c>
      <c r="AC27" s="219"/>
      <c r="AD27" s="218" t="e">
        <f>((SUM(AD23:AE23)/SUM(AD20:AE20,AD23:AE23))*AD25)</f>
        <v>#DIV/0!</v>
      </c>
      <c r="AE27" s="219"/>
    </row>
    <row r="28" spans="2:32">
      <c r="B28" s="93"/>
      <c r="C28" s="93"/>
      <c r="D28" s="9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</row>
    <row r="29" spans="2:32" outlineLevel="1">
      <c r="B29" s="18" t="s">
        <v>26</v>
      </c>
      <c r="C29" s="18"/>
      <c r="D29" s="18"/>
      <c r="E29" s="18"/>
      <c r="F29" s="18"/>
      <c r="G29" s="18"/>
      <c r="H29" s="18"/>
      <c r="AC29" t="s">
        <v>94</v>
      </c>
    </row>
    <row r="30" spans="2:32" ht="15" customHeight="1" outlineLevel="1">
      <c r="B30" s="206" t="s">
        <v>41</v>
      </c>
      <c r="C30" s="206"/>
      <c r="D30" s="206" t="s">
        <v>40</v>
      </c>
      <c r="E30" s="206" t="s">
        <v>123</v>
      </c>
      <c r="F30" s="206" t="s">
        <v>167</v>
      </c>
      <c r="G30" s="201" t="s">
        <v>38</v>
      </c>
      <c r="H30" s="212" t="s">
        <v>91</v>
      </c>
      <c r="I30" s="212"/>
      <c r="J30" s="212" t="s">
        <v>3</v>
      </c>
      <c r="K30" s="212"/>
      <c r="L30" s="212" t="s">
        <v>4</v>
      </c>
      <c r="M30" s="212"/>
      <c r="N30" s="212" t="s">
        <v>5</v>
      </c>
      <c r="O30" s="212"/>
      <c r="P30" s="212" t="s">
        <v>6</v>
      </c>
      <c r="Q30" s="212"/>
      <c r="R30" s="212" t="s">
        <v>7</v>
      </c>
      <c r="S30" s="212"/>
      <c r="T30" s="212" t="s">
        <v>8</v>
      </c>
      <c r="U30" s="212"/>
      <c r="V30" s="212" t="s">
        <v>9</v>
      </c>
      <c r="W30" s="212"/>
      <c r="X30" s="212" t="s">
        <v>10</v>
      </c>
      <c r="Y30" s="212"/>
      <c r="Z30" s="212" t="s">
        <v>11</v>
      </c>
      <c r="AA30" s="212"/>
      <c r="AB30" s="212" t="s">
        <v>12</v>
      </c>
      <c r="AC30" s="212"/>
      <c r="AD30" s="212" t="s">
        <v>13</v>
      </c>
      <c r="AE30" s="212"/>
    </row>
    <row r="31" spans="2:32" s="1" customFormat="1" outlineLevel="1">
      <c r="B31" s="206"/>
      <c r="C31" s="206"/>
      <c r="D31" s="206"/>
      <c r="E31" s="206"/>
      <c r="F31" s="206"/>
      <c r="G31" s="202"/>
      <c r="H31" s="168">
        <v>15</v>
      </c>
      <c r="I31" s="168">
        <v>31</v>
      </c>
      <c r="J31" s="168">
        <v>14</v>
      </c>
      <c r="K31" s="168">
        <v>28</v>
      </c>
      <c r="L31" s="168">
        <v>15</v>
      </c>
      <c r="M31" s="168">
        <v>31</v>
      </c>
      <c r="N31" s="168">
        <v>15</v>
      </c>
      <c r="O31" s="168">
        <v>30</v>
      </c>
      <c r="P31" s="168">
        <v>15</v>
      </c>
      <c r="Q31" s="168">
        <v>31</v>
      </c>
      <c r="R31" s="168">
        <v>15</v>
      </c>
      <c r="S31" s="168">
        <v>30</v>
      </c>
      <c r="T31" s="168">
        <v>15</v>
      </c>
      <c r="U31" s="168">
        <v>31</v>
      </c>
      <c r="V31" s="168">
        <v>15</v>
      </c>
      <c r="W31" s="168">
        <v>31</v>
      </c>
      <c r="X31" s="168">
        <v>15</v>
      </c>
      <c r="Y31" s="168">
        <v>30</v>
      </c>
      <c r="Z31" s="168">
        <v>15</v>
      </c>
      <c r="AA31" s="168">
        <v>31</v>
      </c>
      <c r="AB31" s="168">
        <v>15</v>
      </c>
      <c r="AC31" s="168">
        <v>30</v>
      </c>
      <c r="AD31" s="168">
        <v>15</v>
      </c>
      <c r="AE31" s="168">
        <v>31</v>
      </c>
    </row>
    <row r="32" spans="2:32" s="1" customFormat="1" outlineLevel="1">
      <c r="B32" s="105" t="s">
        <v>70</v>
      </c>
      <c r="C32" s="105"/>
      <c r="D32" s="165"/>
      <c r="E32" s="90">
        <v>3828.025599999999</v>
      </c>
      <c r="F32" s="90">
        <v>3291.5807999999979</v>
      </c>
      <c r="G32" s="65" t="e">
        <f>SUM(H32:AE32)</f>
        <v>#DIV/0!</v>
      </c>
      <c r="H32" s="183">
        <f>(H20+H23)/(H20+I20+H23+I23)*H25</f>
        <v>181204702.73403162</v>
      </c>
      <c r="I32" s="183">
        <f>(I20+I23)/(H20+I20+H23+I23)*H25</f>
        <v>159306763.26596838</v>
      </c>
      <c r="J32" s="183">
        <f t="shared" ref="J32" si="5">(J20+J23)/(J20+K20+J23+K23)*J25</f>
        <v>175041732.35698885</v>
      </c>
      <c r="K32" s="183">
        <f t="shared" ref="K32" si="6">(K20+K23)/(J20+K20+J23+K23)*J25</f>
        <v>174527720.64301115</v>
      </c>
      <c r="L32" s="183">
        <f t="shared" ref="L32" si="7">(L20+L23)/(L20+M20+L23+M23)*L25</f>
        <v>193967647.9058454</v>
      </c>
      <c r="M32" s="183">
        <f t="shared" ref="M32" si="8">(M20+M23)/(L20+M20+L23+M23)*L25</f>
        <v>182919252.09415457</v>
      </c>
      <c r="N32" s="183">
        <f t="shared" ref="N32" si="9">(N20+N23)/(N20+O20+N23+O23)*N25</f>
        <v>211613536.03812739</v>
      </c>
      <c r="O32" s="183">
        <f t="shared" ref="O32" si="10">(O20+O23)/(N20+O20+N23+O23)*N25</f>
        <v>175970036.96187261</v>
      </c>
      <c r="P32" s="183">
        <f t="shared" ref="P32" si="11">(P20+P23)/(P20+Q20+P23+Q23)*P25</f>
        <v>140009634.67755982</v>
      </c>
      <c r="Q32" s="183">
        <f t="shared" ref="Q32" si="12">(Q20+Q23)/(P20+Q20+P23+Q23)*P25</f>
        <v>112746717.32244016</v>
      </c>
      <c r="R32" s="183">
        <f t="shared" ref="R32" si="13">(R20+R23)/(R20+S20+R23+S23)*R25</f>
        <v>210373978.58333433</v>
      </c>
      <c r="S32" s="183">
        <f t="shared" ref="S32" si="14">(S20+S23)/(R20+S20+R23+S23)*R25</f>
        <v>166592269.41666573</v>
      </c>
      <c r="T32" s="183" t="e">
        <f t="shared" ref="T32" si="15">(T20+T23)/(T20+U20+T23+U23)*T25</f>
        <v>#DIV/0!</v>
      </c>
      <c r="U32" s="183" t="e">
        <f t="shared" ref="U32" si="16">(U20+U23)/(T20+U20+T23+U23)*T25</f>
        <v>#DIV/0!</v>
      </c>
      <c r="V32" s="183" t="e">
        <f t="shared" ref="V32" si="17">(V20+V23)/(V20+W20+V23+W23)*V25</f>
        <v>#DIV/0!</v>
      </c>
      <c r="W32" s="183" t="e">
        <f t="shared" ref="W32" si="18">(W20+W23)/(V20+W20+V23+W23)*V25</f>
        <v>#DIV/0!</v>
      </c>
      <c r="X32" s="183" t="e">
        <f t="shared" ref="X32" si="19">(X20+X23)/(X20+Y20+X23+Y23)*X25</f>
        <v>#DIV/0!</v>
      </c>
      <c r="Y32" s="183" t="e">
        <f t="shared" ref="Y32" si="20">(Y20+Y23)/(X20+Y20+X23+Y23)*X25</f>
        <v>#DIV/0!</v>
      </c>
      <c r="Z32" s="183" t="e">
        <f t="shared" ref="Z32" si="21">(Z20+Z23)/(Z20+AA20+Z23+AA23)*Z25</f>
        <v>#DIV/0!</v>
      </c>
      <c r="AA32" s="183" t="e">
        <f t="shared" ref="AA32" si="22">(AA20+AA23)/(Z20+AA20+Z23+AA23)*Z25</f>
        <v>#DIV/0!</v>
      </c>
      <c r="AB32" s="183" t="e">
        <f t="shared" ref="AB32" si="23">(AB20+AB23)/(AB20+AC20+AB23+AC23)*AB25</f>
        <v>#DIV/0!</v>
      </c>
      <c r="AC32" s="183" t="e">
        <f t="shared" ref="AC32" si="24">(AC20+AC23)/(AB20+AC20+AB23+AC23)*AB25</f>
        <v>#DIV/0!</v>
      </c>
      <c r="AD32" s="183" t="e">
        <f t="shared" ref="AD32" si="25">(AD20+AD23)/(AD20+AE20+AD23+AE23)*AD25</f>
        <v>#DIV/0!</v>
      </c>
      <c r="AE32" s="183" t="e">
        <f t="shared" ref="AE32" si="26">(AE20+AE23)/(AD20+AE20+AD23+AE23)*AD25</f>
        <v>#DIV/0!</v>
      </c>
    </row>
    <row r="33" spans="1:33" s="1" customFormat="1" outlineLevel="1">
      <c r="B33" s="105" t="s">
        <v>141</v>
      </c>
      <c r="C33" s="105"/>
      <c r="D33" s="165"/>
      <c r="E33" s="90">
        <v>674.20000000000027</v>
      </c>
      <c r="F33" s="90">
        <v>163.20781999999963</v>
      </c>
      <c r="G33" s="65" t="e">
        <f t="shared" ref="G33:G63" si="27">SUM(H33:AE33)</f>
        <v>#DIV/0!</v>
      </c>
      <c r="H33" s="183">
        <f>'Konsumsi &amp; Pareto 2 Mingguan'!H42/('Konsumsi &amp; Pareto 2 Mingguan'!H$44+'Konsumsi &amp; Pareto 2 Mingguan'!H$57)*'HK - BDGT'!H$32</f>
        <v>7767352.4151537502</v>
      </c>
      <c r="I33" s="183">
        <f>'Konsumsi &amp; Pareto 2 Mingguan'!I42/('Konsumsi &amp; Pareto 2 Mingguan'!I$44+'Konsumsi &amp; Pareto 2 Mingguan'!I$57)*'HK - BDGT'!I$32</f>
        <v>6899880.1659046253</v>
      </c>
      <c r="J33" s="183">
        <f>'Konsumsi &amp; Pareto 2 Mingguan'!J42/('Konsumsi &amp; Pareto 2 Mingguan'!J$44+'Konsumsi &amp; Pareto 2 Mingguan'!J$57)*'HK - BDGT'!J$32</f>
        <v>7376716.0628599711</v>
      </c>
      <c r="K33" s="183">
        <f>'Konsumsi &amp; Pareto 2 Mingguan'!K42/('Konsumsi &amp; Pareto 2 Mingguan'!K$44+'Konsumsi &amp; Pareto 2 Mingguan'!K$57)*'HK - BDGT'!K$32</f>
        <v>6746745.0539272157</v>
      </c>
      <c r="L33" s="183">
        <f>'Konsumsi &amp; Pareto 2 Mingguan'!L42/('Konsumsi &amp; Pareto 2 Mingguan'!L$44+'Konsumsi &amp; Pareto 2 Mingguan'!L$57)*'HK - BDGT'!L$32</f>
        <v>6706703.207011478</v>
      </c>
      <c r="M33" s="183">
        <f>'Konsumsi &amp; Pareto 2 Mingguan'!M42/('Konsumsi &amp; Pareto 2 Mingguan'!M$44+'Konsumsi &amp; Pareto 2 Mingguan'!M$57)*'HK - BDGT'!M$32</f>
        <v>7950184.3953124853</v>
      </c>
      <c r="N33" s="183">
        <f>'Konsumsi &amp; Pareto 2 Mingguan'!N42/('Konsumsi &amp; Pareto 2 Mingguan'!N$44+'Konsumsi &amp; Pareto 2 Mingguan'!N$57)*'HK - BDGT'!N$32</f>
        <v>9503403.878871467</v>
      </c>
      <c r="O33" s="183">
        <f>'Konsumsi &amp; Pareto 2 Mingguan'!O42/('Konsumsi &amp; Pareto 2 Mingguan'!O$44+'Konsumsi &amp; Pareto 2 Mingguan'!O$57)*'HK - BDGT'!O$32</f>
        <v>6860818.4651361909</v>
      </c>
      <c r="P33" s="183">
        <f>'Konsumsi &amp; Pareto 2 Mingguan'!P42/('Konsumsi &amp; Pareto 2 Mingguan'!P$44+'Konsumsi &amp; Pareto 2 Mingguan'!P$57)*'HK - BDGT'!P$32</f>
        <v>3726963.22604432</v>
      </c>
      <c r="Q33" s="183">
        <f>'Konsumsi &amp; Pareto 2 Mingguan'!Q42/('Konsumsi &amp; Pareto 2 Mingguan'!Q$44+'Konsumsi &amp; Pareto 2 Mingguan'!Q$57)*'HK - BDGT'!Q$32</f>
        <v>2764027.058933544</v>
      </c>
      <c r="R33" s="183">
        <f>'Konsumsi &amp; Pareto 2 Mingguan'!R42/('Konsumsi &amp; Pareto 2 Mingguan'!R$44+'Konsumsi &amp; Pareto 2 Mingguan'!R$57)*'HK - BDGT'!R$32</f>
        <v>8707246.7470893692</v>
      </c>
      <c r="S33" s="183">
        <f>'Konsumsi &amp; Pareto 2 Mingguan'!S42/('Konsumsi &amp; Pareto 2 Mingguan'!S$44+'Konsumsi &amp; Pareto 2 Mingguan'!S$57)*'HK - BDGT'!S$32</f>
        <v>6381924.8869692534</v>
      </c>
      <c r="T33" s="183" t="e">
        <f>'Konsumsi &amp; Pareto 2 Mingguan'!T42/('Konsumsi &amp; Pareto 2 Mingguan'!T$44+'Konsumsi &amp; Pareto 2 Mingguan'!T$57)*'HK - BDGT'!T$32</f>
        <v>#DIV/0!</v>
      </c>
      <c r="U33" s="183" t="e">
        <f>'Konsumsi &amp; Pareto 2 Mingguan'!U42/('Konsumsi &amp; Pareto 2 Mingguan'!U$44+'Konsumsi &amp; Pareto 2 Mingguan'!U$57)*'HK - BDGT'!U$32</f>
        <v>#DIV/0!</v>
      </c>
      <c r="V33" s="183" t="e">
        <f>'Konsumsi &amp; Pareto 2 Mingguan'!V42/('Konsumsi &amp; Pareto 2 Mingguan'!V$44+'Konsumsi &amp; Pareto 2 Mingguan'!V$57)*'HK - BDGT'!V$32</f>
        <v>#DIV/0!</v>
      </c>
      <c r="W33" s="183" t="e">
        <f>'Konsumsi &amp; Pareto 2 Mingguan'!W42/('Konsumsi &amp; Pareto 2 Mingguan'!W$44+'Konsumsi &amp; Pareto 2 Mingguan'!W$57)*'HK - BDGT'!W$32</f>
        <v>#DIV/0!</v>
      </c>
      <c r="X33" s="183" t="e">
        <f>'Konsumsi &amp; Pareto 2 Mingguan'!X42/('Konsumsi &amp; Pareto 2 Mingguan'!X$44+'Konsumsi &amp; Pareto 2 Mingguan'!X$57)*'HK - BDGT'!X$32</f>
        <v>#DIV/0!</v>
      </c>
      <c r="Y33" s="183" t="e">
        <f>'Konsumsi &amp; Pareto 2 Mingguan'!Y42/('Konsumsi &amp; Pareto 2 Mingguan'!Y$44+'Konsumsi &amp; Pareto 2 Mingguan'!Y$57)*'HK - BDGT'!Y$32</f>
        <v>#DIV/0!</v>
      </c>
      <c r="Z33" s="183" t="e">
        <f>'Konsumsi &amp; Pareto 2 Mingguan'!Z42/('Konsumsi &amp; Pareto 2 Mingguan'!Z$44+'Konsumsi &amp; Pareto 2 Mingguan'!Z$57)*'HK - BDGT'!Z$32</f>
        <v>#DIV/0!</v>
      </c>
      <c r="AA33" s="183" t="e">
        <f>'Konsumsi &amp; Pareto 2 Mingguan'!AA42/('Konsumsi &amp; Pareto 2 Mingguan'!AA$44+'Konsumsi &amp; Pareto 2 Mingguan'!AA$57)*'HK - BDGT'!AA$32</f>
        <v>#DIV/0!</v>
      </c>
      <c r="AB33" s="183" t="e">
        <f>'Konsumsi &amp; Pareto 2 Mingguan'!AB42/('Konsumsi &amp; Pareto 2 Mingguan'!AB$44+'Konsumsi &amp; Pareto 2 Mingguan'!AB$57)*'HK - BDGT'!AB$32</f>
        <v>#DIV/0!</v>
      </c>
      <c r="AC33" s="183" t="e">
        <f>'Konsumsi &amp; Pareto 2 Mingguan'!AC42/('Konsumsi &amp; Pareto 2 Mingguan'!AC$44+'Konsumsi &amp; Pareto 2 Mingguan'!AC$57)*'HK - BDGT'!AC$32</f>
        <v>#DIV/0!</v>
      </c>
      <c r="AD33" s="183" t="e">
        <f>'Konsumsi &amp; Pareto 2 Mingguan'!AD42/('Konsumsi &amp; Pareto 2 Mingguan'!AD$44+'Konsumsi &amp; Pareto 2 Mingguan'!AD$57)*'HK - BDGT'!AD$32</f>
        <v>#DIV/0!</v>
      </c>
      <c r="AE33" s="183" t="e">
        <f>'Konsumsi &amp; Pareto 2 Mingguan'!AE42/('Konsumsi &amp; Pareto 2 Mingguan'!AE$44+'Konsumsi &amp; Pareto 2 Mingguan'!AE$57)*'HK - BDGT'!AE$32</f>
        <v>#DIV/0!</v>
      </c>
    </row>
    <row r="34" spans="1:33" s="1" customFormat="1" outlineLevel="1">
      <c r="B34" s="105"/>
      <c r="C34" s="105"/>
      <c r="D34" s="165"/>
      <c r="E34" s="90"/>
      <c r="F34" s="90">
        <v>0</v>
      </c>
      <c r="G34" s="65">
        <f t="shared" si="27"/>
        <v>0</v>
      </c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</row>
    <row r="35" spans="1:33" outlineLevel="1">
      <c r="B35" s="69" t="s">
        <v>125</v>
      </c>
      <c r="C35" s="69"/>
      <c r="D35" s="8" t="s">
        <v>109</v>
      </c>
      <c r="E35" s="90">
        <v>2625.6910116782474</v>
      </c>
      <c r="F35" s="90">
        <v>2093.4108216208197</v>
      </c>
      <c r="G35" s="65">
        <f t="shared" si="27"/>
        <v>1314519376.6686058</v>
      </c>
      <c r="H35" s="183">
        <f>IFERROR(SUM(H37:H47),0)</f>
        <v>118903788.32109967</v>
      </c>
      <c r="I35" s="183">
        <f>IFERROR(SUM(I37:I47),0)</f>
        <v>101758456.54248628</v>
      </c>
      <c r="J35" s="183">
        <f t="shared" ref="J35:AE35" si="28">IFERROR(SUM(J37:J47),0)</f>
        <v>116535722.02829473</v>
      </c>
      <c r="K35" s="183">
        <f t="shared" si="28"/>
        <v>109412225.60460871</v>
      </c>
      <c r="L35" s="183">
        <f t="shared" si="28"/>
        <v>120835386.47450757</v>
      </c>
      <c r="M35" s="183">
        <f t="shared" si="28"/>
        <v>121646417.10686967</v>
      </c>
      <c r="N35" s="183">
        <f t="shared" si="28"/>
        <v>146038753.27757731</v>
      </c>
      <c r="O35" s="183">
        <f t="shared" si="28"/>
        <v>111356347.86876492</v>
      </c>
      <c r="P35" s="183">
        <f t="shared" si="28"/>
        <v>77193674.26488857</v>
      </c>
      <c r="Q35" s="183">
        <f t="shared" si="28"/>
        <v>60651402.729300894</v>
      </c>
      <c r="R35" s="183">
        <f t="shared" si="28"/>
        <v>129344809.38140839</v>
      </c>
      <c r="S35" s="183">
        <f t="shared" si="28"/>
        <v>100842393.06879897</v>
      </c>
      <c r="T35" s="183">
        <f t="shared" si="28"/>
        <v>0</v>
      </c>
      <c r="U35" s="183">
        <f t="shared" si="28"/>
        <v>0</v>
      </c>
      <c r="V35" s="183">
        <f t="shared" si="28"/>
        <v>0</v>
      </c>
      <c r="W35" s="183">
        <f t="shared" si="28"/>
        <v>0</v>
      </c>
      <c r="X35" s="183">
        <f t="shared" si="28"/>
        <v>0</v>
      </c>
      <c r="Y35" s="183">
        <f t="shared" si="28"/>
        <v>0</v>
      </c>
      <c r="Z35" s="183">
        <f t="shared" si="28"/>
        <v>0</v>
      </c>
      <c r="AA35" s="183">
        <f t="shared" si="28"/>
        <v>0</v>
      </c>
      <c r="AB35" s="183">
        <f t="shared" si="28"/>
        <v>0</v>
      </c>
      <c r="AC35" s="183">
        <f t="shared" si="28"/>
        <v>0</v>
      </c>
      <c r="AD35" s="183">
        <f t="shared" si="28"/>
        <v>0</v>
      </c>
      <c r="AE35" s="183">
        <f t="shared" si="28"/>
        <v>0</v>
      </c>
      <c r="AG35" s="112"/>
    </row>
    <row r="36" spans="1:33" outlineLevel="1">
      <c r="A36" t="s">
        <v>91</v>
      </c>
      <c r="B36" s="72" t="s">
        <v>42</v>
      </c>
      <c r="C36" s="69" t="s">
        <v>72</v>
      </c>
      <c r="D36" s="8" t="s">
        <v>109</v>
      </c>
      <c r="E36" s="90"/>
      <c r="F36" s="90">
        <v>0</v>
      </c>
      <c r="G36" s="65">
        <f t="shared" si="27"/>
        <v>0</v>
      </c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</row>
    <row r="37" spans="1:33" outlineLevel="1">
      <c r="B37" s="78" t="s">
        <v>42</v>
      </c>
      <c r="C37" s="69"/>
      <c r="D37" s="8" t="s">
        <v>109</v>
      </c>
      <c r="E37" s="90">
        <v>634.81084416443616</v>
      </c>
      <c r="F37" s="90">
        <v>282.8278199999998</v>
      </c>
      <c r="G37" s="65" t="e">
        <f t="shared" si="27"/>
        <v>#DIV/0!</v>
      </c>
      <c r="H37" s="183">
        <f>'Konsumsi &amp; Pareto 2 Mingguan'!H46/('Konsumsi &amp; Pareto 2 Mingguan'!H$44+'Konsumsi &amp; Pareto 2 Mingguan'!H$57)*'HK - BDGT'!H$32</f>
        <v>16713044.024712164</v>
      </c>
      <c r="I37" s="183">
        <f>'Konsumsi &amp; Pareto 2 Mingguan'!I46/('Konsumsi &amp; Pareto 2 Mingguan'!I$44+'Konsumsi &amp; Pareto 2 Mingguan'!I$57)*'HK - BDGT'!I$32</f>
        <v>14167066.692346789</v>
      </c>
      <c r="J37" s="183">
        <f>'Konsumsi &amp; Pareto 2 Mingguan'!J46/('Konsumsi &amp; Pareto 2 Mingguan'!J$44+'Konsumsi &amp; Pareto 2 Mingguan'!J$57)*'HK - BDGT'!J$32</f>
        <v>16447628.29945424</v>
      </c>
      <c r="K37" s="183">
        <f>'Konsumsi &amp; Pareto 2 Mingguan'!K46/('Konsumsi &amp; Pareto 2 Mingguan'!K$44+'Konsumsi &amp; Pareto 2 Mingguan'!K$57)*'HK - BDGT'!K$32</f>
        <v>14831339.912288615</v>
      </c>
      <c r="L37" s="183">
        <f>'Konsumsi &amp; Pareto 2 Mingguan'!L46/('Konsumsi &amp; Pareto 2 Mingguan'!L$44+'Konsumsi &amp; Pareto 2 Mingguan'!L$57)*'HK - BDGT'!L$32</f>
        <v>15105613.629074808</v>
      </c>
      <c r="M37" s="183">
        <f>'Konsumsi &amp; Pareto 2 Mingguan'!M46/('Konsumsi &amp; Pareto 2 Mingguan'!M$44+'Konsumsi &amp; Pareto 2 Mingguan'!M$57)*'HK - BDGT'!M$32</f>
        <v>17483915.626562942</v>
      </c>
      <c r="N37" s="183">
        <f>'Konsumsi &amp; Pareto 2 Mingguan'!N46/('Konsumsi &amp; Pareto 2 Mingguan'!N$44+'Konsumsi &amp; Pareto 2 Mingguan'!N$57)*'HK - BDGT'!N$32</f>
        <v>21540097.438322537</v>
      </c>
      <c r="O37" s="183">
        <f>'Konsumsi &amp; Pareto 2 Mingguan'!O46/('Konsumsi &amp; Pareto 2 Mingguan'!O$44+'Konsumsi &amp; Pareto 2 Mingguan'!O$57)*'HK - BDGT'!O$32</f>
        <v>15359371.115734762</v>
      </c>
      <c r="P37" s="183">
        <f>'Konsumsi &amp; Pareto 2 Mingguan'!P46/('Konsumsi &amp; Pareto 2 Mingguan'!P$44+'Konsumsi &amp; Pareto 2 Mingguan'!P$57)*'HK - BDGT'!P$32</f>
        <v>8076839.2056665355</v>
      </c>
      <c r="Q37" s="183">
        <f>'Konsumsi &amp; Pareto 2 Mingguan'!Q46/('Konsumsi &amp; Pareto 2 Mingguan'!Q$44+'Konsumsi &amp; Pareto 2 Mingguan'!Q$57)*'HK - BDGT'!Q$32</f>
        <v>4534337.3161389604</v>
      </c>
      <c r="R37" s="183">
        <f>'Konsumsi &amp; Pareto 2 Mingguan'!R46/('Konsumsi &amp; Pareto 2 Mingguan'!R$44+'Konsumsi &amp; Pareto 2 Mingguan'!R$57)*'HK - BDGT'!R$32</f>
        <v>15235572.93799014</v>
      </c>
      <c r="S37" s="183">
        <f>'Konsumsi &amp; Pareto 2 Mingguan'!S46/('Konsumsi &amp; Pareto 2 Mingguan'!S$44+'Konsumsi &amp; Pareto 2 Mingguan'!S$57)*'HK - BDGT'!S$32</f>
        <v>12915105.781900074</v>
      </c>
      <c r="T37" s="183" t="e">
        <f>'Konsumsi &amp; Pareto 2 Mingguan'!T46/('Konsumsi &amp; Pareto 2 Mingguan'!T$44+'Konsumsi &amp; Pareto 2 Mingguan'!T$57)*'HK - BDGT'!T$32</f>
        <v>#DIV/0!</v>
      </c>
      <c r="U37" s="183" t="e">
        <f>'Konsumsi &amp; Pareto 2 Mingguan'!U46/('Konsumsi &amp; Pareto 2 Mingguan'!U$44+'Konsumsi &amp; Pareto 2 Mingguan'!U$57)*'HK - BDGT'!U$32</f>
        <v>#DIV/0!</v>
      </c>
      <c r="V37" s="183" t="e">
        <f>'Konsumsi &amp; Pareto 2 Mingguan'!V46/('Konsumsi &amp; Pareto 2 Mingguan'!V$44+'Konsumsi &amp; Pareto 2 Mingguan'!V$57)*'HK - BDGT'!V$32</f>
        <v>#DIV/0!</v>
      </c>
      <c r="W37" s="183" t="e">
        <f>'Konsumsi &amp; Pareto 2 Mingguan'!W46/('Konsumsi &amp; Pareto 2 Mingguan'!W$44+'Konsumsi &amp; Pareto 2 Mingguan'!W$57)*'HK - BDGT'!W$32</f>
        <v>#DIV/0!</v>
      </c>
      <c r="X37" s="183" t="e">
        <f>'Konsumsi &amp; Pareto 2 Mingguan'!X46/('Konsumsi &amp; Pareto 2 Mingguan'!X$44+'Konsumsi &amp; Pareto 2 Mingguan'!X$57)*'HK - BDGT'!X$32</f>
        <v>#DIV/0!</v>
      </c>
      <c r="Y37" s="183" t="e">
        <f>'Konsumsi &amp; Pareto 2 Mingguan'!Y46/('Konsumsi &amp; Pareto 2 Mingguan'!Y$44+'Konsumsi &amp; Pareto 2 Mingguan'!Y$57)*'HK - BDGT'!Y$32</f>
        <v>#DIV/0!</v>
      </c>
      <c r="Z37" s="183" t="e">
        <f>'Konsumsi &amp; Pareto 2 Mingguan'!Z46/('Konsumsi &amp; Pareto 2 Mingguan'!Z$44+'Konsumsi &amp; Pareto 2 Mingguan'!Z$57)*'HK - BDGT'!Z$32</f>
        <v>#DIV/0!</v>
      </c>
      <c r="AA37" s="183" t="e">
        <f>'Konsumsi &amp; Pareto 2 Mingguan'!AA46/('Konsumsi &amp; Pareto 2 Mingguan'!AA$44+'Konsumsi &amp; Pareto 2 Mingguan'!AA$57)*'HK - BDGT'!AA$32</f>
        <v>#DIV/0!</v>
      </c>
      <c r="AB37" s="183" t="e">
        <f>'Konsumsi &amp; Pareto 2 Mingguan'!AB46/('Konsumsi &amp; Pareto 2 Mingguan'!AB$44+'Konsumsi &amp; Pareto 2 Mingguan'!AB$57)*'HK - BDGT'!AB$32</f>
        <v>#DIV/0!</v>
      </c>
      <c r="AC37" s="183" t="e">
        <f>'Konsumsi &amp; Pareto 2 Mingguan'!AC46/('Konsumsi &amp; Pareto 2 Mingguan'!AC$44+'Konsumsi &amp; Pareto 2 Mingguan'!AC$57)*'HK - BDGT'!AC$32</f>
        <v>#DIV/0!</v>
      </c>
      <c r="AD37" s="183" t="e">
        <f>'Konsumsi &amp; Pareto 2 Mingguan'!AD46/('Konsumsi &amp; Pareto 2 Mingguan'!AD$44+'Konsumsi &amp; Pareto 2 Mingguan'!AD$57)*'HK - BDGT'!AD$32</f>
        <v>#DIV/0!</v>
      </c>
      <c r="AE37" s="183" t="e">
        <f>'Konsumsi &amp; Pareto 2 Mingguan'!AE46/('Konsumsi &amp; Pareto 2 Mingguan'!AE$44+'Konsumsi &amp; Pareto 2 Mingguan'!AE$57)*'HK - BDGT'!AE$32</f>
        <v>#DIV/0!</v>
      </c>
    </row>
    <row r="38" spans="1:33" hidden="1" outlineLevel="1">
      <c r="B38" s="78" t="s">
        <v>106</v>
      </c>
      <c r="C38" s="69"/>
      <c r="D38" s="8"/>
      <c r="E38" s="90">
        <v>0</v>
      </c>
      <c r="F38" s="90">
        <v>0</v>
      </c>
      <c r="G38" s="65">
        <f t="shared" si="27"/>
        <v>0</v>
      </c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</row>
    <row r="39" spans="1:33" outlineLevel="1">
      <c r="B39" s="78" t="s">
        <v>144</v>
      </c>
      <c r="C39" s="69"/>
      <c r="D39" s="8"/>
      <c r="E39" s="90"/>
      <c r="F39" s="90">
        <v>146.33005948444597</v>
      </c>
      <c r="G39" s="65" t="e">
        <f t="shared" si="27"/>
        <v>#DIV/0!</v>
      </c>
      <c r="H39" s="183">
        <f>'Konsumsi &amp; Pareto 2 Mingguan'!H47/('Konsumsi &amp; Pareto 2 Mingguan'!H$44+'Konsumsi &amp; Pareto 2 Mingguan'!H$57)*'HK - BDGT'!H$32</f>
        <v>6945478.5973389838</v>
      </c>
      <c r="I39" s="183">
        <f>'Konsumsi &amp; Pareto 2 Mingguan'!I47/('Konsumsi &amp; Pareto 2 Mingguan'!I$44+'Konsumsi &amp; Pareto 2 Mingguan'!I$57)*'HK - BDGT'!I$32</f>
        <v>6237287.2290839758</v>
      </c>
      <c r="J39" s="183">
        <f>'Konsumsi &amp; Pareto 2 Mingguan'!J47/('Konsumsi &amp; Pareto 2 Mingguan'!J$44+'Konsumsi &amp; Pareto 2 Mingguan'!J$57)*'HK - BDGT'!J$32</f>
        <v>6687832.5303966152</v>
      </c>
      <c r="K39" s="183">
        <f>'Konsumsi &amp; Pareto 2 Mingguan'!K47/('Konsumsi &amp; Pareto 2 Mingguan'!K$44+'Konsumsi &amp; Pareto 2 Mingguan'!K$57)*'HK - BDGT'!K$32</f>
        <v>5904301.4881935036</v>
      </c>
      <c r="L39" s="183">
        <f>'Konsumsi &amp; Pareto 2 Mingguan'!L47/('Konsumsi &amp; Pareto 2 Mingguan'!L$44+'Konsumsi &amp; Pareto 2 Mingguan'!L$57)*'HK - BDGT'!L$32</f>
        <v>5615686.9316669181</v>
      </c>
      <c r="M39" s="183">
        <f>'Konsumsi &amp; Pareto 2 Mingguan'!M47/('Konsumsi &amp; Pareto 2 Mingguan'!M$44+'Konsumsi &amp; Pareto 2 Mingguan'!M$57)*'HK - BDGT'!M$32</f>
        <v>7200477.1294207731</v>
      </c>
      <c r="N39" s="183">
        <f>'Konsumsi &amp; Pareto 2 Mingguan'!N47/('Konsumsi &amp; Pareto 2 Mingguan'!N$44+'Konsumsi &amp; Pareto 2 Mingguan'!N$57)*'HK - BDGT'!N$32</f>
        <v>8547400.8410046808</v>
      </c>
      <c r="O39" s="183">
        <f>'Konsumsi &amp; Pareto 2 Mingguan'!O47/('Konsumsi &amp; Pareto 2 Mingguan'!O$44+'Konsumsi &amp; Pareto 2 Mingguan'!O$57)*'HK - BDGT'!O$32</f>
        <v>5956965.6045438778</v>
      </c>
      <c r="P39" s="183">
        <f>'Konsumsi &amp; Pareto 2 Mingguan'!P47/('Konsumsi &amp; Pareto 2 Mingguan'!P$44+'Konsumsi &amp; Pareto 2 Mingguan'!P$57)*'HK - BDGT'!P$32</f>
        <v>2974794.2840608326</v>
      </c>
      <c r="Q39" s="183">
        <f>'Konsumsi &amp; Pareto 2 Mingguan'!Q47/('Konsumsi &amp; Pareto 2 Mingguan'!Q$44+'Konsumsi &amp; Pareto 2 Mingguan'!Q$57)*'HK - BDGT'!Q$32</f>
        <v>2602219.4208348989</v>
      </c>
      <c r="R39" s="183">
        <f>'Konsumsi &amp; Pareto 2 Mingguan'!R47/('Konsumsi &amp; Pareto 2 Mingguan'!R$44+'Konsumsi &amp; Pareto 2 Mingguan'!R$57)*'HK - BDGT'!R$32</f>
        <v>7535577.8566841446</v>
      </c>
      <c r="S39" s="183">
        <f>'Konsumsi &amp; Pareto 2 Mingguan'!S47/('Konsumsi &amp; Pareto 2 Mingguan'!S$44+'Konsumsi &amp; Pareto 2 Mingguan'!S$57)*'HK - BDGT'!S$32</f>
        <v>5650738.6356336372</v>
      </c>
      <c r="T39" s="183" t="e">
        <f>'Konsumsi &amp; Pareto 2 Mingguan'!T47/('Konsumsi &amp; Pareto 2 Mingguan'!T$44+'Konsumsi &amp; Pareto 2 Mingguan'!T$57)*'HK - BDGT'!T$32</f>
        <v>#DIV/0!</v>
      </c>
      <c r="U39" s="183" t="e">
        <f>'Konsumsi &amp; Pareto 2 Mingguan'!U47/('Konsumsi &amp; Pareto 2 Mingguan'!U$44+'Konsumsi &amp; Pareto 2 Mingguan'!U$57)*'HK - BDGT'!U$32</f>
        <v>#DIV/0!</v>
      </c>
      <c r="V39" s="183" t="e">
        <f>'Konsumsi &amp; Pareto 2 Mingguan'!V47/('Konsumsi &amp; Pareto 2 Mingguan'!V$44+'Konsumsi &amp; Pareto 2 Mingguan'!V$57)*'HK - BDGT'!V$32</f>
        <v>#DIV/0!</v>
      </c>
      <c r="W39" s="183" t="e">
        <f>'Konsumsi &amp; Pareto 2 Mingguan'!W47/('Konsumsi &amp; Pareto 2 Mingguan'!W$44+'Konsumsi &amp; Pareto 2 Mingguan'!W$57)*'HK - BDGT'!W$32</f>
        <v>#DIV/0!</v>
      </c>
      <c r="X39" s="183" t="e">
        <f>'Konsumsi &amp; Pareto 2 Mingguan'!X47/('Konsumsi &amp; Pareto 2 Mingguan'!X$44+'Konsumsi &amp; Pareto 2 Mingguan'!X$57)*'HK - BDGT'!X$32</f>
        <v>#DIV/0!</v>
      </c>
      <c r="Y39" s="183" t="e">
        <f>'Konsumsi &amp; Pareto 2 Mingguan'!Y47/('Konsumsi &amp; Pareto 2 Mingguan'!Y$44+'Konsumsi &amp; Pareto 2 Mingguan'!Y$57)*'HK - BDGT'!Y$32</f>
        <v>#DIV/0!</v>
      </c>
      <c r="Z39" s="183" t="e">
        <f>'Konsumsi &amp; Pareto 2 Mingguan'!Z47/('Konsumsi &amp; Pareto 2 Mingguan'!Z$44+'Konsumsi &amp; Pareto 2 Mingguan'!Z$57)*'HK - BDGT'!Z$32</f>
        <v>#DIV/0!</v>
      </c>
      <c r="AA39" s="183" t="e">
        <f>'Konsumsi &amp; Pareto 2 Mingguan'!AA47/('Konsumsi &amp; Pareto 2 Mingguan'!AA$44+'Konsumsi &amp; Pareto 2 Mingguan'!AA$57)*'HK - BDGT'!AA$32</f>
        <v>#DIV/0!</v>
      </c>
      <c r="AB39" s="183" t="e">
        <f>'Konsumsi &amp; Pareto 2 Mingguan'!AB47/('Konsumsi &amp; Pareto 2 Mingguan'!AB$44+'Konsumsi &amp; Pareto 2 Mingguan'!AB$57)*'HK - BDGT'!AB$32</f>
        <v>#DIV/0!</v>
      </c>
      <c r="AC39" s="183" t="e">
        <f>'Konsumsi &amp; Pareto 2 Mingguan'!AC47/('Konsumsi &amp; Pareto 2 Mingguan'!AC$44+'Konsumsi &amp; Pareto 2 Mingguan'!AC$57)*'HK - BDGT'!AC$32</f>
        <v>#DIV/0!</v>
      </c>
      <c r="AD39" s="183" t="e">
        <f>'Konsumsi &amp; Pareto 2 Mingguan'!AD47/('Konsumsi &amp; Pareto 2 Mingguan'!AD$44+'Konsumsi &amp; Pareto 2 Mingguan'!AD$57)*'HK - BDGT'!AD$32</f>
        <v>#DIV/0!</v>
      </c>
      <c r="AE39" s="183" t="e">
        <f>'Konsumsi &amp; Pareto 2 Mingguan'!AE47/('Konsumsi &amp; Pareto 2 Mingguan'!AE$44+'Konsumsi &amp; Pareto 2 Mingguan'!AE$57)*'HK - BDGT'!AE$32</f>
        <v>#DIV/0!</v>
      </c>
    </row>
    <row r="40" spans="1:33" outlineLevel="1">
      <c r="B40" s="72" t="s">
        <v>43</v>
      </c>
      <c r="C40" s="69"/>
      <c r="D40" s="8" t="s">
        <v>109</v>
      </c>
      <c r="E40" s="90">
        <v>19.47999999999999</v>
      </c>
      <c r="F40" s="90">
        <v>18.120000000000005</v>
      </c>
      <c r="G40" s="65" t="e">
        <f t="shared" si="27"/>
        <v>#DIV/0!</v>
      </c>
      <c r="H40" s="183">
        <f>'Konsumsi &amp; Pareto 2 Mingguan'!H48/('Konsumsi &amp; Pareto 2 Mingguan'!H$44+'Konsumsi &amp; Pareto 2 Mingguan'!H$57)*'HK - BDGT'!H$32</f>
        <v>1069721.3357028021</v>
      </c>
      <c r="I40" s="183">
        <f>'Konsumsi &amp; Pareto 2 Mingguan'!I48/('Konsumsi &amp; Pareto 2 Mingguan'!I$44+'Konsumsi &amp; Pareto 2 Mingguan'!I$57)*'HK - BDGT'!I$32</f>
        <v>766188.99480061908</v>
      </c>
      <c r="J40" s="183">
        <f>'Konsumsi &amp; Pareto 2 Mingguan'!J48/('Konsumsi &amp; Pareto 2 Mingguan'!J$44+'Konsumsi &amp; Pareto 2 Mingguan'!J$57)*'HK - BDGT'!J$32</f>
        <v>1063486.2622213773</v>
      </c>
      <c r="K40" s="183">
        <f>'Konsumsi &amp; Pareto 2 Mingguan'!K48/('Konsumsi &amp; Pareto 2 Mingguan'!K$44+'Konsumsi &amp; Pareto 2 Mingguan'!K$57)*'HK - BDGT'!K$32</f>
        <v>1180049.5600714122</v>
      </c>
      <c r="L40" s="183">
        <f>'Konsumsi &amp; Pareto 2 Mingguan'!L48/('Konsumsi &amp; Pareto 2 Mingguan'!L$44+'Konsumsi &amp; Pareto 2 Mingguan'!L$57)*'HK - BDGT'!L$32</f>
        <v>1111093.4128760078</v>
      </c>
      <c r="M40" s="183">
        <f>'Konsumsi &amp; Pareto 2 Mingguan'!M48/('Konsumsi &amp; Pareto 2 Mingguan'!M$44+'Konsumsi &amp; Pareto 2 Mingguan'!M$57)*'HK - BDGT'!M$32</f>
        <v>888235.82899852004</v>
      </c>
      <c r="N40" s="183">
        <f>'Konsumsi &amp; Pareto 2 Mingguan'!N48/('Konsumsi &amp; Pareto 2 Mingguan'!N$44+'Konsumsi &amp; Pareto 2 Mingguan'!N$57)*'HK - BDGT'!N$32</f>
        <v>992716.99459390575</v>
      </c>
      <c r="O40" s="183">
        <f>'Konsumsi &amp; Pareto 2 Mingguan'!O48/('Konsumsi &amp; Pareto 2 Mingguan'!O$44+'Konsumsi &amp; Pareto 2 Mingguan'!O$57)*'HK - BDGT'!O$32</f>
        <v>952530.64642810228</v>
      </c>
      <c r="P40" s="183">
        <f>'Konsumsi &amp; Pareto 2 Mingguan'!P48/('Konsumsi &amp; Pareto 2 Mingguan'!P$44+'Konsumsi &amp; Pareto 2 Mingguan'!P$57)*'HK - BDGT'!P$32</f>
        <v>801638.77570068894</v>
      </c>
      <c r="Q40" s="183">
        <f>'Konsumsi &amp; Pareto 2 Mingguan'!Q48/('Konsumsi &amp; Pareto 2 Mingguan'!Q$44+'Konsumsi &amp; Pareto 2 Mingguan'!Q$57)*'HK - BDGT'!Q$32</f>
        <v>598781.41052532813</v>
      </c>
      <c r="R40" s="183">
        <f>'Konsumsi &amp; Pareto 2 Mingguan'!R48/('Konsumsi &amp; Pareto 2 Mingguan'!R$44+'Konsumsi &amp; Pareto 2 Mingguan'!R$57)*'HK - BDGT'!R$32</f>
        <v>1149181.0148777396</v>
      </c>
      <c r="S40" s="183">
        <f>'Konsumsi &amp; Pareto 2 Mingguan'!S48/('Konsumsi &amp; Pareto 2 Mingguan'!S$44+'Konsumsi &amp; Pareto 2 Mingguan'!S$57)*'HK - BDGT'!S$32</f>
        <v>1139935.8784775978</v>
      </c>
      <c r="T40" s="183" t="e">
        <f>'Konsumsi &amp; Pareto 2 Mingguan'!T48/('Konsumsi &amp; Pareto 2 Mingguan'!T$44+'Konsumsi &amp; Pareto 2 Mingguan'!T$57)*'HK - BDGT'!T$32</f>
        <v>#DIV/0!</v>
      </c>
      <c r="U40" s="183" t="e">
        <f>'Konsumsi &amp; Pareto 2 Mingguan'!U48/('Konsumsi &amp; Pareto 2 Mingguan'!U$44+'Konsumsi &amp; Pareto 2 Mingguan'!U$57)*'HK - BDGT'!U$32</f>
        <v>#DIV/0!</v>
      </c>
      <c r="V40" s="183" t="e">
        <f>'Konsumsi &amp; Pareto 2 Mingguan'!V48/('Konsumsi &amp; Pareto 2 Mingguan'!V$44+'Konsumsi &amp; Pareto 2 Mingguan'!V$57)*'HK - BDGT'!V$32</f>
        <v>#DIV/0!</v>
      </c>
      <c r="W40" s="183" t="e">
        <f>'Konsumsi &amp; Pareto 2 Mingguan'!W48/('Konsumsi &amp; Pareto 2 Mingguan'!W$44+'Konsumsi &amp; Pareto 2 Mingguan'!W$57)*'HK - BDGT'!W$32</f>
        <v>#DIV/0!</v>
      </c>
      <c r="X40" s="183" t="e">
        <f>'Konsumsi &amp; Pareto 2 Mingguan'!X48/('Konsumsi &amp; Pareto 2 Mingguan'!X$44+'Konsumsi &amp; Pareto 2 Mingguan'!X$57)*'HK - BDGT'!X$32</f>
        <v>#DIV/0!</v>
      </c>
      <c r="Y40" s="183" t="e">
        <f>'Konsumsi &amp; Pareto 2 Mingguan'!Y48/('Konsumsi &amp; Pareto 2 Mingguan'!Y$44+'Konsumsi &amp; Pareto 2 Mingguan'!Y$57)*'HK - BDGT'!Y$32</f>
        <v>#DIV/0!</v>
      </c>
      <c r="Z40" s="183" t="e">
        <f>'Konsumsi &amp; Pareto 2 Mingguan'!Z48/('Konsumsi &amp; Pareto 2 Mingguan'!Z$44+'Konsumsi &amp; Pareto 2 Mingguan'!Z$57)*'HK - BDGT'!Z$32</f>
        <v>#DIV/0!</v>
      </c>
      <c r="AA40" s="183" t="e">
        <f>'Konsumsi &amp; Pareto 2 Mingguan'!AA48/('Konsumsi &amp; Pareto 2 Mingguan'!AA$44+'Konsumsi &amp; Pareto 2 Mingguan'!AA$57)*'HK - BDGT'!AA$32</f>
        <v>#DIV/0!</v>
      </c>
      <c r="AB40" s="183" t="e">
        <f>'Konsumsi &amp; Pareto 2 Mingguan'!AB48/('Konsumsi &amp; Pareto 2 Mingguan'!AB$44+'Konsumsi &amp; Pareto 2 Mingguan'!AB$57)*'HK - BDGT'!AB$32</f>
        <v>#DIV/0!</v>
      </c>
      <c r="AC40" s="183" t="e">
        <f>'Konsumsi &amp; Pareto 2 Mingguan'!AC48/('Konsumsi &amp; Pareto 2 Mingguan'!AC$44+'Konsumsi &amp; Pareto 2 Mingguan'!AC$57)*'HK - BDGT'!AC$32</f>
        <v>#DIV/0!</v>
      </c>
      <c r="AD40" s="183" t="e">
        <f>'Konsumsi &amp; Pareto 2 Mingguan'!AD48/('Konsumsi &amp; Pareto 2 Mingguan'!AD$44+'Konsumsi &amp; Pareto 2 Mingguan'!AD$57)*'HK - BDGT'!AD$32</f>
        <v>#DIV/0!</v>
      </c>
      <c r="AE40" s="183" t="e">
        <f>'Konsumsi &amp; Pareto 2 Mingguan'!AE48/('Konsumsi &amp; Pareto 2 Mingguan'!AE$44+'Konsumsi &amp; Pareto 2 Mingguan'!AE$57)*'HK - BDGT'!AE$32</f>
        <v>#DIV/0!</v>
      </c>
    </row>
    <row r="41" spans="1:33" outlineLevel="1">
      <c r="B41" s="72" t="s">
        <v>99</v>
      </c>
      <c r="C41" s="69" t="s">
        <v>72</v>
      </c>
      <c r="D41" s="8" t="s">
        <v>109</v>
      </c>
      <c r="E41" s="90">
        <v>301.61865209452554</v>
      </c>
      <c r="F41" s="90">
        <v>293.07360291683409</v>
      </c>
      <c r="G41" s="65" t="e">
        <f t="shared" si="27"/>
        <v>#DIV/0!</v>
      </c>
      <c r="H41" s="183">
        <f>'Konsumsi &amp; Pareto 2 Mingguan'!H49/('Konsumsi &amp; Pareto 2 Mingguan'!H$44+'Konsumsi &amp; Pareto 2 Mingguan'!H$57)*'HK - BDGT'!H$32</f>
        <v>18772744.258565877</v>
      </c>
      <c r="I41" s="183">
        <f>'Konsumsi &amp; Pareto 2 Mingguan'!I49/('Konsumsi &amp; Pareto 2 Mingguan'!I$44+'Konsumsi &amp; Pareto 2 Mingguan'!I$57)*'HK - BDGT'!I$32</f>
        <v>14101614.658681922</v>
      </c>
      <c r="J41" s="183">
        <f>'Konsumsi &amp; Pareto 2 Mingguan'!J49/('Konsumsi &amp; Pareto 2 Mingguan'!J$44+'Konsumsi &amp; Pareto 2 Mingguan'!J$57)*'HK - BDGT'!J$32</f>
        <v>15029959.104503537</v>
      </c>
      <c r="K41" s="183">
        <f>'Konsumsi &amp; Pareto 2 Mingguan'!K49/('Konsumsi &amp; Pareto 2 Mingguan'!K$44+'Konsumsi &amp; Pareto 2 Mingguan'!K$57)*'HK - BDGT'!K$32</f>
        <v>14413421.009025475</v>
      </c>
      <c r="L41" s="183">
        <f>'Konsumsi &amp; Pareto 2 Mingguan'!L49/('Konsumsi &amp; Pareto 2 Mingguan'!L$44+'Konsumsi &amp; Pareto 2 Mingguan'!L$57)*'HK - BDGT'!L$32</f>
        <v>18979280.864979889</v>
      </c>
      <c r="M41" s="183">
        <f>'Konsumsi &amp; Pareto 2 Mingguan'!M49/('Konsumsi &amp; Pareto 2 Mingguan'!M$44+'Konsumsi &amp; Pareto 2 Mingguan'!M$57)*'HK - BDGT'!M$32</f>
        <v>16810061.541104797</v>
      </c>
      <c r="N41" s="183">
        <f>'Konsumsi &amp; Pareto 2 Mingguan'!N49/('Konsumsi &amp; Pareto 2 Mingguan'!N$44+'Konsumsi &amp; Pareto 2 Mingguan'!N$57)*'HK - BDGT'!N$32</f>
        <v>19028882.501697142</v>
      </c>
      <c r="O41" s="183">
        <f>'Konsumsi &amp; Pareto 2 Mingguan'!O49/('Konsumsi &amp; Pareto 2 Mingguan'!O$44+'Konsumsi &amp; Pareto 2 Mingguan'!O$57)*'HK - BDGT'!O$32</f>
        <v>15555869.634062683</v>
      </c>
      <c r="P41" s="183">
        <f>'Konsumsi &amp; Pareto 2 Mingguan'!P49/('Konsumsi &amp; Pareto 2 Mingguan'!P$44+'Konsumsi &amp; Pareto 2 Mingguan'!P$57)*'HK - BDGT'!P$32</f>
        <v>12646979.491779651</v>
      </c>
      <c r="Q41" s="183">
        <f>'Konsumsi &amp; Pareto 2 Mingguan'!Q49/('Konsumsi &amp; Pareto 2 Mingguan'!Q$44+'Konsumsi &amp; Pareto 2 Mingguan'!Q$57)*'HK - BDGT'!Q$32</f>
        <v>12259816.831706738</v>
      </c>
      <c r="R41" s="183">
        <f>'Konsumsi &amp; Pareto 2 Mingguan'!R49/('Konsumsi &amp; Pareto 2 Mingguan'!R$44+'Konsumsi &amp; Pareto 2 Mingguan'!R$57)*'HK - BDGT'!R$32</f>
        <v>19438148.051177572</v>
      </c>
      <c r="S41" s="183">
        <f>'Konsumsi &amp; Pareto 2 Mingguan'!S49/('Konsumsi &amp; Pareto 2 Mingguan'!S$44+'Konsumsi &amp; Pareto 2 Mingguan'!S$57)*'HK - BDGT'!S$32</f>
        <v>15033254.287284834</v>
      </c>
      <c r="T41" s="183" t="e">
        <f>'Konsumsi &amp; Pareto 2 Mingguan'!T49/('Konsumsi &amp; Pareto 2 Mingguan'!T$44+'Konsumsi &amp; Pareto 2 Mingguan'!T$57)*'HK - BDGT'!T$32</f>
        <v>#DIV/0!</v>
      </c>
      <c r="U41" s="183" t="e">
        <f>'Konsumsi &amp; Pareto 2 Mingguan'!U49/('Konsumsi &amp; Pareto 2 Mingguan'!U$44+'Konsumsi &amp; Pareto 2 Mingguan'!U$57)*'HK - BDGT'!U$32</f>
        <v>#DIV/0!</v>
      </c>
      <c r="V41" s="183" t="e">
        <f>'Konsumsi &amp; Pareto 2 Mingguan'!V49/('Konsumsi &amp; Pareto 2 Mingguan'!V$44+'Konsumsi &amp; Pareto 2 Mingguan'!V$57)*'HK - BDGT'!V$32</f>
        <v>#DIV/0!</v>
      </c>
      <c r="W41" s="183" t="e">
        <f>'Konsumsi &amp; Pareto 2 Mingguan'!W49/('Konsumsi &amp; Pareto 2 Mingguan'!W$44+'Konsumsi &amp; Pareto 2 Mingguan'!W$57)*'HK - BDGT'!W$32</f>
        <v>#DIV/0!</v>
      </c>
      <c r="X41" s="183" t="e">
        <f>'Konsumsi &amp; Pareto 2 Mingguan'!X49/('Konsumsi &amp; Pareto 2 Mingguan'!X$44+'Konsumsi &amp; Pareto 2 Mingguan'!X$57)*'HK - BDGT'!X$32</f>
        <v>#DIV/0!</v>
      </c>
      <c r="Y41" s="183" t="e">
        <f>'Konsumsi &amp; Pareto 2 Mingguan'!Y49/('Konsumsi &amp; Pareto 2 Mingguan'!Y$44+'Konsumsi &amp; Pareto 2 Mingguan'!Y$57)*'HK - BDGT'!Y$32</f>
        <v>#DIV/0!</v>
      </c>
      <c r="Z41" s="183" t="e">
        <f>'Konsumsi &amp; Pareto 2 Mingguan'!Z49/('Konsumsi &amp; Pareto 2 Mingguan'!Z$44+'Konsumsi &amp; Pareto 2 Mingguan'!Z$57)*'HK - BDGT'!Z$32</f>
        <v>#DIV/0!</v>
      </c>
      <c r="AA41" s="183" t="e">
        <f>'Konsumsi &amp; Pareto 2 Mingguan'!AA49/('Konsumsi &amp; Pareto 2 Mingguan'!AA$44+'Konsumsi &amp; Pareto 2 Mingguan'!AA$57)*'HK - BDGT'!AA$32</f>
        <v>#DIV/0!</v>
      </c>
      <c r="AB41" s="183" t="e">
        <f>'Konsumsi &amp; Pareto 2 Mingguan'!AB49/('Konsumsi &amp; Pareto 2 Mingguan'!AB$44+'Konsumsi &amp; Pareto 2 Mingguan'!AB$57)*'HK - BDGT'!AB$32</f>
        <v>#DIV/0!</v>
      </c>
      <c r="AC41" s="183" t="e">
        <f>'Konsumsi &amp; Pareto 2 Mingguan'!AC49/('Konsumsi &amp; Pareto 2 Mingguan'!AC$44+'Konsumsi &amp; Pareto 2 Mingguan'!AC$57)*'HK - BDGT'!AC$32</f>
        <v>#DIV/0!</v>
      </c>
      <c r="AD41" s="183" t="e">
        <f>'Konsumsi &amp; Pareto 2 Mingguan'!AD49/('Konsumsi &amp; Pareto 2 Mingguan'!AD$44+'Konsumsi &amp; Pareto 2 Mingguan'!AD$57)*'HK - BDGT'!AD$32</f>
        <v>#DIV/0!</v>
      </c>
      <c r="AE41" s="183" t="e">
        <f>'Konsumsi &amp; Pareto 2 Mingguan'!AE49/('Konsumsi &amp; Pareto 2 Mingguan'!AE$44+'Konsumsi &amp; Pareto 2 Mingguan'!AE$57)*'HK - BDGT'!AE$32</f>
        <v>#DIV/0!</v>
      </c>
    </row>
    <row r="42" spans="1:33" outlineLevel="1">
      <c r="B42" s="72" t="s">
        <v>44</v>
      </c>
      <c r="C42" s="69" t="s">
        <v>72</v>
      </c>
      <c r="D42" s="8" t="s">
        <v>109</v>
      </c>
      <c r="E42" s="90">
        <v>183.59000000000009</v>
      </c>
      <c r="F42" s="90">
        <v>160.5200000000001</v>
      </c>
      <c r="G42" s="65" t="e">
        <f t="shared" si="27"/>
        <v>#DIV/0!</v>
      </c>
      <c r="H42" s="183">
        <f>'Konsumsi &amp; Pareto 2 Mingguan'!H50/('Konsumsi &amp; Pareto 2 Mingguan'!H$44+'Konsumsi &amp; Pareto 2 Mingguan'!H$57)*'HK - BDGT'!H$32</f>
        <v>9721533.4574309755</v>
      </c>
      <c r="I42" s="183">
        <f>'Konsumsi &amp; Pareto 2 Mingguan'!I50/('Konsumsi &amp; Pareto 2 Mingguan'!I$44+'Konsumsi &amp; Pareto 2 Mingguan'!I$57)*'HK - BDGT'!I$32</f>
        <v>8927262.6818435527</v>
      </c>
      <c r="J42" s="183">
        <f>'Konsumsi &amp; Pareto 2 Mingguan'!J50/('Konsumsi &amp; Pareto 2 Mingguan'!J$44+'Konsumsi &amp; Pareto 2 Mingguan'!J$57)*'HK - BDGT'!J$32</f>
        <v>8770633.7625551708</v>
      </c>
      <c r="K42" s="183">
        <f>'Konsumsi &amp; Pareto 2 Mingguan'!K50/('Konsumsi &amp; Pareto 2 Mingguan'!K$44+'Konsumsi &amp; Pareto 2 Mingguan'!K$57)*'HK - BDGT'!K$32</f>
        <v>8611851.0447762534</v>
      </c>
      <c r="L42" s="183">
        <f>'Konsumsi &amp; Pareto 2 Mingguan'!L50/('Konsumsi &amp; Pareto 2 Mingguan'!L$44+'Konsumsi &amp; Pareto 2 Mingguan'!L$57)*'HK - BDGT'!L$32</f>
        <v>10011787.956882965</v>
      </c>
      <c r="M42" s="183">
        <f>'Konsumsi &amp; Pareto 2 Mingguan'!M50/('Konsumsi &amp; Pareto 2 Mingguan'!M$44+'Konsumsi &amp; Pareto 2 Mingguan'!M$57)*'HK - BDGT'!M$32</f>
        <v>9510044.9424774554</v>
      </c>
      <c r="N42" s="183">
        <f>'Konsumsi &amp; Pareto 2 Mingguan'!N50/('Konsumsi &amp; Pareto 2 Mingguan'!N$44+'Konsumsi &amp; Pareto 2 Mingguan'!N$57)*'HK - BDGT'!N$32</f>
        <v>9567310.035398677</v>
      </c>
      <c r="O42" s="183">
        <f>'Konsumsi &amp; Pareto 2 Mingguan'!O50/('Konsumsi &amp; Pareto 2 Mingguan'!O$44+'Konsumsi &amp; Pareto 2 Mingguan'!O$57)*'HK - BDGT'!O$32</f>
        <v>8003731.5355711244</v>
      </c>
      <c r="P42" s="183">
        <f>'Konsumsi &amp; Pareto 2 Mingguan'!P50/('Konsumsi &amp; Pareto 2 Mingguan'!P$44+'Konsumsi &amp; Pareto 2 Mingguan'!P$57)*'HK - BDGT'!P$32</f>
        <v>7201607.3620326165</v>
      </c>
      <c r="Q42" s="183">
        <f>'Konsumsi &amp; Pareto 2 Mingguan'!Q50/('Konsumsi &amp; Pareto 2 Mingguan'!Q$44+'Konsumsi &amp; Pareto 2 Mingguan'!Q$57)*'HK - BDGT'!Q$32</f>
        <v>6820901.2851145007</v>
      </c>
      <c r="R42" s="183">
        <f>'Konsumsi &amp; Pareto 2 Mingguan'!R50/('Konsumsi &amp; Pareto 2 Mingguan'!R$44+'Konsumsi &amp; Pareto 2 Mingguan'!R$57)*'HK - BDGT'!R$32</f>
        <v>9914742.585806923</v>
      </c>
      <c r="S42" s="183">
        <f>'Konsumsi &amp; Pareto 2 Mingguan'!S50/('Konsumsi &amp; Pareto 2 Mingguan'!S$44+'Konsumsi &amp; Pareto 2 Mingguan'!S$57)*'HK - BDGT'!S$32</f>
        <v>7918264.2741560657</v>
      </c>
      <c r="T42" s="183" t="e">
        <f>'Konsumsi &amp; Pareto 2 Mingguan'!T50/('Konsumsi &amp; Pareto 2 Mingguan'!T$44+'Konsumsi &amp; Pareto 2 Mingguan'!T$57)*'HK - BDGT'!T$32</f>
        <v>#DIV/0!</v>
      </c>
      <c r="U42" s="183" t="e">
        <f>'Konsumsi &amp; Pareto 2 Mingguan'!U50/('Konsumsi &amp; Pareto 2 Mingguan'!U$44+'Konsumsi &amp; Pareto 2 Mingguan'!U$57)*'HK - BDGT'!U$32</f>
        <v>#DIV/0!</v>
      </c>
      <c r="V42" s="183" t="e">
        <f>'Konsumsi &amp; Pareto 2 Mingguan'!V50/('Konsumsi &amp; Pareto 2 Mingguan'!V$44+'Konsumsi &amp; Pareto 2 Mingguan'!V$57)*'HK - BDGT'!V$32</f>
        <v>#DIV/0!</v>
      </c>
      <c r="W42" s="183" t="e">
        <f>'Konsumsi &amp; Pareto 2 Mingguan'!W50/('Konsumsi &amp; Pareto 2 Mingguan'!W$44+'Konsumsi &amp; Pareto 2 Mingguan'!W$57)*'HK - BDGT'!W$32</f>
        <v>#DIV/0!</v>
      </c>
      <c r="X42" s="183" t="e">
        <f>'Konsumsi &amp; Pareto 2 Mingguan'!X50/('Konsumsi &amp; Pareto 2 Mingguan'!X$44+'Konsumsi &amp; Pareto 2 Mingguan'!X$57)*'HK - BDGT'!X$32</f>
        <v>#DIV/0!</v>
      </c>
      <c r="Y42" s="183" t="e">
        <f>'Konsumsi &amp; Pareto 2 Mingguan'!Y50/('Konsumsi &amp; Pareto 2 Mingguan'!Y$44+'Konsumsi &amp; Pareto 2 Mingguan'!Y$57)*'HK - BDGT'!Y$32</f>
        <v>#DIV/0!</v>
      </c>
      <c r="Z42" s="183" t="e">
        <f>'Konsumsi &amp; Pareto 2 Mingguan'!Z50/('Konsumsi &amp; Pareto 2 Mingguan'!Z$44+'Konsumsi &amp; Pareto 2 Mingguan'!Z$57)*'HK - BDGT'!Z$32</f>
        <v>#DIV/0!</v>
      </c>
      <c r="AA42" s="183" t="e">
        <f>'Konsumsi &amp; Pareto 2 Mingguan'!AA50/('Konsumsi &amp; Pareto 2 Mingguan'!AA$44+'Konsumsi &amp; Pareto 2 Mingguan'!AA$57)*'HK - BDGT'!AA$32</f>
        <v>#DIV/0!</v>
      </c>
      <c r="AB42" s="183" t="e">
        <f>'Konsumsi &amp; Pareto 2 Mingguan'!AB50/('Konsumsi &amp; Pareto 2 Mingguan'!AB$44+'Konsumsi &amp; Pareto 2 Mingguan'!AB$57)*'HK - BDGT'!AB$32</f>
        <v>#DIV/0!</v>
      </c>
      <c r="AC42" s="183" t="e">
        <f>'Konsumsi &amp; Pareto 2 Mingguan'!AC50/('Konsumsi &amp; Pareto 2 Mingguan'!AC$44+'Konsumsi &amp; Pareto 2 Mingguan'!AC$57)*'HK - BDGT'!AC$32</f>
        <v>#DIV/0!</v>
      </c>
      <c r="AD42" s="183" t="e">
        <f>'Konsumsi &amp; Pareto 2 Mingguan'!AD50/('Konsumsi &amp; Pareto 2 Mingguan'!AD$44+'Konsumsi &amp; Pareto 2 Mingguan'!AD$57)*'HK - BDGT'!AD$32</f>
        <v>#DIV/0!</v>
      </c>
      <c r="AE42" s="183" t="e">
        <f>'Konsumsi &amp; Pareto 2 Mingguan'!AE50/('Konsumsi &amp; Pareto 2 Mingguan'!AE$44+'Konsumsi &amp; Pareto 2 Mingguan'!AE$57)*'HK - BDGT'!AE$32</f>
        <v>#DIV/0!</v>
      </c>
    </row>
    <row r="43" spans="1:33" outlineLevel="1">
      <c r="B43" s="72" t="s">
        <v>45</v>
      </c>
      <c r="C43" s="69"/>
      <c r="D43" s="8" t="s">
        <v>109</v>
      </c>
      <c r="E43" s="90">
        <v>431.91999999999996</v>
      </c>
      <c r="F43" s="90">
        <v>348.59999999999991</v>
      </c>
      <c r="G43" s="65" t="e">
        <f t="shared" si="27"/>
        <v>#DIV/0!</v>
      </c>
      <c r="H43" s="183">
        <f>'Konsumsi &amp; Pareto 2 Mingguan'!H51/('Konsumsi &amp; Pareto 2 Mingguan'!H$44+'Konsumsi &amp; Pareto 2 Mingguan'!H$57)*'HK - BDGT'!H$32</f>
        <v>18455631.835751764</v>
      </c>
      <c r="I43" s="183">
        <f>'Konsumsi &amp; Pareto 2 Mingguan'!I51/('Konsumsi &amp; Pareto 2 Mingguan'!I$44+'Konsumsi &amp; Pareto 2 Mingguan'!I$57)*'HK - BDGT'!I$32</f>
        <v>17297297.003832351</v>
      </c>
      <c r="J43" s="183">
        <f>'Konsumsi &amp; Pareto 2 Mingguan'!J51/('Konsumsi &amp; Pareto 2 Mingguan'!J$44+'Konsumsi &amp; Pareto 2 Mingguan'!J$57)*'HK - BDGT'!J$32</f>
        <v>16265084.010444703</v>
      </c>
      <c r="K43" s="183">
        <f>'Konsumsi &amp; Pareto 2 Mingguan'!K51/('Konsumsi &amp; Pareto 2 Mingguan'!K$44+'Konsumsi &amp; Pareto 2 Mingguan'!K$57)*'HK - BDGT'!K$32</f>
        <v>16570908.715896025</v>
      </c>
      <c r="L43" s="183">
        <f>'Konsumsi &amp; Pareto 2 Mingguan'!L51/('Konsumsi &amp; Pareto 2 Mingguan'!L$44+'Konsumsi &amp; Pareto 2 Mingguan'!L$57)*'HK - BDGT'!L$32</f>
        <v>20788199.33768047</v>
      </c>
      <c r="M43" s="183">
        <f>'Konsumsi &amp; Pareto 2 Mingguan'!M51/('Konsumsi &amp; Pareto 2 Mingguan'!M$44+'Konsumsi &amp; Pareto 2 Mingguan'!M$57)*'HK - BDGT'!M$32</f>
        <v>18712168.1309021</v>
      </c>
      <c r="N43" s="183">
        <f>'Konsumsi &amp; Pareto 2 Mingguan'!N51/('Konsumsi &amp; Pareto 2 Mingguan'!N$44+'Konsumsi &amp; Pareto 2 Mingguan'!N$57)*'HK - BDGT'!N$32</f>
        <v>20847056.886471953</v>
      </c>
      <c r="O43" s="183">
        <f>'Konsumsi &amp; Pareto 2 Mingguan'!O51/('Konsumsi &amp; Pareto 2 Mingguan'!O$44+'Konsumsi &amp; Pareto 2 Mingguan'!O$57)*'HK - BDGT'!O$32</f>
        <v>18184675.977263305</v>
      </c>
      <c r="P43" s="183">
        <f>'Konsumsi &amp; Pareto 2 Mingguan'!P51/('Konsumsi &amp; Pareto 2 Mingguan'!P$44+'Konsumsi &amp; Pareto 2 Mingguan'!P$57)*'HK - BDGT'!P$32</f>
        <v>18004018.40508154</v>
      </c>
      <c r="Q43" s="183">
        <f>'Konsumsi &amp; Pareto 2 Mingguan'!Q51/('Konsumsi &amp; Pareto 2 Mingguan'!Q$44+'Konsumsi &amp; Pareto 2 Mingguan'!Q$57)*'HK - BDGT'!Q$32</f>
        <v>16271233.981666243</v>
      </c>
      <c r="R43" s="183">
        <f>'Konsumsi &amp; Pareto 2 Mingguan'!R51/('Konsumsi &amp; Pareto 2 Mingguan'!R$44+'Konsumsi &amp; Pareto 2 Mingguan'!R$57)*'HK - BDGT'!R$32</f>
        <v>23350380.195920251</v>
      </c>
      <c r="S43" s="183">
        <f>'Konsumsi &amp; Pareto 2 Mingguan'!S51/('Konsumsi &amp; Pareto 2 Mingguan'!S$44+'Konsumsi &amp; Pareto 2 Mingguan'!S$57)*'HK - BDGT'!S$32</f>
        <v>17160325.052350812</v>
      </c>
      <c r="T43" s="183" t="e">
        <f>'Konsumsi &amp; Pareto 2 Mingguan'!T51/('Konsumsi &amp; Pareto 2 Mingguan'!T$44+'Konsumsi &amp; Pareto 2 Mingguan'!T$57)*'HK - BDGT'!T$32</f>
        <v>#DIV/0!</v>
      </c>
      <c r="U43" s="183" t="e">
        <f>'Konsumsi &amp; Pareto 2 Mingguan'!U51/('Konsumsi &amp; Pareto 2 Mingguan'!U$44+'Konsumsi &amp; Pareto 2 Mingguan'!U$57)*'HK - BDGT'!U$32</f>
        <v>#DIV/0!</v>
      </c>
      <c r="V43" s="183" t="e">
        <f>'Konsumsi &amp; Pareto 2 Mingguan'!V51/('Konsumsi &amp; Pareto 2 Mingguan'!V$44+'Konsumsi &amp; Pareto 2 Mingguan'!V$57)*'HK - BDGT'!V$32</f>
        <v>#DIV/0!</v>
      </c>
      <c r="W43" s="183" t="e">
        <f>'Konsumsi &amp; Pareto 2 Mingguan'!W51/('Konsumsi &amp; Pareto 2 Mingguan'!W$44+'Konsumsi &amp; Pareto 2 Mingguan'!W$57)*'HK - BDGT'!W$32</f>
        <v>#DIV/0!</v>
      </c>
      <c r="X43" s="183" t="e">
        <f>'Konsumsi &amp; Pareto 2 Mingguan'!X51/('Konsumsi &amp; Pareto 2 Mingguan'!X$44+'Konsumsi &amp; Pareto 2 Mingguan'!X$57)*'HK - BDGT'!X$32</f>
        <v>#DIV/0!</v>
      </c>
      <c r="Y43" s="183" t="e">
        <f>'Konsumsi &amp; Pareto 2 Mingguan'!Y51/('Konsumsi &amp; Pareto 2 Mingguan'!Y$44+'Konsumsi &amp; Pareto 2 Mingguan'!Y$57)*'HK - BDGT'!Y$32</f>
        <v>#DIV/0!</v>
      </c>
      <c r="Z43" s="183" t="e">
        <f>'Konsumsi &amp; Pareto 2 Mingguan'!Z51/('Konsumsi &amp; Pareto 2 Mingguan'!Z$44+'Konsumsi &amp; Pareto 2 Mingguan'!Z$57)*'HK - BDGT'!Z$32</f>
        <v>#DIV/0!</v>
      </c>
      <c r="AA43" s="183" t="e">
        <f>'Konsumsi &amp; Pareto 2 Mingguan'!AA51/('Konsumsi &amp; Pareto 2 Mingguan'!AA$44+'Konsumsi &amp; Pareto 2 Mingguan'!AA$57)*'HK - BDGT'!AA$32</f>
        <v>#DIV/0!</v>
      </c>
      <c r="AB43" s="183" t="e">
        <f>'Konsumsi &amp; Pareto 2 Mingguan'!AB51/('Konsumsi &amp; Pareto 2 Mingguan'!AB$44+'Konsumsi &amp; Pareto 2 Mingguan'!AB$57)*'HK - BDGT'!AB$32</f>
        <v>#DIV/0!</v>
      </c>
      <c r="AC43" s="183" t="e">
        <f>'Konsumsi &amp; Pareto 2 Mingguan'!AC51/('Konsumsi &amp; Pareto 2 Mingguan'!AC$44+'Konsumsi &amp; Pareto 2 Mingguan'!AC$57)*'HK - BDGT'!AC$32</f>
        <v>#DIV/0!</v>
      </c>
      <c r="AD43" s="183" t="e">
        <f>'Konsumsi &amp; Pareto 2 Mingguan'!AD51/('Konsumsi &amp; Pareto 2 Mingguan'!AD$44+'Konsumsi &amp; Pareto 2 Mingguan'!AD$57)*'HK - BDGT'!AD$32</f>
        <v>#DIV/0!</v>
      </c>
      <c r="AE43" s="183" t="e">
        <f>'Konsumsi &amp; Pareto 2 Mingguan'!AE51/('Konsumsi &amp; Pareto 2 Mingguan'!AE$44+'Konsumsi &amp; Pareto 2 Mingguan'!AE$57)*'HK - BDGT'!AE$32</f>
        <v>#DIV/0!</v>
      </c>
    </row>
    <row r="44" spans="1:33" outlineLevel="1">
      <c r="B44" s="72" t="s">
        <v>46</v>
      </c>
      <c r="C44" s="69" t="s">
        <v>72</v>
      </c>
      <c r="D44" s="8" t="s">
        <v>109</v>
      </c>
      <c r="E44" s="90">
        <v>13.781666666666672</v>
      </c>
      <c r="F44" s="90">
        <v>20.682499999999976</v>
      </c>
      <c r="G44" s="65" t="e">
        <f t="shared" si="27"/>
        <v>#DIV/0!</v>
      </c>
      <c r="H44" s="183">
        <f>'Konsumsi &amp; Pareto 2 Mingguan'!H52/('Konsumsi &amp; Pareto 2 Mingguan'!H$44+'Konsumsi &amp; Pareto 2 Mingguan'!H$57)*'HK - BDGT'!H$32</f>
        <v>1469397.4391522061</v>
      </c>
      <c r="I44" s="183">
        <f>'Konsumsi &amp; Pareto 2 Mingguan'!I52/('Konsumsi &amp; Pareto 2 Mingguan'!I$44+'Konsumsi &amp; Pareto 2 Mingguan'!I$57)*'HK - BDGT'!I$32</f>
        <v>1218937.0371828061</v>
      </c>
      <c r="J44" s="183">
        <f>'Konsumsi &amp; Pareto 2 Mingguan'!J52/('Konsumsi &amp; Pareto 2 Mingguan'!J$44+'Konsumsi &amp; Pareto 2 Mingguan'!J$57)*'HK - BDGT'!J$32</f>
        <v>2239576.9522073762</v>
      </c>
      <c r="K44" s="183">
        <f>'Konsumsi &amp; Pareto 2 Mingguan'!K52/('Konsumsi &amp; Pareto 2 Mingguan'!K$44+'Konsumsi &amp; Pareto 2 Mingguan'!K$57)*'HK - BDGT'!K$32</f>
        <v>2265946.2297115405</v>
      </c>
      <c r="L44" s="183">
        <f>'Konsumsi &amp; Pareto 2 Mingguan'!L52/('Konsumsi &amp; Pareto 2 Mingguan'!L$44+'Konsumsi &amp; Pareto 2 Mingguan'!L$57)*'HK - BDGT'!L$32</f>
        <v>2861364.2191807656</v>
      </c>
      <c r="M44" s="183">
        <f>'Konsumsi &amp; Pareto 2 Mingguan'!M52/('Konsumsi &amp; Pareto 2 Mingguan'!M$44+'Konsumsi &amp; Pareto 2 Mingguan'!M$57)*'HK - BDGT'!M$32</f>
        <v>2587727.048482358</v>
      </c>
      <c r="N44" s="183">
        <f>'Konsumsi &amp; Pareto 2 Mingguan'!N52/('Konsumsi &amp; Pareto 2 Mingguan'!N$44+'Konsumsi &amp; Pareto 2 Mingguan'!N$57)*'HK - BDGT'!N$32</f>
        <v>2252226.6814848888</v>
      </c>
      <c r="O44" s="183">
        <f>'Konsumsi &amp; Pareto 2 Mingguan'!O52/('Konsumsi &amp; Pareto 2 Mingguan'!O$44+'Konsumsi &amp; Pareto 2 Mingguan'!O$57)*'HK - BDGT'!O$32</f>
        <v>2276177.1291268677</v>
      </c>
      <c r="P44" s="183">
        <f>'Konsumsi &amp; Pareto 2 Mingguan'!P52/('Konsumsi &amp; Pareto 2 Mingguan'!P$44+'Konsumsi &amp; Pareto 2 Mingguan'!P$57)*'HK - BDGT'!P$32</f>
        <v>1264880.8551015162</v>
      </c>
      <c r="Q44" s="183">
        <f>'Konsumsi &amp; Pareto 2 Mingguan'!Q52/('Konsumsi &amp; Pareto 2 Mingguan'!Q$44+'Konsumsi &amp; Pareto 2 Mingguan'!Q$57)*'HK - BDGT'!Q$32</f>
        <v>1093426.9235679759</v>
      </c>
      <c r="R44" s="183">
        <f>'Konsumsi &amp; Pareto 2 Mingguan'!R52/('Konsumsi &amp; Pareto 2 Mingguan'!R$44+'Konsumsi &amp; Pareto 2 Mingguan'!R$57)*'HK - BDGT'!R$32</f>
        <v>1583180.2279432749</v>
      </c>
      <c r="S44" s="183">
        <f>'Konsumsi &amp; Pareto 2 Mingguan'!S52/('Konsumsi &amp; Pareto 2 Mingguan'!S$44+'Konsumsi &amp; Pareto 2 Mingguan'!S$57)*'HK - BDGT'!S$32</f>
        <v>1259445.2850921797</v>
      </c>
      <c r="T44" s="183" t="e">
        <f>'Konsumsi &amp; Pareto 2 Mingguan'!T52/('Konsumsi &amp; Pareto 2 Mingguan'!T$44+'Konsumsi &amp; Pareto 2 Mingguan'!T$57)*'HK - BDGT'!T$32</f>
        <v>#DIV/0!</v>
      </c>
      <c r="U44" s="183" t="e">
        <f>'Konsumsi &amp; Pareto 2 Mingguan'!U52/('Konsumsi &amp; Pareto 2 Mingguan'!U$44+'Konsumsi &amp; Pareto 2 Mingguan'!U$57)*'HK - BDGT'!U$32</f>
        <v>#DIV/0!</v>
      </c>
      <c r="V44" s="183" t="e">
        <f>'Konsumsi &amp; Pareto 2 Mingguan'!V52/('Konsumsi &amp; Pareto 2 Mingguan'!V$44+'Konsumsi &amp; Pareto 2 Mingguan'!V$57)*'HK - BDGT'!V$32</f>
        <v>#DIV/0!</v>
      </c>
      <c r="W44" s="183" t="e">
        <f>'Konsumsi &amp; Pareto 2 Mingguan'!W52/('Konsumsi &amp; Pareto 2 Mingguan'!W$44+'Konsumsi &amp; Pareto 2 Mingguan'!W$57)*'HK - BDGT'!W$32</f>
        <v>#DIV/0!</v>
      </c>
      <c r="X44" s="183" t="e">
        <f>'Konsumsi &amp; Pareto 2 Mingguan'!X52/('Konsumsi &amp; Pareto 2 Mingguan'!X$44+'Konsumsi &amp; Pareto 2 Mingguan'!X$57)*'HK - BDGT'!X$32</f>
        <v>#DIV/0!</v>
      </c>
      <c r="Y44" s="183" t="e">
        <f>'Konsumsi &amp; Pareto 2 Mingguan'!Y52/('Konsumsi &amp; Pareto 2 Mingguan'!Y$44+'Konsumsi &amp; Pareto 2 Mingguan'!Y$57)*'HK - BDGT'!Y$32</f>
        <v>#DIV/0!</v>
      </c>
      <c r="Z44" s="183" t="e">
        <f>'Konsumsi &amp; Pareto 2 Mingguan'!Z52/('Konsumsi &amp; Pareto 2 Mingguan'!Z$44+'Konsumsi &amp; Pareto 2 Mingguan'!Z$57)*'HK - BDGT'!Z$32</f>
        <v>#DIV/0!</v>
      </c>
      <c r="AA44" s="183" t="e">
        <f>'Konsumsi &amp; Pareto 2 Mingguan'!AA52/('Konsumsi &amp; Pareto 2 Mingguan'!AA$44+'Konsumsi &amp; Pareto 2 Mingguan'!AA$57)*'HK - BDGT'!AA$32</f>
        <v>#DIV/0!</v>
      </c>
      <c r="AB44" s="183" t="e">
        <f>'Konsumsi &amp; Pareto 2 Mingguan'!AB52/('Konsumsi &amp; Pareto 2 Mingguan'!AB$44+'Konsumsi &amp; Pareto 2 Mingguan'!AB$57)*'HK - BDGT'!AB$32</f>
        <v>#DIV/0!</v>
      </c>
      <c r="AC44" s="183" t="e">
        <f>'Konsumsi &amp; Pareto 2 Mingguan'!AC52/('Konsumsi &amp; Pareto 2 Mingguan'!AC$44+'Konsumsi &amp; Pareto 2 Mingguan'!AC$57)*'HK - BDGT'!AC$32</f>
        <v>#DIV/0!</v>
      </c>
      <c r="AD44" s="183" t="e">
        <f>'Konsumsi &amp; Pareto 2 Mingguan'!AD52/('Konsumsi &amp; Pareto 2 Mingguan'!AD$44+'Konsumsi &amp; Pareto 2 Mingguan'!AD$57)*'HK - BDGT'!AD$32</f>
        <v>#DIV/0!</v>
      </c>
      <c r="AE44" s="183" t="e">
        <f>'Konsumsi &amp; Pareto 2 Mingguan'!AE52/('Konsumsi &amp; Pareto 2 Mingguan'!AE$44+'Konsumsi &amp; Pareto 2 Mingguan'!AE$57)*'HK - BDGT'!AE$32</f>
        <v>#DIV/0!</v>
      </c>
    </row>
    <row r="45" spans="1:33" outlineLevel="1">
      <c r="B45" s="72" t="s">
        <v>143</v>
      </c>
      <c r="C45" s="69"/>
      <c r="D45" s="8"/>
      <c r="E45" s="90"/>
      <c r="F45" s="90">
        <v>57.051699999999911</v>
      </c>
      <c r="G45" s="65" t="e">
        <f t="shared" si="27"/>
        <v>#DIV/0!</v>
      </c>
      <c r="H45" s="183">
        <f>'Konsumsi &amp; Pareto 2 Mingguan'!H53/('Konsumsi &amp; Pareto 2 Mingguan'!H$44+'Konsumsi &amp; Pareto 2 Mingguan'!H$57)*'HK - BDGT'!H$32</f>
        <v>110146.03203884848</v>
      </c>
      <c r="I45" s="183">
        <f>'Konsumsi &amp; Pareto 2 Mingguan'!I53/('Konsumsi &amp; Pareto 2 Mingguan'!I$44+'Konsumsi &amp; Pareto 2 Mingguan'!I$57)*'HK - BDGT'!I$32</f>
        <v>82887.718528431695</v>
      </c>
      <c r="J45" s="183">
        <f>'Konsumsi &amp; Pareto 2 Mingguan'!J53/('Konsumsi &amp; Pareto 2 Mingguan'!J$44+'Konsumsi &amp; Pareto 2 Mingguan'!J$57)*'HK - BDGT'!J$32</f>
        <v>88582.149841499093</v>
      </c>
      <c r="K45" s="183">
        <f>'Konsumsi &amp; Pareto 2 Mingguan'!K53/('Konsumsi &amp; Pareto 2 Mingguan'!K$44+'Konsumsi &amp; Pareto 2 Mingguan'!K$57)*'HK - BDGT'!K$32</f>
        <v>87499.419507420491</v>
      </c>
      <c r="L45" s="183">
        <f>'Konsumsi &amp; Pareto 2 Mingguan'!L53/('Konsumsi &amp; Pareto 2 Mingguan'!L$44+'Konsumsi &amp; Pareto 2 Mingguan'!L$57)*'HK - BDGT'!L$32</f>
        <v>97250.541729148987</v>
      </c>
      <c r="M45" s="183">
        <f>'Konsumsi &amp; Pareto 2 Mingguan'!M53/('Konsumsi &amp; Pareto 2 Mingguan'!M$44+'Konsumsi &amp; Pareto 2 Mingguan'!M$57)*'HK - BDGT'!M$32</f>
        <v>88112.994236652958</v>
      </c>
      <c r="N45" s="183">
        <f>'Konsumsi &amp; Pareto 2 Mingguan'!N53/('Konsumsi &amp; Pareto 2 Mingguan'!N$44+'Konsumsi &amp; Pareto 2 Mingguan'!N$57)*'HK - BDGT'!N$32</f>
        <v>90337.246508044132</v>
      </c>
      <c r="O45" s="183">
        <f>'Konsumsi &amp; Pareto 2 Mingguan'!O53/('Konsumsi &amp; Pareto 2 Mingguan'!O$44+'Konsumsi &amp; Pareto 2 Mingguan'!O$57)*'HK - BDGT'!O$32</f>
        <v>84614.410669716584</v>
      </c>
      <c r="P45" s="183">
        <f>'Konsumsi &amp; Pareto 2 Mingguan'!P53/('Konsumsi &amp; Pareto 2 Mingguan'!P$44+'Konsumsi &amp; Pareto 2 Mingguan'!P$57)*'HK - BDGT'!P$32</f>
        <v>91071.421567310157</v>
      </c>
      <c r="Q45" s="183">
        <f>'Konsumsi &amp; Pareto 2 Mingguan'!Q53/('Konsumsi &amp; Pareto 2 Mingguan'!Q$44+'Konsumsi &amp; Pareto 2 Mingguan'!Q$57)*'HK - BDGT'!Q$32</f>
        <v>98017.913505556775</v>
      </c>
      <c r="R45" s="183">
        <f>'Konsumsi &amp; Pareto 2 Mingguan'!R53/('Konsumsi &amp; Pareto 2 Mingguan'!R$44+'Konsumsi &amp; Pareto 2 Mingguan'!R$57)*'HK - BDGT'!R$32</f>
        <v>97069.11976733341</v>
      </c>
      <c r="S45" s="183">
        <f>'Konsumsi &amp; Pareto 2 Mingguan'!S53/('Konsumsi &amp; Pareto 2 Mingguan'!S$44+'Konsumsi &amp; Pareto 2 Mingguan'!S$57)*'HK - BDGT'!S$32</f>
        <v>34075.502603953813</v>
      </c>
      <c r="T45" s="183" t="e">
        <f>'Konsumsi &amp; Pareto 2 Mingguan'!T53/('Konsumsi &amp; Pareto 2 Mingguan'!T$44+'Konsumsi &amp; Pareto 2 Mingguan'!T$57)*'HK - BDGT'!T$32</f>
        <v>#DIV/0!</v>
      </c>
      <c r="U45" s="183" t="e">
        <f>'Konsumsi &amp; Pareto 2 Mingguan'!U53/('Konsumsi &amp; Pareto 2 Mingguan'!U$44+'Konsumsi &amp; Pareto 2 Mingguan'!U$57)*'HK - BDGT'!U$32</f>
        <v>#DIV/0!</v>
      </c>
      <c r="V45" s="183" t="e">
        <f>'Konsumsi &amp; Pareto 2 Mingguan'!V53/('Konsumsi &amp; Pareto 2 Mingguan'!V$44+'Konsumsi &amp; Pareto 2 Mingguan'!V$57)*'HK - BDGT'!V$32</f>
        <v>#DIV/0!</v>
      </c>
      <c r="W45" s="183" t="e">
        <f>'Konsumsi &amp; Pareto 2 Mingguan'!W53/('Konsumsi &amp; Pareto 2 Mingguan'!W$44+'Konsumsi &amp; Pareto 2 Mingguan'!W$57)*'HK - BDGT'!W$32</f>
        <v>#DIV/0!</v>
      </c>
      <c r="X45" s="183" t="e">
        <f>'Konsumsi &amp; Pareto 2 Mingguan'!X53/('Konsumsi &amp; Pareto 2 Mingguan'!X$44+'Konsumsi &amp; Pareto 2 Mingguan'!X$57)*'HK - BDGT'!X$32</f>
        <v>#DIV/0!</v>
      </c>
      <c r="Y45" s="183" t="e">
        <f>'Konsumsi &amp; Pareto 2 Mingguan'!Y53/('Konsumsi &amp; Pareto 2 Mingguan'!Y$44+'Konsumsi &amp; Pareto 2 Mingguan'!Y$57)*'HK - BDGT'!Y$32</f>
        <v>#DIV/0!</v>
      </c>
      <c r="Z45" s="183" t="e">
        <f>'Konsumsi &amp; Pareto 2 Mingguan'!Z53/('Konsumsi &amp; Pareto 2 Mingguan'!Z$44+'Konsumsi &amp; Pareto 2 Mingguan'!Z$57)*'HK - BDGT'!Z$32</f>
        <v>#DIV/0!</v>
      </c>
      <c r="AA45" s="183" t="e">
        <f>'Konsumsi &amp; Pareto 2 Mingguan'!AA53/('Konsumsi &amp; Pareto 2 Mingguan'!AA$44+'Konsumsi &amp; Pareto 2 Mingguan'!AA$57)*'HK - BDGT'!AA$32</f>
        <v>#DIV/0!</v>
      </c>
      <c r="AB45" s="183" t="e">
        <f>'Konsumsi &amp; Pareto 2 Mingguan'!AB53/('Konsumsi &amp; Pareto 2 Mingguan'!AB$44+'Konsumsi &amp; Pareto 2 Mingguan'!AB$57)*'HK - BDGT'!AB$32</f>
        <v>#DIV/0!</v>
      </c>
      <c r="AC45" s="183" t="e">
        <f>'Konsumsi &amp; Pareto 2 Mingguan'!AC53/('Konsumsi &amp; Pareto 2 Mingguan'!AC$44+'Konsumsi &amp; Pareto 2 Mingguan'!AC$57)*'HK - BDGT'!AC$32</f>
        <v>#DIV/0!</v>
      </c>
      <c r="AD45" s="183" t="e">
        <f>'Konsumsi &amp; Pareto 2 Mingguan'!AD53/('Konsumsi &amp; Pareto 2 Mingguan'!AD$44+'Konsumsi &amp; Pareto 2 Mingguan'!AD$57)*'HK - BDGT'!AD$32</f>
        <v>#DIV/0!</v>
      </c>
      <c r="AE45" s="183" t="e">
        <f>'Konsumsi &amp; Pareto 2 Mingguan'!AE53/('Konsumsi &amp; Pareto 2 Mingguan'!AE$44+'Konsumsi &amp; Pareto 2 Mingguan'!AE$57)*'HK - BDGT'!AE$32</f>
        <v>#DIV/0!</v>
      </c>
    </row>
    <row r="46" spans="1:33" outlineLevel="1">
      <c r="B46" s="72" t="s">
        <v>142</v>
      </c>
      <c r="C46" s="69"/>
      <c r="D46" s="8"/>
      <c r="E46" s="90"/>
      <c r="F46" s="90">
        <v>17.904101620327207</v>
      </c>
      <c r="G46" s="65" t="e">
        <f t="shared" si="27"/>
        <v>#DIV/0!</v>
      </c>
      <c r="H46" s="183">
        <f>'Konsumsi &amp; Pareto 2 Mingguan'!H54/('Konsumsi &amp; Pareto 2 Mingguan'!H$44+'Konsumsi &amp; Pareto 2 Mingguan'!H$57)*'HK - BDGT'!H$32</f>
        <v>900891.7684700262</v>
      </c>
      <c r="I46" s="183">
        <f>'Konsumsi &amp; Pareto 2 Mingguan'!I54/('Konsumsi &amp; Pareto 2 Mingguan'!I$44+'Konsumsi &amp; Pareto 2 Mingguan'!I$57)*'HK - BDGT'!I$32</f>
        <v>568062.58079116151</v>
      </c>
      <c r="J46" s="183">
        <f>'Konsumsi &amp; Pareto 2 Mingguan'!J54/('Konsumsi &amp; Pareto 2 Mingguan'!J$44+'Konsumsi &amp; Pareto 2 Mingguan'!J$57)*'HK - BDGT'!J$32</f>
        <v>683437.10940040823</v>
      </c>
      <c r="K46" s="183">
        <f>'Konsumsi &amp; Pareto 2 Mingguan'!K54/('Konsumsi &amp; Pareto 2 Mingguan'!K$44+'Konsumsi &amp; Pareto 2 Mingguan'!K$57)*'HK - BDGT'!K$32</f>
        <v>486441.81410860614</v>
      </c>
      <c r="L46" s="183">
        <f>'Konsumsi &amp; Pareto 2 Mingguan'!L54/('Konsumsi &amp; Pareto 2 Mingguan'!L$44+'Konsumsi &amp; Pareto 2 Mingguan'!L$57)*'HK - BDGT'!L$32</f>
        <v>760760.93281636399</v>
      </c>
      <c r="M46" s="183">
        <f>'Konsumsi &amp; Pareto 2 Mingguan'!M54/('Konsumsi &amp; Pareto 2 Mingguan'!M$44+'Konsumsi &amp; Pareto 2 Mingguan'!M$57)*'HK - BDGT'!M$32</f>
        <v>571267.64716141892</v>
      </c>
      <c r="N46" s="183">
        <f>'Konsumsi &amp; Pareto 2 Mingguan'!N54/('Konsumsi &amp; Pareto 2 Mingguan'!N$44+'Konsumsi &amp; Pareto 2 Mingguan'!N$57)*'HK - BDGT'!N$32</f>
        <v>867979.36401231796</v>
      </c>
      <c r="O46" s="183">
        <f>'Konsumsi &amp; Pareto 2 Mingguan'!O54/('Konsumsi &amp; Pareto 2 Mingguan'!O$44+'Konsumsi &amp; Pareto 2 Mingguan'!O$57)*'HK - BDGT'!O$32</f>
        <v>603741.90272987413</v>
      </c>
      <c r="P46" s="183">
        <f>'Konsumsi &amp; Pareto 2 Mingguan'!P54/('Konsumsi &amp; Pareto 2 Mingguan'!P$44+'Konsumsi &amp; Pareto 2 Mingguan'!P$57)*'HK - BDGT'!P$32</f>
        <v>511039.18407330336</v>
      </c>
      <c r="Q46" s="183">
        <f>'Konsumsi &amp; Pareto 2 Mingguan'!Q54/('Konsumsi &amp; Pareto 2 Mingguan'!Q$44+'Konsumsi &amp; Pareto 2 Mingguan'!Q$57)*'HK - BDGT'!Q$32</f>
        <v>265096.20754610858</v>
      </c>
      <c r="R46" s="183">
        <f>'Konsumsi &amp; Pareto 2 Mingguan'!R54/('Konsumsi &amp; Pareto 2 Mingguan'!R$44+'Konsumsi &amp; Pareto 2 Mingguan'!R$57)*'HK - BDGT'!R$32</f>
        <v>693859.78953415109</v>
      </c>
      <c r="S46" s="183">
        <f>'Konsumsi &amp; Pareto 2 Mingguan'!S54/('Konsumsi &amp; Pareto 2 Mingguan'!S$44+'Konsumsi &amp; Pareto 2 Mingguan'!S$57)*'HK - BDGT'!S$32</f>
        <v>628322.18867116445</v>
      </c>
      <c r="T46" s="183" t="e">
        <f>'Konsumsi &amp; Pareto 2 Mingguan'!T54/('Konsumsi &amp; Pareto 2 Mingguan'!T$44+'Konsumsi &amp; Pareto 2 Mingguan'!T$57)*'HK - BDGT'!T$32</f>
        <v>#DIV/0!</v>
      </c>
      <c r="U46" s="183" t="e">
        <f>'Konsumsi &amp; Pareto 2 Mingguan'!U54/('Konsumsi &amp; Pareto 2 Mingguan'!U$44+'Konsumsi &amp; Pareto 2 Mingguan'!U$57)*'HK - BDGT'!U$32</f>
        <v>#DIV/0!</v>
      </c>
      <c r="V46" s="183" t="e">
        <f>'Konsumsi &amp; Pareto 2 Mingguan'!V54/('Konsumsi &amp; Pareto 2 Mingguan'!V$44+'Konsumsi &amp; Pareto 2 Mingguan'!V$57)*'HK - BDGT'!V$32</f>
        <v>#DIV/0!</v>
      </c>
      <c r="W46" s="183" t="e">
        <f>'Konsumsi &amp; Pareto 2 Mingguan'!W54/('Konsumsi &amp; Pareto 2 Mingguan'!W$44+'Konsumsi &amp; Pareto 2 Mingguan'!W$57)*'HK - BDGT'!W$32</f>
        <v>#DIV/0!</v>
      </c>
      <c r="X46" s="183" t="e">
        <f>'Konsumsi &amp; Pareto 2 Mingguan'!X54/('Konsumsi &amp; Pareto 2 Mingguan'!X$44+'Konsumsi &amp; Pareto 2 Mingguan'!X$57)*'HK - BDGT'!X$32</f>
        <v>#DIV/0!</v>
      </c>
      <c r="Y46" s="183" t="e">
        <f>'Konsumsi &amp; Pareto 2 Mingguan'!Y54/('Konsumsi &amp; Pareto 2 Mingguan'!Y$44+'Konsumsi &amp; Pareto 2 Mingguan'!Y$57)*'HK - BDGT'!Y$32</f>
        <v>#DIV/0!</v>
      </c>
      <c r="Z46" s="183" t="e">
        <f>'Konsumsi &amp; Pareto 2 Mingguan'!Z54/('Konsumsi &amp; Pareto 2 Mingguan'!Z$44+'Konsumsi &amp; Pareto 2 Mingguan'!Z$57)*'HK - BDGT'!Z$32</f>
        <v>#DIV/0!</v>
      </c>
      <c r="AA46" s="183" t="e">
        <f>'Konsumsi &amp; Pareto 2 Mingguan'!AA54/('Konsumsi &amp; Pareto 2 Mingguan'!AA$44+'Konsumsi &amp; Pareto 2 Mingguan'!AA$57)*'HK - BDGT'!AA$32</f>
        <v>#DIV/0!</v>
      </c>
      <c r="AB46" s="183" t="e">
        <f>'Konsumsi &amp; Pareto 2 Mingguan'!AB54/('Konsumsi &amp; Pareto 2 Mingguan'!AB$44+'Konsumsi &amp; Pareto 2 Mingguan'!AB$57)*'HK - BDGT'!AB$32</f>
        <v>#DIV/0!</v>
      </c>
      <c r="AC46" s="183" t="e">
        <f>'Konsumsi &amp; Pareto 2 Mingguan'!AC54/('Konsumsi &amp; Pareto 2 Mingguan'!AC$44+'Konsumsi &amp; Pareto 2 Mingguan'!AC$57)*'HK - BDGT'!AC$32</f>
        <v>#DIV/0!</v>
      </c>
      <c r="AD46" s="183" t="e">
        <f>'Konsumsi &amp; Pareto 2 Mingguan'!AD54/('Konsumsi &amp; Pareto 2 Mingguan'!AD$44+'Konsumsi &amp; Pareto 2 Mingguan'!AD$57)*'HK - BDGT'!AD$32</f>
        <v>#DIV/0!</v>
      </c>
      <c r="AE46" s="183" t="e">
        <f>'Konsumsi &amp; Pareto 2 Mingguan'!AE54/('Konsumsi &amp; Pareto 2 Mingguan'!AE$44+'Konsumsi &amp; Pareto 2 Mingguan'!AE$57)*'HK - BDGT'!AE$32</f>
        <v>#DIV/0!</v>
      </c>
    </row>
    <row r="47" spans="1:33" outlineLevel="1">
      <c r="B47" s="72" t="s">
        <v>50</v>
      </c>
      <c r="C47" s="69" t="s">
        <v>72</v>
      </c>
      <c r="D47" s="8" t="s">
        <v>109</v>
      </c>
      <c r="E47" s="90">
        <v>1040.4898487526191</v>
      </c>
      <c r="F47" s="90">
        <v>748.30103759921258</v>
      </c>
      <c r="G47" s="65" t="e">
        <f t="shared" si="27"/>
        <v>#DIV/0!</v>
      </c>
      <c r="H47" s="183">
        <f>'Konsumsi &amp; Pareto 2 Mingguan'!H55/('Konsumsi &amp; Pareto 2 Mingguan'!H$44+'Konsumsi &amp; Pareto 2 Mingguan'!H$57)*'HK - BDGT'!H$32</f>
        <v>44745199.571936019</v>
      </c>
      <c r="I47" s="183">
        <f>'Konsumsi &amp; Pareto 2 Mingguan'!I55/('Konsumsi &amp; Pareto 2 Mingguan'!I$44+'Konsumsi &amp; Pareto 2 Mingguan'!I$57)*'HK - BDGT'!I$32</f>
        <v>38391851.945394672</v>
      </c>
      <c r="J47" s="183">
        <f>'Konsumsi &amp; Pareto 2 Mingguan'!J55/('Konsumsi &amp; Pareto 2 Mingguan'!J$44+'Konsumsi &amp; Pareto 2 Mingguan'!J$57)*'HK - BDGT'!J$32</f>
        <v>49259501.847269788</v>
      </c>
      <c r="K47" s="183">
        <f>'Konsumsi &amp; Pareto 2 Mingguan'!K55/('Konsumsi &amp; Pareto 2 Mingguan'!K$44+'Konsumsi &amp; Pareto 2 Mingguan'!K$57)*'HK - BDGT'!K$32</f>
        <v>45060466.411029875</v>
      </c>
      <c r="L47" s="183">
        <f>'Konsumsi &amp; Pareto 2 Mingguan'!L55/('Konsumsi &amp; Pareto 2 Mingguan'!L$44+'Konsumsi &amp; Pareto 2 Mingguan'!L$57)*'HK - BDGT'!L$32</f>
        <v>45504348.647620216</v>
      </c>
      <c r="M47" s="183">
        <f>'Konsumsi &amp; Pareto 2 Mingguan'!M55/('Konsumsi &amp; Pareto 2 Mingguan'!M$44+'Konsumsi &amp; Pareto 2 Mingguan'!M$57)*'HK - BDGT'!M$32</f>
        <v>47794406.217522651</v>
      </c>
      <c r="N47" s="183">
        <f>'Konsumsi &amp; Pareto 2 Mingguan'!N55/('Konsumsi &amp; Pareto 2 Mingguan'!N$44+'Konsumsi &amp; Pareto 2 Mingguan'!N$57)*'HK - BDGT'!N$32</f>
        <v>62304745.288083151</v>
      </c>
      <c r="O47" s="183">
        <f>'Konsumsi &amp; Pareto 2 Mingguan'!O55/('Konsumsi &amp; Pareto 2 Mingguan'!O$44+'Konsumsi &amp; Pareto 2 Mingguan'!O$57)*'HK - BDGT'!O$32</f>
        <v>44378669.912634611</v>
      </c>
      <c r="P47" s="183">
        <f>'Konsumsi &amp; Pareto 2 Mingguan'!P55/('Konsumsi &amp; Pareto 2 Mingguan'!P$44+'Konsumsi &amp; Pareto 2 Mingguan'!P$57)*'HK - BDGT'!P$32</f>
        <v>25620805.27982457</v>
      </c>
      <c r="Q47" s="183">
        <f>'Konsumsi &amp; Pareto 2 Mingguan'!Q55/('Konsumsi &amp; Pareto 2 Mingguan'!Q$44+'Konsumsi &amp; Pareto 2 Mingguan'!Q$57)*'HK - BDGT'!Q$32</f>
        <v>16107571.438694589</v>
      </c>
      <c r="R47" s="183">
        <f>'Konsumsi &amp; Pareto 2 Mingguan'!R55/('Konsumsi &amp; Pareto 2 Mingguan'!R$44+'Konsumsi &amp; Pareto 2 Mingguan'!R$57)*'HK - BDGT'!R$32</f>
        <v>50347097.601706862</v>
      </c>
      <c r="S47" s="183">
        <f>'Konsumsi &amp; Pareto 2 Mingguan'!S55/('Konsumsi &amp; Pareto 2 Mingguan'!S$44+'Konsumsi &amp; Pareto 2 Mingguan'!S$57)*'HK - BDGT'!S$32</f>
        <v>39102926.182628654</v>
      </c>
      <c r="T47" s="183" t="e">
        <f>'Konsumsi &amp; Pareto 2 Mingguan'!T55/('Konsumsi &amp; Pareto 2 Mingguan'!T$44+'Konsumsi &amp; Pareto 2 Mingguan'!T$57)*'HK - BDGT'!T$32</f>
        <v>#DIV/0!</v>
      </c>
      <c r="U47" s="183" t="e">
        <f>'Konsumsi &amp; Pareto 2 Mingguan'!U55/('Konsumsi &amp; Pareto 2 Mingguan'!U$44+'Konsumsi &amp; Pareto 2 Mingguan'!U$57)*'HK - BDGT'!U$32</f>
        <v>#DIV/0!</v>
      </c>
      <c r="V47" s="183" t="e">
        <f>'Konsumsi &amp; Pareto 2 Mingguan'!V55/('Konsumsi &amp; Pareto 2 Mingguan'!V$44+'Konsumsi &amp; Pareto 2 Mingguan'!V$57)*'HK - BDGT'!V$32</f>
        <v>#DIV/0!</v>
      </c>
      <c r="W47" s="183" t="e">
        <f>'Konsumsi &amp; Pareto 2 Mingguan'!W55/('Konsumsi &amp; Pareto 2 Mingguan'!W$44+'Konsumsi &amp; Pareto 2 Mingguan'!W$57)*'HK - BDGT'!W$32</f>
        <v>#DIV/0!</v>
      </c>
      <c r="X47" s="183" t="e">
        <f>'Konsumsi &amp; Pareto 2 Mingguan'!X55/('Konsumsi &amp; Pareto 2 Mingguan'!X$44+'Konsumsi &amp; Pareto 2 Mingguan'!X$57)*'HK - BDGT'!X$32</f>
        <v>#DIV/0!</v>
      </c>
      <c r="Y47" s="183" t="e">
        <f>'Konsumsi &amp; Pareto 2 Mingguan'!Y55/('Konsumsi &amp; Pareto 2 Mingguan'!Y$44+'Konsumsi &amp; Pareto 2 Mingguan'!Y$57)*'HK - BDGT'!Y$32</f>
        <v>#DIV/0!</v>
      </c>
      <c r="Z47" s="183" t="e">
        <f>'Konsumsi &amp; Pareto 2 Mingguan'!Z55/('Konsumsi &amp; Pareto 2 Mingguan'!Z$44+'Konsumsi &amp; Pareto 2 Mingguan'!Z$57)*'HK - BDGT'!Z$32</f>
        <v>#DIV/0!</v>
      </c>
      <c r="AA47" s="183" t="e">
        <f>'Konsumsi &amp; Pareto 2 Mingguan'!AA55/('Konsumsi &amp; Pareto 2 Mingguan'!AA$44+'Konsumsi &amp; Pareto 2 Mingguan'!AA$57)*'HK - BDGT'!AA$32</f>
        <v>#DIV/0!</v>
      </c>
      <c r="AB47" s="183" t="e">
        <f>'Konsumsi &amp; Pareto 2 Mingguan'!AB55/('Konsumsi &amp; Pareto 2 Mingguan'!AB$44+'Konsumsi &amp; Pareto 2 Mingguan'!AB$57)*'HK - BDGT'!AB$32</f>
        <v>#DIV/0!</v>
      </c>
      <c r="AC47" s="183" t="e">
        <f>'Konsumsi &amp; Pareto 2 Mingguan'!AC55/('Konsumsi &amp; Pareto 2 Mingguan'!AC$44+'Konsumsi &amp; Pareto 2 Mingguan'!AC$57)*'HK - BDGT'!AC$32</f>
        <v>#DIV/0!</v>
      </c>
      <c r="AD47" s="183" t="e">
        <f>'Konsumsi &amp; Pareto 2 Mingguan'!AD55/('Konsumsi &amp; Pareto 2 Mingguan'!AD$44+'Konsumsi &amp; Pareto 2 Mingguan'!AD$57)*'HK - BDGT'!AD$32</f>
        <v>#DIV/0!</v>
      </c>
      <c r="AE47" s="183" t="e">
        <f>'Konsumsi &amp; Pareto 2 Mingguan'!AE55/('Konsumsi &amp; Pareto 2 Mingguan'!AE$44+'Konsumsi &amp; Pareto 2 Mingguan'!AE$57)*'HK - BDGT'!AE$32</f>
        <v>#DIV/0!</v>
      </c>
    </row>
    <row r="48" spans="1:33" outlineLevel="1">
      <c r="B48" s="73"/>
      <c r="C48" s="8"/>
      <c r="D48" s="8"/>
      <c r="E48" s="90">
        <v>0</v>
      </c>
      <c r="F48" s="90">
        <v>0</v>
      </c>
      <c r="G48" s="65">
        <f t="shared" si="27"/>
        <v>0</v>
      </c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</row>
    <row r="49" spans="2:34" outlineLevel="1">
      <c r="B49" s="74" t="s">
        <v>126</v>
      </c>
      <c r="C49" s="75"/>
      <c r="D49" s="8" t="s">
        <v>109</v>
      </c>
      <c r="E49" s="90">
        <v>895.68834472020535</v>
      </c>
      <c r="F49" s="90">
        <v>1069.1589096139267</v>
      </c>
      <c r="G49" s="65" t="e">
        <f t="shared" si="27"/>
        <v>#DIV/0!</v>
      </c>
      <c r="H49" s="183">
        <f>SUM(H50:H56,H59,H61,H60)</f>
        <v>62300914.412931964</v>
      </c>
      <c r="I49" s="183">
        <f>SUM(I50:I56,I59,I61,I60)</f>
        <v>57548306.723482095</v>
      </c>
      <c r="J49" s="183">
        <f t="shared" ref="J49:AE49" si="29">SUM(J50:J56,J59,J61,J60)</f>
        <v>58506010.328694113</v>
      </c>
      <c r="K49" s="183">
        <f t="shared" si="29"/>
        <v>65115495.038402423</v>
      </c>
      <c r="L49" s="183">
        <f t="shared" si="29"/>
        <v>73132261.431337848</v>
      </c>
      <c r="M49" s="183">
        <f t="shared" si="29"/>
        <v>61272834.987284921</v>
      </c>
      <c r="N49" s="183">
        <f t="shared" si="29"/>
        <v>65574782.760550104</v>
      </c>
      <c r="O49" s="183">
        <f t="shared" si="29"/>
        <v>64613689.093107671</v>
      </c>
      <c r="P49" s="183">
        <f t="shared" si="29"/>
        <v>62815960.412671246</v>
      </c>
      <c r="Q49" s="183">
        <f t="shared" si="29"/>
        <v>52095314.593139268</v>
      </c>
      <c r="R49" s="183">
        <f t="shared" si="29"/>
        <v>81029169.201925918</v>
      </c>
      <c r="S49" s="183">
        <f t="shared" si="29"/>
        <v>65749876.347866774</v>
      </c>
      <c r="T49" s="183" t="e">
        <f t="shared" si="29"/>
        <v>#DIV/0!</v>
      </c>
      <c r="U49" s="183" t="e">
        <f t="shared" si="29"/>
        <v>#DIV/0!</v>
      </c>
      <c r="V49" s="183" t="e">
        <f t="shared" si="29"/>
        <v>#DIV/0!</v>
      </c>
      <c r="W49" s="183" t="e">
        <f t="shared" si="29"/>
        <v>#DIV/0!</v>
      </c>
      <c r="X49" s="183" t="e">
        <f t="shared" si="29"/>
        <v>#DIV/0!</v>
      </c>
      <c r="Y49" s="183" t="e">
        <f t="shared" si="29"/>
        <v>#DIV/0!</v>
      </c>
      <c r="Z49" s="183" t="e">
        <f t="shared" si="29"/>
        <v>#DIV/0!</v>
      </c>
      <c r="AA49" s="183" t="e">
        <f t="shared" si="29"/>
        <v>#DIV/0!</v>
      </c>
      <c r="AB49" s="183" t="e">
        <f t="shared" si="29"/>
        <v>#DIV/0!</v>
      </c>
      <c r="AC49" s="183" t="e">
        <f t="shared" si="29"/>
        <v>#DIV/0!</v>
      </c>
      <c r="AD49" s="183" t="e">
        <f t="shared" si="29"/>
        <v>#DIV/0!</v>
      </c>
      <c r="AE49" s="183" t="e">
        <f t="shared" si="29"/>
        <v>#DIV/0!</v>
      </c>
    </row>
    <row r="50" spans="2:34" outlineLevel="1">
      <c r="B50" s="76" t="s">
        <v>0</v>
      </c>
      <c r="C50" s="75" t="s">
        <v>72</v>
      </c>
      <c r="D50" s="8" t="s">
        <v>109</v>
      </c>
      <c r="E50" s="90">
        <v>42.055822502230846</v>
      </c>
      <c r="F50" s="90">
        <v>30.722179999999998</v>
      </c>
      <c r="G50" s="65" t="e">
        <f t="shared" si="27"/>
        <v>#DIV/0!</v>
      </c>
      <c r="H50" s="183">
        <f>'Konsumsi &amp; Pareto 2 Mingguan'!H58/('Konsumsi &amp; Pareto 2 Mingguan'!H$44+'Konsumsi &amp; Pareto 2 Mingguan'!H$57)*'HK - BDGT'!H$32</f>
        <v>1977691.4013037391</v>
      </c>
      <c r="I50" s="183">
        <f>'Konsumsi &amp; Pareto 2 Mingguan'!I58/('Konsumsi &amp; Pareto 2 Mingguan'!I$44+'Konsumsi &amp; Pareto 2 Mingguan'!I$57)*'HK - BDGT'!I$32</f>
        <v>1504980.9285750452</v>
      </c>
      <c r="J50" s="183">
        <f>'Konsumsi &amp; Pareto 2 Mingguan'!J58/('Konsumsi &amp; Pareto 2 Mingguan'!J$44+'Konsumsi &amp; Pareto 2 Mingguan'!J$57)*'HK - BDGT'!J$32</f>
        <v>1694196.1737340845</v>
      </c>
      <c r="K50" s="183">
        <f>'Konsumsi &amp; Pareto 2 Mingguan'!K58/('Konsumsi &amp; Pareto 2 Mingguan'!K$44+'Konsumsi &amp; Pareto 2 Mingguan'!K$57)*'HK - BDGT'!K$32</f>
        <v>2116180.3653322607</v>
      </c>
      <c r="L50" s="183">
        <f>'Konsumsi &amp; Pareto 2 Mingguan'!L58/('Konsumsi &amp; Pareto 2 Mingguan'!L$44+'Konsumsi &amp; Pareto 2 Mingguan'!L$57)*'HK - BDGT'!L$32</f>
        <v>2934720.2789125689</v>
      </c>
      <c r="M50" s="183">
        <f>'Konsumsi &amp; Pareto 2 Mingguan'!M58/('Konsumsi &amp; Pareto 2 Mingguan'!M$44+'Konsumsi &amp; Pareto 2 Mingguan'!M$57)*'HK - BDGT'!M$32</f>
        <v>1820409.7236715055</v>
      </c>
      <c r="N50" s="183">
        <f>'Konsumsi &amp; Pareto 2 Mingguan'!N58/('Konsumsi &amp; Pareto 2 Mingguan'!N$44+'Konsumsi &amp; Pareto 2 Mingguan'!N$57)*'HK - BDGT'!N$32</f>
        <v>2409200.0562550505</v>
      </c>
      <c r="O50" s="183">
        <f>'Konsumsi &amp; Pareto 2 Mingguan'!O58/('Konsumsi &amp; Pareto 2 Mingguan'!O$44+'Konsumsi &amp; Pareto 2 Mingguan'!O$57)*'HK - BDGT'!O$32</f>
        <v>2330483.7465011333</v>
      </c>
      <c r="P50" s="183">
        <f>'Konsumsi &amp; Pareto 2 Mingguan'!P58/('Konsumsi &amp; Pareto 2 Mingguan'!P$44+'Konsumsi &amp; Pareto 2 Mingguan'!P$57)*'HK - BDGT'!P$32</f>
        <v>2042207.6351457438</v>
      </c>
      <c r="Q50" s="183">
        <f>'Konsumsi &amp; Pareto 2 Mingguan'!Q58/('Konsumsi &amp; Pareto 2 Mingguan'!Q$44+'Konsumsi &amp; Pareto 2 Mingguan'!Q$57)*'HK - BDGT'!Q$32</f>
        <v>281947.94243430701</v>
      </c>
      <c r="R50" s="183">
        <f>'Konsumsi &amp; Pareto 2 Mingguan'!R58/('Konsumsi &amp; Pareto 2 Mingguan'!R$44+'Konsumsi &amp; Pareto 2 Mingguan'!R$57)*'HK - BDGT'!R$32</f>
        <v>2368902.1835410655</v>
      </c>
      <c r="S50" s="183">
        <f>'Konsumsi &amp; Pareto 2 Mingguan'!S58/('Konsumsi &amp; Pareto 2 Mingguan'!S$44+'Konsumsi &amp; Pareto 2 Mingguan'!S$57)*'HK - BDGT'!S$32</f>
        <v>1671170.5125982254</v>
      </c>
      <c r="T50" s="183" t="e">
        <f>'Konsumsi &amp; Pareto 2 Mingguan'!T58/('Konsumsi &amp; Pareto 2 Mingguan'!T$44+'Konsumsi &amp; Pareto 2 Mingguan'!T$57)*'HK - BDGT'!T$32</f>
        <v>#DIV/0!</v>
      </c>
      <c r="U50" s="183" t="e">
        <f>'Konsumsi &amp; Pareto 2 Mingguan'!U58/('Konsumsi &amp; Pareto 2 Mingguan'!U$44+'Konsumsi &amp; Pareto 2 Mingguan'!U$57)*'HK - BDGT'!U$32</f>
        <v>#DIV/0!</v>
      </c>
      <c r="V50" s="183" t="e">
        <f>'Konsumsi &amp; Pareto 2 Mingguan'!V58/('Konsumsi &amp; Pareto 2 Mingguan'!V$44+'Konsumsi &amp; Pareto 2 Mingguan'!V$57)*'HK - BDGT'!V$32</f>
        <v>#DIV/0!</v>
      </c>
      <c r="W50" s="183" t="e">
        <f>'Konsumsi &amp; Pareto 2 Mingguan'!W58/('Konsumsi &amp; Pareto 2 Mingguan'!W$44+'Konsumsi &amp; Pareto 2 Mingguan'!W$57)*'HK - BDGT'!W$32</f>
        <v>#DIV/0!</v>
      </c>
      <c r="X50" s="183" t="e">
        <f>'Konsumsi &amp; Pareto 2 Mingguan'!X58/('Konsumsi &amp; Pareto 2 Mingguan'!X$44+'Konsumsi &amp; Pareto 2 Mingguan'!X$57)*'HK - BDGT'!X$32</f>
        <v>#DIV/0!</v>
      </c>
      <c r="Y50" s="183" t="e">
        <f>'Konsumsi &amp; Pareto 2 Mingguan'!Y58/('Konsumsi &amp; Pareto 2 Mingguan'!Y$44+'Konsumsi &amp; Pareto 2 Mingguan'!Y$57)*'HK - BDGT'!Y$32</f>
        <v>#DIV/0!</v>
      </c>
      <c r="Z50" s="183" t="e">
        <f>'Konsumsi &amp; Pareto 2 Mingguan'!Z58/('Konsumsi &amp; Pareto 2 Mingguan'!Z$44+'Konsumsi &amp; Pareto 2 Mingguan'!Z$57)*'HK - BDGT'!Z$32</f>
        <v>#DIV/0!</v>
      </c>
      <c r="AA50" s="183" t="e">
        <f>'Konsumsi &amp; Pareto 2 Mingguan'!AA58/('Konsumsi &amp; Pareto 2 Mingguan'!AA$44+'Konsumsi &amp; Pareto 2 Mingguan'!AA$57)*'HK - BDGT'!AA$32</f>
        <v>#DIV/0!</v>
      </c>
      <c r="AB50" s="183" t="e">
        <f>'Konsumsi &amp; Pareto 2 Mingguan'!AB58/('Konsumsi &amp; Pareto 2 Mingguan'!AB$44+'Konsumsi &amp; Pareto 2 Mingguan'!AB$57)*'HK - BDGT'!AB$32</f>
        <v>#DIV/0!</v>
      </c>
      <c r="AC50" s="183" t="e">
        <f>'Konsumsi &amp; Pareto 2 Mingguan'!AC58/('Konsumsi &amp; Pareto 2 Mingguan'!AC$44+'Konsumsi &amp; Pareto 2 Mingguan'!AC$57)*'HK - BDGT'!AC$32</f>
        <v>#DIV/0!</v>
      </c>
      <c r="AD50" s="183" t="e">
        <f>'Konsumsi &amp; Pareto 2 Mingguan'!AD58/('Konsumsi &amp; Pareto 2 Mingguan'!AD$44+'Konsumsi &amp; Pareto 2 Mingguan'!AD$57)*'HK - BDGT'!AD$32</f>
        <v>#DIV/0!</v>
      </c>
      <c r="AE50" s="183" t="e">
        <f>'Konsumsi &amp; Pareto 2 Mingguan'!AE58/('Konsumsi &amp; Pareto 2 Mingguan'!AE$44+'Konsumsi &amp; Pareto 2 Mingguan'!AE$57)*'HK - BDGT'!AE$32</f>
        <v>#DIV/0!</v>
      </c>
    </row>
    <row r="51" spans="2:34" outlineLevel="1">
      <c r="B51" s="76" t="s">
        <v>145</v>
      </c>
      <c r="C51" s="75"/>
      <c r="D51" s="8"/>
      <c r="E51" s="90"/>
      <c r="F51" s="90">
        <v>16.877760515553668</v>
      </c>
      <c r="G51" s="65" t="e">
        <f t="shared" si="27"/>
        <v>#DIV/0!</v>
      </c>
      <c r="H51" s="183">
        <f>'Konsumsi &amp; Pareto 2 Mingguan'!H59/('Konsumsi &amp; Pareto 2 Mingguan'!H$44+'Konsumsi &amp; Pareto 2 Mingguan'!H$57)*'HK - BDGT'!H$32</f>
        <v>821873.8178147669</v>
      </c>
      <c r="I51" s="183">
        <f>'Konsumsi &amp; Pareto 2 Mingguan'!I59/('Konsumsi &amp; Pareto 2 Mingguan'!I$44+'Konsumsi &amp; Pareto 2 Mingguan'!I$57)*'HK - BDGT'!I$32</f>
        <v>662592.93682065012</v>
      </c>
      <c r="J51" s="183">
        <f>'Konsumsi &amp; Pareto 2 Mingguan'!J59/('Konsumsi &amp; Pareto 2 Mingguan'!J$44+'Konsumsi &amp; Pareto 2 Mingguan'!J$57)*'HK - BDGT'!J$32</f>
        <v>688883.53246335534</v>
      </c>
      <c r="K51" s="183">
        <f>'Konsumsi &amp; Pareto 2 Mingguan'!K59/('Konsumsi &amp; Pareto 2 Mingguan'!K$44+'Konsumsi &amp; Pareto 2 Mingguan'!K$57)*'HK - BDGT'!K$32</f>
        <v>842443.56573371193</v>
      </c>
      <c r="L51" s="183">
        <f>'Konsumsi &amp; Pareto 2 Mingguan'!L59/('Konsumsi &amp; Pareto 2 Mingguan'!L$44+'Konsumsi &amp; Pareto 2 Mingguan'!L$57)*'HK - BDGT'!L$32</f>
        <v>1091016.275344559</v>
      </c>
      <c r="M51" s="183">
        <f>'Konsumsi &amp; Pareto 2 Mingguan'!M59/('Konsumsi &amp; Pareto 2 Mingguan'!M$44+'Konsumsi &amp; Pareto 2 Mingguan'!M$57)*'HK - BDGT'!M$32</f>
        <v>749707.26589171099</v>
      </c>
      <c r="N51" s="183">
        <f>'Konsumsi &amp; Pareto 2 Mingguan'!N59/('Konsumsi &amp; Pareto 2 Mingguan'!N$44+'Konsumsi &amp; Pareto 2 Mingguan'!N$57)*'HK - BDGT'!N$32</f>
        <v>956003.03786678717</v>
      </c>
      <c r="O51" s="183">
        <f>'Konsumsi &amp; Pareto 2 Mingguan'!O59/('Konsumsi &amp; Pareto 2 Mingguan'!O$44+'Konsumsi &amp; Pareto 2 Mingguan'!O$57)*'HK - BDGT'!O$32</f>
        <v>903852.86059231276</v>
      </c>
      <c r="P51" s="183">
        <f>'Konsumsi &amp; Pareto 2 Mingguan'!P59/('Konsumsi &amp; Pareto 2 Mingguan'!P$44+'Konsumsi &amp; Pareto 2 Mingguan'!P$57)*'HK - BDGT'!P$32</f>
        <v>752168.94198348757</v>
      </c>
      <c r="Q51" s="183">
        <f>'Konsumsi &amp; Pareto 2 Mingguan'!Q59/('Konsumsi &amp; Pareto 2 Mingguan'!Q$44+'Konsumsi &amp; Pareto 2 Mingguan'!Q$57)*'HK - BDGT'!Q$32</f>
        <v>161807.63809864497</v>
      </c>
      <c r="R51" s="183">
        <f>'Konsumsi &amp; Pareto 2 Mingguan'!R59/('Konsumsi &amp; Pareto 2 Mingguan'!R$44+'Konsumsi &amp; Pareto 2 Mingguan'!R$57)*'HK - BDGT'!R$32</f>
        <v>1171668.8904052249</v>
      </c>
      <c r="S51" s="183">
        <f>'Konsumsi &amp; Pareto 2 Mingguan'!S59/('Konsumsi &amp; Pareto 2 Mingguan'!S$44+'Konsumsi &amp; Pareto 2 Mingguan'!S$57)*'HK - BDGT'!S$32</f>
        <v>731186.25133561646</v>
      </c>
      <c r="T51" s="183" t="e">
        <f>'Konsumsi &amp; Pareto 2 Mingguan'!T59/('Konsumsi &amp; Pareto 2 Mingguan'!T$44+'Konsumsi &amp; Pareto 2 Mingguan'!T$57)*'HK - BDGT'!T$32</f>
        <v>#DIV/0!</v>
      </c>
      <c r="U51" s="183" t="e">
        <f>'Konsumsi &amp; Pareto 2 Mingguan'!U59/('Konsumsi &amp; Pareto 2 Mingguan'!U$44+'Konsumsi &amp; Pareto 2 Mingguan'!U$57)*'HK - BDGT'!U$32</f>
        <v>#DIV/0!</v>
      </c>
      <c r="V51" s="183" t="e">
        <f>'Konsumsi &amp; Pareto 2 Mingguan'!V59/('Konsumsi &amp; Pareto 2 Mingguan'!V$44+'Konsumsi &amp; Pareto 2 Mingguan'!V$57)*'HK - BDGT'!V$32</f>
        <v>#DIV/0!</v>
      </c>
      <c r="W51" s="183" t="e">
        <f>'Konsumsi &amp; Pareto 2 Mingguan'!W59/('Konsumsi &amp; Pareto 2 Mingguan'!W$44+'Konsumsi &amp; Pareto 2 Mingguan'!W$57)*'HK - BDGT'!W$32</f>
        <v>#DIV/0!</v>
      </c>
      <c r="X51" s="183" t="e">
        <f>'Konsumsi &amp; Pareto 2 Mingguan'!X59/('Konsumsi &amp; Pareto 2 Mingguan'!X$44+'Konsumsi &amp; Pareto 2 Mingguan'!X$57)*'HK - BDGT'!X$32</f>
        <v>#DIV/0!</v>
      </c>
      <c r="Y51" s="183" t="e">
        <f>'Konsumsi &amp; Pareto 2 Mingguan'!Y59/('Konsumsi &amp; Pareto 2 Mingguan'!Y$44+'Konsumsi &amp; Pareto 2 Mingguan'!Y$57)*'HK - BDGT'!Y$32</f>
        <v>#DIV/0!</v>
      </c>
      <c r="Z51" s="183" t="e">
        <f>'Konsumsi &amp; Pareto 2 Mingguan'!Z59/('Konsumsi &amp; Pareto 2 Mingguan'!Z$44+'Konsumsi &amp; Pareto 2 Mingguan'!Z$57)*'HK - BDGT'!Z$32</f>
        <v>#DIV/0!</v>
      </c>
      <c r="AA51" s="183" t="e">
        <f>'Konsumsi &amp; Pareto 2 Mingguan'!AA59/('Konsumsi &amp; Pareto 2 Mingguan'!AA$44+'Konsumsi &amp; Pareto 2 Mingguan'!AA$57)*'HK - BDGT'!AA$32</f>
        <v>#DIV/0!</v>
      </c>
      <c r="AB51" s="183" t="e">
        <f>'Konsumsi &amp; Pareto 2 Mingguan'!AB59/('Konsumsi &amp; Pareto 2 Mingguan'!AB$44+'Konsumsi &amp; Pareto 2 Mingguan'!AB$57)*'HK - BDGT'!AB$32</f>
        <v>#DIV/0!</v>
      </c>
      <c r="AC51" s="183" t="e">
        <f>'Konsumsi &amp; Pareto 2 Mingguan'!AC59/('Konsumsi &amp; Pareto 2 Mingguan'!AC$44+'Konsumsi &amp; Pareto 2 Mingguan'!AC$57)*'HK - BDGT'!AC$32</f>
        <v>#DIV/0!</v>
      </c>
      <c r="AD51" s="183" t="e">
        <f>'Konsumsi &amp; Pareto 2 Mingguan'!AD59/('Konsumsi &amp; Pareto 2 Mingguan'!AD$44+'Konsumsi &amp; Pareto 2 Mingguan'!AD$57)*'HK - BDGT'!AD$32</f>
        <v>#DIV/0!</v>
      </c>
      <c r="AE51" s="183" t="e">
        <f>'Konsumsi &amp; Pareto 2 Mingguan'!AE59/('Konsumsi &amp; Pareto 2 Mingguan'!AE$44+'Konsumsi &amp; Pareto 2 Mingguan'!AE$57)*'HK - BDGT'!AE$32</f>
        <v>#DIV/0!</v>
      </c>
    </row>
    <row r="52" spans="2:34" outlineLevel="1">
      <c r="B52" s="76" t="s">
        <v>1</v>
      </c>
      <c r="C52" s="75"/>
      <c r="D52" s="8" t="s">
        <v>109</v>
      </c>
      <c r="E52" s="90">
        <v>143.05000000000001</v>
      </c>
      <c r="F52" s="90">
        <v>118.5800000000001</v>
      </c>
      <c r="G52" s="65" t="e">
        <f t="shared" si="27"/>
        <v>#DIV/0!</v>
      </c>
      <c r="H52" s="183">
        <f>'Konsumsi &amp; Pareto 2 Mingguan'!H60/('Konsumsi &amp; Pareto 2 Mingguan'!H$44+'Konsumsi &amp; Pareto 2 Mingguan'!H$57)*'HK - BDGT'!H$32</f>
        <v>6147958.8854128523</v>
      </c>
      <c r="I52" s="183">
        <f>'Konsumsi &amp; Pareto 2 Mingguan'!I60/('Konsumsi &amp; Pareto 2 Mingguan'!I$44+'Konsumsi &amp; Pareto 2 Mingguan'!I$57)*'HK - BDGT'!I$32</f>
        <v>5734808.5368410908</v>
      </c>
      <c r="J52" s="183">
        <f>'Konsumsi &amp; Pareto 2 Mingguan'!J60/('Konsumsi &amp; Pareto 2 Mingguan'!J$44+'Konsumsi &amp; Pareto 2 Mingguan'!J$57)*'HK - BDGT'!J$32</f>
        <v>5905476.6560998159</v>
      </c>
      <c r="K52" s="183">
        <f>'Konsumsi &amp; Pareto 2 Mingguan'!K60/('Konsumsi &amp; Pareto 2 Mingguan'!K$44+'Konsumsi &amp; Pareto 2 Mingguan'!K$57)*'HK - BDGT'!K$32</f>
        <v>6389842.8305993173</v>
      </c>
      <c r="L52" s="183">
        <f>'Konsumsi &amp; Pareto 2 Mingguan'!L60/('Konsumsi &amp; Pareto 2 Mingguan'!L$44+'Konsumsi &amp; Pareto 2 Mingguan'!L$57)*'HK - BDGT'!L$32</f>
        <v>6881610.8152321987</v>
      </c>
      <c r="M52" s="183">
        <f>'Konsumsi &amp; Pareto 2 Mingguan'!M60/('Konsumsi &amp; Pareto 2 Mingguan'!M$44+'Konsumsi &amp; Pareto 2 Mingguan'!M$57)*'HK - BDGT'!M$32</f>
        <v>6051846.781576599</v>
      </c>
      <c r="N52" s="183">
        <f>'Konsumsi &amp; Pareto 2 Mingguan'!N60/('Konsumsi &amp; Pareto 2 Mingguan'!N$44+'Konsumsi &amp; Pareto 2 Mingguan'!N$57)*'HK - BDGT'!N$32</f>
        <v>6179663.2913469989</v>
      </c>
      <c r="O52" s="183">
        <f>'Konsumsi &amp; Pareto 2 Mingguan'!O60/('Konsumsi &amp; Pareto 2 Mingguan'!O$44+'Konsumsi &amp; Pareto 2 Mingguan'!O$57)*'HK - BDGT'!O$32</f>
        <v>5900741.7967038574</v>
      </c>
      <c r="P52" s="183">
        <f>'Konsumsi &amp; Pareto 2 Mingguan'!P60/('Konsumsi &amp; Pareto 2 Mingguan'!P$44+'Konsumsi &amp; Pareto 2 Mingguan'!P$57)*'HK - BDGT'!P$32</f>
        <v>4954390.4662158284</v>
      </c>
      <c r="Q52" s="183">
        <f>'Konsumsi &amp; Pareto 2 Mingguan'!Q60/('Konsumsi &amp; Pareto 2 Mingguan'!Q$44+'Konsumsi &amp; Pareto 2 Mingguan'!Q$57)*'HK - BDGT'!Q$32</f>
        <v>4490860.5789399426</v>
      </c>
      <c r="R52" s="183">
        <f>'Konsumsi &amp; Pareto 2 Mingguan'!R60/('Konsumsi &amp; Pareto 2 Mingguan'!R$44+'Konsumsi &amp; Pareto 2 Mingguan'!R$57)*'HK - BDGT'!R$32</f>
        <v>7041790.0486125369</v>
      </c>
      <c r="S52" s="183">
        <f>'Konsumsi &amp; Pareto 2 Mingguan'!S60/('Konsumsi &amp; Pareto 2 Mingguan'!S$44+'Konsumsi &amp; Pareto 2 Mingguan'!S$57)*'HK - BDGT'!S$32</f>
        <v>6361577.6444071205</v>
      </c>
      <c r="T52" s="183" t="e">
        <f>'Konsumsi &amp; Pareto 2 Mingguan'!T60/('Konsumsi &amp; Pareto 2 Mingguan'!T$44+'Konsumsi &amp; Pareto 2 Mingguan'!T$57)*'HK - BDGT'!T$32</f>
        <v>#DIV/0!</v>
      </c>
      <c r="U52" s="183" t="e">
        <f>'Konsumsi &amp; Pareto 2 Mingguan'!U60/('Konsumsi &amp; Pareto 2 Mingguan'!U$44+'Konsumsi &amp; Pareto 2 Mingguan'!U$57)*'HK - BDGT'!U$32</f>
        <v>#DIV/0!</v>
      </c>
      <c r="V52" s="183" t="e">
        <f>'Konsumsi &amp; Pareto 2 Mingguan'!V60/('Konsumsi &amp; Pareto 2 Mingguan'!V$44+'Konsumsi &amp; Pareto 2 Mingguan'!V$57)*'HK - BDGT'!V$32</f>
        <v>#DIV/0!</v>
      </c>
      <c r="W52" s="183" t="e">
        <f>'Konsumsi &amp; Pareto 2 Mingguan'!W60/('Konsumsi &amp; Pareto 2 Mingguan'!W$44+'Konsumsi &amp; Pareto 2 Mingguan'!W$57)*'HK - BDGT'!W$32</f>
        <v>#DIV/0!</v>
      </c>
      <c r="X52" s="183" t="e">
        <f>'Konsumsi &amp; Pareto 2 Mingguan'!X60/('Konsumsi &amp; Pareto 2 Mingguan'!X$44+'Konsumsi &amp; Pareto 2 Mingguan'!X$57)*'HK - BDGT'!X$32</f>
        <v>#DIV/0!</v>
      </c>
      <c r="Y52" s="183" t="e">
        <f>'Konsumsi &amp; Pareto 2 Mingguan'!Y60/('Konsumsi &amp; Pareto 2 Mingguan'!Y$44+'Konsumsi &amp; Pareto 2 Mingguan'!Y$57)*'HK - BDGT'!Y$32</f>
        <v>#DIV/0!</v>
      </c>
      <c r="Z52" s="183" t="e">
        <f>'Konsumsi &amp; Pareto 2 Mingguan'!Z60/('Konsumsi &amp; Pareto 2 Mingguan'!Z$44+'Konsumsi &amp; Pareto 2 Mingguan'!Z$57)*'HK - BDGT'!Z$32</f>
        <v>#DIV/0!</v>
      </c>
      <c r="AA52" s="183" t="e">
        <f>'Konsumsi &amp; Pareto 2 Mingguan'!AA60/('Konsumsi &amp; Pareto 2 Mingguan'!AA$44+'Konsumsi &amp; Pareto 2 Mingguan'!AA$57)*'HK - BDGT'!AA$32</f>
        <v>#DIV/0!</v>
      </c>
      <c r="AB52" s="183" t="e">
        <f>'Konsumsi &amp; Pareto 2 Mingguan'!AB60/('Konsumsi &amp; Pareto 2 Mingguan'!AB$44+'Konsumsi &amp; Pareto 2 Mingguan'!AB$57)*'HK - BDGT'!AB$32</f>
        <v>#DIV/0!</v>
      </c>
      <c r="AC52" s="183" t="e">
        <f>'Konsumsi &amp; Pareto 2 Mingguan'!AC60/('Konsumsi &amp; Pareto 2 Mingguan'!AC$44+'Konsumsi &amp; Pareto 2 Mingguan'!AC$57)*'HK - BDGT'!AC$32</f>
        <v>#DIV/0!</v>
      </c>
      <c r="AD52" s="183" t="e">
        <f>'Konsumsi &amp; Pareto 2 Mingguan'!AD60/('Konsumsi &amp; Pareto 2 Mingguan'!AD$44+'Konsumsi &amp; Pareto 2 Mingguan'!AD$57)*'HK - BDGT'!AD$32</f>
        <v>#DIV/0!</v>
      </c>
      <c r="AE52" s="183" t="e">
        <f>'Konsumsi &amp; Pareto 2 Mingguan'!AE60/('Konsumsi &amp; Pareto 2 Mingguan'!AE$44+'Konsumsi &amp; Pareto 2 Mingguan'!AE$57)*'HK - BDGT'!AE$32</f>
        <v>#DIV/0!</v>
      </c>
    </row>
    <row r="53" spans="2:34" outlineLevel="1">
      <c r="B53" s="76" t="s">
        <v>47</v>
      </c>
      <c r="C53" s="75"/>
      <c r="D53" s="8" t="s">
        <v>109</v>
      </c>
      <c r="E53" s="90">
        <v>152.99</v>
      </c>
      <c r="F53" s="90">
        <v>124.45999999999981</v>
      </c>
      <c r="G53" s="65" t="e">
        <f t="shared" si="27"/>
        <v>#DIV/0!</v>
      </c>
      <c r="H53" s="183">
        <f>'Konsumsi &amp; Pareto 2 Mingguan'!H61/('Konsumsi &amp; Pareto 2 Mingguan'!H$44+'Konsumsi &amp; Pareto 2 Mingguan'!H$57)*'HK - BDGT'!H$32</f>
        <v>6759228.2201001486</v>
      </c>
      <c r="I53" s="183">
        <f>'Konsumsi &amp; Pareto 2 Mingguan'!I61/('Konsumsi &amp; Pareto 2 Mingguan'!I$44+'Konsumsi &amp; Pareto 2 Mingguan'!I$57)*'HK - BDGT'!I$32</f>
        <v>6326863.6691868827</v>
      </c>
      <c r="J53" s="183">
        <f>'Konsumsi &amp; Pareto 2 Mingguan'!J61/('Konsumsi &amp; Pareto 2 Mingguan'!J$44+'Konsumsi &amp; Pareto 2 Mingguan'!J$57)*'HK - BDGT'!J$32</f>
        <v>6168220.3208841095</v>
      </c>
      <c r="K53" s="183">
        <f>'Konsumsi &amp; Pareto 2 Mingguan'!K61/('Konsumsi &amp; Pareto 2 Mingguan'!K$44+'Konsumsi &amp; Pareto 2 Mingguan'!K$57)*'HK - BDGT'!K$32</f>
        <v>6126214.737391836</v>
      </c>
      <c r="L53" s="183">
        <f>'Konsumsi &amp; Pareto 2 Mingguan'!L61/('Konsumsi &amp; Pareto 2 Mingguan'!L$44+'Konsumsi &amp; Pareto 2 Mingguan'!L$57)*'HK - BDGT'!L$32</f>
        <v>7275869.7681882586</v>
      </c>
      <c r="M53" s="183">
        <f>'Konsumsi &amp; Pareto 2 Mingguan'!M61/('Konsumsi &amp; Pareto 2 Mingguan'!M$44+'Konsumsi &amp; Pareto 2 Mingguan'!M$57)*'HK - BDGT'!M$32</f>
        <v>6809808.022321986</v>
      </c>
      <c r="N53" s="183">
        <f>'Konsumsi &amp; Pareto 2 Mingguan'!N61/('Konsumsi &amp; Pareto 2 Mingguan'!N$44+'Konsumsi &amp; Pareto 2 Mingguan'!N$57)*'HK - BDGT'!N$32</f>
        <v>7011063.7743193321</v>
      </c>
      <c r="O53" s="183">
        <f>'Konsumsi &amp; Pareto 2 Mingguan'!O61/('Konsumsi &amp; Pareto 2 Mingguan'!O$44+'Konsumsi &amp; Pareto 2 Mingguan'!O$57)*'HK - BDGT'!O$32</f>
        <v>6296598.6887259828</v>
      </c>
      <c r="P53" s="183">
        <f>'Konsumsi &amp; Pareto 2 Mingguan'!P61/('Konsumsi &amp; Pareto 2 Mingguan'!P$44+'Konsumsi &amp; Pareto 2 Mingguan'!P$57)*'HK - BDGT'!P$32</f>
        <v>6386826.9670579704</v>
      </c>
      <c r="Q53" s="183">
        <f>'Konsumsi &amp; Pareto 2 Mingguan'!Q61/('Konsumsi &amp; Pareto 2 Mingguan'!Q$44+'Konsumsi &amp; Pareto 2 Mingguan'!Q$57)*'HK - BDGT'!Q$32</f>
        <v>6052899.0411799606</v>
      </c>
      <c r="R53" s="183">
        <f>'Konsumsi &amp; Pareto 2 Mingguan'!R61/('Konsumsi &amp; Pareto 2 Mingguan'!R$44+'Konsumsi &amp; Pareto 2 Mingguan'!R$57)*'HK - BDGT'!R$32</f>
        <v>8386576.3426184347</v>
      </c>
      <c r="S53" s="183">
        <f>'Konsumsi &amp; Pareto 2 Mingguan'!S61/('Konsumsi &amp; Pareto 2 Mingguan'!S$44+'Konsumsi &amp; Pareto 2 Mingguan'!S$57)*'HK - BDGT'!S$32</f>
        <v>6986703.7713141749</v>
      </c>
      <c r="T53" s="183" t="e">
        <f>'Konsumsi &amp; Pareto 2 Mingguan'!T61/('Konsumsi &amp; Pareto 2 Mingguan'!T$44+'Konsumsi &amp; Pareto 2 Mingguan'!T$57)*'HK - BDGT'!T$32</f>
        <v>#DIV/0!</v>
      </c>
      <c r="U53" s="183" t="e">
        <f>'Konsumsi &amp; Pareto 2 Mingguan'!U61/('Konsumsi &amp; Pareto 2 Mingguan'!U$44+'Konsumsi &amp; Pareto 2 Mingguan'!U$57)*'HK - BDGT'!U$32</f>
        <v>#DIV/0!</v>
      </c>
      <c r="V53" s="183" t="e">
        <f>'Konsumsi &amp; Pareto 2 Mingguan'!V61/('Konsumsi &amp; Pareto 2 Mingguan'!V$44+'Konsumsi &amp; Pareto 2 Mingguan'!V$57)*'HK - BDGT'!V$32</f>
        <v>#DIV/0!</v>
      </c>
      <c r="W53" s="183" t="e">
        <f>'Konsumsi &amp; Pareto 2 Mingguan'!W61/('Konsumsi &amp; Pareto 2 Mingguan'!W$44+'Konsumsi &amp; Pareto 2 Mingguan'!W$57)*'HK - BDGT'!W$32</f>
        <v>#DIV/0!</v>
      </c>
      <c r="X53" s="183" t="e">
        <f>'Konsumsi &amp; Pareto 2 Mingguan'!X61/('Konsumsi &amp; Pareto 2 Mingguan'!X$44+'Konsumsi &amp; Pareto 2 Mingguan'!X$57)*'HK - BDGT'!X$32</f>
        <v>#DIV/0!</v>
      </c>
      <c r="Y53" s="183" t="e">
        <f>'Konsumsi &amp; Pareto 2 Mingguan'!Y61/('Konsumsi &amp; Pareto 2 Mingguan'!Y$44+'Konsumsi &amp; Pareto 2 Mingguan'!Y$57)*'HK - BDGT'!Y$32</f>
        <v>#DIV/0!</v>
      </c>
      <c r="Z53" s="183" t="e">
        <f>'Konsumsi &amp; Pareto 2 Mingguan'!Z61/('Konsumsi &amp; Pareto 2 Mingguan'!Z$44+'Konsumsi &amp; Pareto 2 Mingguan'!Z$57)*'HK - BDGT'!Z$32</f>
        <v>#DIV/0!</v>
      </c>
      <c r="AA53" s="183" t="e">
        <f>'Konsumsi &amp; Pareto 2 Mingguan'!AA61/('Konsumsi &amp; Pareto 2 Mingguan'!AA$44+'Konsumsi &amp; Pareto 2 Mingguan'!AA$57)*'HK - BDGT'!AA$32</f>
        <v>#DIV/0!</v>
      </c>
      <c r="AB53" s="183" t="e">
        <f>'Konsumsi &amp; Pareto 2 Mingguan'!AB61/('Konsumsi &amp; Pareto 2 Mingguan'!AB$44+'Konsumsi &amp; Pareto 2 Mingguan'!AB$57)*'HK - BDGT'!AB$32</f>
        <v>#DIV/0!</v>
      </c>
      <c r="AC53" s="183" t="e">
        <f>'Konsumsi &amp; Pareto 2 Mingguan'!AC61/('Konsumsi &amp; Pareto 2 Mingguan'!AC$44+'Konsumsi &amp; Pareto 2 Mingguan'!AC$57)*'HK - BDGT'!AC$32</f>
        <v>#DIV/0!</v>
      </c>
      <c r="AD53" s="183" t="e">
        <f>'Konsumsi &amp; Pareto 2 Mingguan'!AD61/('Konsumsi &amp; Pareto 2 Mingguan'!AD$44+'Konsumsi &amp; Pareto 2 Mingguan'!AD$57)*'HK - BDGT'!AD$32</f>
        <v>#DIV/0!</v>
      </c>
      <c r="AE53" s="183" t="e">
        <f>'Konsumsi &amp; Pareto 2 Mingguan'!AE61/('Konsumsi &amp; Pareto 2 Mingguan'!AE$44+'Konsumsi &amp; Pareto 2 Mingguan'!AE$57)*'HK - BDGT'!AE$32</f>
        <v>#DIV/0!</v>
      </c>
    </row>
    <row r="54" spans="2:34" outlineLevel="1">
      <c r="B54" s="76" t="s">
        <v>48</v>
      </c>
      <c r="C54" s="75"/>
      <c r="D54" s="8" t="s">
        <v>109</v>
      </c>
      <c r="E54" s="90">
        <v>0</v>
      </c>
      <c r="F54" s="90">
        <v>39.199000000000012</v>
      </c>
      <c r="G54" s="65" t="e">
        <f t="shared" si="27"/>
        <v>#DIV/0!</v>
      </c>
      <c r="H54" s="183">
        <f>'Konsumsi &amp; Pareto 2 Mingguan'!H62/('Konsumsi &amp; Pareto 2 Mingguan'!H$44+'Konsumsi &amp; Pareto 2 Mingguan'!H$57)*'HK - BDGT'!H$32</f>
        <v>2821243.0831722342</v>
      </c>
      <c r="I54" s="183">
        <f>'Konsumsi &amp; Pareto 2 Mingguan'!I62/('Konsumsi &amp; Pareto 2 Mingguan'!I$44+'Konsumsi &amp; Pareto 2 Mingguan'!I$57)*'HK - BDGT'!I$32</f>
        <v>2585307.4112439249</v>
      </c>
      <c r="J54" s="183">
        <f>'Konsumsi &amp; Pareto 2 Mingguan'!J62/('Konsumsi &amp; Pareto 2 Mingguan'!J$44+'Konsumsi &amp; Pareto 2 Mingguan'!J$57)*'HK - BDGT'!J$32</f>
        <v>558017.49758910039</v>
      </c>
      <c r="K54" s="183">
        <f>'Konsumsi &amp; Pareto 2 Mingguan'!K62/('Konsumsi &amp; Pareto 2 Mingguan'!K$44+'Konsumsi &amp; Pareto 2 Mingguan'!K$57)*'HK - BDGT'!K$32</f>
        <v>244797.51512118187</v>
      </c>
      <c r="L54" s="183">
        <f>'Konsumsi &amp; Pareto 2 Mingguan'!L62/('Konsumsi &amp; Pareto 2 Mingguan'!L$44+'Konsumsi &amp; Pareto 2 Mingguan'!L$57)*'HK - BDGT'!L$32</f>
        <v>329743.85156322253</v>
      </c>
      <c r="M54" s="183">
        <f>'Konsumsi &amp; Pareto 2 Mingguan'!M62/('Konsumsi &amp; Pareto 2 Mingguan'!M$44+'Konsumsi &amp; Pareto 2 Mingguan'!M$57)*'HK - BDGT'!M$32</f>
        <v>324502.15619411023</v>
      </c>
      <c r="N54" s="183">
        <f>'Konsumsi &amp; Pareto 2 Mingguan'!N62/('Konsumsi &amp; Pareto 2 Mingguan'!N$44+'Konsumsi &amp; Pareto 2 Mingguan'!N$57)*'HK - BDGT'!N$32</f>
        <v>802859.86937781691</v>
      </c>
      <c r="O54" s="183">
        <f>'Konsumsi &amp; Pareto 2 Mingguan'!O62/('Konsumsi &amp; Pareto 2 Mingguan'!O$44+'Konsumsi &amp; Pareto 2 Mingguan'!O$57)*'HK - BDGT'!O$32</f>
        <v>2606470.2234077719</v>
      </c>
      <c r="P54" s="183">
        <f>'Konsumsi &amp; Pareto 2 Mingguan'!P62/('Konsumsi &amp; Pareto 2 Mingguan'!P$44+'Konsumsi &amp; Pareto 2 Mingguan'!P$57)*'HK - BDGT'!P$32</f>
        <v>2535018.3579125707</v>
      </c>
      <c r="Q54" s="183">
        <f>'Konsumsi &amp; Pareto 2 Mingguan'!Q62/('Konsumsi &amp; Pareto 2 Mingguan'!Q$44+'Konsumsi &amp; Pareto 2 Mingguan'!Q$57)*'HK - BDGT'!Q$32</f>
        <v>2924917.0205443236</v>
      </c>
      <c r="R54" s="183">
        <f>'Konsumsi &amp; Pareto 2 Mingguan'!R62/('Konsumsi &amp; Pareto 2 Mingguan'!R$44+'Konsumsi &amp; Pareto 2 Mingguan'!R$57)*'HK - BDGT'!R$32</f>
        <v>3978122.3642682759</v>
      </c>
      <c r="S54" s="183">
        <f>'Konsumsi &amp; Pareto 2 Mingguan'!S62/('Konsumsi &amp; Pareto 2 Mingguan'!S$44+'Konsumsi &amp; Pareto 2 Mingguan'!S$57)*'HK - BDGT'!S$32</f>
        <v>3335231.7476747409</v>
      </c>
      <c r="T54" s="183" t="e">
        <f>'Konsumsi &amp; Pareto 2 Mingguan'!T62/('Konsumsi &amp; Pareto 2 Mingguan'!T$44+'Konsumsi &amp; Pareto 2 Mingguan'!T$57)*'HK - BDGT'!T$32</f>
        <v>#DIV/0!</v>
      </c>
      <c r="U54" s="183" t="e">
        <f>'Konsumsi &amp; Pareto 2 Mingguan'!U62/('Konsumsi &amp; Pareto 2 Mingguan'!U$44+'Konsumsi &amp; Pareto 2 Mingguan'!U$57)*'HK - BDGT'!U$32</f>
        <v>#DIV/0!</v>
      </c>
      <c r="V54" s="183" t="e">
        <f>'Konsumsi &amp; Pareto 2 Mingguan'!V62/('Konsumsi &amp; Pareto 2 Mingguan'!V$44+'Konsumsi &amp; Pareto 2 Mingguan'!V$57)*'HK - BDGT'!V$32</f>
        <v>#DIV/0!</v>
      </c>
      <c r="W54" s="183" t="e">
        <f>'Konsumsi &amp; Pareto 2 Mingguan'!W62/('Konsumsi &amp; Pareto 2 Mingguan'!W$44+'Konsumsi &amp; Pareto 2 Mingguan'!W$57)*'HK - BDGT'!W$32</f>
        <v>#DIV/0!</v>
      </c>
      <c r="X54" s="183" t="e">
        <f>'Konsumsi &amp; Pareto 2 Mingguan'!X62/('Konsumsi &amp; Pareto 2 Mingguan'!X$44+'Konsumsi &amp; Pareto 2 Mingguan'!X$57)*'HK - BDGT'!X$32</f>
        <v>#DIV/0!</v>
      </c>
      <c r="Y54" s="183" t="e">
        <f>'Konsumsi &amp; Pareto 2 Mingguan'!Y62/('Konsumsi &amp; Pareto 2 Mingguan'!Y$44+'Konsumsi &amp; Pareto 2 Mingguan'!Y$57)*'HK - BDGT'!Y$32</f>
        <v>#DIV/0!</v>
      </c>
      <c r="Z54" s="183" t="e">
        <f>'Konsumsi &amp; Pareto 2 Mingguan'!Z62/('Konsumsi &amp; Pareto 2 Mingguan'!Z$44+'Konsumsi &amp; Pareto 2 Mingguan'!Z$57)*'HK - BDGT'!Z$32</f>
        <v>#DIV/0!</v>
      </c>
      <c r="AA54" s="183" t="e">
        <f>'Konsumsi &amp; Pareto 2 Mingguan'!AA62/('Konsumsi &amp; Pareto 2 Mingguan'!AA$44+'Konsumsi &amp; Pareto 2 Mingguan'!AA$57)*'HK - BDGT'!AA$32</f>
        <v>#DIV/0!</v>
      </c>
      <c r="AB54" s="183" t="e">
        <f>'Konsumsi &amp; Pareto 2 Mingguan'!AB62/('Konsumsi &amp; Pareto 2 Mingguan'!AB$44+'Konsumsi &amp; Pareto 2 Mingguan'!AB$57)*'HK - BDGT'!AB$32</f>
        <v>#DIV/0!</v>
      </c>
      <c r="AC54" s="183" t="e">
        <f>'Konsumsi &amp; Pareto 2 Mingguan'!AC62/('Konsumsi &amp; Pareto 2 Mingguan'!AC$44+'Konsumsi &amp; Pareto 2 Mingguan'!AC$57)*'HK - BDGT'!AC$32</f>
        <v>#DIV/0!</v>
      </c>
      <c r="AD54" s="183" t="e">
        <f>'Konsumsi &amp; Pareto 2 Mingguan'!AD62/('Konsumsi &amp; Pareto 2 Mingguan'!AD$44+'Konsumsi &amp; Pareto 2 Mingguan'!AD$57)*'HK - BDGT'!AD$32</f>
        <v>#DIV/0!</v>
      </c>
      <c r="AE54" s="183" t="e">
        <f>'Konsumsi &amp; Pareto 2 Mingguan'!AE62/('Konsumsi &amp; Pareto 2 Mingguan'!AE$44+'Konsumsi &amp; Pareto 2 Mingguan'!AE$57)*'HK - BDGT'!AE$32</f>
        <v>#DIV/0!</v>
      </c>
      <c r="AH54" t="s">
        <v>94</v>
      </c>
    </row>
    <row r="55" spans="2:34" outlineLevel="1">
      <c r="B55" s="76" t="s">
        <v>49</v>
      </c>
      <c r="C55" s="75" t="s">
        <v>72</v>
      </c>
      <c r="D55" s="8" t="s">
        <v>109</v>
      </c>
      <c r="E55" s="90">
        <v>0</v>
      </c>
      <c r="F55" s="90">
        <v>38.503447999999985</v>
      </c>
      <c r="G55" s="65" t="e">
        <f t="shared" si="27"/>
        <v>#DIV/0!</v>
      </c>
      <c r="H55" s="183">
        <f>'Konsumsi &amp; Pareto 2 Mingguan'!H63/('Konsumsi &amp; Pareto 2 Mingguan'!H$44+'Konsumsi &amp; Pareto 2 Mingguan'!H$57)*'HK - BDGT'!H$32</f>
        <v>3623802.1030422454</v>
      </c>
      <c r="I55" s="183">
        <f>'Konsumsi &amp; Pareto 2 Mingguan'!I63/('Konsumsi &amp; Pareto 2 Mingguan'!I$44+'Konsumsi &amp; Pareto 2 Mingguan'!I$57)*'HK - BDGT'!I$32</f>
        <v>3200561.817638481</v>
      </c>
      <c r="J55" s="183">
        <f>'Konsumsi &amp; Pareto 2 Mingguan'!J63/('Konsumsi &amp; Pareto 2 Mingguan'!J$44+'Konsumsi &amp; Pareto 2 Mingguan'!J$57)*'HK - BDGT'!J$32</f>
        <v>3285842.2439426421</v>
      </c>
      <c r="K55" s="183">
        <f>'Konsumsi &amp; Pareto 2 Mingguan'!K63/('Konsumsi &amp; Pareto 2 Mingguan'!K$44+'Konsumsi &amp; Pareto 2 Mingguan'!K$57)*'HK - BDGT'!K$32</f>
        <v>3564543.0664389268</v>
      </c>
      <c r="L55" s="183">
        <f>'Konsumsi &amp; Pareto 2 Mingguan'!L63/('Konsumsi &amp; Pareto 2 Mingguan'!L$44+'Konsumsi &amp; Pareto 2 Mingguan'!L$57)*'HK - BDGT'!L$32</f>
        <v>4150696.1310677072</v>
      </c>
      <c r="M55" s="183">
        <f>'Konsumsi &amp; Pareto 2 Mingguan'!M63/('Konsumsi &amp; Pareto 2 Mingguan'!M$44+'Konsumsi &amp; Pareto 2 Mingguan'!M$57)*'HK - BDGT'!M$32</f>
        <v>4100522.9398550838</v>
      </c>
      <c r="N55" s="183">
        <f>'Konsumsi &amp; Pareto 2 Mingguan'!N63/('Konsumsi &amp; Pareto 2 Mingguan'!N$44+'Konsumsi &amp; Pareto 2 Mingguan'!N$57)*'HK - BDGT'!N$32</f>
        <v>4276813.4289394636</v>
      </c>
      <c r="O55" s="183">
        <f>'Konsumsi &amp; Pareto 2 Mingguan'!O63/('Konsumsi &amp; Pareto 2 Mingguan'!O$44+'Konsumsi &amp; Pareto 2 Mingguan'!O$57)*'HK - BDGT'!O$32</f>
        <v>3604865.8389877616</v>
      </c>
      <c r="P55" s="183">
        <f>'Konsumsi &amp; Pareto 2 Mingguan'!P63/('Konsumsi &amp; Pareto 2 Mingguan'!P$44+'Konsumsi &amp; Pareto 2 Mingguan'!P$57)*'HK - BDGT'!P$32</f>
        <v>3842993.2109366921</v>
      </c>
      <c r="Q55" s="183">
        <f>'Konsumsi &amp; Pareto 2 Mingguan'!Q63/('Konsumsi &amp; Pareto 2 Mingguan'!Q$44+'Konsumsi &amp; Pareto 2 Mingguan'!Q$57)*'HK - BDGT'!Q$32</f>
        <v>3580889.8659671154</v>
      </c>
      <c r="R55" s="183">
        <f>'Konsumsi &amp; Pareto 2 Mingguan'!R63/('Konsumsi &amp; Pareto 2 Mingguan'!R$44+'Konsumsi &amp; Pareto 2 Mingguan'!R$57)*'HK - BDGT'!R$32</f>
        <v>3227868.5359083782</v>
      </c>
      <c r="S55" s="183">
        <f>'Konsumsi &amp; Pareto 2 Mingguan'!S63/('Konsumsi &amp; Pareto 2 Mingguan'!S$44+'Konsumsi &amp; Pareto 2 Mingguan'!S$57)*'HK - BDGT'!S$32</f>
        <v>3718485.5444439542</v>
      </c>
      <c r="T55" s="183" t="e">
        <f>'Konsumsi &amp; Pareto 2 Mingguan'!T63/('Konsumsi &amp; Pareto 2 Mingguan'!T$44+'Konsumsi &amp; Pareto 2 Mingguan'!T$57)*'HK - BDGT'!T$32</f>
        <v>#DIV/0!</v>
      </c>
      <c r="U55" s="183" t="e">
        <f>'Konsumsi &amp; Pareto 2 Mingguan'!U63/('Konsumsi &amp; Pareto 2 Mingguan'!U$44+'Konsumsi &amp; Pareto 2 Mingguan'!U$57)*'HK - BDGT'!U$32</f>
        <v>#DIV/0!</v>
      </c>
      <c r="V55" s="183" t="e">
        <f>'Konsumsi &amp; Pareto 2 Mingguan'!V63/('Konsumsi &amp; Pareto 2 Mingguan'!V$44+'Konsumsi &amp; Pareto 2 Mingguan'!V$57)*'HK - BDGT'!V$32</f>
        <v>#DIV/0!</v>
      </c>
      <c r="W55" s="183" t="e">
        <f>'Konsumsi &amp; Pareto 2 Mingguan'!W63/('Konsumsi &amp; Pareto 2 Mingguan'!W$44+'Konsumsi &amp; Pareto 2 Mingguan'!W$57)*'HK - BDGT'!W$32</f>
        <v>#DIV/0!</v>
      </c>
      <c r="X55" s="183" t="e">
        <f>'Konsumsi &amp; Pareto 2 Mingguan'!X63/('Konsumsi &amp; Pareto 2 Mingguan'!X$44+'Konsumsi &amp; Pareto 2 Mingguan'!X$57)*'HK - BDGT'!X$32</f>
        <v>#DIV/0!</v>
      </c>
      <c r="Y55" s="183" t="e">
        <f>'Konsumsi &amp; Pareto 2 Mingguan'!Y63/('Konsumsi &amp; Pareto 2 Mingguan'!Y$44+'Konsumsi &amp; Pareto 2 Mingguan'!Y$57)*'HK - BDGT'!Y$32</f>
        <v>#DIV/0!</v>
      </c>
      <c r="Z55" s="183" t="e">
        <f>'Konsumsi &amp; Pareto 2 Mingguan'!Z63/('Konsumsi &amp; Pareto 2 Mingguan'!Z$44+'Konsumsi &amp; Pareto 2 Mingguan'!Z$57)*'HK - BDGT'!Z$32</f>
        <v>#DIV/0!</v>
      </c>
      <c r="AA55" s="183" t="e">
        <f>'Konsumsi &amp; Pareto 2 Mingguan'!AA63/('Konsumsi &amp; Pareto 2 Mingguan'!AA$44+'Konsumsi &amp; Pareto 2 Mingguan'!AA$57)*'HK - BDGT'!AA$32</f>
        <v>#DIV/0!</v>
      </c>
      <c r="AB55" s="183" t="e">
        <f>'Konsumsi &amp; Pareto 2 Mingguan'!AB63/('Konsumsi &amp; Pareto 2 Mingguan'!AB$44+'Konsumsi &amp; Pareto 2 Mingguan'!AB$57)*'HK - BDGT'!AB$32</f>
        <v>#DIV/0!</v>
      </c>
      <c r="AC55" s="183" t="e">
        <f>'Konsumsi &amp; Pareto 2 Mingguan'!AC63/('Konsumsi &amp; Pareto 2 Mingguan'!AC$44+'Konsumsi &amp; Pareto 2 Mingguan'!AC$57)*'HK - BDGT'!AC$32</f>
        <v>#DIV/0!</v>
      </c>
      <c r="AD55" s="183" t="e">
        <f>'Konsumsi &amp; Pareto 2 Mingguan'!AD63/('Konsumsi &amp; Pareto 2 Mingguan'!AD$44+'Konsumsi &amp; Pareto 2 Mingguan'!AD$57)*'HK - BDGT'!AD$32</f>
        <v>#DIV/0!</v>
      </c>
      <c r="AE55" s="183" t="e">
        <f>'Konsumsi &amp; Pareto 2 Mingguan'!AE63/('Konsumsi &amp; Pareto 2 Mingguan'!AE$44+'Konsumsi &amp; Pareto 2 Mingguan'!AE$57)*'HK - BDGT'!AE$32</f>
        <v>#DIV/0!</v>
      </c>
    </row>
    <row r="56" spans="2:34" outlineLevel="1">
      <c r="B56" s="76" t="s">
        <v>99</v>
      </c>
      <c r="C56" s="75" t="s">
        <v>72</v>
      </c>
      <c r="D56" s="8" t="s">
        <v>109</v>
      </c>
      <c r="E56" s="90">
        <v>105.07174835220346</v>
      </c>
      <c r="F56" s="90">
        <v>90.826397083165901</v>
      </c>
      <c r="G56" s="65" t="e">
        <f t="shared" si="27"/>
        <v>#DIV/0!</v>
      </c>
      <c r="H56" s="183">
        <f>'Konsumsi &amp; Pareto 2 Mingguan'!H64/('Konsumsi &amp; Pareto 2 Mingguan'!H$44+'Konsumsi &amp; Pareto 2 Mingguan'!H$57)*'HK - BDGT'!H$32</f>
        <v>4384959.3824729482</v>
      </c>
      <c r="I56" s="183">
        <f>'Konsumsi &amp; Pareto 2 Mingguan'!I64/('Konsumsi &amp; Pareto 2 Mingguan'!I$44+'Konsumsi &amp; Pareto 2 Mingguan'!I$57)*'HK - BDGT'!I$32</f>
        <v>5169199.4529702682</v>
      </c>
      <c r="J56" s="183">
        <f>'Konsumsi &amp; Pareto 2 Mingguan'!J64/('Konsumsi &amp; Pareto 2 Mingguan'!J$44+'Konsumsi &amp; Pareto 2 Mingguan'!J$57)*'HK - BDGT'!J$32</f>
        <v>4988605.8314284049</v>
      </c>
      <c r="K56" s="183">
        <f>'Konsumsi &amp; Pareto 2 Mingguan'!K64/('Konsumsi &amp; Pareto 2 Mingguan'!K$44+'Konsumsi &amp; Pareto 2 Mingguan'!K$57)*'HK - BDGT'!K$32</f>
        <v>7304512.383777515</v>
      </c>
      <c r="L56" s="183">
        <f>'Konsumsi &amp; Pareto 2 Mingguan'!L64/('Konsumsi &amp; Pareto 2 Mingguan'!L$44+'Konsumsi &amp; Pareto 2 Mingguan'!L$57)*'HK - BDGT'!L$32</f>
        <v>5870980.412247479</v>
      </c>
      <c r="M56" s="183">
        <f>'Konsumsi &amp; Pareto 2 Mingguan'!M64/('Konsumsi &amp; Pareto 2 Mingguan'!M$44+'Konsumsi &amp; Pareto 2 Mingguan'!M$57)*'HK - BDGT'!M$32</f>
        <v>6047207.1251237337</v>
      </c>
      <c r="N56" s="183">
        <f>'Konsumsi &amp; Pareto 2 Mingguan'!N64/('Konsumsi &amp; Pareto 2 Mingguan'!N$44+'Konsumsi &amp; Pareto 2 Mingguan'!N$57)*'HK - BDGT'!N$32</f>
        <v>5664952.7388260299</v>
      </c>
      <c r="O56" s="183">
        <f>'Konsumsi &amp; Pareto 2 Mingguan'!O64/('Konsumsi &amp; Pareto 2 Mingguan'!O$44+'Konsumsi &amp; Pareto 2 Mingguan'!O$57)*'HK - BDGT'!O$32</f>
        <v>6092554.1483938992</v>
      </c>
      <c r="P56" s="183">
        <f>'Konsumsi &amp; Pareto 2 Mingguan'!P64/('Konsumsi &amp; Pareto 2 Mingguan'!P$44+'Konsumsi &amp; Pareto 2 Mingguan'!P$57)*'HK - BDGT'!P$32</f>
        <v>6276952.2624663953</v>
      </c>
      <c r="Q56" s="183">
        <f>'Konsumsi &amp; Pareto 2 Mingguan'!Q64/('Konsumsi &amp; Pareto 2 Mingguan'!Q$44+'Konsumsi &amp; Pareto 2 Mingguan'!Q$57)*'HK - BDGT'!Q$32</f>
        <v>5443285.7403463116</v>
      </c>
      <c r="R56" s="183">
        <f>'Konsumsi &amp; Pareto 2 Mingguan'!R64/('Konsumsi &amp; Pareto 2 Mingguan'!R$44+'Konsumsi &amp; Pareto 2 Mingguan'!R$57)*'HK - BDGT'!R$32</f>
        <v>7457577.8289398039</v>
      </c>
      <c r="S56" s="183">
        <f>'Konsumsi &amp; Pareto 2 Mingguan'!S64/('Konsumsi &amp; Pareto 2 Mingguan'!S$44+'Konsumsi &amp; Pareto 2 Mingguan'!S$57)*'HK - BDGT'!S$32</f>
        <v>5191414.5244143372</v>
      </c>
      <c r="T56" s="183" t="e">
        <f>'Konsumsi &amp; Pareto 2 Mingguan'!T64/('Konsumsi &amp; Pareto 2 Mingguan'!T$44+'Konsumsi &amp; Pareto 2 Mingguan'!T$57)*'HK - BDGT'!T$32</f>
        <v>#DIV/0!</v>
      </c>
      <c r="U56" s="183" t="e">
        <f>'Konsumsi &amp; Pareto 2 Mingguan'!U64/('Konsumsi &amp; Pareto 2 Mingguan'!U$44+'Konsumsi &amp; Pareto 2 Mingguan'!U$57)*'HK - BDGT'!U$32</f>
        <v>#DIV/0!</v>
      </c>
      <c r="V56" s="183" t="e">
        <f>'Konsumsi &amp; Pareto 2 Mingguan'!V64/('Konsumsi &amp; Pareto 2 Mingguan'!V$44+'Konsumsi &amp; Pareto 2 Mingguan'!V$57)*'HK - BDGT'!V$32</f>
        <v>#DIV/0!</v>
      </c>
      <c r="W56" s="183" t="e">
        <f>'Konsumsi &amp; Pareto 2 Mingguan'!W64/('Konsumsi &amp; Pareto 2 Mingguan'!W$44+'Konsumsi &amp; Pareto 2 Mingguan'!W$57)*'HK - BDGT'!W$32</f>
        <v>#DIV/0!</v>
      </c>
      <c r="X56" s="183" t="e">
        <f>'Konsumsi &amp; Pareto 2 Mingguan'!X64/('Konsumsi &amp; Pareto 2 Mingguan'!X$44+'Konsumsi &amp; Pareto 2 Mingguan'!X$57)*'HK - BDGT'!X$32</f>
        <v>#DIV/0!</v>
      </c>
      <c r="Y56" s="183" t="e">
        <f>'Konsumsi &amp; Pareto 2 Mingguan'!Y64/('Konsumsi &amp; Pareto 2 Mingguan'!Y$44+'Konsumsi &amp; Pareto 2 Mingguan'!Y$57)*'HK - BDGT'!Y$32</f>
        <v>#DIV/0!</v>
      </c>
      <c r="Z56" s="183" t="e">
        <f>'Konsumsi &amp; Pareto 2 Mingguan'!Z64/('Konsumsi &amp; Pareto 2 Mingguan'!Z$44+'Konsumsi &amp; Pareto 2 Mingguan'!Z$57)*'HK - BDGT'!Z$32</f>
        <v>#DIV/0!</v>
      </c>
      <c r="AA56" s="183" t="e">
        <f>'Konsumsi &amp; Pareto 2 Mingguan'!AA64/('Konsumsi &amp; Pareto 2 Mingguan'!AA$44+'Konsumsi &amp; Pareto 2 Mingguan'!AA$57)*'HK - BDGT'!AA$32</f>
        <v>#DIV/0!</v>
      </c>
      <c r="AB56" s="183" t="e">
        <f>'Konsumsi &amp; Pareto 2 Mingguan'!AB64/('Konsumsi &amp; Pareto 2 Mingguan'!AB$44+'Konsumsi &amp; Pareto 2 Mingguan'!AB$57)*'HK - BDGT'!AB$32</f>
        <v>#DIV/0!</v>
      </c>
      <c r="AC56" s="183" t="e">
        <f>'Konsumsi &amp; Pareto 2 Mingguan'!AC64/('Konsumsi &amp; Pareto 2 Mingguan'!AC$44+'Konsumsi &amp; Pareto 2 Mingguan'!AC$57)*'HK - BDGT'!AC$32</f>
        <v>#DIV/0!</v>
      </c>
      <c r="AD56" s="183" t="e">
        <f>'Konsumsi &amp; Pareto 2 Mingguan'!AD64/('Konsumsi &amp; Pareto 2 Mingguan'!AD$44+'Konsumsi &amp; Pareto 2 Mingguan'!AD$57)*'HK - BDGT'!AD$32</f>
        <v>#DIV/0!</v>
      </c>
      <c r="AE56" s="183" t="e">
        <f>'Konsumsi &amp; Pareto 2 Mingguan'!AE64/('Konsumsi &amp; Pareto 2 Mingguan'!AE$44+'Konsumsi &amp; Pareto 2 Mingguan'!AE$57)*'HK - BDGT'!AE$32</f>
        <v>#DIV/0!</v>
      </c>
    </row>
    <row r="57" spans="2:34" outlineLevel="1">
      <c r="B57" s="77" t="s">
        <v>0</v>
      </c>
      <c r="C57" s="75"/>
      <c r="D57" s="8" t="s">
        <v>109</v>
      </c>
      <c r="E57" s="90">
        <v>28.433512018718393</v>
      </c>
      <c r="F57" s="90">
        <v>21.352249332101387</v>
      </c>
      <c r="G57" s="65" t="e">
        <f t="shared" si="27"/>
        <v>#DIV/0!</v>
      </c>
      <c r="H57" s="183">
        <f>'Konsumsi &amp; Pareto 2 Mingguan'!H65/('Konsumsi &amp; Pareto 2 Mingguan'!H$44+'Konsumsi &amp; Pareto 2 Mingguan'!H$57)*'HK - BDGT'!H$32</f>
        <v>1208501.8167741275</v>
      </c>
      <c r="I57" s="183">
        <f>'Konsumsi &amp; Pareto 2 Mingguan'!I65/('Konsumsi &amp; Pareto 2 Mingguan'!I$44+'Konsumsi &amp; Pareto 2 Mingguan'!I$57)*'HK - BDGT'!I$32</f>
        <v>1343991.8345932649</v>
      </c>
      <c r="J57" s="183">
        <f>'Konsumsi &amp; Pareto 2 Mingguan'!J65/('Konsumsi &amp; Pareto 2 Mingguan'!J$44+'Konsumsi &amp; Pareto 2 Mingguan'!J$57)*'HK - BDGT'!J$32</f>
        <v>1576254.0030030443</v>
      </c>
      <c r="K57" s="183">
        <f>'Konsumsi &amp; Pareto 2 Mingguan'!K65/('Konsumsi &amp; Pareto 2 Mingguan'!K$44+'Konsumsi &amp; Pareto 2 Mingguan'!K$57)*'HK - BDGT'!K$32</f>
        <v>2910951.1785907922</v>
      </c>
      <c r="L57" s="183">
        <f>'Konsumsi &amp; Pareto 2 Mingguan'!L65/('Konsumsi &amp; Pareto 2 Mingguan'!L$44+'Konsumsi &amp; Pareto 2 Mingguan'!L$57)*'HK - BDGT'!L$32</f>
        <v>2371301.7119553052</v>
      </c>
      <c r="M57" s="183">
        <f>'Konsumsi &amp; Pareto 2 Mingguan'!M65/('Konsumsi &amp; Pareto 2 Mingguan'!M$44+'Konsumsi &amp; Pareto 2 Mingguan'!M$57)*'HK - BDGT'!M$32</f>
        <v>1926370.9430657141</v>
      </c>
      <c r="N57" s="183">
        <f>'Konsumsi &amp; Pareto 2 Mingguan'!N65/('Konsumsi &amp; Pareto 2 Mingguan'!N$44+'Konsumsi &amp; Pareto 2 Mingguan'!N$57)*'HK - BDGT'!N$32</f>
        <v>2568989.911663203</v>
      </c>
      <c r="O57" s="183">
        <f>'Konsumsi &amp; Pareto 2 Mingguan'!O65/('Konsumsi &amp; Pareto 2 Mingguan'!O$44+'Konsumsi &amp; Pareto 2 Mingguan'!O$57)*'HK - BDGT'!O$32</f>
        <v>2602336.9917262727</v>
      </c>
      <c r="P57" s="183">
        <f>'Konsumsi &amp; Pareto 2 Mingguan'!P65/('Konsumsi &amp; Pareto 2 Mingguan'!P$44+'Konsumsi &amp; Pareto 2 Mingguan'!P$57)*'HK - BDGT'!P$32</f>
        <v>2534921.7180879917</v>
      </c>
      <c r="Q57" s="183">
        <f>'Konsumsi &amp; Pareto 2 Mingguan'!Q65/('Konsumsi &amp; Pareto 2 Mingguan'!Q$44+'Konsumsi &amp; Pareto 2 Mingguan'!Q$57)*'HK - BDGT'!Q$32</f>
        <v>570111.54637107288</v>
      </c>
      <c r="R57" s="183">
        <f>'Konsumsi &amp; Pareto 2 Mingguan'!R65/('Konsumsi &amp; Pareto 2 Mingguan'!R$44+'Konsumsi &amp; Pareto 2 Mingguan'!R$57)*'HK - BDGT'!R$32</f>
        <v>3298499.7510500364</v>
      </c>
      <c r="S57" s="183">
        <f>'Konsumsi &amp; Pareto 2 Mingguan'!S65/('Konsumsi &amp; Pareto 2 Mingguan'!S$44+'Konsumsi &amp; Pareto 2 Mingguan'!S$57)*'HK - BDGT'!S$32</f>
        <v>1388487.3636639775</v>
      </c>
      <c r="T57" s="183" t="e">
        <f>'Konsumsi &amp; Pareto 2 Mingguan'!T65/('Konsumsi &amp; Pareto 2 Mingguan'!T$44+'Konsumsi &amp; Pareto 2 Mingguan'!T$57)*'HK - BDGT'!T$32</f>
        <v>#DIV/0!</v>
      </c>
      <c r="U57" s="183" t="e">
        <f>'Konsumsi &amp; Pareto 2 Mingguan'!U65/('Konsumsi &amp; Pareto 2 Mingguan'!U$44+'Konsumsi &amp; Pareto 2 Mingguan'!U$57)*'HK - BDGT'!U$32</f>
        <v>#DIV/0!</v>
      </c>
      <c r="V57" s="183" t="e">
        <f>'Konsumsi &amp; Pareto 2 Mingguan'!V65/('Konsumsi &amp; Pareto 2 Mingguan'!V$44+'Konsumsi &amp; Pareto 2 Mingguan'!V$57)*'HK - BDGT'!V$32</f>
        <v>#DIV/0!</v>
      </c>
      <c r="W57" s="183" t="e">
        <f>'Konsumsi &amp; Pareto 2 Mingguan'!W65/('Konsumsi &amp; Pareto 2 Mingguan'!W$44+'Konsumsi &amp; Pareto 2 Mingguan'!W$57)*'HK - BDGT'!W$32</f>
        <v>#DIV/0!</v>
      </c>
      <c r="X57" s="183" t="e">
        <f>'Konsumsi &amp; Pareto 2 Mingguan'!X65/('Konsumsi &amp; Pareto 2 Mingguan'!X$44+'Konsumsi &amp; Pareto 2 Mingguan'!X$57)*'HK - BDGT'!X$32</f>
        <v>#DIV/0!</v>
      </c>
      <c r="Y57" s="183" t="e">
        <f>'Konsumsi &amp; Pareto 2 Mingguan'!Y65/('Konsumsi &amp; Pareto 2 Mingguan'!Y$44+'Konsumsi &amp; Pareto 2 Mingguan'!Y$57)*'HK - BDGT'!Y$32</f>
        <v>#DIV/0!</v>
      </c>
      <c r="Z57" s="183" t="e">
        <f>'Konsumsi &amp; Pareto 2 Mingguan'!Z65/('Konsumsi &amp; Pareto 2 Mingguan'!Z$44+'Konsumsi &amp; Pareto 2 Mingguan'!Z$57)*'HK - BDGT'!Z$32</f>
        <v>#DIV/0!</v>
      </c>
      <c r="AA57" s="183" t="e">
        <f>'Konsumsi &amp; Pareto 2 Mingguan'!AA65/('Konsumsi &amp; Pareto 2 Mingguan'!AA$44+'Konsumsi &amp; Pareto 2 Mingguan'!AA$57)*'HK - BDGT'!AA$32</f>
        <v>#DIV/0!</v>
      </c>
      <c r="AB57" s="183" t="e">
        <f>'Konsumsi &amp; Pareto 2 Mingguan'!AB65/('Konsumsi &amp; Pareto 2 Mingguan'!AB$44+'Konsumsi &amp; Pareto 2 Mingguan'!AB$57)*'HK - BDGT'!AB$32</f>
        <v>#DIV/0!</v>
      </c>
      <c r="AC57" s="183" t="e">
        <f>'Konsumsi &amp; Pareto 2 Mingguan'!AC65/('Konsumsi &amp; Pareto 2 Mingguan'!AC$44+'Konsumsi &amp; Pareto 2 Mingguan'!AC$57)*'HK - BDGT'!AC$32</f>
        <v>#DIV/0!</v>
      </c>
      <c r="AD57" s="183" t="e">
        <f>'Konsumsi &amp; Pareto 2 Mingguan'!AD65/('Konsumsi &amp; Pareto 2 Mingguan'!AD$44+'Konsumsi &amp; Pareto 2 Mingguan'!AD$57)*'HK - BDGT'!AD$32</f>
        <v>#DIV/0!</v>
      </c>
      <c r="AE57" s="183" t="e">
        <f>'Konsumsi &amp; Pareto 2 Mingguan'!AE65/('Konsumsi &amp; Pareto 2 Mingguan'!AE$44+'Konsumsi &amp; Pareto 2 Mingguan'!AE$57)*'HK - BDGT'!AE$32</f>
        <v>#DIV/0!</v>
      </c>
    </row>
    <row r="58" spans="2:34" outlineLevel="1">
      <c r="B58" s="77" t="s">
        <v>1</v>
      </c>
      <c r="C58" s="75"/>
      <c r="D58" s="8" t="s">
        <v>109</v>
      </c>
      <c r="E58" s="90">
        <v>60.668777266338395</v>
      </c>
      <c r="F58" s="90">
        <v>40.885936859001013</v>
      </c>
      <c r="G58" s="65" t="e">
        <f t="shared" si="27"/>
        <v>#DIV/0!</v>
      </c>
      <c r="H58" s="183">
        <f>'Konsumsi &amp; Pareto 2 Mingguan'!H66/('Konsumsi &amp; Pareto 2 Mingguan'!H$44+'Konsumsi &amp; Pareto 2 Mingguan'!H$57)*'HK - BDGT'!H$32</f>
        <v>2102321.9501177655</v>
      </c>
      <c r="I58" s="183">
        <f>'Konsumsi &amp; Pareto 2 Mingguan'!I66/('Konsumsi &amp; Pareto 2 Mingguan'!I$44+'Konsumsi &amp; Pareto 2 Mingguan'!I$57)*'HK - BDGT'!I$32</f>
        <v>2474479.8749217545</v>
      </c>
      <c r="J58" s="183">
        <f>'Konsumsi &amp; Pareto 2 Mingguan'!J66/('Konsumsi &amp; Pareto 2 Mingguan'!J$44+'Konsumsi &amp; Pareto 2 Mingguan'!J$57)*'HK - BDGT'!J$32</f>
        <v>2225306.4284622418</v>
      </c>
      <c r="K58" s="183">
        <f>'Konsumsi &amp; Pareto 2 Mingguan'!K66/('Konsumsi &amp; Pareto 2 Mingguan'!K$44+'Konsumsi &amp; Pareto 2 Mingguan'!K$57)*'HK - BDGT'!K$32</f>
        <v>2835565.5631281016</v>
      </c>
      <c r="L58" s="183">
        <f>'Konsumsi &amp; Pareto 2 Mingguan'!L66/('Konsumsi &amp; Pareto 2 Mingguan'!L$44+'Konsumsi &amp; Pareto 2 Mingguan'!L$57)*'HK - BDGT'!L$32</f>
        <v>2248023.1325684693</v>
      </c>
      <c r="M58" s="183">
        <f>'Konsumsi &amp; Pareto 2 Mingguan'!M66/('Konsumsi &amp; Pareto 2 Mingguan'!M$44+'Konsumsi &amp; Pareto 2 Mingguan'!M$57)*'HK - BDGT'!M$32</f>
        <v>2616940.8264367143</v>
      </c>
      <c r="N58" s="183">
        <f>'Konsumsi &amp; Pareto 2 Mingguan'!N66/('Konsumsi &amp; Pareto 2 Mingguan'!N$44+'Konsumsi &amp; Pareto 2 Mingguan'!N$57)*'HK - BDGT'!N$32</f>
        <v>1985994.0882254406</v>
      </c>
      <c r="O58" s="183">
        <f>'Konsumsi &amp; Pareto 2 Mingguan'!O66/('Konsumsi &amp; Pareto 2 Mingguan'!O$44+'Konsumsi &amp; Pareto 2 Mingguan'!O$57)*'HK - BDGT'!O$32</f>
        <v>2173146.9222692079</v>
      </c>
      <c r="P58" s="183">
        <f>'Konsumsi &amp; Pareto 2 Mingguan'!P66/('Konsumsi &amp; Pareto 2 Mingguan'!P$44+'Konsumsi &amp; Pareto 2 Mingguan'!P$57)*'HK - BDGT'!P$32</f>
        <v>2438388.5167899933</v>
      </c>
      <c r="Q58" s="183">
        <f>'Konsumsi &amp; Pareto 2 Mingguan'!Q66/('Konsumsi &amp; Pareto 2 Mingguan'!Q$44+'Konsumsi &amp; Pareto 2 Mingguan'!Q$57)*'HK - BDGT'!Q$32</f>
        <v>1944850.0904463311</v>
      </c>
      <c r="R58" s="183">
        <f>'Konsumsi &amp; Pareto 2 Mingguan'!R66/('Konsumsi &amp; Pareto 2 Mingguan'!R$44+'Konsumsi &amp; Pareto 2 Mingguan'!R$57)*'HK - BDGT'!R$32</f>
        <v>2619391.7640723451</v>
      </c>
      <c r="S58" s="183">
        <f>'Konsumsi &amp; Pareto 2 Mingguan'!S66/('Konsumsi &amp; Pareto 2 Mingguan'!S$44+'Konsumsi &amp; Pareto 2 Mingguan'!S$57)*'HK - BDGT'!S$32</f>
        <v>2434423.5840523513</v>
      </c>
      <c r="T58" s="183" t="e">
        <f>'Konsumsi &amp; Pareto 2 Mingguan'!T66/('Konsumsi &amp; Pareto 2 Mingguan'!T$44+'Konsumsi &amp; Pareto 2 Mingguan'!T$57)*'HK - BDGT'!T$32</f>
        <v>#DIV/0!</v>
      </c>
      <c r="U58" s="183" t="e">
        <f>'Konsumsi &amp; Pareto 2 Mingguan'!U66/('Konsumsi &amp; Pareto 2 Mingguan'!U$44+'Konsumsi &amp; Pareto 2 Mingguan'!U$57)*'HK - BDGT'!U$32</f>
        <v>#DIV/0!</v>
      </c>
      <c r="V58" s="183" t="e">
        <f>'Konsumsi &amp; Pareto 2 Mingguan'!V66/('Konsumsi &amp; Pareto 2 Mingguan'!V$44+'Konsumsi &amp; Pareto 2 Mingguan'!V$57)*'HK - BDGT'!V$32</f>
        <v>#DIV/0!</v>
      </c>
      <c r="W58" s="183" t="e">
        <f>'Konsumsi &amp; Pareto 2 Mingguan'!W66/('Konsumsi &amp; Pareto 2 Mingguan'!W$44+'Konsumsi &amp; Pareto 2 Mingguan'!W$57)*'HK - BDGT'!W$32</f>
        <v>#DIV/0!</v>
      </c>
      <c r="X58" s="183" t="e">
        <f>'Konsumsi &amp; Pareto 2 Mingguan'!X66/('Konsumsi &amp; Pareto 2 Mingguan'!X$44+'Konsumsi &amp; Pareto 2 Mingguan'!X$57)*'HK - BDGT'!X$32</f>
        <v>#DIV/0!</v>
      </c>
      <c r="Y58" s="183" t="e">
        <f>'Konsumsi &amp; Pareto 2 Mingguan'!Y66/('Konsumsi &amp; Pareto 2 Mingguan'!Y$44+'Konsumsi &amp; Pareto 2 Mingguan'!Y$57)*'HK - BDGT'!Y$32</f>
        <v>#DIV/0!</v>
      </c>
      <c r="Z58" s="183" t="e">
        <f>'Konsumsi &amp; Pareto 2 Mingguan'!Z66/('Konsumsi &amp; Pareto 2 Mingguan'!Z$44+'Konsumsi &amp; Pareto 2 Mingguan'!Z$57)*'HK - BDGT'!Z$32</f>
        <v>#DIV/0!</v>
      </c>
      <c r="AA58" s="183" t="e">
        <f>'Konsumsi &amp; Pareto 2 Mingguan'!AA66/('Konsumsi &amp; Pareto 2 Mingguan'!AA$44+'Konsumsi &amp; Pareto 2 Mingguan'!AA$57)*'HK - BDGT'!AA$32</f>
        <v>#DIV/0!</v>
      </c>
      <c r="AB58" s="183" t="e">
        <f>'Konsumsi &amp; Pareto 2 Mingguan'!AB66/('Konsumsi &amp; Pareto 2 Mingguan'!AB$44+'Konsumsi &amp; Pareto 2 Mingguan'!AB$57)*'HK - BDGT'!AB$32</f>
        <v>#DIV/0!</v>
      </c>
      <c r="AC58" s="183" t="e">
        <f>'Konsumsi &amp; Pareto 2 Mingguan'!AC66/('Konsumsi &amp; Pareto 2 Mingguan'!AC$44+'Konsumsi &amp; Pareto 2 Mingguan'!AC$57)*'HK - BDGT'!AC$32</f>
        <v>#DIV/0!</v>
      </c>
      <c r="AD58" s="183" t="e">
        <f>'Konsumsi &amp; Pareto 2 Mingguan'!AD66/('Konsumsi &amp; Pareto 2 Mingguan'!AD$44+'Konsumsi &amp; Pareto 2 Mingguan'!AD$57)*'HK - BDGT'!AD$32</f>
        <v>#DIV/0!</v>
      </c>
      <c r="AE58" s="183" t="e">
        <f>'Konsumsi &amp; Pareto 2 Mingguan'!AE66/('Konsumsi &amp; Pareto 2 Mingguan'!AE$44+'Konsumsi &amp; Pareto 2 Mingguan'!AE$57)*'HK - BDGT'!AE$32</f>
        <v>#DIV/0!</v>
      </c>
    </row>
    <row r="59" spans="2:34" outlineLevel="1">
      <c r="B59" s="76" t="s">
        <v>46</v>
      </c>
      <c r="C59" s="75" t="s">
        <v>72</v>
      </c>
      <c r="D59" s="8" t="s">
        <v>109</v>
      </c>
      <c r="E59" s="90">
        <v>68.90833333333336</v>
      </c>
      <c r="F59" s="90">
        <v>210.60132299999998</v>
      </c>
      <c r="G59" s="65" t="e">
        <f t="shared" si="27"/>
        <v>#DIV/0!</v>
      </c>
      <c r="H59" s="183">
        <f>'Konsumsi &amp; Pareto 2 Mingguan'!H67/('Konsumsi &amp; Pareto 2 Mingguan'!H$44+'Konsumsi &amp; Pareto 2 Mingguan'!H$57)*'HK - BDGT'!H$32</f>
        <v>13817966.659017585</v>
      </c>
      <c r="I59" s="183">
        <f>'Konsumsi &amp; Pareto 2 Mingguan'!I67/('Konsumsi &amp; Pareto 2 Mingguan'!I$44+'Konsumsi &amp; Pareto 2 Mingguan'!I$57)*'HK - BDGT'!I$32</f>
        <v>12470526.906147407</v>
      </c>
      <c r="J59" s="183">
        <f>'Konsumsi &amp; Pareto 2 Mingguan'!J67/('Konsumsi &amp; Pareto 2 Mingguan'!J$44+'Konsumsi &amp; Pareto 2 Mingguan'!J$57)*'HK - BDGT'!J$32</f>
        <v>12026002.746024095</v>
      </c>
      <c r="K59" s="183">
        <f>'Konsumsi &amp; Pareto 2 Mingguan'!K67/('Konsumsi &amp; Pareto 2 Mingguan'!K$44+'Konsumsi &amp; Pareto 2 Mingguan'!K$57)*'HK - BDGT'!K$32</f>
        <v>12399182.446669165</v>
      </c>
      <c r="L59" s="183">
        <f>'Konsumsi &amp; Pareto 2 Mingguan'!L67/('Konsumsi &amp; Pareto 2 Mingguan'!L$44+'Konsumsi &amp; Pareto 2 Mingguan'!L$57)*'HK - BDGT'!L$32</f>
        <v>14954839.447671497</v>
      </c>
      <c r="M59" s="183">
        <f>'Konsumsi &amp; Pareto 2 Mingguan'!M67/('Konsumsi &amp; Pareto 2 Mingguan'!M$44+'Konsumsi &amp; Pareto 2 Mingguan'!M$57)*'HK - BDGT'!M$32</f>
        <v>13503482.170788508</v>
      </c>
      <c r="N59" s="183">
        <f>'Konsumsi &amp; Pareto 2 Mingguan'!N67/('Konsumsi &amp; Pareto 2 Mingguan'!N$44+'Konsumsi &amp; Pareto 2 Mingguan'!N$57)*'HK - BDGT'!N$32</f>
        <v>12974389.214619456</v>
      </c>
      <c r="O59" s="183">
        <f>'Konsumsi &amp; Pareto 2 Mingguan'!O67/('Konsumsi &amp; Pareto 2 Mingguan'!O$44+'Konsumsi &amp; Pareto 2 Mingguan'!O$57)*'HK - BDGT'!O$32</f>
        <v>12661730.101883221</v>
      </c>
      <c r="P59" s="183">
        <f>'Konsumsi &amp; Pareto 2 Mingguan'!P67/('Konsumsi &amp; Pareto 2 Mingguan'!P$44+'Konsumsi &amp; Pareto 2 Mingguan'!P$57)*'HK - BDGT'!P$32</f>
        <v>13539810.337777643</v>
      </c>
      <c r="Q59" s="183">
        <f>'Konsumsi &amp; Pareto 2 Mingguan'!Q67/('Konsumsi &amp; Pareto 2 Mingguan'!Q$44+'Konsumsi &amp; Pareto 2 Mingguan'!Q$57)*'HK - BDGT'!Q$32</f>
        <v>12043941.359255007</v>
      </c>
      <c r="R59" s="183">
        <f>'Konsumsi &amp; Pareto 2 Mingguan'!R67/('Konsumsi &amp; Pareto 2 Mingguan'!R$44+'Konsumsi &amp; Pareto 2 Mingguan'!R$57)*'HK - BDGT'!R$32</f>
        <v>16158047.434358565</v>
      </c>
      <c r="S59" s="183">
        <f>'Konsumsi &amp; Pareto 2 Mingguan'!S67/('Konsumsi &amp; Pareto 2 Mingguan'!S$44+'Konsumsi &amp; Pareto 2 Mingguan'!S$57)*'HK - BDGT'!S$32</f>
        <v>13243701.4919024</v>
      </c>
      <c r="T59" s="183" t="e">
        <f>'Konsumsi &amp; Pareto 2 Mingguan'!T67/('Konsumsi &amp; Pareto 2 Mingguan'!T$44+'Konsumsi &amp; Pareto 2 Mingguan'!T$57)*'HK - BDGT'!T$32</f>
        <v>#DIV/0!</v>
      </c>
      <c r="U59" s="183" t="e">
        <f>'Konsumsi &amp; Pareto 2 Mingguan'!U67/('Konsumsi &amp; Pareto 2 Mingguan'!U$44+'Konsumsi &amp; Pareto 2 Mingguan'!U$57)*'HK - BDGT'!U$32</f>
        <v>#DIV/0!</v>
      </c>
      <c r="V59" s="183" t="e">
        <f>'Konsumsi &amp; Pareto 2 Mingguan'!V67/('Konsumsi &amp; Pareto 2 Mingguan'!V$44+'Konsumsi &amp; Pareto 2 Mingguan'!V$57)*'HK - BDGT'!V$32</f>
        <v>#DIV/0!</v>
      </c>
      <c r="W59" s="183" t="e">
        <f>'Konsumsi &amp; Pareto 2 Mingguan'!W67/('Konsumsi &amp; Pareto 2 Mingguan'!W$44+'Konsumsi &amp; Pareto 2 Mingguan'!W$57)*'HK - BDGT'!W$32</f>
        <v>#DIV/0!</v>
      </c>
      <c r="X59" s="183" t="e">
        <f>'Konsumsi &amp; Pareto 2 Mingguan'!X67/('Konsumsi &amp; Pareto 2 Mingguan'!X$44+'Konsumsi &amp; Pareto 2 Mingguan'!X$57)*'HK - BDGT'!X$32</f>
        <v>#DIV/0!</v>
      </c>
      <c r="Y59" s="183" t="e">
        <f>'Konsumsi &amp; Pareto 2 Mingguan'!Y67/('Konsumsi &amp; Pareto 2 Mingguan'!Y$44+'Konsumsi &amp; Pareto 2 Mingguan'!Y$57)*'HK - BDGT'!Y$32</f>
        <v>#DIV/0!</v>
      </c>
      <c r="Z59" s="183" t="e">
        <f>'Konsumsi &amp; Pareto 2 Mingguan'!Z67/('Konsumsi &amp; Pareto 2 Mingguan'!Z$44+'Konsumsi &amp; Pareto 2 Mingguan'!Z$57)*'HK - BDGT'!Z$32</f>
        <v>#DIV/0!</v>
      </c>
      <c r="AA59" s="183" t="e">
        <f>'Konsumsi &amp; Pareto 2 Mingguan'!AA67/('Konsumsi &amp; Pareto 2 Mingguan'!AA$44+'Konsumsi &amp; Pareto 2 Mingguan'!AA$57)*'HK - BDGT'!AA$32</f>
        <v>#DIV/0!</v>
      </c>
      <c r="AB59" s="183" t="e">
        <f>'Konsumsi &amp; Pareto 2 Mingguan'!AB67/('Konsumsi &amp; Pareto 2 Mingguan'!AB$44+'Konsumsi &amp; Pareto 2 Mingguan'!AB$57)*'HK - BDGT'!AB$32</f>
        <v>#DIV/0!</v>
      </c>
      <c r="AC59" s="183" t="e">
        <f>'Konsumsi &amp; Pareto 2 Mingguan'!AC67/('Konsumsi &amp; Pareto 2 Mingguan'!AC$44+'Konsumsi &amp; Pareto 2 Mingguan'!AC$57)*'HK - BDGT'!AC$32</f>
        <v>#DIV/0!</v>
      </c>
      <c r="AD59" s="183" t="e">
        <f>'Konsumsi &amp; Pareto 2 Mingguan'!AD67/('Konsumsi &amp; Pareto 2 Mingguan'!AD$44+'Konsumsi &amp; Pareto 2 Mingguan'!AD$57)*'HK - BDGT'!AD$32</f>
        <v>#DIV/0!</v>
      </c>
      <c r="AE59" s="183" t="e">
        <f>'Konsumsi &amp; Pareto 2 Mingguan'!AE67/('Konsumsi &amp; Pareto 2 Mingguan'!AE$44+'Konsumsi &amp; Pareto 2 Mingguan'!AE$57)*'HK - BDGT'!AE$32</f>
        <v>#DIV/0!</v>
      </c>
    </row>
    <row r="60" spans="2:34" outlineLevel="1">
      <c r="B60" s="76" t="s">
        <v>142</v>
      </c>
      <c r="C60" s="75"/>
      <c r="D60" s="8"/>
      <c r="E60" s="90"/>
      <c r="F60" s="90">
        <v>4.7898386144212077</v>
      </c>
      <c r="G60" s="65" t="e">
        <f t="shared" si="27"/>
        <v>#DIV/0!</v>
      </c>
      <c r="H60" s="183">
        <f>'Konsumsi &amp; Pareto 2 Mingguan'!H68/('Konsumsi &amp; Pareto 2 Mingguan'!H$44+'Konsumsi &amp; Pareto 2 Mingguan'!H$57)*'HK - BDGT'!H$32</f>
        <v>274626.18285173882</v>
      </c>
      <c r="I60" s="183">
        <f>'Konsumsi &amp; Pareto 2 Mingguan'!I68/('Konsumsi &amp; Pareto 2 Mingguan'!I$44+'Konsumsi &amp; Pareto 2 Mingguan'!I$57)*'HK - BDGT'!I$32</f>
        <v>356785.43285983324</v>
      </c>
      <c r="J60" s="183">
        <f>'Konsumsi &amp; Pareto 2 Mingguan'!J68/('Konsumsi &amp; Pareto 2 Mingguan'!J$44+'Konsumsi &amp; Pareto 2 Mingguan'!J$57)*'HK - BDGT'!J$32</f>
        <v>383433.40444399405</v>
      </c>
      <c r="K60" s="183">
        <f>'Konsumsi &amp; Pareto 2 Mingguan'!K68/('Konsumsi &amp; Pareto 2 Mingguan'!K$44+'Konsumsi &amp; Pareto 2 Mingguan'!K$57)*'HK - BDGT'!K$32</f>
        <v>510808.12132702558</v>
      </c>
      <c r="L60" s="183">
        <f>'Konsumsi &amp; Pareto 2 Mingguan'!L68/('Konsumsi &amp; Pareto 2 Mingguan'!L$44+'Konsumsi &amp; Pareto 2 Mingguan'!L$57)*'HK - BDGT'!L$32</f>
        <v>357404.44707453204</v>
      </c>
      <c r="M60" s="183">
        <f>'Konsumsi &amp; Pareto 2 Mingguan'!M68/('Konsumsi &amp; Pareto 2 Mingguan'!M$44+'Konsumsi &amp; Pareto 2 Mingguan'!M$57)*'HK - BDGT'!M$32</f>
        <v>377360.35749976733</v>
      </c>
      <c r="N60" s="183">
        <f>'Konsumsi &amp; Pareto 2 Mingguan'!N68/('Konsumsi &amp; Pareto 2 Mingguan'!N$44+'Konsumsi &amp; Pareto 2 Mingguan'!N$57)*'HK - BDGT'!N$32</f>
        <v>369576.73714385531</v>
      </c>
      <c r="O60" s="183">
        <f>'Konsumsi &amp; Pareto 2 Mingguan'!O68/('Konsumsi &amp; Pareto 2 Mingguan'!O$44+'Konsumsi &amp; Pareto 2 Mingguan'!O$57)*'HK - BDGT'!O$32</f>
        <v>433453.00549801695</v>
      </c>
      <c r="P60" s="183">
        <f>'Konsumsi &amp; Pareto 2 Mingguan'!P68/('Konsumsi &amp; Pareto 2 Mingguan'!P$44+'Konsumsi &amp; Pareto 2 Mingguan'!P$57)*'HK - BDGT'!P$32</f>
        <v>533735.74190850696</v>
      </c>
      <c r="Q60" s="183">
        <f>'Konsumsi &amp; Pareto 2 Mingguan'!Q68/('Konsumsi &amp; Pareto 2 Mingguan'!Q$44+'Konsumsi &amp; Pareto 2 Mingguan'!Q$57)*'HK - BDGT'!Q$32</f>
        <v>419529.13802814356</v>
      </c>
      <c r="R60" s="183">
        <f>'Konsumsi &amp; Pareto 2 Mingguan'!R68/('Konsumsi &amp; Pareto 2 Mingguan'!R$44+'Konsumsi &amp; Pareto 2 Mingguan'!R$57)*'HK - BDGT'!R$32</f>
        <v>409522.3368084993</v>
      </c>
      <c r="S60" s="183">
        <f>'Konsumsi &amp; Pareto 2 Mingguan'!S68/('Konsumsi &amp; Pareto 2 Mingguan'!S$44+'Konsumsi &amp; Pareto 2 Mingguan'!S$57)*'HK - BDGT'!S$32</f>
        <v>365275.84945427196</v>
      </c>
      <c r="T60" s="183" t="e">
        <f>'Konsumsi &amp; Pareto 2 Mingguan'!T68/('Konsumsi &amp; Pareto 2 Mingguan'!T$44+'Konsumsi &amp; Pareto 2 Mingguan'!T$57)*'HK - BDGT'!T$32</f>
        <v>#DIV/0!</v>
      </c>
      <c r="U60" s="183" t="e">
        <f>'Konsumsi &amp; Pareto 2 Mingguan'!U68/('Konsumsi &amp; Pareto 2 Mingguan'!U$44+'Konsumsi &amp; Pareto 2 Mingguan'!U$57)*'HK - BDGT'!U$32</f>
        <v>#DIV/0!</v>
      </c>
      <c r="V60" s="183" t="e">
        <f>'Konsumsi &amp; Pareto 2 Mingguan'!V68/('Konsumsi &amp; Pareto 2 Mingguan'!V$44+'Konsumsi &amp; Pareto 2 Mingguan'!V$57)*'HK - BDGT'!V$32</f>
        <v>#DIV/0!</v>
      </c>
      <c r="W60" s="183" t="e">
        <f>'Konsumsi &amp; Pareto 2 Mingguan'!W68/('Konsumsi &amp; Pareto 2 Mingguan'!W$44+'Konsumsi &amp; Pareto 2 Mingguan'!W$57)*'HK - BDGT'!W$32</f>
        <v>#DIV/0!</v>
      </c>
      <c r="X60" s="183" t="e">
        <f>'Konsumsi &amp; Pareto 2 Mingguan'!X68/('Konsumsi &amp; Pareto 2 Mingguan'!X$44+'Konsumsi &amp; Pareto 2 Mingguan'!X$57)*'HK - BDGT'!X$32</f>
        <v>#DIV/0!</v>
      </c>
      <c r="Y60" s="183" t="e">
        <f>'Konsumsi &amp; Pareto 2 Mingguan'!Y68/('Konsumsi &amp; Pareto 2 Mingguan'!Y$44+'Konsumsi &amp; Pareto 2 Mingguan'!Y$57)*'HK - BDGT'!Y$32</f>
        <v>#DIV/0!</v>
      </c>
      <c r="Z60" s="183" t="e">
        <f>'Konsumsi &amp; Pareto 2 Mingguan'!Z68/('Konsumsi &amp; Pareto 2 Mingguan'!Z$44+'Konsumsi &amp; Pareto 2 Mingguan'!Z$57)*'HK - BDGT'!Z$32</f>
        <v>#DIV/0!</v>
      </c>
      <c r="AA60" s="183" t="e">
        <f>'Konsumsi &amp; Pareto 2 Mingguan'!AA68/('Konsumsi &amp; Pareto 2 Mingguan'!AA$44+'Konsumsi &amp; Pareto 2 Mingguan'!AA$57)*'HK - BDGT'!AA$32</f>
        <v>#DIV/0!</v>
      </c>
      <c r="AB60" s="183" t="e">
        <f>'Konsumsi &amp; Pareto 2 Mingguan'!AB68/('Konsumsi &amp; Pareto 2 Mingguan'!AB$44+'Konsumsi &amp; Pareto 2 Mingguan'!AB$57)*'HK - BDGT'!AB$32</f>
        <v>#DIV/0!</v>
      </c>
      <c r="AC60" s="183" t="e">
        <f>'Konsumsi &amp; Pareto 2 Mingguan'!AC68/('Konsumsi &amp; Pareto 2 Mingguan'!AC$44+'Konsumsi &amp; Pareto 2 Mingguan'!AC$57)*'HK - BDGT'!AC$32</f>
        <v>#DIV/0!</v>
      </c>
      <c r="AD60" s="183" t="e">
        <f>'Konsumsi &amp; Pareto 2 Mingguan'!AD68/('Konsumsi &amp; Pareto 2 Mingguan'!AD$44+'Konsumsi &amp; Pareto 2 Mingguan'!AD$57)*'HK - BDGT'!AD$32</f>
        <v>#DIV/0!</v>
      </c>
      <c r="AE60" s="183" t="e">
        <f>'Konsumsi &amp; Pareto 2 Mingguan'!AE68/('Konsumsi &amp; Pareto 2 Mingguan'!AE$44+'Konsumsi &amp; Pareto 2 Mingguan'!AE$57)*'HK - BDGT'!AE$32</f>
        <v>#DIV/0!</v>
      </c>
    </row>
    <row r="61" spans="2:34" outlineLevel="1">
      <c r="B61" s="76" t="s">
        <v>50</v>
      </c>
      <c r="C61" s="75" t="s">
        <v>72</v>
      </c>
      <c r="D61" s="8" t="s">
        <v>109</v>
      </c>
      <c r="E61" s="90">
        <v>294.51015124738092</v>
      </c>
      <c r="F61" s="90">
        <v>394.59896240078592</v>
      </c>
      <c r="G61" s="65" t="e">
        <f t="shared" si="27"/>
        <v>#DIV/0!</v>
      </c>
      <c r="H61" s="183">
        <f t="shared" ref="H61:AD61" si="30">SUM(H62:H63)</f>
        <v>21671564.677743703</v>
      </c>
      <c r="I61" s="183">
        <f t="shared" ref="I61:AE61" si="31">SUM(I62:I63)</f>
        <v>19536679.631198514</v>
      </c>
      <c r="J61" s="183">
        <f t="shared" si="30"/>
        <v>22807331.922084518</v>
      </c>
      <c r="K61" s="183">
        <f t="shared" si="31"/>
        <v>25616970.006011486</v>
      </c>
      <c r="L61" s="183">
        <f t="shared" si="30"/>
        <v>29285380.004035823</v>
      </c>
      <c r="M61" s="183">
        <f t="shared" si="31"/>
        <v>21487988.44436191</v>
      </c>
      <c r="N61" s="183">
        <f t="shared" si="30"/>
        <v>24930260.611855317</v>
      </c>
      <c r="O61" s="183">
        <f t="shared" si="31"/>
        <v>23782938.68241372</v>
      </c>
      <c r="P61" s="183">
        <f t="shared" si="30"/>
        <v>21951856.491266407</v>
      </c>
      <c r="Q61" s="183">
        <f t="shared" si="31"/>
        <v>16695236.268345505</v>
      </c>
      <c r="R61" s="183">
        <f t="shared" si="30"/>
        <v>30829093.23646513</v>
      </c>
      <c r="S61" s="183">
        <f t="shared" si="31"/>
        <v>24145129.010321926</v>
      </c>
      <c r="T61" s="183" t="e">
        <f t="shared" si="30"/>
        <v>#DIV/0!</v>
      </c>
      <c r="U61" s="183" t="e">
        <f t="shared" si="31"/>
        <v>#DIV/0!</v>
      </c>
      <c r="V61" s="183" t="e">
        <f t="shared" si="30"/>
        <v>#DIV/0!</v>
      </c>
      <c r="W61" s="183" t="e">
        <f t="shared" si="31"/>
        <v>#DIV/0!</v>
      </c>
      <c r="X61" s="183" t="e">
        <f t="shared" si="30"/>
        <v>#DIV/0!</v>
      </c>
      <c r="Y61" s="183" t="e">
        <f t="shared" si="31"/>
        <v>#DIV/0!</v>
      </c>
      <c r="Z61" s="183" t="e">
        <f t="shared" si="30"/>
        <v>#DIV/0!</v>
      </c>
      <c r="AA61" s="183" t="e">
        <f t="shared" si="31"/>
        <v>#DIV/0!</v>
      </c>
      <c r="AB61" s="183" t="e">
        <f t="shared" si="30"/>
        <v>#DIV/0!</v>
      </c>
      <c r="AC61" s="183" t="e">
        <f t="shared" si="31"/>
        <v>#DIV/0!</v>
      </c>
      <c r="AD61" s="183" t="e">
        <f t="shared" si="30"/>
        <v>#DIV/0!</v>
      </c>
      <c r="AE61" s="183" t="e">
        <f t="shared" si="31"/>
        <v>#DIV/0!</v>
      </c>
    </row>
    <row r="62" spans="2:34" outlineLevel="1">
      <c r="B62" s="77" t="s">
        <v>0</v>
      </c>
      <c r="C62" s="75"/>
      <c r="D62" s="8" t="s">
        <v>109</v>
      </c>
      <c r="E62" s="90">
        <v>68.000380559281183</v>
      </c>
      <c r="F62" s="90">
        <v>84.599610521427692</v>
      </c>
      <c r="G62" s="65" t="e">
        <f t="shared" si="27"/>
        <v>#DIV/0!</v>
      </c>
      <c r="H62" s="183">
        <f>'Konsumsi &amp; Pareto 2 Mingguan'!H70/('Konsumsi &amp; Pareto 2 Mingguan'!H$44+'Konsumsi &amp; Pareto 2 Mingguan'!H$57)*'HK - BDGT'!H$32</f>
        <v>5588022.4223176902</v>
      </c>
      <c r="I62" s="183">
        <f>'Konsumsi &amp; Pareto 2 Mingguan'!I70/('Konsumsi &amp; Pareto 2 Mingguan'!I$44+'Konsumsi &amp; Pareto 2 Mingguan'!I$57)*'HK - BDGT'!I$32</f>
        <v>4335735.9949759347</v>
      </c>
      <c r="J62" s="183">
        <f>'Konsumsi &amp; Pareto 2 Mingguan'!J70/('Konsumsi &amp; Pareto 2 Mingguan'!J$44+'Konsumsi &amp; Pareto 2 Mingguan'!J$57)*'HK - BDGT'!J$32</f>
        <v>5619519.2796715507</v>
      </c>
      <c r="K62" s="183">
        <f>'Konsumsi &amp; Pareto 2 Mingguan'!K70/('Konsumsi &amp; Pareto 2 Mingguan'!K$44+'Konsumsi &amp; Pareto 2 Mingguan'!K$57)*'HK - BDGT'!K$32</f>
        <v>6843803.7508645225</v>
      </c>
      <c r="L62" s="183">
        <f>'Konsumsi &amp; Pareto 2 Mingguan'!L70/('Konsumsi &amp; Pareto 2 Mingguan'!L$44+'Konsumsi &amp; Pareto 2 Mingguan'!L$57)*'HK - BDGT'!L$32</f>
        <v>9095855.6173441913</v>
      </c>
      <c r="M62" s="183">
        <f>'Konsumsi &amp; Pareto 2 Mingguan'!M70/('Konsumsi &amp; Pareto 2 Mingguan'!M$44+'Konsumsi &amp; Pareto 2 Mingguan'!M$57)*'HK - BDGT'!M$32</f>
        <v>5381104.886854602</v>
      </c>
      <c r="N62" s="183">
        <f>'Konsumsi &amp; Pareto 2 Mingguan'!N70/('Konsumsi &amp; Pareto 2 Mingguan'!N$44+'Konsumsi &amp; Pareto 2 Mingguan'!N$57)*'HK - BDGT'!N$32</f>
        <v>7390756.3939525262</v>
      </c>
      <c r="O62" s="183">
        <f>'Konsumsi &amp; Pareto 2 Mingguan'!O70/('Konsumsi &amp; Pareto 2 Mingguan'!O$44+'Konsumsi &amp; Pareto 2 Mingguan'!O$57)*'HK - BDGT'!O$32</f>
        <v>7063867.9577420242</v>
      </c>
      <c r="P62" s="183">
        <f>'Konsumsi &amp; Pareto 2 Mingguan'!P70/('Konsumsi &amp; Pareto 2 Mingguan'!P$44+'Konsumsi &amp; Pareto 2 Mingguan'!P$57)*'HK - BDGT'!P$32</f>
        <v>6579483.0432849769</v>
      </c>
      <c r="Q62" s="183">
        <f>'Konsumsi &amp; Pareto 2 Mingguan'!Q70/('Konsumsi &amp; Pareto 2 Mingguan'!Q$44+'Konsumsi &amp; Pareto 2 Mingguan'!Q$57)*'HK - BDGT'!Q$32</f>
        <v>1193282.5157147439</v>
      </c>
      <c r="R62" s="183">
        <f>'Konsumsi &amp; Pareto 2 Mingguan'!R70/('Konsumsi &amp; Pareto 2 Mingguan'!R$44+'Konsumsi &amp; Pareto 2 Mingguan'!R$57)*'HK - BDGT'!R$32</f>
        <v>8178939.9178648805</v>
      </c>
      <c r="S62" s="183">
        <f>'Konsumsi &amp; Pareto 2 Mingguan'!S70/('Konsumsi &amp; Pareto 2 Mingguan'!S$44+'Konsumsi &amp; Pareto 2 Mingguan'!S$57)*'HK - BDGT'!S$32</f>
        <v>5379416.2618377497</v>
      </c>
      <c r="T62" s="183" t="e">
        <f>'Konsumsi &amp; Pareto 2 Mingguan'!T70/('Konsumsi &amp; Pareto 2 Mingguan'!T$44+'Konsumsi &amp; Pareto 2 Mingguan'!T$57)*'HK - BDGT'!T$32</f>
        <v>#DIV/0!</v>
      </c>
      <c r="U62" s="183" t="e">
        <f>'Konsumsi &amp; Pareto 2 Mingguan'!U70/('Konsumsi &amp; Pareto 2 Mingguan'!U$44+'Konsumsi &amp; Pareto 2 Mingguan'!U$57)*'HK - BDGT'!U$32</f>
        <v>#DIV/0!</v>
      </c>
      <c r="V62" s="183" t="e">
        <f>'Konsumsi &amp; Pareto 2 Mingguan'!V70/('Konsumsi &amp; Pareto 2 Mingguan'!V$44+'Konsumsi &amp; Pareto 2 Mingguan'!V$57)*'HK - BDGT'!V$32</f>
        <v>#DIV/0!</v>
      </c>
      <c r="W62" s="183" t="e">
        <f>'Konsumsi &amp; Pareto 2 Mingguan'!W70/('Konsumsi &amp; Pareto 2 Mingguan'!W$44+'Konsumsi &amp; Pareto 2 Mingguan'!W$57)*'HK - BDGT'!W$32</f>
        <v>#DIV/0!</v>
      </c>
      <c r="X62" s="183" t="e">
        <f>'Konsumsi &amp; Pareto 2 Mingguan'!X70/('Konsumsi &amp; Pareto 2 Mingguan'!X$44+'Konsumsi &amp; Pareto 2 Mingguan'!X$57)*'HK - BDGT'!X$32</f>
        <v>#DIV/0!</v>
      </c>
      <c r="Y62" s="183" t="e">
        <f>'Konsumsi &amp; Pareto 2 Mingguan'!Y70/('Konsumsi &amp; Pareto 2 Mingguan'!Y$44+'Konsumsi &amp; Pareto 2 Mingguan'!Y$57)*'HK - BDGT'!Y$32</f>
        <v>#DIV/0!</v>
      </c>
      <c r="Z62" s="183" t="e">
        <f>'Konsumsi &amp; Pareto 2 Mingguan'!Z70/('Konsumsi &amp; Pareto 2 Mingguan'!Z$44+'Konsumsi &amp; Pareto 2 Mingguan'!Z$57)*'HK - BDGT'!Z$32</f>
        <v>#DIV/0!</v>
      </c>
      <c r="AA62" s="183" t="e">
        <f>'Konsumsi &amp; Pareto 2 Mingguan'!AA70/('Konsumsi &amp; Pareto 2 Mingguan'!AA$44+'Konsumsi &amp; Pareto 2 Mingguan'!AA$57)*'HK - BDGT'!AA$32</f>
        <v>#DIV/0!</v>
      </c>
      <c r="AB62" s="183" t="e">
        <f>'Konsumsi &amp; Pareto 2 Mingguan'!AB70/('Konsumsi &amp; Pareto 2 Mingguan'!AB$44+'Konsumsi &amp; Pareto 2 Mingguan'!AB$57)*'HK - BDGT'!AB$32</f>
        <v>#DIV/0!</v>
      </c>
      <c r="AC62" s="183" t="e">
        <f>'Konsumsi &amp; Pareto 2 Mingguan'!AC70/('Konsumsi &amp; Pareto 2 Mingguan'!AC$44+'Konsumsi &amp; Pareto 2 Mingguan'!AC$57)*'HK - BDGT'!AC$32</f>
        <v>#DIV/0!</v>
      </c>
      <c r="AD62" s="183" t="e">
        <f>'Konsumsi &amp; Pareto 2 Mingguan'!AD70/('Konsumsi &amp; Pareto 2 Mingguan'!AD$44+'Konsumsi &amp; Pareto 2 Mingguan'!AD$57)*'HK - BDGT'!AD$32</f>
        <v>#DIV/0!</v>
      </c>
      <c r="AE62" s="183" t="e">
        <f>'Konsumsi &amp; Pareto 2 Mingguan'!AE70/('Konsumsi &amp; Pareto 2 Mingguan'!AE$44+'Konsumsi &amp; Pareto 2 Mingguan'!AE$57)*'HK - BDGT'!AE$32</f>
        <v>#DIV/0!</v>
      </c>
    </row>
    <row r="63" spans="2:34" outlineLevel="1">
      <c r="B63" s="77" t="s">
        <v>1</v>
      </c>
      <c r="C63" s="75"/>
      <c r="D63" s="8" t="s">
        <v>109</v>
      </c>
      <c r="E63" s="90">
        <v>231.46774773991598</v>
      </c>
      <c r="F63" s="90">
        <v>309.99935187935819</v>
      </c>
      <c r="G63" s="65" t="e">
        <f t="shared" si="27"/>
        <v>#DIV/0!</v>
      </c>
      <c r="H63" s="183">
        <f>'Konsumsi &amp; Pareto 2 Mingguan'!H71/('Konsumsi &amp; Pareto 2 Mingguan'!H$44+'Konsumsi &amp; Pareto 2 Mingguan'!H$57)*'HK - BDGT'!H$32</f>
        <v>16083542.255426012</v>
      </c>
      <c r="I63" s="183">
        <f>'Konsumsi &amp; Pareto 2 Mingguan'!I71/('Konsumsi &amp; Pareto 2 Mingguan'!I$44+'Konsumsi &amp; Pareto 2 Mingguan'!I$57)*'HK - BDGT'!I$32</f>
        <v>15200943.63622258</v>
      </c>
      <c r="J63" s="183">
        <f>'Konsumsi &amp; Pareto 2 Mingguan'!J71/('Konsumsi &amp; Pareto 2 Mingguan'!J$44+'Konsumsi &amp; Pareto 2 Mingguan'!J$57)*'HK - BDGT'!J$32</f>
        <v>17187812.642412968</v>
      </c>
      <c r="K63" s="183">
        <f>'Konsumsi &amp; Pareto 2 Mingguan'!K71/('Konsumsi &amp; Pareto 2 Mingguan'!K$44+'Konsumsi &amp; Pareto 2 Mingguan'!K$57)*'HK - BDGT'!K$32</f>
        <v>18773166.255146965</v>
      </c>
      <c r="L63" s="183">
        <f>'Konsumsi &amp; Pareto 2 Mingguan'!L71/('Konsumsi &amp; Pareto 2 Mingguan'!L$44+'Konsumsi &amp; Pareto 2 Mingguan'!L$57)*'HK - BDGT'!L$32</f>
        <v>20189524.386691634</v>
      </c>
      <c r="M63" s="183">
        <f>'Konsumsi &amp; Pareto 2 Mingguan'!M71/('Konsumsi &amp; Pareto 2 Mingguan'!M$44+'Konsumsi &amp; Pareto 2 Mingguan'!M$57)*'HK - BDGT'!M$32</f>
        <v>16106883.557507308</v>
      </c>
      <c r="N63" s="183">
        <f>'Konsumsi &amp; Pareto 2 Mingguan'!N71/('Konsumsi &amp; Pareto 2 Mingguan'!N$44+'Konsumsi &amp; Pareto 2 Mingguan'!N$57)*'HK - BDGT'!N$32</f>
        <v>17539504.217902791</v>
      </c>
      <c r="O63" s="183">
        <f>'Konsumsi &amp; Pareto 2 Mingguan'!O71/('Konsumsi &amp; Pareto 2 Mingguan'!O$44+'Konsumsi &amp; Pareto 2 Mingguan'!O$57)*'HK - BDGT'!O$32</f>
        <v>16719070.724671697</v>
      </c>
      <c r="P63" s="183">
        <f>'Konsumsi &amp; Pareto 2 Mingguan'!P71/('Konsumsi &amp; Pareto 2 Mingguan'!P$44+'Konsumsi &amp; Pareto 2 Mingguan'!P$57)*'HK - BDGT'!P$32</f>
        <v>15372373.447981428</v>
      </c>
      <c r="Q63" s="183">
        <f>'Konsumsi &amp; Pareto 2 Mingguan'!Q71/('Konsumsi &amp; Pareto 2 Mingguan'!Q$44+'Konsumsi &amp; Pareto 2 Mingguan'!Q$57)*'HK - BDGT'!Q$32</f>
        <v>15501953.752630761</v>
      </c>
      <c r="R63" s="183">
        <f>'Konsumsi &amp; Pareto 2 Mingguan'!R71/('Konsumsi &amp; Pareto 2 Mingguan'!R$44+'Konsumsi &amp; Pareto 2 Mingguan'!R$57)*'HK - BDGT'!R$32</f>
        <v>22650153.318600249</v>
      </c>
      <c r="S63" s="183">
        <f>'Konsumsi &amp; Pareto 2 Mingguan'!S71/('Konsumsi &amp; Pareto 2 Mingguan'!S$44+'Konsumsi &amp; Pareto 2 Mingguan'!S$57)*'HK - BDGT'!S$32</f>
        <v>18765712.748484176</v>
      </c>
      <c r="T63" s="183" t="e">
        <f>'Konsumsi &amp; Pareto 2 Mingguan'!T71/('Konsumsi &amp; Pareto 2 Mingguan'!T$44+'Konsumsi &amp; Pareto 2 Mingguan'!T$57)*'HK - BDGT'!T$32</f>
        <v>#DIV/0!</v>
      </c>
      <c r="U63" s="183" t="e">
        <f>'Konsumsi &amp; Pareto 2 Mingguan'!U71/('Konsumsi &amp; Pareto 2 Mingguan'!U$44+'Konsumsi &amp; Pareto 2 Mingguan'!U$57)*'HK - BDGT'!U$32</f>
        <v>#DIV/0!</v>
      </c>
      <c r="V63" s="183" t="e">
        <f>'Konsumsi &amp; Pareto 2 Mingguan'!V71/('Konsumsi &amp; Pareto 2 Mingguan'!V$44+'Konsumsi &amp; Pareto 2 Mingguan'!V$57)*'HK - BDGT'!V$32</f>
        <v>#DIV/0!</v>
      </c>
      <c r="W63" s="183" t="e">
        <f>'Konsumsi &amp; Pareto 2 Mingguan'!W71/('Konsumsi &amp; Pareto 2 Mingguan'!W$44+'Konsumsi &amp; Pareto 2 Mingguan'!W$57)*'HK - BDGT'!W$32</f>
        <v>#DIV/0!</v>
      </c>
      <c r="X63" s="183" t="e">
        <f>'Konsumsi &amp; Pareto 2 Mingguan'!X71/('Konsumsi &amp; Pareto 2 Mingguan'!X$44+'Konsumsi &amp; Pareto 2 Mingguan'!X$57)*'HK - BDGT'!X$32</f>
        <v>#DIV/0!</v>
      </c>
      <c r="Y63" s="183" t="e">
        <f>'Konsumsi &amp; Pareto 2 Mingguan'!Y71/('Konsumsi &amp; Pareto 2 Mingguan'!Y$44+'Konsumsi &amp; Pareto 2 Mingguan'!Y$57)*'HK - BDGT'!Y$32</f>
        <v>#DIV/0!</v>
      </c>
      <c r="Z63" s="183" t="e">
        <f>'Konsumsi &amp; Pareto 2 Mingguan'!Z71/('Konsumsi &amp; Pareto 2 Mingguan'!Z$44+'Konsumsi &amp; Pareto 2 Mingguan'!Z$57)*'HK - BDGT'!Z$32</f>
        <v>#DIV/0!</v>
      </c>
      <c r="AA63" s="183" t="e">
        <f>'Konsumsi &amp; Pareto 2 Mingguan'!AA71/('Konsumsi &amp; Pareto 2 Mingguan'!AA$44+'Konsumsi &amp; Pareto 2 Mingguan'!AA$57)*'HK - BDGT'!AA$32</f>
        <v>#DIV/0!</v>
      </c>
      <c r="AB63" s="183" t="e">
        <f>'Konsumsi &amp; Pareto 2 Mingguan'!AB71/('Konsumsi &amp; Pareto 2 Mingguan'!AB$44+'Konsumsi &amp; Pareto 2 Mingguan'!AB$57)*'HK - BDGT'!AB$32</f>
        <v>#DIV/0!</v>
      </c>
      <c r="AC63" s="183" t="e">
        <f>'Konsumsi &amp; Pareto 2 Mingguan'!AC71/('Konsumsi &amp; Pareto 2 Mingguan'!AC$44+'Konsumsi &amp; Pareto 2 Mingguan'!AC$57)*'HK - BDGT'!AC$32</f>
        <v>#DIV/0!</v>
      </c>
      <c r="AD63" s="183" t="e">
        <f>'Konsumsi &amp; Pareto 2 Mingguan'!AD71/('Konsumsi &amp; Pareto 2 Mingguan'!AD$44+'Konsumsi &amp; Pareto 2 Mingguan'!AD$57)*'HK - BDGT'!AD$32</f>
        <v>#DIV/0!</v>
      </c>
      <c r="AE63" s="183" t="e">
        <f>'Konsumsi &amp; Pareto 2 Mingguan'!AE71/('Konsumsi &amp; Pareto 2 Mingguan'!AE$44+'Konsumsi &amp; Pareto 2 Mingguan'!AE$57)*'HK - BDGT'!AE$32</f>
        <v>#DIV/0!</v>
      </c>
    </row>
    <row r="64" spans="2:34" outlineLevel="1"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</row>
    <row r="65" spans="2:32" outlineLevel="1"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t="s">
        <v>90</v>
      </c>
    </row>
    <row r="66" spans="2:32" ht="15" customHeight="1" outlineLevel="1">
      <c r="B66" s="207" t="s">
        <v>41</v>
      </c>
      <c r="C66" s="201"/>
      <c r="D66" s="206"/>
      <c r="E66" s="206"/>
      <c r="F66" s="206" t="s">
        <v>167</v>
      </c>
      <c r="G66" s="201" t="s">
        <v>38</v>
      </c>
      <c r="H66" s="212" t="s">
        <v>2</v>
      </c>
      <c r="I66" s="212"/>
      <c r="J66" s="212" t="s">
        <v>3</v>
      </c>
      <c r="K66" s="212"/>
      <c r="L66" s="212" t="s">
        <v>4</v>
      </c>
      <c r="M66" s="212"/>
      <c r="N66" s="212" t="s">
        <v>5</v>
      </c>
      <c r="O66" s="212"/>
      <c r="P66" s="212" t="s">
        <v>6</v>
      </c>
      <c r="Q66" s="212"/>
      <c r="R66" s="212" t="s">
        <v>7</v>
      </c>
      <c r="S66" s="212"/>
      <c r="T66" s="212" t="s">
        <v>8</v>
      </c>
      <c r="U66" s="212"/>
      <c r="V66" s="212" t="s">
        <v>9</v>
      </c>
      <c r="W66" s="212"/>
      <c r="X66" s="212" t="s">
        <v>10</v>
      </c>
      <c r="Y66" s="212"/>
      <c r="Z66" s="212" t="s">
        <v>11</v>
      </c>
      <c r="AA66" s="212"/>
      <c r="AB66" s="212" t="s">
        <v>12</v>
      </c>
      <c r="AC66" s="212"/>
      <c r="AD66" s="212" t="s">
        <v>13</v>
      </c>
      <c r="AE66" s="212"/>
    </row>
    <row r="67" spans="2:32" ht="15" customHeight="1" outlineLevel="1">
      <c r="B67" s="208"/>
      <c r="C67" s="202"/>
      <c r="D67" s="206"/>
      <c r="E67" s="206"/>
      <c r="F67" s="206"/>
      <c r="G67" s="202"/>
      <c r="H67" s="168">
        <v>15</v>
      </c>
      <c r="I67" s="168">
        <v>31</v>
      </c>
      <c r="J67" s="168">
        <v>14</v>
      </c>
      <c r="K67" s="168">
        <v>28</v>
      </c>
      <c r="L67" s="168">
        <v>15</v>
      </c>
      <c r="M67" s="168">
        <v>31</v>
      </c>
      <c r="N67" s="168">
        <v>15</v>
      </c>
      <c r="O67" s="168">
        <v>30</v>
      </c>
      <c r="P67" s="168">
        <v>15</v>
      </c>
      <c r="Q67" s="168">
        <v>31</v>
      </c>
      <c r="R67" s="168">
        <v>15</v>
      </c>
      <c r="S67" s="168">
        <v>30</v>
      </c>
      <c r="T67" s="168">
        <v>15</v>
      </c>
      <c r="U67" s="168">
        <v>31</v>
      </c>
      <c r="V67" s="168">
        <v>15</v>
      </c>
      <c r="W67" s="168">
        <v>31</v>
      </c>
      <c r="X67" s="168">
        <v>15</v>
      </c>
      <c r="Y67" s="168">
        <v>30</v>
      </c>
      <c r="Z67" s="168">
        <v>15</v>
      </c>
      <c r="AA67" s="168">
        <v>31</v>
      </c>
      <c r="AB67" s="168">
        <v>15</v>
      </c>
      <c r="AC67" s="168">
        <v>30</v>
      </c>
      <c r="AD67" s="168">
        <v>15</v>
      </c>
      <c r="AE67" s="168">
        <v>31</v>
      </c>
    </row>
    <row r="68" spans="2:32" outlineLevel="1">
      <c r="B68" s="69" t="s">
        <v>128</v>
      </c>
      <c r="C68" s="69"/>
      <c r="D68" s="8" t="s">
        <v>109</v>
      </c>
      <c r="E68" s="90"/>
      <c r="F68" s="90">
        <v>1360.2265621363738</v>
      </c>
      <c r="G68" s="65" t="e">
        <f t="shared" ref="G68:G71" si="32">SUM(H68:AE68)</f>
        <v>#DIV/0!</v>
      </c>
      <c r="H68" s="183">
        <f>SUM(H37,H40,H41,H46,H47)</f>
        <v>82201600.959386885</v>
      </c>
      <c r="I68" s="183">
        <f t="shared" ref="I68:AE68" si="33">SUM(I37,I40,I41,I46,I47)</f>
        <v>67994784.872015163</v>
      </c>
      <c r="J68" s="89">
        <f t="shared" si="33"/>
        <v>82484012.622849345</v>
      </c>
      <c r="K68" s="89">
        <f t="shared" si="33"/>
        <v>75971718.706523985</v>
      </c>
      <c r="L68" s="89">
        <f t="shared" si="33"/>
        <v>81461097.487367287</v>
      </c>
      <c r="M68" s="89">
        <f t="shared" si="33"/>
        <v>83547886.861350328</v>
      </c>
      <c r="N68" s="89">
        <f t="shared" si="33"/>
        <v>104734421.58670905</v>
      </c>
      <c r="O68" s="89">
        <f t="shared" si="33"/>
        <v>76850183.211590037</v>
      </c>
      <c r="P68" s="89">
        <f t="shared" si="33"/>
        <v>47657301.937044755</v>
      </c>
      <c r="Q68" s="89">
        <f t="shared" si="33"/>
        <v>33765603.204611719</v>
      </c>
      <c r="R68" s="89">
        <f t="shared" si="33"/>
        <v>86863859.395286471</v>
      </c>
      <c r="S68" s="89">
        <f t="shared" si="33"/>
        <v>68819544.318962321</v>
      </c>
      <c r="T68" s="89" t="e">
        <f t="shared" si="33"/>
        <v>#DIV/0!</v>
      </c>
      <c r="U68" s="89" t="e">
        <f t="shared" si="33"/>
        <v>#DIV/0!</v>
      </c>
      <c r="V68" s="89" t="e">
        <f t="shared" si="33"/>
        <v>#DIV/0!</v>
      </c>
      <c r="W68" s="89" t="e">
        <f t="shared" si="33"/>
        <v>#DIV/0!</v>
      </c>
      <c r="X68" s="89" t="e">
        <f t="shared" si="33"/>
        <v>#DIV/0!</v>
      </c>
      <c r="Y68" s="89" t="e">
        <f t="shared" si="33"/>
        <v>#DIV/0!</v>
      </c>
      <c r="Z68" s="89" t="e">
        <f t="shared" si="33"/>
        <v>#DIV/0!</v>
      </c>
      <c r="AA68" s="89" t="e">
        <f t="shared" si="33"/>
        <v>#DIV/0!</v>
      </c>
      <c r="AB68" s="89" t="e">
        <f>SUM(AB37,AB40,AB41,AB46,AB47)</f>
        <v>#DIV/0!</v>
      </c>
      <c r="AC68" s="89" t="e">
        <f t="shared" si="33"/>
        <v>#DIV/0!</v>
      </c>
      <c r="AD68" s="89" t="e">
        <f t="shared" si="33"/>
        <v>#DIV/0!</v>
      </c>
      <c r="AE68" s="89" t="e">
        <f t="shared" si="33"/>
        <v>#DIV/0!</v>
      </c>
    </row>
    <row r="69" spans="2:32" outlineLevel="1">
      <c r="B69" s="69" t="s">
        <v>129</v>
      </c>
      <c r="C69" s="69"/>
      <c r="D69" s="8" t="s">
        <v>109</v>
      </c>
      <c r="E69" s="90"/>
      <c r="F69" s="90">
        <v>733.18425948444576</v>
      </c>
      <c r="G69" s="65" t="e">
        <f t="shared" si="32"/>
        <v>#DIV/0!</v>
      </c>
      <c r="H69" s="183">
        <f>SUM(H42,H43,H44,H45,H39)</f>
        <v>36702187.361712776</v>
      </c>
      <c r="I69" s="183">
        <f t="shared" ref="I69:AE69" si="34">SUM(I42,I43,I44,I45,I39)</f>
        <v>33763671.670471117</v>
      </c>
      <c r="J69" s="89">
        <f t="shared" si="34"/>
        <v>34051709.405445367</v>
      </c>
      <c r="K69" s="89">
        <f t="shared" si="34"/>
        <v>33440506.898084745</v>
      </c>
      <c r="L69" s="89">
        <f t="shared" si="34"/>
        <v>39374288.987140268</v>
      </c>
      <c r="M69" s="89">
        <f t="shared" si="34"/>
        <v>38098530.24551934</v>
      </c>
      <c r="N69" s="89">
        <f t="shared" si="34"/>
        <v>41304331.690868244</v>
      </c>
      <c r="O69" s="89">
        <f t="shared" si="34"/>
        <v>34506164.657174893</v>
      </c>
      <c r="P69" s="89">
        <f t="shared" si="34"/>
        <v>29536372.327843811</v>
      </c>
      <c r="Q69" s="89">
        <f t="shared" si="34"/>
        <v>26885799.524689175</v>
      </c>
      <c r="R69" s="89">
        <f t="shared" si="34"/>
        <v>42480949.986121923</v>
      </c>
      <c r="S69" s="89">
        <f t="shared" si="34"/>
        <v>32022848.749836646</v>
      </c>
      <c r="T69" s="89" t="e">
        <f t="shared" si="34"/>
        <v>#DIV/0!</v>
      </c>
      <c r="U69" s="89" t="e">
        <f t="shared" si="34"/>
        <v>#DIV/0!</v>
      </c>
      <c r="V69" s="89" t="e">
        <f t="shared" si="34"/>
        <v>#DIV/0!</v>
      </c>
      <c r="W69" s="89" t="e">
        <f t="shared" si="34"/>
        <v>#DIV/0!</v>
      </c>
      <c r="X69" s="89" t="e">
        <f t="shared" si="34"/>
        <v>#DIV/0!</v>
      </c>
      <c r="Y69" s="89" t="e">
        <f t="shared" si="34"/>
        <v>#DIV/0!</v>
      </c>
      <c r="Z69" s="89" t="e">
        <f t="shared" si="34"/>
        <v>#DIV/0!</v>
      </c>
      <c r="AA69" s="89" t="e">
        <f t="shared" si="34"/>
        <v>#DIV/0!</v>
      </c>
      <c r="AB69" s="89" t="e">
        <f t="shared" si="34"/>
        <v>#DIV/0!</v>
      </c>
      <c r="AC69" s="89" t="e">
        <f t="shared" si="34"/>
        <v>#DIV/0!</v>
      </c>
      <c r="AD69" s="89" t="e">
        <f t="shared" si="34"/>
        <v>#DIV/0!</v>
      </c>
      <c r="AE69" s="89" t="e">
        <f t="shared" si="34"/>
        <v>#DIV/0!</v>
      </c>
    </row>
    <row r="70" spans="2:32" outlineLevel="1">
      <c r="B70" s="74" t="s">
        <v>127</v>
      </c>
      <c r="C70" s="75"/>
      <c r="D70" s="8" t="s">
        <v>109</v>
      </c>
      <c r="E70" s="90"/>
      <c r="F70" s="90">
        <v>627.80692772186308</v>
      </c>
      <c r="G70" s="65" t="e">
        <f t="shared" si="32"/>
        <v>#DIV/0!</v>
      </c>
      <c r="H70" s="183">
        <f>SUM(H50,H52,H57,H58,H62,H63,H60,H51)</f>
        <v>34204538.732018694</v>
      </c>
      <c r="I70" s="183">
        <f t="shared" ref="I70:AE70" si="35">SUM(I50,I52,I57,I58,I62,I63,I60,I51)</f>
        <v>31614319.175810155</v>
      </c>
      <c r="J70" s="44">
        <f t="shared" si="35"/>
        <v>35280882.120291054</v>
      </c>
      <c r="K70" s="44">
        <f t="shared" si="35"/>
        <v>41222761.630722694</v>
      </c>
      <c r="L70" s="44">
        <f>SUM(L50,L52,L57,L58,L62,L63,L60,L51)</f>
        <v>45169456.665123455</v>
      </c>
      <c r="M70" s="44">
        <f t="shared" si="35"/>
        <v>35030624.34250392</v>
      </c>
      <c r="N70" s="44">
        <f t="shared" si="35"/>
        <v>39399687.734356649</v>
      </c>
      <c r="O70" s="44">
        <f t="shared" si="35"/>
        <v>38126954.005704522</v>
      </c>
      <c r="P70" s="44">
        <f t="shared" si="35"/>
        <v>35207669.511397958</v>
      </c>
      <c r="Q70" s="44">
        <f t="shared" si="35"/>
        <v>24564343.202663947</v>
      </c>
      <c r="R70" s="44">
        <f t="shared" si="35"/>
        <v>47738868.210954838</v>
      </c>
      <c r="S70" s="44">
        <f t="shared" si="35"/>
        <v>37097250.215833478</v>
      </c>
      <c r="T70" s="44" t="e">
        <f t="shared" si="35"/>
        <v>#DIV/0!</v>
      </c>
      <c r="U70" s="44" t="e">
        <f t="shared" si="35"/>
        <v>#DIV/0!</v>
      </c>
      <c r="V70" s="44" t="e">
        <f t="shared" si="35"/>
        <v>#DIV/0!</v>
      </c>
      <c r="W70" s="44" t="e">
        <f t="shared" si="35"/>
        <v>#DIV/0!</v>
      </c>
      <c r="X70" s="44" t="e">
        <f t="shared" si="35"/>
        <v>#DIV/0!</v>
      </c>
      <c r="Y70" s="44" t="e">
        <f t="shared" si="35"/>
        <v>#DIV/0!</v>
      </c>
      <c r="Z70" s="44" t="e">
        <f t="shared" si="35"/>
        <v>#DIV/0!</v>
      </c>
      <c r="AA70" s="44" t="e">
        <f t="shared" si="35"/>
        <v>#DIV/0!</v>
      </c>
      <c r="AB70" s="44" t="e">
        <f t="shared" si="35"/>
        <v>#DIV/0!</v>
      </c>
      <c r="AC70" s="44" t="e">
        <f t="shared" si="35"/>
        <v>#DIV/0!</v>
      </c>
      <c r="AD70" s="44" t="e">
        <f t="shared" si="35"/>
        <v>#DIV/0!</v>
      </c>
      <c r="AE70" s="44" t="e">
        <f t="shared" si="35"/>
        <v>#DIV/0!</v>
      </c>
    </row>
    <row r="71" spans="2:32" outlineLevel="1">
      <c r="B71" s="74" t="s">
        <v>130</v>
      </c>
      <c r="C71" s="75"/>
      <c r="D71" s="8" t="s">
        <v>109</v>
      </c>
      <c r="E71" s="90"/>
      <c r="F71" s="90">
        <v>441.35198189206324</v>
      </c>
      <c r="G71" s="65" t="e">
        <f t="shared" si="32"/>
        <v>#DIV/0!</v>
      </c>
      <c r="H71" s="183">
        <f>SUM(H59,H55,H54,H53)+(H56-H57-H58)</f>
        <v>28096375.68091327</v>
      </c>
      <c r="I71" s="183">
        <f t="shared" ref="I71:AE71" si="36">SUM(I59,I55,I54,I53)+(I56-I57-I58)</f>
        <v>25933987.547671948</v>
      </c>
      <c r="J71" s="44">
        <f t="shared" si="36"/>
        <v>23225128.208403066</v>
      </c>
      <c r="K71" s="44">
        <f t="shared" si="36"/>
        <v>23892733.407679733</v>
      </c>
      <c r="L71" s="44">
        <f t="shared" si="36"/>
        <v>27962804.766214393</v>
      </c>
      <c r="M71" s="44">
        <f t="shared" si="36"/>
        <v>26242210.64478099</v>
      </c>
      <c r="N71" s="44">
        <f t="shared" si="36"/>
        <v>26175095.026193455</v>
      </c>
      <c r="O71" s="44">
        <f t="shared" si="36"/>
        <v>26486735.087403156</v>
      </c>
      <c r="P71" s="44">
        <f t="shared" si="36"/>
        <v>27608290.901273288</v>
      </c>
      <c r="Q71" s="44">
        <f t="shared" si="36"/>
        <v>27530971.390475318</v>
      </c>
      <c r="R71" s="44">
        <f t="shared" si="36"/>
        <v>33290300.990971077</v>
      </c>
      <c r="S71" s="44">
        <f t="shared" si="36"/>
        <v>28652626.132033277</v>
      </c>
      <c r="T71" s="44" t="e">
        <f t="shared" si="36"/>
        <v>#DIV/0!</v>
      </c>
      <c r="U71" s="44" t="e">
        <f t="shared" si="36"/>
        <v>#DIV/0!</v>
      </c>
      <c r="V71" s="44" t="e">
        <f t="shared" si="36"/>
        <v>#DIV/0!</v>
      </c>
      <c r="W71" s="44" t="e">
        <f t="shared" si="36"/>
        <v>#DIV/0!</v>
      </c>
      <c r="X71" s="44" t="e">
        <f t="shared" si="36"/>
        <v>#DIV/0!</v>
      </c>
      <c r="Y71" s="44" t="e">
        <f t="shared" si="36"/>
        <v>#DIV/0!</v>
      </c>
      <c r="Z71" s="44" t="e">
        <f t="shared" si="36"/>
        <v>#DIV/0!</v>
      </c>
      <c r="AA71" s="44" t="e">
        <f t="shared" si="36"/>
        <v>#DIV/0!</v>
      </c>
      <c r="AB71" s="44" t="e">
        <f t="shared" si="36"/>
        <v>#DIV/0!</v>
      </c>
      <c r="AC71" s="44" t="e">
        <f t="shared" si="36"/>
        <v>#DIV/0!</v>
      </c>
      <c r="AD71" s="44" t="e">
        <f t="shared" si="36"/>
        <v>#DIV/0!</v>
      </c>
      <c r="AE71" s="44" t="e">
        <f t="shared" si="36"/>
        <v>#DIV/0!</v>
      </c>
    </row>
    <row r="72" spans="2:32" outlineLevel="1">
      <c r="B72" s="177"/>
      <c r="C72" s="178"/>
      <c r="D72" s="179"/>
      <c r="E72" s="180"/>
      <c r="F72" s="180"/>
      <c r="G72" s="181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</row>
    <row r="73" spans="2:32" ht="15.75" thickBot="1">
      <c r="B73" s="18" t="s">
        <v>96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</row>
    <row r="74" spans="2:32">
      <c r="B74" s="59" t="s">
        <v>97</v>
      </c>
      <c r="C74">
        <v>1.05</v>
      </c>
      <c r="H74" s="80"/>
      <c r="J74" s="80"/>
      <c r="L74" s="80"/>
      <c r="N74" s="80"/>
      <c r="P74" s="80"/>
      <c r="R74" s="80"/>
    </row>
    <row r="75" spans="2:32" ht="15.75" thickBot="1">
      <c r="B75" s="60" t="s">
        <v>98</v>
      </c>
      <c r="C75">
        <v>1.55</v>
      </c>
    </row>
  </sheetData>
  <mergeCells count="254">
    <mergeCell ref="AD66:AE66"/>
    <mergeCell ref="V64:W64"/>
    <mergeCell ref="X64:Y64"/>
    <mergeCell ref="Z64:AA64"/>
    <mergeCell ref="AB64:AC64"/>
    <mergeCell ref="AD64:AE64"/>
    <mergeCell ref="B66:B67"/>
    <mergeCell ref="C66:C67"/>
    <mergeCell ref="D66:D67"/>
    <mergeCell ref="E66:E67"/>
    <mergeCell ref="F66:F67"/>
    <mergeCell ref="G66:G67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B30:C31"/>
    <mergeCell ref="H30:I30"/>
    <mergeCell ref="J30:K30"/>
    <mergeCell ref="L30:M30"/>
    <mergeCell ref="N30:O30"/>
    <mergeCell ref="P30:Q30"/>
    <mergeCell ref="R30:S30"/>
    <mergeCell ref="T30:U30"/>
    <mergeCell ref="V30:W30"/>
    <mergeCell ref="D30:D31"/>
    <mergeCell ref="E30:E31"/>
    <mergeCell ref="F30:F31"/>
    <mergeCell ref="G30:G31"/>
    <mergeCell ref="X30:Y30"/>
    <mergeCell ref="Z30:AA30"/>
    <mergeCell ref="AB30:AC30"/>
    <mergeCell ref="AD30:AE30"/>
    <mergeCell ref="H64:I64"/>
    <mergeCell ref="J64:K64"/>
    <mergeCell ref="L64:M64"/>
    <mergeCell ref="N64:O64"/>
    <mergeCell ref="P64:Q64"/>
    <mergeCell ref="R64:S64"/>
    <mergeCell ref="T64:U64"/>
    <mergeCell ref="G3:G4"/>
    <mergeCell ref="E3:E4"/>
    <mergeCell ref="AD25:AE25"/>
    <mergeCell ref="Z13:AA13"/>
    <mergeCell ref="AB13:AC13"/>
    <mergeCell ref="AD13:AE13"/>
    <mergeCell ref="AD24:AE24"/>
    <mergeCell ref="AD16:AE16"/>
    <mergeCell ref="AB15:AC15"/>
    <mergeCell ref="AD15:AE15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AB16:AC16"/>
    <mergeCell ref="H25:I25"/>
    <mergeCell ref="J25:K25"/>
    <mergeCell ref="L25:M25"/>
    <mergeCell ref="N25:O25"/>
    <mergeCell ref="AB9:AC9"/>
    <mergeCell ref="AD9:AE9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Z5:AA5"/>
    <mergeCell ref="AB5:AC5"/>
    <mergeCell ref="AD5:AE5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R5:S5"/>
    <mergeCell ref="T5:U5"/>
    <mergeCell ref="H5:I5"/>
    <mergeCell ref="J5:K5"/>
    <mergeCell ref="L5:M5"/>
    <mergeCell ref="N5:O5"/>
    <mergeCell ref="P5:Q5"/>
    <mergeCell ref="B5:B6"/>
    <mergeCell ref="X5:Y5"/>
    <mergeCell ref="X3:Y3"/>
    <mergeCell ref="Z3:AA3"/>
    <mergeCell ref="AB3:AC3"/>
    <mergeCell ref="AD3:AE3"/>
    <mergeCell ref="B19:B20"/>
    <mergeCell ref="H19:I19"/>
    <mergeCell ref="J19:K19"/>
    <mergeCell ref="L19:M19"/>
    <mergeCell ref="N19:O19"/>
    <mergeCell ref="P19:Q19"/>
    <mergeCell ref="V5:W5"/>
    <mergeCell ref="B3:C4"/>
    <mergeCell ref="H3:I3"/>
    <mergeCell ref="J3:K3"/>
    <mergeCell ref="L3:M3"/>
    <mergeCell ref="N3:O3"/>
    <mergeCell ref="P3:Q3"/>
    <mergeCell ref="R3:S3"/>
    <mergeCell ref="T3:U3"/>
    <mergeCell ref="V3:W3"/>
    <mergeCell ref="B7:B8"/>
    <mergeCell ref="B9:B10"/>
    <mergeCell ref="B11:B12"/>
    <mergeCell ref="B13:B14"/>
    <mergeCell ref="AD19:AE19"/>
    <mergeCell ref="B22:B23"/>
    <mergeCell ref="H22:I22"/>
    <mergeCell ref="J22:K22"/>
    <mergeCell ref="L22:M22"/>
    <mergeCell ref="N22:O22"/>
    <mergeCell ref="P22:Q22"/>
    <mergeCell ref="R22:S22"/>
    <mergeCell ref="T22:U22"/>
    <mergeCell ref="V22:W22"/>
    <mergeCell ref="R19:S19"/>
    <mergeCell ref="T19:U19"/>
    <mergeCell ref="V19:W19"/>
    <mergeCell ref="X19:Y19"/>
    <mergeCell ref="Z19:AA19"/>
    <mergeCell ref="AB19:AC19"/>
    <mergeCell ref="B15:C15"/>
    <mergeCell ref="B16:C16"/>
    <mergeCell ref="H15:I15"/>
    <mergeCell ref="J15:K15"/>
    <mergeCell ref="L15:M15"/>
    <mergeCell ref="N15:O15"/>
    <mergeCell ref="AD21:AE21"/>
    <mergeCell ref="H24:I24"/>
    <mergeCell ref="J24:K24"/>
    <mergeCell ref="L24:M24"/>
    <mergeCell ref="N24:O24"/>
    <mergeCell ref="P24:Q24"/>
    <mergeCell ref="R24:S24"/>
    <mergeCell ref="T24:U24"/>
    <mergeCell ref="V24:W24"/>
    <mergeCell ref="P21:Q21"/>
    <mergeCell ref="R21:S21"/>
    <mergeCell ref="T21:U21"/>
    <mergeCell ref="V21:W21"/>
    <mergeCell ref="X21:Y21"/>
    <mergeCell ref="Z21:AA21"/>
    <mergeCell ref="X22:Y22"/>
    <mergeCell ref="Z22:AA22"/>
    <mergeCell ref="AB22:AC22"/>
    <mergeCell ref="AD22:AE22"/>
    <mergeCell ref="H21:I21"/>
    <mergeCell ref="AB24:AC24"/>
    <mergeCell ref="P15:Q15"/>
    <mergeCell ref="R15:S15"/>
    <mergeCell ref="T15:U15"/>
    <mergeCell ref="V15:W15"/>
    <mergeCell ref="X15:Y15"/>
    <mergeCell ref="Z15:AA15"/>
    <mergeCell ref="X24:Y24"/>
    <mergeCell ref="Z24:AA24"/>
    <mergeCell ref="P16:Q16"/>
    <mergeCell ref="R16:S16"/>
    <mergeCell ref="T16:U16"/>
    <mergeCell ref="V16:W16"/>
    <mergeCell ref="AB26:AC26"/>
    <mergeCell ref="B21:C21"/>
    <mergeCell ref="B24:C24"/>
    <mergeCell ref="J21:K21"/>
    <mergeCell ref="L21:M21"/>
    <mergeCell ref="N21:O21"/>
    <mergeCell ref="X16:Y16"/>
    <mergeCell ref="Z16:AA16"/>
    <mergeCell ref="X25:Y25"/>
    <mergeCell ref="Z25:AA25"/>
    <mergeCell ref="J16:K16"/>
    <mergeCell ref="L16:M16"/>
    <mergeCell ref="N16:O16"/>
    <mergeCell ref="H16:I16"/>
    <mergeCell ref="AB25:AC25"/>
    <mergeCell ref="R25:S25"/>
    <mergeCell ref="T25:U25"/>
    <mergeCell ref="V25:W25"/>
    <mergeCell ref="P25:Q25"/>
    <mergeCell ref="AB21:AC21"/>
    <mergeCell ref="F3:F4"/>
    <mergeCell ref="AD26:AE26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Z28:AA28"/>
    <mergeCell ref="AB28:AC28"/>
    <mergeCell ref="AD28:AE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89"/>
  <sheetViews>
    <sheetView view="pageBreakPreview" topLeftCell="B1" zoomScaleNormal="70" zoomScaleSheetLayoutView="100" workbookViewId="0">
      <pane xSplit="4" ySplit="2" topLeftCell="J6" activePane="bottomRight" state="frozen"/>
      <selection activeCell="B1" sqref="B1"/>
      <selection pane="topRight" activeCell="E1" sqref="E1"/>
      <selection pane="bottomLeft" activeCell="B3" sqref="B3"/>
      <selection pane="bottomRight" activeCell="P19" sqref="P19:Q19"/>
    </sheetView>
  </sheetViews>
  <sheetFormatPr defaultRowHeight="15"/>
  <cols>
    <col min="2" max="2" width="18.85546875" bestFit="1" customWidth="1"/>
    <col min="3" max="3" width="18.85546875" customWidth="1"/>
    <col min="4" max="4" width="8" customWidth="1"/>
    <col min="5" max="5" width="7.7109375" customWidth="1"/>
    <col min="6" max="29" width="13.140625" customWidth="1"/>
  </cols>
  <sheetData>
    <row r="1" spans="2:29" ht="15.75" thickBot="1"/>
    <row r="2" spans="2:29">
      <c r="B2" s="272" t="s">
        <v>18</v>
      </c>
      <c r="C2" s="109"/>
      <c r="D2" s="214" t="s">
        <v>123</v>
      </c>
      <c r="E2" s="214" t="s">
        <v>167</v>
      </c>
      <c r="F2" s="274" t="s">
        <v>2</v>
      </c>
      <c r="G2" s="271"/>
      <c r="H2" s="270" t="s">
        <v>3</v>
      </c>
      <c r="I2" s="271"/>
      <c r="J2" s="270" t="s">
        <v>4</v>
      </c>
      <c r="K2" s="271"/>
      <c r="L2" s="270" t="s">
        <v>5</v>
      </c>
      <c r="M2" s="271"/>
      <c r="N2" s="270" t="s">
        <v>6</v>
      </c>
      <c r="O2" s="271"/>
      <c r="P2" s="270" t="s">
        <v>7</v>
      </c>
      <c r="Q2" s="271"/>
      <c r="R2" s="270" t="s">
        <v>8</v>
      </c>
      <c r="S2" s="271"/>
      <c r="T2" s="270" t="s">
        <v>9</v>
      </c>
      <c r="U2" s="271"/>
      <c r="V2" s="270" t="s">
        <v>10</v>
      </c>
      <c r="W2" s="271"/>
      <c r="X2" s="270" t="s">
        <v>11</v>
      </c>
      <c r="Y2" s="271"/>
      <c r="Z2" s="270" t="s">
        <v>12</v>
      </c>
      <c r="AA2" s="271"/>
      <c r="AB2" s="270" t="s">
        <v>13</v>
      </c>
      <c r="AC2" s="275"/>
    </row>
    <row r="3" spans="2:29" s="1" customFormat="1" ht="15.75" thickBot="1">
      <c r="B3" s="273"/>
      <c r="C3" s="111"/>
      <c r="D3" s="215"/>
      <c r="E3" s="215"/>
      <c r="F3" s="26">
        <v>15</v>
      </c>
      <c r="G3" s="26">
        <v>31</v>
      </c>
      <c r="H3" s="26">
        <v>14</v>
      </c>
      <c r="I3" s="26">
        <v>28</v>
      </c>
      <c r="J3" s="26">
        <v>15</v>
      </c>
      <c r="K3" s="26">
        <v>31</v>
      </c>
      <c r="L3" s="26">
        <v>15</v>
      </c>
      <c r="M3" s="26">
        <v>30</v>
      </c>
      <c r="N3" s="26">
        <v>15</v>
      </c>
      <c r="O3" s="26">
        <v>31</v>
      </c>
      <c r="P3" s="26">
        <v>15</v>
      </c>
      <c r="Q3" s="26">
        <v>30</v>
      </c>
      <c r="R3" s="26">
        <v>15</v>
      </c>
      <c r="S3" s="26">
        <v>31</v>
      </c>
      <c r="T3" s="26">
        <v>15</v>
      </c>
      <c r="U3" s="26">
        <v>31</v>
      </c>
      <c r="V3" s="26">
        <v>15</v>
      </c>
      <c r="W3" s="26">
        <v>30</v>
      </c>
      <c r="X3" s="26">
        <v>15</v>
      </c>
      <c r="Y3" s="26">
        <v>31</v>
      </c>
      <c r="Z3" s="26">
        <v>15</v>
      </c>
      <c r="AA3" s="26">
        <v>30</v>
      </c>
      <c r="AB3" s="26">
        <v>15</v>
      </c>
      <c r="AC3" s="27">
        <v>31</v>
      </c>
    </row>
    <row r="4" spans="2:29" s="1" customFormat="1">
      <c r="B4" s="32" t="s">
        <v>31</v>
      </c>
      <c r="C4" s="32"/>
      <c r="D4" s="33"/>
      <c r="E4" s="34"/>
      <c r="F4" s="268"/>
      <c r="G4" s="269"/>
      <c r="H4" s="268"/>
      <c r="I4" s="269"/>
      <c r="J4" s="268"/>
      <c r="K4" s="269"/>
      <c r="L4" s="268"/>
      <c r="M4" s="269"/>
      <c r="N4" s="268"/>
      <c r="O4" s="269"/>
      <c r="P4" s="268"/>
      <c r="Q4" s="269"/>
      <c r="R4" s="268"/>
      <c r="S4" s="269"/>
      <c r="T4" s="268"/>
      <c r="U4" s="269"/>
      <c r="V4" s="268"/>
      <c r="W4" s="269"/>
      <c r="X4" s="268"/>
      <c r="Y4" s="269"/>
      <c r="Z4" s="268"/>
      <c r="AA4" s="269"/>
      <c r="AB4" s="268"/>
      <c r="AC4" s="276"/>
    </row>
    <row r="5" spans="2:29" s="1" customFormat="1" ht="15.75" thickBot="1">
      <c r="B5" s="35" t="s">
        <v>32</v>
      </c>
      <c r="C5" s="35"/>
      <c r="D5" s="36"/>
      <c r="E5" s="37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</row>
    <row r="6" spans="2:29">
      <c r="B6" s="5" t="s">
        <v>17</v>
      </c>
      <c r="C6" s="5"/>
      <c r="D6" s="5"/>
      <c r="E6" s="23"/>
      <c r="F6" s="39">
        <f t="shared" ref="F6:AC6" si="0">SUM(F7,F9)</f>
        <v>13.939</v>
      </c>
      <c r="G6" s="39">
        <f t="shared" si="0"/>
        <v>18.773</v>
      </c>
      <c r="H6" s="39">
        <f t="shared" si="0"/>
        <v>12.420999999999999</v>
      </c>
      <c r="I6" s="39">
        <f t="shared" si="0"/>
        <v>15.66</v>
      </c>
      <c r="J6" s="39">
        <f t="shared" si="0"/>
        <v>28.380000000000003</v>
      </c>
      <c r="K6" s="39">
        <f t="shared" si="0"/>
        <v>21.832999999999998</v>
      </c>
      <c r="L6" s="39">
        <f t="shared" si="0"/>
        <v>38.57</v>
      </c>
      <c r="M6" s="39">
        <f t="shared" si="0"/>
        <v>0</v>
      </c>
      <c r="N6" s="39">
        <f t="shared" si="0"/>
        <v>17.3</v>
      </c>
      <c r="O6" s="39">
        <f t="shared" si="0"/>
        <v>0</v>
      </c>
      <c r="P6" s="39">
        <f t="shared" si="0"/>
        <v>37.5</v>
      </c>
      <c r="Q6" s="39">
        <f t="shared" si="0"/>
        <v>0</v>
      </c>
      <c r="R6" s="39">
        <f t="shared" si="0"/>
        <v>0</v>
      </c>
      <c r="S6" s="39">
        <f t="shared" si="0"/>
        <v>0</v>
      </c>
      <c r="T6" s="39">
        <f t="shared" si="0"/>
        <v>0</v>
      </c>
      <c r="U6" s="39">
        <f t="shared" si="0"/>
        <v>0</v>
      </c>
      <c r="V6" s="39">
        <f t="shared" si="0"/>
        <v>0</v>
      </c>
      <c r="W6" s="39">
        <f t="shared" si="0"/>
        <v>0</v>
      </c>
      <c r="X6" s="39">
        <f t="shared" si="0"/>
        <v>0</v>
      </c>
      <c r="Y6" s="39">
        <f t="shared" si="0"/>
        <v>0</v>
      </c>
      <c r="Z6" s="39">
        <f t="shared" si="0"/>
        <v>0</v>
      </c>
      <c r="AA6" s="39">
        <f t="shared" si="0"/>
        <v>0</v>
      </c>
      <c r="AB6" s="39">
        <f t="shared" si="0"/>
        <v>0</v>
      </c>
      <c r="AC6" s="39">
        <f t="shared" si="0"/>
        <v>0</v>
      </c>
    </row>
    <row r="7" spans="2:29">
      <c r="B7" s="6" t="s">
        <v>16</v>
      </c>
      <c r="C7" s="6"/>
      <c r="D7" s="6"/>
      <c r="E7" s="24">
        <v>4425.8220000000001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 spans="2:29">
      <c r="B8" s="6" t="s">
        <v>107</v>
      </c>
      <c r="C8" s="6"/>
      <c r="D8" s="6"/>
      <c r="E8" s="24"/>
      <c r="F8" s="263">
        <f>'[5]Rekap Bulanan'!$B$34</f>
        <v>386.44890438554552</v>
      </c>
      <c r="G8" s="264"/>
      <c r="H8" s="263">
        <f>'[5]Rekap Bulanan'!$C$34</f>
        <v>403.87632188100002</v>
      </c>
      <c r="I8" s="264"/>
      <c r="J8" s="263">
        <f>'[5]Rekap Bulanan'!$D$34</f>
        <v>448.30798180345454</v>
      </c>
      <c r="K8" s="264"/>
      <c r="L8" s="263">
        <f>504.9</f>
        <v>504.9</v>
      </c>
      <c r="M8" s="264"/>
      <c r="N8" s="263">
        <f>'[5]Rekap Bulanan'!$F$34</f>
        <v>127.47725369381817</v>
      </c>
      <c r="O8" s="264"/>
      <c r="P8" s="263">
        <f>'[5]Rekap Bulanan'!$G$34</f>
        <v>307.33271644800004</v>
      </c>
      <c r="Q8" s="264"/>
      <c r="R8" s="263">
        <f>'[5]Rekap Bulanan'!$H$34</f>
        <v>26.61841579090909</v>
      </c>
      <c r="S8" s="264"/>
      <c r="T8" s="263">
        <f>'[5]Rekap Bulanan'!$I$34</f>
        <v>0</v>
      </c>
      <c r="U8" s="264"/>
      <c r="V8" s="263">
        <f>'[5]Rekap Bulanan'!$J$34</f>
        <v>0</v>
      </c>
      <c r="W8" s="264"/>
      <c r="X8" s="263">
        <f>'[5]Rekap Bulanan'!$K$34</f>
        <v>0</v>
      </c>
      <c r="Y8" s="264"/>
      <c r="Z8" s="263">
        <f>'[5]Rekap Bulanan'!$L$34</f>
        <v>0</v>
      </c>
      <c r="AA8" s="264"/>
      <c r="AB8" s="263">
        <f>'[5]Rekap Bulanan'!$M$34</f>
        <v>0</v>
      </c>
      <c r="AC8" s="264"/>
    </row>
    <row r="9" spans="2:29">
      <c r="B9" s="12" t="s">
        <v>15</v>
      </c>
      <c r="C9" s="12"/>
      <c r="D9" s="12"/>
      <c r="E9" s="28"/>
      <c r="F9" s="39">
        <f>SUM(F10:F11)</f>
        <v>13.939</v>
      </c>
      <c r="G9" s="39">
        <f t="shared" ref="G9:AC9" si="1">SUM(G10:G11)</f>
        <v>18.773</v>
      </c>
      <c r="H9" s="39">
        <f t="shared" si="1"/>
        <v>12.420999999999999</v>
      </c>
      <c r="I9" s="39">
        <f t="shared" si="1"/>
        <v>15.66</v>
      </c>
      <c r="J9" s="39">
        <f t="shared" si="1"/>
        <v>28.380000000000003</v>
      </c>
      <c r="K9" s="39">
        <f t="shared" si="1"/>
        <v>21.832999999999998</v>
      </c>
      <c r="L9" s="267">
        <f t="shared" si="1"/>
        <v>38.57</v>
      </c>
      <c r="M9" s="264"/>
      <c r="N9" s="39">
        <f t="shared" si="1"/>
        <v>17.3</v>
      </c>
      <c r="O9" s="39">
        <f t="shared" si="1"/>
        <v>0</v>
      </c>
      <c r="P9" s="39">
        <f t="shared" si="1"/>
        <v>37.5</v>
      </c>
      <c r="Q9" s="39">
        <f t="shared" si="1"/>
        <v>0</v>
      </c>
      <c r="R9" s="39">
        <f t="shared" si="1"/>
        <v>0</v>
      </c>
      <c r="S9" s="39">
        <f t="shared" si="1"/>
        <v>0</v>
      </c>
      <c r="T9" s="39">
        <f t="shared" si="1"/>
        <v>0</v>
      </c>
      <c r="U9" s="39">
        <f t="shared" si="1"/>
        <v>0</v>
      </c>
      <c r="V9" s="39">
        <f t="shared" si="1"/>
        <v>0</v>
      </c>
      <c r="W9" s="39">
        <f t="shared" si="1"/>
        <v>0</v>
      </c>
      <c r="X9" s="39">
        <f t="shared" si="1"/>
        <v>0</v>
      </c>
      <c r="Y9" s="39">
        <f t="shared" si="1"/>
        <v>0</v>
      </c>
      <c r="Z9" s="39">
        <f t="shared" si="1"/>
        <v>0</v>
      </c>
      <c r="AA9" s="39">
        <f t="shared" si="1"/>
        <v>0</v>
      </c>
      <c r="AB9" s="39">
        <f t="shared" si="1"/>
        <v>0</v>
      </c>
      <c r="AC9" s="39">
        <f t="shared" si="1"/>
        <v>0</v>
      </c>
    </row>
    <row r="10" spans="2:29">
      <c r="B10" s="7" t="s">
        <v>0</v>
      </c>
      <c r="C10" s="7"/>
      <c r="D10" s="7"/>
      <c r="E10" s="25"/>
      <c r="F10" s="39">
        <f>5.369</f>
        <v>5.3689999999999998</v>
      </c>
      <c r="G10" s="39">
        <f>11.9</f>
        <v>11.9</v>
      </c>
      <c r="H10" s="110">
        <v>6.351</v>
      </c>
      <c r="I10" s="110">
        <v>9.67</v>
      </c>
      <c r="J10" s="39">
        <v>21.98</v>
      </c>
      <c r="K10" s="39">
        <v>13.6</v>
      </c>
      <c r="L10" s="267">
        <v>23.73</v>
      </c>
      <c r="M10" s="264"/>
      <c r="N10" s="267">
        <v>6.3</v>
      </c>
      <c r="O10" s="264"/>
      <c r="P10" s="267">
        <v>17.100000000000001</v>
      </c>
      <c r="Q10" s="264"/>
      <c r="R10" s="267"/>
      <c r="S10" s="264"/>
      <c r="T10" s="267"/>
      <c r="U10" s="264"/>
      <c r="V10" s="267"/>
      <c r="W10" s="264"/>
      <c r="X10" s="267"/>
      <c r="Y10" s="264"/>
      <c r="Z10" s="267"/>
      <c r="AA10" s="264"/>
      <c r="AB10" s="267"/>
      <c r="AC10" s="264"/>
    </row>
    <row r="11" spans="2:29">
      <c r="B11" s="7" t="s">
        <v>1</v>
      </c>
      <c r="C11" s="7"/>
      <c r="D11" s="7"/>
      <c r="E11" s="25"/>
      <c r="F11" s="39">
        <v>8.57</v>
      </c>
      <c r="G11" s="39">
        <v>6.8730000000000002</v>
      </c>
      <c r="H11" s="110">
        <v>6.07</v>
      </c>
      <c r="I11" s="110">
        <v>5.99</v>
      </c>
      <c r="J11" s="39">
        <v>6.4</v>
      </c>
      <c r="K11" s="39">
        <v>8.2330000000000005</v>
      </c>
      <c r="L11" s="267">
        <v>14.84</v>
      </c>
      <c r="M11" s="264"/>
      <c r="N11" s="267">
        <v>11</v>
      </c>
      <c r="O11" s="264"/>
      <c r="P11" s="267">
        <v>20.399999999999999</v>
      </c>
      <c r="Q11" s="264"/>
      <c r="R11" s="267"/>
      <c r="S11" s="264"/>
      <c r="T11" s="267"/>
      <c r="U11" s="264"/>
      <c r="V11" s="267"/>
      <c r="W11" s="264"/>
      <c r="X11" s="267"/>
      <c r="Y11" s="264"/>
      <c r="Z11" s="267"/>
      <c r="AA11" s="264"/>
      <c r="AB11" s="267"/>
      <c r="AC11" s="264"/>
    </row>
    <row r="12" spans="2:29">
      <c r="F12" s="196">
        <f>F8/('HK - BDGT'!H6+'HK - BDGT'!I6)</f>
        <v>21.469383576974749</v>
      </c>
      <c r="H12" s="196">
        <f>H8/('HK - BDGT'!J6+'HK - BDGT'!K6)</f>
        <v>22.541934244520931</v>
      </c>
      <c r="J12" s="196">
        <f>J8/('HK - BDGT'!L6+'HK - BDGT'!M6)</f>
        <v>23.492121317211588</v>
      </c>
      <c r="L12" s="197"/>
    </row>
    <row r="13" spans="2:29">
      <c r="B13" s="18" t="s">
        <v>22</v>
      </c>
      <c r="C13" s="18"/>
      <c r="D13" s="18"/>
      <c r="E13" s="18"/>
      <c r="L13" s="197"/>
    </row>
    <row r="14" spans="2:29">
      <c r="B14" s="8" t="s">
        <v>17</v>
      </c>
      <c r="C14" s="8" t="s">
        <v>146</v>
      </c>
      <c r="D14" s="8"/>
      <c r="E14" s="8"/>
      <c r="F14" s="40">
        <f t="shared" ref="F14:AC14" si="2">IFERROR(SUM(F15,F17),0)</f>
        <v>3405.5244726382407</v>
      </c>
      <c r="G14" s="40">
        <f t="shared" si="2"/>
        <v>3046.7104002588926</v>
      </c>
      <c r="H14" s="40">
        <f t="shared" si="2"/>
        <v>3961.1875419580119</v>
      </c>
      <c r="I14" s="40">
        <f t="shared" si="2"/>
        <v>4084.3767124590549</v>
      </c>
      <c r="J14" s="40">
        <f t="shared" si="2"/>
        <v>3998.5857976234474</v>
      </c>
      <c r="K14" s="40">
        <f t="shared" si="2"/>
        <v>2719.6965261496093</v>
      </c>
      <c r="L14" s="40">
        <f t="shared" si="2"/>
        <v>3173.0300467460011</v>
      </c>
      <c r="M14" s="40">
        <f t="shared" si="2"/>
        <v>0</v>
      </c>
      <c r="N14" s="40">
        <f t="shared" si="2"/>
        <v>2447.4989660443543</v>
      </c>
      <c r="O14" s="40">
        <f t="shared" si="2"/>
        <v>0</v>
      </c>
      <c r="P14" s="40">
        <f t="shared" si="2"/>
        <v>1695.1037727616649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si="2"/>
        <v>0</v>
      </c>
    </row>
    <row r="15" spans="2:29">
      <c r="B15" s="9" t="s">
        <v>16</v>
      </c>
      <c r="C15" s="9" t="s">
        <v>147</v>
      </c>
      <c r="D15" s="9"/>
      <c r="E15" s="24" t="e">
        <f>'Konsumsi &amp; Pareto 2 Mingguan'!#REF!/Tonase!E7</f>
        <v>#REF!</v>
      </c>
      <c r="F15" s="40">
        <f>IFERROR('Konsumsi &amp; Pareto 2 Mingguan'!H44/Tonase!F7,0)*1000</f>
        <v>0</v>
      </c>
      <c r="G15" s="40">
        <f>IFERROR('Konsumsi &amp; Pareto 2 Mingguan'!I44*1000/Tonase!G7,0)</f>
        <v>0</v>
      </c>
      <c r="H15" s="40">
        <f>IFERROR('Konsumsi &amp; Pareto 2 Mingguan'!J44*1000/Tonase!H7,0)</f>
        <v>0</v>
      </c>
      <c r="I15" s="40">
        <f>IFERROR('Konsumsi &amp; Pareto 2 Mingguan'!K44*1000/Tonase!I7,0)</f>
        <v>0</v>
      </c>
      <c r="J15" s="40">
        <f>IFERROR('Konsumsi &amp; Pareto 2 Mingguan'!L44*1000/Tonase!J7,0)</f>
        <v>0</v>
      </c>
      <c r="K15" s="40">
        <f>IFERROR('Konsumsi &amp; Pareto 2 Mingguan'!M44*1000/Tonase!K7,0)</f>
        <v>0</v>
      </c>
      <c r="L15" s="40">
        <f>IFERROR('Konsumsi &amp; Pareto 2 Mingguan'!N44*1000/Tonase!L7,0)</f>
        <v>0</v>
      </c>
      <c r="M15" s="40">
        <f>IFERROR('Konsumsi &amp; Pareto 2 Mingguan'!O44*1000/Tonase!M7,0)</f>
        <v>0</v>
      </c>
      <c r="N15" s="40">
        <f>IFERROR('Konsumsi &amp; Pareto 2 Mingguan'!P44*1000/Tonase!N7,0)</f>
        <v>0</v>
      </c>
      <c r="O15" s="40">
        <f>IFERROR('Konsumsi &amp; Pareto 2 Mingguan'!Q44*1000/Tonase!O7,0)</f>
        <v>0</v>
      </c>
      <c r="P15" s="40">
        <f>IFERROR('Konsumsi &amp; Pareto 2 Mingguan'!R44*1000/Tonase!P7,0)</f>
        <v>0</v>
      </c>
      <c r="Q15" s="40">
        <f>IFERROR('Konsumsi &amp; Pareto 2 Mingguan'!S44*1000/Tonase!Q7,0)</f>
        <v>0</v>
      </c>
      <c r="R15" s="40">
        <f>IFERROR('Konsumsi &amp; Pareto 2 Mingguan'!T44*1000/Tonase!R7,0)</f>
        <v>0</v>
      </c>
      <c r="S15" s="40">
        <f>IFERROR('Konsumsi &amp; Pareto 2 Mingguan'!U44*1000/Tonase!S7,0)</f>
        <v>0</v>
      </c>
      <c r="T15" s="40">
        <f>IFERROR('Konsumsi &amp; Pareto 2 Mingguan'!V44*1000/Tonase!T7,0)</f>
        <v>0</v>
      </c>
      <c r="U15" s="40">
        <f>IFERROR('Konsumsi &amp; Pareto 2 Mingguan'!W44*1000/Tonase!U7,0)</f>
        <v>0</v>
      </c>
      <c r="V15" s="40">
        <f>IFERROR('Konsumsi &amp; Pareto 2 Mingguan'!X44*1000/Tonase!V7,0)</f>
        <v>0</v>
      </c>
      <c r="W15" s="40">
        <f>IFERROR('Konsumsi &amp; Pareto 2 Mingguan'!Y44*1000/Tonase!W7,0)</f>
        <v>0</v>
      </c>
      <c r="X15" s="40">
        <f>IFERROR('Konsumsi &amp; Pareto 2 Mingguan'!Z44*1000/Tonase!X7,0)</f>
        <v>0</v>
      </c>
      <c r="Y15" s="40">
        <f>IFERROR('Konsumsi &amp; Pareto 2 Mingguan'!AA44*1000/Tonase!Y7,0)</f>
        <v>0</v>
      </c>
      <c r="Z15" s="40">
        <f>IFERROR('Konsumsi &amp; Pareto 2 Mingguan'!AB44*1000/Tonase!Z7,0)</f>
        <v>0</v>
      </c>
      <c r="AA15" s="40">
        <f>IFERROR('Konsumsi &amp; Pareto 2 Mingguan'!AC44*1000/Tonase!AA7,0)</f>
        <v>0</v>
      </c>
      <c r="AB15" s="40">
        <f>IFERROR('Konsumsi &amp; Pareto 2 Mingguan'!AD44*1000/Tonase!AB7,0)</f>
        <v>0</v>
      </c>
      <c r="AC15" s="40">
        <f>IFERROR('Konsumsi &amp; Pareto 2 Mingguan'!AE44*1000/Tonase!AC7,0)</f>
        <v>0</v>
      </c>
    </row>
    <row r="16" spans="2:29">
      <c r="B16" s="9" t="s">
        <v>138</v>
      </c>
      <c r="C16" s="9" t="s">
        <v>147</v>
      </c>
      <c r="D16" s="9"/>
      <c r="E16" s="9"/>
      <c r="F16" s="281">
        <f>('Konsumsi &amp; Pareto 2 Mingguan'!H44+'Konsumsi &amp; Pareto 2 Mingguan'!I44)/Tonase!F8*1000</f>
        <v>488.56522897434752</v>
      </c>
      <c r="G16" s="282"/>
      <c r="H16" s="281">
        <f>('Konsumsi &amp; Pareto 2 Mingguan'!J44+'Konsumsi &amp; Pareto 2 Mingguan'!K44)/Tonase!H8*1000</f>
        <v>446.41723230498752</v>
      </c>
      <c r="I16" s="282"/>
      <c r="J16" s="265">
        <f>('Konsumsi &amp; Pareto 2 Mingguan'!L44+'Konsumsi &amp; Pareto 2 Mingguan'!M44)/Tonase!J8*1000</f>
        <v>454.72190068979103</v>
      </c>
      <c r="K16" s="266"/>
      <c r="L16" s="265">
        <f>('Konsumsi &amp; Pareto 2 Mingguan'!N44+'Konsumsi &amp; Pareto 2 Mingguan'!O44)/Tonase!L8*1000</f>
        <v>411.37964804797616</v>
      </c>
      <c r="M16" s="266"/>
      <c r="N16" s="265">
        <f>('Konsumsi &amp; Pareto 2 Mingguan'!P44+'Konsumsi &amp; Pareto 2 Mingguan'!Q44)/Tonase!N8*1000</f>
        <v>826.29557206863876</v>
      </c>
      <c r="O16" s="266"/>
      <c r="P16" s="265">
        <f>('Konsumsi &amp; Pareto 2 Mingguan'!R44+'Konsumsi &amp; Pareto 2 Mingguan'!S44)/Tonase!P8*1000</f>
        <v>611.94740989584102</v>
      </c>
      <c r="Q16" s="266"/>
      <c r="R16" s="265">
        <f>('Konsumsi &amp; Pareto 2 Mingguan'!T44+'Konsumsi &amp; Pareto 2 Mingguan'!U44)/Tonase!R8*1000</f>
        <v>0</v>
      </c>
      <c r="S16" s="266"/>
      <c r="T16" s="265" t="e">
        <f>('Konsumsi &amp; Pareto 2 Mingguan'!V44+'Konsumsi &amp; Pareto 2 Mingguan'!W44)/Tonase!T8*1000</f>
        <v>#DIV/0!</v>
      </c>
      <c r="U16" s="266"/>
      <c r="V16" s="265" t="e">
        <f>('Konsumsi &amp; Pareto 2 Mingguan'!X44+'Konsumsi &amp; Pareto 2 Mingguan'!Y44)/Tonase!V8*1000</f>
        <v>#DIV/0!</v>
      </c>
      <c r="W16" s="266"/>
      <c r="X16" s="265" t="e">
        <f>('Konsumsi &amp; Pareto 2 Mingguan'!Z44+'Konsumsi &amp; Pareto 2 Mingguan'!AA44)/Tonase!X8*1000</f>
        <v>#DIV/0!</v>
      </c>
      <c r="Y16" s="266"/>
      <c r="Z16" s="265" t="e">
        <f>('Konsumsi &amp; Pareto 2 Mingguan'!AB44+'Konsumsi &amp; Pareto 2 Mingguan'!AC44)/Tonase!Z8*1000</f>
        <v>#DIV/0!</v>
      </c>
      <c r="AA16" s="266"/>
      <c r="AB16" s="265" t="e">
        <f>('Konsumsi &amp; Pareto 2 Mingguan'!AD44+'Konsumsi &amp; Pareto 2 Mingguan'!AE44)/Tonase!AB8*1000</f>
        <v>#DIV/0!</v>
      </c>
      <c r="AC16" s="266"/>
    </row>
    <row r="17" spans="2:31">
      <c r="B17" s="10" t="s">
        <v>15</v>
      </c>
      <c r="C17" s="9" t="s">
        <v>147</v>
      </c>
      <c r="D17" s="10"/>
      <c r="E17" s="10"/>
      <c r="F17" s="40">
        <f>IFERROR(SUM(F19:F20),0)</f>
        <v>3405.5244726382407</v>
      </c>
      <c r="G17" s="40">
        <f t="shared" ref="G17:AC17" si="3">IFERROR(SUM(G19:G20),0)</f>
        <v>3046.7104002588926</v>
      </c>
      <c r="H17" s="40">
        <f t="shared" si="3"/>
        <v>3961.1875419580119</v>
      </c>
      <c r="I17" s="40">
        <f t="shared" si="3"/>
        <v>4084.3767124590549</v>
      </c>
      <c r="J17" s="40">
        <f t="shared" si="3"/>
        <v>3998.5857976234474</v>
      </c>
      <c r="K17" s="40">
        <f t="shared" si="3"/>
        <v>2719.6965261496093</v>
      </c>
      <c r="L17" s="40">
        <f t="shared" si="3"/>
        <v>3173.0300467460011</v>
      </c>
      <c r="M17" s="40">
        <f t="shared" si="3"/>
        <v>0</v>
      </c>
      <c r="N17" s="40">
        <f t="shared" si="3"/>
        <v>2447.4989660443543</v>
      </c>
      <c r="O17" s="40">
        <f t="shared" si="3"/>
        <v>0</v>
      </c>
      <c r="P17" s="40">
        <f t="shared" si="3"/>
        <v>1695.1037727616649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3"/>
        <v>0</v>
      </c>
    </row>
    <row r="18" spans="2:31">
      <c r="B18" s="10" t="s">
        <v>139</v>
      </c>
      <c r="C18" s="9" t="s">
        <v>147</v>
      </c>
      <c r="D18" s="10"/>
      <c r="E18" s="10"/>
      <c r="F18" s="261">
        <f>SUM('Konsumsi &amp; Pareto 2 Mingguan'!H57:I57)/SUM(Tonase!F9:G9)*1000</f>
        <v>3135.5821843594499</v>
      </c>
      <c r="G18" s="262"/>
      <c r="H18" s="261">
        <f>SUM('Konsumsi &amp; Pareto 2 Mingguan'!J57:K57)/SUM(Tonase!H9:I9)*1000</f>
        <v>3512.370968223614</v>
      </c>
      <c r="I18" s="262"/>
      <c r="J18" s="261">
        <f>SUM('Konsumsi &amp; Pareto 2 Mingguan'!L57:M57)/SUM(Tonase!J9:K9)*1000</f>
        <v>2249.4103740715809</v>
      </c>
      <c r="K18" s="262"/>
      <c r="L18" s="261">
        <f>SUM('Konsumsi &amp; Pareto 2 Mingguan'!N57:O57)/SUM(Tonase!L9:M9)*1000</f>
        <v>2724.3104039776858</v>
      </c>
      <c r="M18" s="262"/>
      <c r="N18" s="261">
        <f>SUM('Konsumsi &amp; Pareto 2 Mingguan'!P57:Q57)/SUM(Tonase!N9:O9)*1000</f>
        <v>5076.3166287742915</v>
      </c>
      <c r="O18" s="262"/>
      <c r="P18" s="261">
        <f>SUM('Konsumsi &amp; Pareto 2 Mingguan'!R57:S57)/SUM(Tonase!P9:Q9)*1000</f>
        <v>3197.8883817606675</v>
      </c>
      <c r="Q18" s="262"/>
      <c r="R18" s="261" t="e">
        <f>SUM('Konsumsi &amp; Pareto 2 Mingguan'!T57:U57)/SUM(Tonase!R9:S9)*1000</f>
        <v>#DIV/0!</v>
      </c>
      <c r="S18" s="262"/>
      <c r="T18" s="261" t="e">
        <f>SUM('Konsumsi &amp; Pareto 2 Mingguan'!V57:W57)/SUM(Tonase!T9:U9)*1000</f>
        <v>#DIV/0!</v>
      </c>
      <c r="U18" s="262"/>
      <c r="V18" s="261" t="e">
        <f>SUM('Konsumsi &amp; Pareto 2 Mingguan'!X57:Y57)/SUM(Tonase!V9:W9)*1000</f>
        <v>#DIV/0!</v>
      </c>
      <c r="W18" s="262"/>
      <c r="X18" s="261" t="e">
        <f>SUM('Konsumsi &amp; Pareto 2 Mingguan'!Z57:AA57)/SUM(Tonase!X9:Y9)*1000</f>
        <v>#DIV/0!</v>
      </c>
      <c r="Y18" s="262"/>
      <c r="Z18" s="261" t="e">
        <f>SUM('Konsumsi &amp; Pareto 2 Mingguan'!AB57:AC57)/SUM(Tonase!Z9:AA9)*1000</f>
        <v>#DIV/0!</v>
      </c>
      <c r="AA18" s="262"/>
      <c r="AB18" s="261" t="e">
        <f>SUM('Konsumsi &amp; Pareto 2 Mingguan'!AD57:AE57)/SUM(Tonase!AB9:AC9)*1000</f>
        <v>#DIV/0!</v>
      </c>
      <c r="AC18" s="262"/>
    </row>
    <row r="19" spans="2:31">
      <c r="B19" s="11" t="s">
        <v>0</v>
      </c>
      <c r="C19" s="9" t="s">
        <v>147</v>
      </c>
      <c r="D19" s="11"/>
      <c r="E19" s="11"/>
      <c r="F19" s="44">
        <f>IFERROR(('Konsumsi &amp; Pareto 2 Mingguan'!H58+'Konsumsi &amp; Pareto 2 Mingguan'!H70)/Tonase!F10,0)*1000</f>
        <v>1198.746191261579</v>
      </c>
      <c r="G19" s="44">
        <f>IFERROR(('Konsumsi &amp; Pareto 2 Mingguan'!I58+'Konsumsi &amp; Pareto 2 Mingguan'!I70)/Tonase!G10,0)*1000</f>
        <v>422.79244939388036</v>
      </c>
      <c r="H19" s="164">
        <f>IFERROR(('Konsumsi &amp; Pareto 2 Mingguan'!J58+'Konsumsi &amp; Pareto 2 Mingguan'!J70)/Tonase!H10,0)*1000</f>
        <v>920.41351805080626</v>
      </c>
      <c r="I19" s="164">
        <f>IFERROR(('Konsumsi &amp; Pareto 2 Mingguan'!K58+'Konsumsi &amp; Pareto 2 Mingguan'!K70)/Tonase!I10,0)*1000</f>
        <v>738.08838653524754</v>
      </c>
      <c r="J19" s="44">
        <f>IFERROR(('Konsumsi &amp; Pareto 2 Mingguan'!L58+'Konsumsi &amp; Pareto 2 Mingguan'!L70)/Tonase!J10,0)*1000</f>
        <v>458.13250319962981</v>
      </c>
      <c r="K19" s="44">
        <f>IFERROR(('Konsumsi &amp; Pareto 2 Mingguan'!M58+'Konsumsi &amp; Pareto 2 Mingguan'!M70)/Tonase!K10,0)*1000</f>
        <v>447.11363455464874</v>
      </c>
      <c r="L19" s="267">
        <f>IFERROR(SUM('Konsumsi &amp; Pareto 2 Mingguan'!N58,'Konsumsi &amp; Pareto 2 Mingguan'!O58,'Konsumsi &amp; Pareto 2 Mingguan'!N70,'Konsumsi &amp; Pareto 2 Mingguan'!O70)/Tonase!L10*1000,0)</f>
        <v>652.82858339245843</v>
      </c>
      <c r="M19" s="264"/>
      <c r="N19" s="267">
        <f>IFERROR(('Konsumsi &amp; Pareto 2 Mingguan'!P58+'Konsumsi &amp; Pareto 2 Mingguan'!P70)/Tonase!N10,0)*1000</f>
        <v>1041.3650718369831</v>
      </c>
      <c r="O19" s="264">
        <f>IFERROR(('Konsumsi &amp; Pareto 2 Mingguan'!Q58+'Konsumsi &amp; Pareto 2 Mingguan'!Q70)/Tonase!O10,0)*1000</f>
        <v>0</v>
      </c>
      <c r="P19" s="267">
        <f>IFERROR(('Konsumsi &amp; Pareto 2 Mingguan'!R58+'Konsumsi &amp; Pareto 2 Mingguan'!R70)/Tonase!P10,0)*1000</f>
        <v>504.55314840308154</v>
      </c>
      <c r="Q19" s="264">
        <f>IFERROR(('Konsumsi &amp; Pareto 2 Mingguan'!S58+'Konsumsi &amp; Pareto 2 Mingguan'!S70)/Tonase!Q10,0)*1000</f>
        <v>0</v>
      </c>
      <c r="R19" s="267">
        <f>IFERROR(('Konsumsi &amp; Pareto 2 Mingguan'!T58+'Konsumsi &amp; Pareto 2 Mingguan'!T70)/Tonase!R10,0)*1000</f>
        <v>0</v>
      </c>
      <c r="S19" s="264">
        <f>IFERROR(('Konsumsi &amp; Pareto 2 Mingguan'!U58+'Konsumsi &amp; Pareto 2 Mingguan'!U70)/Tonase!S10,0)*1000</f>
        <v>0</v>
      </c>
      <c r="T19" s="267">
        <f>IFERROR(('Konsumsi &amp; Pareto 2 Mingguan'!V58+'Konsumsi &amp; Pareto 2 Mingguan'!V70)/Tonase!T10,0)*1000</f>
        <v>0</v>
      </c>
      <c r="U19" s="264">
        <f>IFERROR(('Konsumsi &amp; Pareto 2 Mingguan'!W58+'Konsumsi &amp; Pareto 2 Mingguan'!W70)/Tonase!U10,0)*1000</f>
        <v>0</v>
      </c>
      <c r="V19" s="267">
        <f>IFERROR(('Konsumsi &amp; Pareto 2 Mingguan'!X58+'Konsumsi &amp; Pareto 2 Mingguan'!X70)/Tonase!V10,0)*1000</f>
        <v>0</v>
      </c>
      <c r="W19" s="264">
        <f>IFERROR(('Konsumsi &amp; Pareto 2 Mingguan'!Y58+'Konsumsi &amp; Pareto 2 Mingguan'!Y70)/Tonase!W10,0)*1000</f>
        <v>0</v>
      </c>
      <c r="X19" s="267">
        <f>IFERROR(('Konsumsi &amp; Pareto 2 Mingguan'!Z58+'Konsumsi &amp; Pareto 2 Mingguan'!Z70)/Tonase!X10,0)*1000</f>
        <v>0</v>
      </c>
      <c r="Y19" s="264">
        <f>IFERROR(('Konsumsi &amp; Pareto 2 Mingguan'!AA58+'Konsumsi &amp; Pareto 2 Mingguan'!AA70)/Tonase!Y10,0)*1000</f>
        <v>0</v>
      </c>
      <c r="Z19" s="267">
        <f>IFERROR(('Konsumsi &amp; Pareto 2 Mingguan'!AB58+'Konsumsi &amp; Pareto 2 Mingguan'!AB70)/Tonase!Z10,0)*1000</f>
        <v>0</v>
      </c>
      <c r="AA19" s="264">
        <f>IFERROR(('Konsumsi &amp; Pareto 2 Mingguan'!AC58+'Konsumsi &amp; Pareto 2 Mingguan'!AC70)/Tonase!AA10,0)*1000</f>
        <v>0</v>
      </c>
      <c r="AB19" s="267">
        <f>IFERROR(('Konsumsi &amp; Pareto 2 Mingguan'!AD58+'Konsumsi &amp; Pareto 2 Mingguan'!AD70)/Tonase!AB10,0)*1000</f>
        <v>0</v>
      </c>
      <c r="AC19" s="264">
        <f>IFERROR(('Konsumsi &amp; Pareto 2 Mingguan'!AE58+'Konsumsi &amp; Pareto 2 Mingguan'!AE70)/Tonase!AC10,0)*1000</f>
        <v>0</v>
      </c>
    </row>
    <row r="20" spans="2:31">
      <c r="B20" s="11" t="s">
        <v>1</v>
      </c>
      <c r="C20" s="9" t="s">
        <v>147</v>
      </c>
      <c r="D20" s="11"/>
      <c r="E20" s="11"/>
      <c r="F20" s="40">
        <f>IFERROR(('Konsumsi &amp; Pareto 2 Mingguan'!H60+'Konsumsi &amp; Pareto 2 Mingguan'!H71)/Tonase!F11,0)*1000</f>
        <v>2206.7782813766617</v>
      </c>
      <c r="G20" s="40">
        <f>IFERROR(('Konsumsi &amp; Pareto 2 Mingguan'!I60+'Konsumsi &amp; Pareto 2 Mingguan'!I71)/Tonase!G11,0)*1000</f>
        <v>2623.9179508650122</v>
      </c>
      <c r="H20" s="164">
        <f>IFERROR(('Konsumsi &amp; Pareto 2 Mingguan'!J60+'Konsumsi &amp; Pareto 2 Mingguan'!J71)/Tonase!H11,0)*1000</f>
        <v>3040.7740239072059</v>
      </c>
      <c r="I20" s="164">
        <f>IFERROR(('Konsumsi &amp; Pareto 2 Mingguan'!K60+'Konsumsi &amp; Pareto 2 Mingguan'!K71)/Tonase!I11,0)*1000</f>
        <v>3346.2883259238074</v>
      </c>
      <c r="J20" s="40">
        <f>IFERROR(('Konsumsi &amp; Pareto 2 Mingguan'!L60+'Konsumsi &amp; Pareto 2 Mingguan'!L71)/Tonase!J11,0)*1000</f>
        <v>3540.4532944238176</v>
      </c>
      <c r="K20" s="40">
        <f>IFERROR(('Konsumsi &amp; Pareto 2 Mingguan'!M60+'Konsumsi &amp; Pareto 2 Mingguan'!M71)/Tonase!K11,0)*1000</f>
        <v>2272.5828915949605</v>
      </c>
      <c r="L20" s="267">
        <f>IFERROR(SUM('Konsumsi &amp; Pareto 2 Mingguan'!N60,'Konsumsi &amp; Pareto 2 Mingguan'!O60,'Konsumsi &amp; Pareto 2 Mingguan'!N71,'Konsumsi &amp; Pareto 2 Mingguan'!O71)/Tonase!L11*1000,0)</f>
        <v>2520.2014633535427</v>
      </c>
      <c r="M20" s="264"/>
      <c r="N20" s="267">
        <f>IFERROR(('Konsumsi &amp; Pareto 2 Mingguan'!P60+'Konsumsi &amp; Pareto 2 Mingguan'!P71)/Tonase!N11,0)*1000</f>
        <v>1406.133894207371</v>
      </c>
      <c r="O20" s="264">
        <f>IFERROR(('Konsumsi &amp; Pareto 2 Mingguan'!Q60+'Konsumsi &amp; Pareto 2 Mingguan'!Q71)/Tonase!O11,0)*1000</f>
        <v>0</v>
      </c>
      <c r="P20" s="267">
        <f>IFERROR(('Konsumsi &amp; Pareto 2 Mingguan'!R60+'Konsumsi &amp; Pareto 2 Mingguan'!R71)/Tonase!P11,0)*1000</f>
        <v>1190.5506243585833</v>
      </c>
      <c r="Q20" s="264">
        <f>IFERROR(('Konsumsi &amp; Pareto 2 Mingguan'!S60+'Konsumsi &amp; Pareto 2 Mingguan'!S71)/Tonase!Q11,0)*1000</f>
        <v>0</v>
      </c>
      <c r="R20" s="267">
        <f>IFERROR(('Konsumsi &amp; Pareto 2 Mingguan'!T60+'Konsumsi &amp; Pareto 2 Mingguan'!T71)/Tonase!R11,0)*1000</f>
        <v>0</v>
      </c>
      <c r="S20" s="264">
        <f>IFERROR(('Konsumsi &amp; Pareto 2 Mingguan'!U60+'Konsumsi &amp; Pareto 2 Mingguan'!U71)/Tonase!S11,0)*1000</f>
        <v>0</v>
      </c>
      <c r="T20" s="267">
        <f>IFERROR(('Konsumsi &amp; Pareto 2 Mingguan'!V60+'Konsumsi &amp; Pareto 2 Mingguan'!V71)/Tonase!T11,0)*1000</f>
        <v>0</v>
      </c>
      <c r="U20" s="264">
        <f>IFERROR(('Konsumsi &amp; Pareto 2 Mingguan'!W60+'Konsumsi &amp; Pareto 2 Mingguan'!W71)/Tonase!U11,0)*1000</f>
        <v>0</v>
      </c>
      <c r="V20" s="267">
        <f>IFERROR(('Konsumsi &amp; Pareto 2 Mingguan'!X60+'Konsumsi &amp; Pareto 2 Mingguan'!X71)/Tonase!V11,0)*1000</f>
        <v>0</v>
      </c>
      <c r="W20" s="264">
        <f>IFERROR(('Konsumsi &amp; Pareto 2 Mingguan'!Y60+'Konsumsi &amp; Pareto 2 Mingguan'!Y71)/Tonase!W11,0)*1000</f>
        <v>0</v>
      </c>
      <c r="X20" s="267">
        <f>IFERROR(('Konsumsi &amp; Pareto 2 Mingguan'!Z60+'Konsumsi &amp; Pareto 2 Mingguan'!Z71)/Tonase!X11,0)*1000</f>
        <v>0</v>
      </c>
      <c r="Y20" s="264">
        <f>IFERROR(('Konsumsi &amp; Pareto 2 Mingguan'!AA60+'Konsumsi &amp; Pareto 2 Mingguan'!AA71)/Tonase!Y11,0)*1000</f>
        <v>0</v>
      </c>
      <c r="Z20" s="267">
        <f>IFERROR(('Konsumsi &amp; Pareto 2 Mingguan'!AB60+'Konsumsi &amp; Pareto 2 Mingguan'!AB71)/Tonase!Z11,0)*1000</f>
        <v>0</v>
      </c>
      <c r="AA20" s="264">
        <f>IFERROR(('Konsumsi &amp; Pareto 2 Mingguan'!AC60+'Konsumsi &amp; Pareto 2 Mingguan'!AC71)/Tonase!AA11,0)*1000</f>
        <v>0</v>
      </c>
      <c r="AB20" s="267">
        <f>IFERROR(('Konsumsi &amp; Pareto 2 Mingguan'!AD60+'Konsumsi &amp; Pareto 2 Mingguan'!AD71)/Tonase!AB11,0)*1000</f>
        <v>0</v>
      </c>
      <c r="AC20" s="264">
        <f>IFERROR(('Konsumsi &amp; Pareto 2 Mingguan'!AE60+'Konsumsi &amp; Pareto 2 Mingguan'!AE71)/Tonase!AC11,0)*1000</f>
        <v>0</v>
      </c>
    </row>
    <row r="22" spans="2:31">
      <c r="B22" s="18" t="s">
        <v>115</v>
      </c>
      <c r="C22" s="18"/>
      <c r="D22" s="18"/>
      <c r="E22" s="18"/>
    </row>
    <row r="23" spans="2:31">
      <c r="B23" s="9" t="s">
        <v>135</v>
      </c>
      <c r="C23" s="9"/>
      <c r="D23" s="9"/>
      <c r="E23" s="85">
        <f>IFERROR('[6]Konsumsi &amp; pareto'!F20/[6]Tonase!D16,0)</f>
        <v>0</v>
      </c>
      <c r="F23" s="40">
        <f>10</f>
        <v>10</v>
      </c>
      <c r="G23" s="40">
        <f>12</f>
        <v>12</v>
      </c>
      <c r="H23" s="40">
        <v>8</v>
      </c>
      <c r="I23" s="40">
        <v>9</v>
      </c>
      <c r="J23" s="40">
        <v>10</v>
      </c>
      <c r="K23" s="40">
        <v>10</v>
      </c>
      <c r="L23" s="40">
        <v>10</v>
      </c>
      <c r="M23" s="40">
        <v>10</v>
      </c>
      <c r="N23" s="40">
        <v>10</v>
      </c>
      <c r="O23" s="40">
        <v>11</v>
      </c>
      <c r="P23" s="40">
        <v>10</v>
      </c>
      <c r="Q23" s="40">
        <v>11</v>
      </c>
      <c r="R23" s="40">
        <v>11</v>
      </c>
      <c r="S23" s="40">
        <v>12</v>
      </c>
      <c r="T23" s="40">
        <v>11</v>
      </c>
      <c r="U23" s="40">
        <v>11</v>
      </c>
      <c r="V23" s="40">
        <v>10</v>
      </c>
      <c r="W23" s="40">
        <v>11</v>
      </c>
      <c r="X23" s="40">
        <v>11</v>
      </c>
      <c r="Y23" s="40">
        <v>12</v>
      </c>
      <c r="Z23" s="40">
        <v>11</v>
      </c>
      <c r="AA23" s="40">
        <v>10</v>
      </c>
      <c r="AB23" s="40">
        <v>10</v>
      </c>
      <c r="AC23" s="40">
        <v>9</v>
      </c>
    </row>
    <row r="24" spans="2:31">
      <c r="B24" s="9" t="s">
        <v>131</v>
      </c>
      <c r="C24" s="9"/>
      <c r="D24" s="9"/>
      <c r="E24" s="85">
        <f>IFERROR('[6]Konsumsi &amp; pareto'!F21/[6]Tonase!D17,0)</f>
        <v>0</v>
      </c>
      <c r="F24" s="40">
        <f>'Konsumsi &amp; Pareto 2 Mingguan'!H77/F23*1000</f>
        <v>3122.2141116981193</v>
      </c>
      <c r="G24" s="40">
        <f>'Konsumsi &amp; Pareto 2 Mingguan'!I77/G23*1000</f>
        <v>2423.6865244444534</v>
      </c>
      <c r="H24" s="40">
        <f>'Konsumsi &amp; Pareto 2 Mingguan'!J77/H23*1000</f>
        <v>3402.0130328448163</v>
      </c>
      <c r="I24" s="40">
        <f>'Konsumsi &amp; Pareto 2 Mingguan'!K77/I23*1000</f>
        <v>2959.7698970370416</v>
      </c>
      <c r="J24" s="40">
        <f>'Konsumsi &amp; Pareto 2 Mingguan'!L77/J23*1000</f>
        <v>3295.6804831787786</v>
      </c>
      <c r="K24" s="40">
        <f>'Konsumsi &amp; Pareto 2 Mingguan'!M77/K23*1000</f>
        <v>3216.9269411656574</v>
      </c>
      <c r="L24" s="40">
        <f>'Konsumsi &amp; Pareto 2 Mingguan'!N77/L23*1000</f>
        <v>3328.5886645077803</v>
      </c>
      <c r="M24" s="40">
        <f>'Konsumsi &amp; Pareto 2 Mingguan'!O77/M23*1000</f>
        <v>2789.384980489499</v>
      </c>
      <c r="N24" s="40">
        <f>'Konsumsi &amp; Pareto 2 Mingguan'!P77/N23*1000</f>
        <v>2247.5443636363516</v>
      </c>
      <c r="O24" s="40">
        <f>'Konsumsi &amp; Pareto 2 Mingguan'!Q77/O23*1000</f>
        <v>1877.6722742014713</v>
      </c>
      <c r="P24" s="40">
        <f>'Konsumsi &amp; Pareto 2 Mingguan'!R77/P23*1000</f>
        <v>3474.830550625034</v>
      </c>
      <c r="Q24" s="40">
        <f>'Konsumsi &amp; Pareto 2 Mingguan'!S77/Q23*1000</f>
        <v>2375.033854545447</v>
      </c>
      <c r="R24" s="40">
        <f>'Konsumsi &amp; Pareto 2 Mingguan'!T77/R23*1000</f>
        <v>0</v>
      </c>
      <c r="S24" s="40">
        <f>'Konsumsi &amp; Pareto 2 Mingguan'!U77/S23*1000</f>
        <v>0</v>
      </c>
      <c r="T24" s="40">
        <f>'Konsumsi &amp; Pareto 2 Mingguan'!V77/T23*1000</f>
        <v>0</v>
      </c>
      <c r="U24" s="40">
        <f>'Konsumsi &amp; Pareto 2 Mingguan'!W77/U23*1000</f>
        <v>0</v>
      </c>
      <c r="V24" s="40">
        <f>'Konsumsi &amp; Pareto 2 Mingguan'!X77/V23*1000</f>
        <v>0</v>
      </c>
      <c r="W24" s="40">
        <f>'Konsumsi &amp; Pareto 2 Mingguan'!Y77/W23*1000</f>
        <v>0</v>
      </c>
      <c r="X24" s="40">
        <f>'Konsumsi &amp; Pareto 2 Mingguan'!Z77/X23*1000</f>
        <v>0</v>
      </c>
      <c r="Y24" s="40">
        <f>'Konsumsi &amp; Pareto 2 Mingguan'!AA77/Y23*1000</f>
        <v>0</v>
      </c>
      <c r="Z24" s="40">
        <f>'Konsumsi &amp; Pareto 2 Mingguan'!AB77/Z23*1000</f>
        <v>0</v>
      </c>
      <c r="AA24" s="40">
        <f>'Konsumsi &amp; Pareto 2 Mingguan'!AC77/AA23*1000</f>
        <v>0</v>
      </c>
      <c r="AB24" s="40">
        <f>'Konsumsi &amp; Pareto 2 Mingguan'!AD77/AB23*1000</f>
        <v>0</v>
      </c>
      <c r="AC24" s="40">
        <f>'Konsumsi &amp; Pareto 2 Mingguan'!AE77/AC23*1000</f>
        <v>0</v>
      </c>
    </row>
    <row r="25" spans="2:31">
      <c r="B25" s="278" t="s">
        <v>132</v>
      </c>
      <c r="C25" s="279"/>
      <c r="D25" s="280"/>
      <c r="E25" s="85"/>
      <c r="F25" s="40">
        <f>'Konsumsi &amp; Pareto 2 Mingguan'!H76/'HK - BDGT'!H6*1000</f>
        <v>7769.7760442023327</v>
      </c>
      <c r="G25" s="40">
        <f>'Konsumsi &amp; Pareto 2 Mingguan'!I76/'HK - BDGT'!I6*1000</f>
        <v>6507.9037388749048</v>
      </c>
      <c r="H25" s="40">
        <f>'Konsumsi &amp; Pareto 2 Mingguan'!J76/'HK - BDGT'!J6*1000</f>
        <v>7127.1367012453975</v>
      </c>
      <c r="I25" s="40">
        <f>'Konsumsi &amp; Pareto 2 Mingguan'!K76/'HK - BDGT'!K6*1000</f>
        <v>6982.7656136564356</v>
      </c>
      <c r="J25" s="40">
        <f>'Konsumsi &amp; Pareto 2 Mingguan'!L76/'HK - BDGT'!L6*1000</f>
        <v>7023.2471752927377</v>
      </c>
      <c r="K25" s="40">
        <f>'Konsumsi &amp; Pareto 2 Mingguan'!M76/'HK - BDGT'!M6*1000</f>
        <v>7524.8382588259255</v>
      </c>
      <c r="L25" s="40">
        <f>'Konsumsi &amp; Pareto 2 Mingguan'!N76/'HK - BDGT'!N6*1000</f>
        <v>7651.1944914670676</v>
      </c>
      <c r="M25" s="40">
        <f>'Konsumsi &amp; Pareto 2 Mingguan'!O76/'HK - BDGT'!O6*1000</f>
        <v>7237.7019746160349</v>
      </c>
      <c r="N25" s="40">
        <f>'Konsumsi &amp; Pareto 2 Mingguan'!P76/'HK - BDGT'!P6*1000</f>
        <v>5651.5957702458245</v>
      </c>
      <c r="O25" s="40">
        <f>'Konsumsi &amp; Pareto 2 Mingguan'!Q76/'HK - BDGT'!Q6*1000</f>
        <v>9727.3670331307767</v>
      </c>
      <c r="P25" s="40">
        <f>'Konsumsi &amp; Pareto 2 Mingguan'!R76/'HK - BDGT'!R6*1000</f>
        <v>7061.1045021338123</v>
      </c>
      <c r="Q25" s="40">
        <f>'Konsumsi &amp; Pareto 2 Mingguan'!S76/'HK - BDGT'!S6*1000</f>
        <v>5488.7577529256068</v>
      </c>
      <c r="R25" s="40">
        <f>'Konsumsi &amp; Pareto 2 Mingguan'!T76/'HK - BDGT'!T6*1000</f>
        <v>0</v>
      </c>
      <c r="S25" s="40" t="e">
        <f>'Konsumsi &amp; Pareto 2 Mingguan'!U76/'HK - BDGT'!U6*1000</f>
        <v>#DIV/0!</v>
      </c>
      <c r="T25" s="40" t="e">
        <f>'Konsumsi &amp; Pareto 2 Mingguan'!V76/'HK - BDGT'!V6*1000</f>
        <v>#DIV/0!</v>
      </c>
      <c r="U25" s="40" t="e">
        <f>'Konsumsi &amp; Pareto 2 Mingguan'!W76/'HK - BDGT'!W6*1000</f>
        <v>#DIV/0!</v>
      </c>
      <c r="V25" s="40" t="e">
        <f>'Konsumsi &amp; Pareto 2 Mingguan'!X76/'HK - BDGT'!X6*1000</f>
        <v>#DIV/0!</v>
      </c>
      <c r="W25" s="40" t="e">
        <f>'Konsumsi &amp; Pareto 2 Mingguan'!Y76/'HK - BDGT'!Y6*1000</f>
        <v>#DIV/0!</v>
      </c>
      <c r="X25" s="40" t="e">
        <f>'Konsumsi &amp; Pareto 2 Mingguan'!Z76/'HK - BDGT'!Z6*1000</f>
        <v>#DIV/0!</v>
      </c>
      <c r="Y25" s="40" t="e">
        <f>'Konsumsi &amp; Pareto 2 Mingguan'!AA76/'HK - BDGT'!AA6*1000</f>
        <v>#DIV/0!</v>
      </c>
      <c r="Z25" s="40" t="e">
        <f>'Konsumsi &amp; Pareto 2 Mingguan'!AB76/'HK - BDGT'!AA6*1000</f>
        <v>#DIV/0!</v>
      </c>
      <c r="AA25" s="40" t="e">
        <f>'Konsumsi &amp; Pareto 2 Mingguan'!AC76/'HK - BDGT'!AB6*1000</f>
        <v>#DIV/0!</v>
      </c>
      <c r="AB25" s="40" t="e">
        <f>'Konsumsi &amp; Pareto 2 Mingguan'!AD76/'HK - BDGT'!AD6*1000</f>
        <v>#DIV/0!</v>
      </c>
      <c r="AC25" s="40" t="e">
        <f>'Konsumsi &amp; Pareto 2 Mingguan'!AE76/'HK - BDGT'!AE6*1000</f>
        <v>#DIV/0!</v>
      </c>
    </row>
    <row r="26" spans="2:31">
      <c r="B26" s="107" t="s">
        <v>136</v>
      </c>
      <c r="C26" s="107"/>
      <c r="D26" s="106"/>
      <c r="E26" s="85"/>
      <c r="F26" s="261">
        <f>F24+G24</f>
        <v>5545.9006361425727</v>
      </c>
      <c r="G26" s="262"/>
      <c r="H26" s="261">
        <f t="shared" ref="H26" si="4">H24+I24</f>
        <v>6361.7829298818579</v>
      </c>
      <c r="I26" s="262"/>
      <c r="J26" s="261">
        <f t="shared" ref="J26" si="5">J24+K24</f>
        <v>6512.6074243444364</v>
      </c>
      <c r="K26" s="262"/>
      <c r="L26" s="261">
        <f t="shared" ref="L26" si="6">L24+M24</f>
        <v>6117.9736449972788</v>
      </c>
      <c r="M26" s="262"/>
      <c r="N26" s="261">
        <f t="shared" ref="N26" si="7">N24+O24</f>
        <v>4125.2166378378224</v>
      </c>
      <c r="O26" s="262"/>
      <c r="P26" s="261">
        <f t="shared" ref="P26" si="8">P24+Q24</f>
        <v>5849.8644051704814</v>
      </c>
      <c r="Q26" s="262"/>
      <c r="R26" s="261">
        <f t="shared" ref="R26" si="9">R24+S24</f>
        <v>0</v>
      </c>
      <c r="S26" s="262"/>
      <c r="T26" s="261">
        <f t="shared" ref="T26" si="10">T24+U24</f>
        <v>0</v>
      </c>
      <c r="U26" s="262"/>
      <c r="V26" s="261">
        <f t="shared" ref="V26" si="11">V24+W24</f>
        <v>0</v>
      </c>
      <c r="W26" s="262"/>
      <c r="X26" s="261">
        <f t="shared" ref="X26" si="12">X24+Y24</f>
        <v>0</v>
      </c>
      <c r="Y26" s="262"/>
      <c r="Z26" s="261">
        <f t="shared" ref="Z26" si="13">Z24+AA24</f>
        <v>0</v>
      </c>
      <c r="AA26" s="262"/>
      <c r="AB26" s="261">
        <f t="shared" ref="AB26" si="14">AB24+AC24</f>
        <v>0</v>
      </c>
      <c r="AC26" s="262"/>
    </row>
    <row r="27" spans="2:31">
      <c r="B27" s="107" t="s">
        <v>137</v>
      </c>
      <c r="C27" s="107"/>
      <c r="D27" s="106"/>
      <c r="E27" s="85"/>
      <c r="F27" s="261">
        <f>SUM('Konsumsi &amp; Pareto 2 Mingguan'!H76:I76)/SUM('HK - BDGT'!H6:I6)*1000</f>
        <v>7138.8398915386188</v>
      </c>
      <c r="G27" s="262"/>
      <c r="H27" s="261">
        <f>SUM('Konsumsi &amp; Pareto 2 Mingguan'!J76:K76)/SUM('HK - BDGT'!J6:K6)*1000</f>
        <v>7057.3013844581792</v>
      </c>
      <c r="I27" s="262"/>
      <c r="J27" s="261">
        <f>SUM('Konsumsi &amp; Pareto 2 Mingguan'!L76:M76)/SUM('HK - BDGT'!L6:M6)*1000</f>
        <v>7269.6620089062026</v>
      </c>
      <c r="K27" s="262"/>
      <c r="L27" s="261">
        <f>SUM('Konsumsi &amp; Pareto 2 Mingguan'!N76:O76)/SUM('HK - BDGT'!N6:O6)*1000</f>
        <v>7470.250341766985</v>
      </c>
      <c r="M27" s="262"/>
      <c r="N27" s="261">
        <f>SUM('Konsumsi &amp; Pareto 2 Mingguan'!P76:Q76)/SUM('HK - BDGT'!P6:Q6)*1000</f>
        <v>6848.1524712762703</v>
      </c>
      <c r="O27" s="262"/>
      <c r="P27" s="261">
        <f>SUM('Konsumsi &amp; Pareto 2 Mingguan'!R76:S76)/SUM('HK - BDGT'!R6:S6)*1000</f>
        <v>6268.4738513522625</v>
      </c>
      <c r="Q27" s="262"/>
      <c r="R27" s="261">
        <f>SUM('Konsumsi &amp; Pareto 2 Mingguan'!T76:U76)/SUM('HK - BDGT'!T6:U6)*1000</f>
        <v>0</v>
      </c>
      <c r="S27" s="262"/>
      <c r="T27" s="261" t="e">
        <f>SUM('Konsumsi &amp; Pareto 2 Mingguan'!V76:W76)/SUM('HK - BDGT'!V6:W6)*1000</f>
        <v>#DIV/0!</v>
      </c>
      <c r="U27" s="262"/>
      <c r="V27" s="261" t="e">
        <f>SUM('Konsumsi &amp; Pareto 2 Mingguan'!X76:Y76)/SUM('HK - BDGT'!X6:Y6)*1000</f>
        <v>#DIV/0!</v>
      </c>
      <c r="W27" s="262"/>
      <c r="X27" s="261" t="e">
        <f>SUM('Konsumsi &amp; Pareto 2 Mingguan'!Z76:AA76)/SUM('HK - BDGT'!Z6:AA6)*1000</f>
        <v>#DIV/0!</v>
      </c>
      <c r="Y27" s="262"/>
      <c r="Z27" s="261" t="e">
        <f>SUM('Konsumsi &amp; Pareto 2 Mingguan'!AB76:AC76)/SUM('HK - BDGT'!AB6:AC6)*1000</f>
        <v>#DIV/0!</v>
      </c>
      <c r="AA27" s="262"/>
      <c r="AB27" s="261" t="e">
        <f>SUM('Konsumsi &amp; Pareto 2 Mingguan'!AD76:AE76)/SUM('HK - BDGT'!AD6:AE6)*1000</f>
        <v>#DIV/0!</v>
      </c>
      <c r="AC27" s="262"/>
    </row>
    <row r="28" spans="2:31">
      <c r="B28" s="10" t="s">
        <v>133</v>
      </c>
      <c r="C28" s="10"/>
      <c r="D28" s="10"/>
      <c r="E28" s="1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spans="2:31">
      <c r="B29" s="10" t="s">
        <v>134</v>
      </c>
      <c r="C29" s="10"/>
      <c r="D29" s="10"/>
      <c r="E29" s="10"/>
      <c r="F29" s="40">
        <f t="shared" ref="F29:AC29" si="15">IFERROR(SUM(F30:F31),0)</f>
        <v>3136.3550698222039</v>
      </c>
      <c r="G29" s="40">
        <f t="shared" si="15"/>
        <v>2717.3834839762567</v>
      </c>
      <c r="H29" s="40">
        <f t="shared" si="15"/>
        <v>2734.1472512433052</v>
      </c>
      <c r="I29" s="40">
        <f t="shared" si="15"/>
        <v>3412.3150843665944</v>
      </c>
      <c r="J29" s="40">
        <f t="shared" si="15"/>
        <v>3659.5089985698273</v>
      </c>
      <c r="K29" s="40">
        <f t="shared" si="15"/>
        <v>3055.3987122127246</v>
      </c>
      <c r="L29" s="40">
        <f t="shared" si="15"/>
        <v>3179.0277025749983</v>
      </c>
      <c r="M29" s="40">
        <f t="shared" si="15"/>
        <v>3612.2839601295527</v>
      </c>
      <c r="N29" s="40">
        <f t="shared" si="15"/>
        <v>3339.6925365175985</v>
      </c>
      <c r="O29" s="40">
        <f t="shared" si="15"/>
        <v>5617.7014721029282</v>
      </c>
      <c r="P29" s="40">
        <f t="shared" si="15"/>
        <v>4195.0857758695593</v>
      </c>
      <c r="Q29" s="40">
        <f t="shared" si="15"/>
        <v>2937.0716001767428</v>
      </c>
      <c r="R29" s="40">
        <f t="shared" si="15"/>
        <v>0</v>
      </c>
      <c r="S29" s="40">
        <f t="shared" si="15"/>
        <v>0</v>
      </c>
      <c r="T29" s="40">
        <f t="shared" si="15"/>
        <v>0</v>
      </c>
      <c r="U29" s="40">
        <f t="shared" si="15"/>
        <v>0</v>
      </c>
      <c r="V29" s="40">
        <f t="shared" si="15"/>
        <v>0</v>
      </c>
      <c r="W29" s="40">
        <f t="shared" si="15"/>
        <v>0</v>
      </c>
      <c r="X29" s="40">
        <f t="shared" si="15"/>
        <v>0</v>
      </c>
      <c r="Y29" s="40">
        <f t="shared" si="15"/>
        <v>0</v>
      </c>
      <c r="Z29" s="40">
        <f t="shared" si="15"/>
        <v>0</v>
      </c>
      <c r="AA29" s="40">
        <f t="shared" si="15"/>
        <v>0</v>
      </c>
      <c r="AB29" s="40">
        <f t="shared" si="15"/>
        <v>0</v>
      </c>
      <c r="AC29" s="40">
        <f t="shared" si="15"/>
        <v>0</v>
      </c>
    </row>
    <row r="30" spans="2:31">
      <c r="B30" s="11" t="s">
        <v>0</v>
      </c>
      <c r="C30" s="11"/>
      <c r="D30" s="11"/>
      <c r="E30" s="11"/>
      <c r="F30" s="40">
        <f>IFERROR(('Konsumsi &amp; Pareto 2 Mingguan'!H58+'Konsumsi &amp; Pareto 2 Mingguan'!H70+'Konsumsi &amp; Pareto 2 Mingguan'!H65)/'HK - BDGT'!H14,0)*1000</f>
        <v>1066.3039010080297</v>
      </c>
      <c r="G30" s="40">
        <f>IFERROR(('Konsumsi &amp; Pareto 2 Mingguan'!I58+'Konsumsi &amp; Pareto 2 Mingguan'!I70+'Konsumsi &amp; Pareto 2 Mingguan'!I65)/'HK - BDGT'!I14,0)*1000</f>
        <v>884.13616195666418</v>
      </c>
      <c r="H30" s="40">
        <f>IFERROR(('Konsumsi &amp; Pareto 2 Mingguan'!J58+'Konsumsi &amp; Pareto 2 Mingguan'!J70+'Konsumsi &amp; Pareto 2 Mingguan'!J65)/'HK - BDGT'!J14,0)*1000</f>
        <v>710.53800188858088</v>
      </c>
      <c r="I30" s="40">
        <f>IFERROR(('Konsumsi &amp; Pareto 2 Mingguan'!K58+'Konsumsi &amp; Pareto 2 Mingguan'!K70+'Konsumsi &amp; Pareto 2 Mingguan'!K65)/'HK - BDGT'!K14,0)*1000</f>
        <v>1182.0138274982014</v>
      </c>
      <c r="J30" s="40">
        <f>IFERROR(('Konsumsi &amp; Pareto 2 Mingguan'!L58+'Konsumsi &amp; Pareto 2 Mingguan'!L70+'Konsumsi &amp; Pareto 2 Mingguan'!L65)/'HK - BDGT'!L14,0)*1000</f>
        <v>1205.4563568123303</v>
      </c>
      <c r="K30" s="40">
        <f>IFERROR(('Konsumsi &amp; Pareto 2 Mingguan'!M58+'Konsumsi &amp; Pareto 2 Mingguan'!M70+'Konsumsi &amp; Pareto 2 Mingguan'!M65)/'HK - BDGT'!M14,0)*1000</f>
        <v>963.41449276378955</v>
      </c>
      <c r="L30" s="40">
        <f>IFERROR(('Konsumsi &amp; Pareto 2 Mingguan'!N58+'Konsumsi &amp; Pareto 2 Mingguan'!N70+'Konsumsi &amp; Pareto 2 Mingguan'!N65)/'HK - BDGT'!N14,0)*1000</f>
        <v>1107.5280314735967</v>
      </c>
      <c r="M30" s="40">
        <f>IFERROR(('Konsumsi &amp; Pareto 2 Mingguan'!O58+'Konsumsi &amp; Pareto 2 Mingguan'!O70+'Konsumsi &amp; Pareto 2 Mingguan'!O65)/'HK - BDGT'!O14,0)*1000</f>
        <v>1385.3997889780883</v>
      </c>
      <c r="N30" s="40">
        <f>IFERROR(('Konsumsi &amp; Pareto 2 Mingguan'!P58+'Konsumsi &amp; Pareto 2 Mingguan'!P70+'Konsumsi &amp; Pareto 2 Mingguan'!P65)/'HK - BDGT'!P14,0)*1000</f>
        <v>1414.9210692242552</v>
      </c>
      <c r="O30" s="40">
        <f>IFERROR(('Konsumsi &amp; Pareto 2 Mingguan'!Q58+'Konsumsi &amp; Pareto 2 Mingguan'!Q70+'Konsumsi &amp; Pareto 2 Mingguan'!Q65)/'HK - BDGT'!Q14,0)*1000</f>
        <v>0</v>
      </c>
      <c r="P30" s="40">
        <f>IFERROR(('Konsumsi &amp; Pareto 2 Mingguan'!R58+'Konsumsi &amp; Pareto 2 Mingguan'!R70+'Konsumsi &amp; Pareto 2 Mingguan'!R65)/'HK - BDGT'!R14,0)*1000</f>
        <v>1258.4383692776885</v>
      </c>
      <c r="Q30" s="40">
        <f>IFERROR(('Konsumsi &amp; Pareto 2 Mingguan'!S58+'Konsumsi &amp; Pareto 2 Mingguan'!S70+'Konsumsi &amp; Pareto 2 Mingguan'!S65)/'HK - BDGT'!S14,0)*1000</f>
        <v>688.48951038496944</v>
      </c>
      <c r="R30" s="40">
        <f>IFERROR(('Konsumsi &amp; Pareto 2 Mingguan'!T58+'Konsumsi &amp; Pareto 2 Mingguan'!T70+'Konsumsi &amp; Pareto 2 Mingguan'!T65)/'HK - BDGT'!T14,0)*1000</f>
        <v>0</v>
      </c>
      <c r="S30" s="40">
        <f>IFERROR(('Konsumsi &amp; Pareto 2 Mingguan'!U58+'Konsumsi &amp; Pareto 2 Mingguan'!U70+'Konsumsi &amp; Pareto 2 Mingguan'!U65)/'HK - BDGT'!U14,0)*1000</f>
        <v>0</v>
      </c>
      <c r="T30" s="40">
        <f>IFERROR(('Konsumsi &amp; Pareto 2 Mingguan'!V58+'Konsumsi &amp; Pareto 2 Mingguan'!V70+'Konsumsi &amp; Pareto 2 Mingguan'!V65)/'HK - BDGT'!V14,0)*1000</f>
        <v>0</v>
      </c>
      <c r="U30" s="40">
        <f>IFERROR(('Konsumsi &amp; Pareto 2 Mingguan'!W58+'Konsumsi &amp; Pareto 2 Mingguan'!W70+'Konsumsi &amp; Pareto 2 Mingguan'!W65)/'HK - BDGT'!W14,0)*1000</f>
        <v>0</v>
      </c>
      <c r="V30" s="40">
        <f>IFERROR(('Konsumsi &amp; Pareto 2 Mingguan'!X58+'Konsumsi &amp; Pareto 2 Mingguan'!X70+'Konsumsi &amp; Pareto 2 Mingguan'!X65)/'HK - BDGT'!X14,0)*1000</f>
        <v>0</v>
      </c>
      <c r="W30" s="40">
        <f>IFERROR(('Konsumsi &amp; Pareto 2 Mingguan'!Y58+'Konsumsi &amp; Pareto 2 Mingguan'!Y70+'Konsumsi &amp; Pareto 2 Mingguan'!Y65)/'HK - BDGT'!Y14,0)*1000</f>
        <v>0</v>
      </c>
      <c r="X30" s="40">
        <f>IFERROR(('Konsumsi &amp; Pareto 2 Mingguan'!Z58+'Konsumsi &amp; Pareto 2 Mingguan'!Z70+'Konsumsi &amp; Pareto 2 Mingguan'!Z65)/'HK - BDGT'!Z14,0)*1000</f>
        <v>0</v>
      </c>
      <c r="Y30" s="40">
        <f>IFERROR(('Konsumsi &amp; Pareto 2 Mingguan'!AA58+'Konsumsi &amp; Pareto 2 Mingguan'!AA70+'Konsumsi &amp; Pareto 2 Mingguan'!AA65)/'HK - BDGT'!AA14,0)*1000</f>
        <v>0</v>
      </c>
      <c r="Z30" s="40">
        <f>IFERROR(('Konsumsi &amp; Pareto 2 Mingguan'!AB58+'Konsumsi &amp; Pareto 2 Mingguan'!AB70+'Konsumsi &amp; Pareto 2 Mingguan'!AB65)/'HK - BDGT'!AB14,0)*1000</f>
        <v>0</v>
      </c>
      <c r="AA30" s="40">
        <f>IFERROR(('Konsumsi &amp; Pareto 2 Mingguan'!AC58+'Konsumsi &amp; Pareto 2 Mingguan'!AC70+'Konsumsi &amp; Pareto 2 Mingguan'!AC65)/'HK - BDGT'!AC14,0)*1000</f>
        <v>0</v>
      </c>
      <c r="AB30" s="40">
        <f>IFERROR(('Konsumsi &amp; Pareto 2 Mingguan'!AD58+'Konsumsi &amp; Pareto 2 Mingguan'!AD70+'Konsumsi &amp; Pareto 2 Mingguan'!AD65)/'HK - BDGT'!AD14,0)*1000</f>
        <v>0</v>
      </c>
      <c r="AC30" s="40">
        <f>IFERROR(('Konsumsi &amp; Pareto 2 Mingguan'!AE58+'Konsumsi &amp; Pareto 2 Mingguan'!AE70+'Konsumsi &amp; Pareto 2 Mingguan'!AE65)/'HK - BDGT'!AE14,0)*1000</f>
        <v>0</v>
      </c>
    </row>
    <row r="31" spans="2:31">
      <c r="B31" s="11" t="s">
        <v>1</v>
      </c>
      <c r="C31" s="11"/>
      <c r="D31" s="11"/>
      <c r="E31" s="11"/>
      <c r="F31" s="40">
        <f>IFERROR(('Konsumsi &amp; Pareto 2 Mingguan'!H60+'Konsumsi &amp; Pareto 2 Mingguan'!H71+'Konsumsi &amp; Pareto 2 Mingguan'!H66)/'HK - BDGT'!H12,0)*1000</f>
        <v>2070.0511688141742</v>
      </c>
      <c r="G31" s="40">
        <f>IFERROR(('Konsumsi &amp; Pareto 2 Mingguan'!I60+'Konsumsi &amp; Pareto 2 Mingguan'!I71+'Konsumsi &amp; Pareto 2 Mingguan'!I66)/'HK - BDGT'!I12,0)*1000</f>
        <v>1833.2473220195925</v>
      </c>
      <c r="H31" s="40">
        <f>IFERROR(('Konsumsi &amp; Pareto 2 Mingguan'!J60+'Konsumsi &amp; Pareto 2 Mingguan'!J71+'Konsumsi &amp; Pareto 2 Mingguan'!J66)/'HK - BDGT'!J12,0)*1000</f>
        <v>2023.6092493547244</v>
      </c>
      <c r="I31" s="40">
        <f>IFERROR(('Konsumsi &amp; Pareto 2 Mingguan'!K60+'Konsumsi &amp; Pareto 2 Mingguan'!K71+'Konsumsi &amp; Pareto 2 Mingguan'!K66)/'HK - BDGT'!K12,0)*1000</f>
        <v>2230.301256868393</v>
      </c>
      <c r="J31" s="40">
        <f>IFERROR(('Konsumsi &amp; Pareto 2 Mingguan'!L60+'Konsumsi &amp; Pareto 2 Mingguan'!L71+'Konsumsi &amp; Pareto 2 Mingguan'!L66)/'HK - BDGT'!L12,0)*1000</f>
        <v>2454.052641757497</v>
      </c>
      <c r="K31" s="40">
        <f>IFERROR(('Konsumsi &amp; Pareto 2 Mingguan'!M60+'Konsumsi &amp; Pareto 2 Mingguan'!M71+'Konsumsi &amp; Pareto 2 Mingguan'!M66)/'HK - BDGT'!M12,0)*1000</f>
        <v>2091.9842194489352</v>
      </c>
      <c r="L31" s="40">
        <f>IFERROR(('Konsumsi &amp; Pareto 2 Mingguan'!N60+'Konsumsi &amp; Pareto 2 Mingguan'!N71+'Konsumsi &amp; Pareto 2 Mingguan'!N66)/'HK - BDGT'!N12,0)*1000</f>
        <v>2071.4996711014014</v>
      </c>
      <c r="M31" s="40">
        <f>IFERROR(('Konsumsi &amp; Pareto 2 Mingguan'!O60+'Konsumsi &amp; Pareto 2 Mingguan'!O71+'Konsumsi &amp; Pareto 2 Mingguan'!O66)/'HK - BDGT'!O12,0)*1000</f>
        <v>2226.8841711514647</v>
      </c>
      <c r="N31" s="40">
        <f>IFERROR(('Konsumsi &amp; Pareto 2 Mingguan'!P60+'Konsumsi &amp; Pareto 2 Mingguan'!P71+'Konsumsi &amp; Pareto 2 Mingguan'!P66)/'HK - BDGT'!P12,0)*1000</f>
        <v>1924.771467293343</v>
      </c>
      <c r="O31" s="40">
        <f>IFERROR(('Konsumsi &amp; Pareto 2 Mingguan'!Q60+'Konsumsi &amp; Pareto 2 Mingguan'!Q71+'Konsumsi &amp; Pareto 2 Mingguan'!Q66)/'HK - BDGT'!Q12,0)*1000</f>
        <v>5617.7014721029282</v>
      </c>
      <c r="P31" s="40">
        <f>IFERROR(('Konsumsi &amp; Pareto 2 Mingguan'!R60+'Konsumsi &amp; Pareto 2 Mingguan'!R71+'Konsumsi &amp; Pareto 2 Mingguan'!R66)/'HK - BDGT'!R12,0)*1000</f>
        <v>2936.6474065918705</v>
      </c>
      <c r="Q31" s="40">
        <f>IFERROR(('Konsumsi &amp; Pareto 2 Mingguan'!S60+'Konsumsi &amp; Pareto 2 Mingguan'!S71+'Konsumsi &amp; Pareto 2 Mingguan'!S66)/'HK - BDGT'!S12,0)*1000</f>
        <v>2248.5820897917733</v>
      </c>
      <c r="R31" s="40">
        <f>IFERROR(('Konsumsi &amp; Pareto 2 Mingguan'!T60+'Konsumsi &amp; Pareto 2 Mingguan'!T71+'Konsumsi &amp; Pareto 2 Mingguan'!T66)/'HK - BDGT'!T12,0)*1000</f>
        <v>0</v>
      </c>
      <c r="S31" s="40">
        <f>IFERROR(('Konsumsi &amp; Pareto 2 Mingguan'!U60+'Konsumsi &amp; Pareto 2 Mingguan'!U71+'Konsumsi &amp; Pareto 2 Mingguan'!U66)/'HK - BDGT'!U12,0)*1000</f>
        <v>0</v>
      </c>
      <c r="T31" s="40">
        <f>IFERROR(('Konsumsi &amp; Pareto 2 Mingguan'!V60+'Konsumsi &amp; Pareto 2 Mingguan'!V71+'Konsumsi &amp; Pareto 2 Mingguan'!V66)/'HK - BDGT'!V12,0)*1000</f>
        <v>0</v>
      </c>
      <c r="U31" s="40">
        <f>IFERROR(('Konsumsi &amp; Pareto 2 Mingguan'!W60+'Konsumsi &amp; Pareto 2 Mingguan'!W71+'Konsumsi &amp; Pareto 2 Mingguan'!W66)/'HK - BDGT'!W12,0)*1000</f>
        <v>0</v>
      </c>
      <c r="V31" s="40">
        <f>IFERROR(('Konsumsi &amp; Pareto 2 Mingguan'!X60+'Konsumsi &amp; Pareto 2 Mingguan'!X71+'Konsumsi &amp; Pareto 2 Mingguan'!X66)/'HK - BDGT'!X12,0)*1000</f>
        <v>0</v>
      </c>
      <c r="W31" s="40">
        <f>IFERROR(('Konsumsi &amp; Pareto 2 Mingguan'!Y60+'Konsumsi &amp; Pareto 2 Mingguan'!Y71+'Konsumsi &amp; Pareto 2 Mingguan'!Y66)/'HK - BDGT'!Y12,0)*1000</f>
        <v>0</v>
      </c>
      <c r="X31" s="40">
        <f>IFERROR(('Konsumsi &amp; Pareto 2 Mingguan'!Z60+'Konsumsi &amp; Pareto 2 Mingguan'!Z71+'Konsumsi &amp; Pareto 2 Mingguan'!Z66)/'HK - BDGT'!Z12,0)*1000</f>
        <v>0</v>
      </c>
      <c r="Y31" s="40">
        <f>IFERROR(('Konsumsi &amp; Pareto 2 Mingguan'!AA60+'Konsumsi &amp; Pareto 2 Mingguan'!AA71+'Konsumsi &amp; Pareto 2 Mingguan'!AA66)/'HK - BDGT'!AA12,0)*1000</f>
        <v>0</v>
      </c>
      <c r="Z31" s="40">
        <f>IFERROR(('Konsumsi &amp; Pareto 2 Mingguan'!AB60+'Konsumsi &amp; Pareto 2 Mingguan'!AB71+'Konsumsi &amp; Pareto 2 Mingguan'!AB66)/'HK - BDGT'!AB12,0)*1000</f>
        <v>0</v>
      </c>
      <c r="AA31" s="40">
        <f>IFERROR(('Konsumsi &amp; Pareto 2 Mingguan'!AC60+'Konsumsi &amp; Pareto 2 Mingguan'!AC71+'Konsumsi &amp; Pareto 2 Mingguan'!AC66)/'HK - BDGT'!AC12,0)*1000</f>
        <v>0</v>
      </c>
      <c r="AB31" s="40">
        <f>IFERROR(('Konsumsi &amp; Pareto 2 Mingguan'!AD60+'Konsumsi &amp; Pareto 2 Mingguan'!AD71+'Konsumsi &amp; Pareto 2 Mingguan'!AD66)/'HK - BDGT'!AD12,0)*1000</f>
        <v>0</v>
      </c>
      <c r="AC31" s="40">
        <f>IFERROR(('Konsumsi &amp; Pareto 2 Mingguan'!AE60+'Konsumsi &amp; Pareto 2 Mingguan'!AE71+'Konsumsi &amp; Pareto 2 Mingguan'!AE66)/'HK - BDGT'!AE12,0)*1000</f>
        <v>0</v>
      </c>
    </row>
    <row r="32" spans="2:31">
      <c r="F32" s="277">
        <f>SUM(F26:G27)</f>
        <v>12684.740527681191</v>
      </c>
      <c r="G32" s="277"/>
      <c r="H32" s="277">
        <f t="shared" ref="H32" si="16">SUM(H26:I27)</f>
        <v>13419.084314340038</v>
      </c>
      <c r="I32" s="277"/>
      <c r="J32" s="277">
        <f t="shared" ref="J32" si="17">SUM(J26:K27)</f>
        <v>13782.26943325064</v>
      </c>
      <c r="K32" s="277"/>
      <c r="L32" s="277">
        <f t="shared" ref="L32" si="18">SUM(L26:M27)</f>
        <v>13588.223986764264</v>
      </c>
      <c r="M32" s="277"/>
      <c r="N32" s="277">
        <f t="shared" ref="N32" si="19">SUM(N26:O27)</f>
        <v>10973.369109114094</v>
      </c>
      <c r="O32" s="277"/>
      <c r="P32" s="277">
        <f t="shared" ref="P32" si="20">SUM(P26:Q27)</f>
        <v>12118.338256522744</v>
      </c>
      <c r="Q32" s="277"/>
      <c r="R32" s="277">
        <f t="shared" ref="R32" si="21">SUM(R26:S27)</f>
        <v>0</v>
      </c>
      <c r="S32" s="277"/>
      <c r="T32" s="277" t="e">
        <f t="shared" ref="T32" si="22">SUM(T26:U27)</f>
        <v>#DIV/0!</v>
      </c>
      <c r="U32" s="277"/>
      <c r="V32" s="277" t="e">
        <f t="shared" ref="V32" si="23">SUM(V26:W27)</f>
        <v>#DIV/0!</v>
      </c>
      <c r="W32" s="277"/>
      <c r="Z32">
        <v>10.398999999999999</v>
      </c>
      <c r="AA32" t="s">
        <v>148</v>
      </c>
      <c r="AD32" s="197"/>
      <c r="AE32" s="197"/>
    </row>
    <row r="33" spans="1:31">
      <c r="B33" s="18" t="s">
        <v>26</v>
      </c>
      <c r="C33" s="18"/>
      <c r="D33" s="18"/>
      <c r="E33" s="18"/>
      <c r="F33" s="18"/>
      <c r="G33" s="18"/>
      <c r="Z33">
        <v>11.241</v>
      </c>
      <c r="AB33" t="s">
        <v>94</v>
      </c>
      <c r="AD33" s="198"/>
      <c r="AE33" s="198"/>
    </row>
    <row r="34" spans="1:31" ht="15" customHeight="1">
      <c r="B34" s="206" t="s">
        <v>41</v>
      </c>
      <c r="C34" s="206"/>
      <c r="D34" s="206"/>
      <c r="E34" s="206" t="s">
        <v>40</v>
      </c>
      <c r="F34" s="212" t="s">
        <v>2</v>
      </c>
      <c r="G34" s="212"/>
      <c r="H34" s="212" t="s">
        <v>3</v>
      </c>
      <c r="I34" s="212"/>
      <c r="J34" s="212" t="s">
        <v>4</v>
      </c>
      <c r="K34" s="212"/>
      <c r="L34" s="212" t="s">
        <v>5</v>
      </c>
      <c r="M34" s="212"/>
      <c r="N34" s="212" t="s">
        <v>6</v>
      </c>
      <c r="O34" s="212"/>
      <c r="P34" s="212" t="s">
        <v>7</v>
      </c>
      <c r="Q34" s="212"/>
      <c r="R34" s="212" t="s">
        <v>8</v>
      </c>
      <c r="S34" s="212"/>
      <c r="T34" s="212" t="s">
        <v>9</v>
      </c>
      <c r="U34" s="212"/>
      <c r="V34" s="212" t="s">
        <v>10</v>
      </c>
      <c r="W34" s="212"/>
      <c r="X34" s="212" t="s">
        <v>11</v>
      </c>
      <c r="Y34" s="212"/>
      <c r="Z34" s="212" t="s">
        <v>12</v>
      </c>
      <c r="AA34" s="212"/>
      <c r="AB34" s="212" t="s">
        <v>13</v>
      </c>
      <c r="AC34" s="212"/>
    </row>
    <row r="35" spans="1:31" s="1" customFormat="1">
      <c r="B35" s="206"/>
      <c r="C35" s="206"/>
      <c r="D35" s="206"/>
      <c r="E35" s="206"/>
      <c r="F35" s="41">
        <v>15</v>
      </c>
      <c r="G35" s="41">
        <v>31</v>
      </c>
      <c r="H35" s="41">
        <v>14</v>
      </c>
      <c r="I35" s="41">
        <v>28</v>
      </c>
      <c r="J35" s="41">
        <v>15</v>
      </c>
      <c r="K35" s="41">
        <v>31</v>
      </c>
      <c r="L35" s="41">
        <v>15</v>
      </c>
      <c r="M35" s="41">
        <v>30</v>
      </c>
      <c r="N35" s="41">
        <v>15</v>
      </c>
      <c r="O35" s="41">
        <v>31</v>
      </c>
      <c r="P35" s="41">
        <v>15</v>
      </c>
      <c r="Q35" s="41">
        <v>30</v>
      </c>
      <c r="R35" s="41">
        <v>15</v>
      </c>
      <c r="S35" s="41">
        <v>31</v>
      </c>
      <c r="T35" s="41">
        <v>15</v>
      </c>
      <c r="U35" s="41">
        <v>31</v>
      </c>
      <c r="V35" s="41">
        <v>15</v>
      </c>
      <c r="W35" s="41">
        <v>30</v>
      </c>
      <c r="X35" s="41">
        <v>15</v>
      </c>
      <c r="Y35" s="41">
        <v>31</v>
      </c>
      <c r="Z35" s="41">
        <v>15</v>
      </c>
      <c r="AA35" s="41">
        <v>30</v>
      </c>
      <c r="AB35" s="41">
        <v>15</v>
      </c>
      <c r="AC35" s="41">
        <v>31</v>
      </c>
    </row>
    <row r="36" spans="1:31" s="1" customFormat="1">
      <c r="B36" s="69" t="s">
        <v>70</v>
      </c>
      <c r="C36" s="69"/>
      <c r="D36" s="69"/>
      <c r="E36" s="70"/>
      <c r="F36" s="71">
        <f>'Konsumsi &amp; Pareto 2 Mingguan'!H39</f>
        <v>165.11679999999762</v>
      </c>
      <c r="G36" s="71">
        <f>'Konsumsi &amp; Pareto 2 Mingguan'!I39</f>
        <v>145.65120000000098</v>
      </c>
      <c r="H36" s="71">
        <f>'Konsumsi &amp; Pareto 2 Mingguan'!J39</f>
        <v>148.24639999999928</v>
      </c>
      <c r="I36" s="71">
        <f>'Konsumsi &amp; Pareto 2 Mingguan'!K39</f>
        <v>147.59040000000169</v>
      </c>
      <c r="J36" s="71">
        <f>'Konsumsi &amp; Pareto 2 Mingguan'!L39</f>
        <v>173.76319999999907</v>
      </c>
      <c r="K36" s="71">
        <f>'Konsumsi &amp; Pareto 2 Mingguan'!M39</f>
        <v>164.10560000000115</v>
      </c>
      <c r="L36" s="71">
        <f>'Konsumsi &amp; Pareto 2 Mingguan'!N39</f>
        <v>179.59039999999806</v>
      </c>
      <c r="M36" s="71">
        <f>'Konsumsi &amp; Pareto 2 Mingguan'!O39</f>
        <v>148.87680000000182</v>
      </c>
      <c r="N36" s="71">
        <f>'Konsumsi &amp; Pareto 2 Mingguan'!P39</f>
        <v>115.01119999999938</v>
      </c>
      <c r="O36" s="71">
        <f>'Konsumsi &amp; Pareto 2 Mingguan'!Q39</f>
        <v>92.329600000000937</v>
      </c>
      <c r="P36" s="71">
        <f>'Konsumsi &amp; Pareto 2 Mingguan'!R39</f>
        <v>183.29920000000058</v>
      </c>
      <c r="Q36" s="71">
        <f>'Konsumsi &amp; Pareto 2 Mingguan'!S39</f>
        <v>144.50559999999822</v>
      </c>
      <c r="R36" s="71">
        <f>'Konsumsi &amp; Pareto 2 Mingguan'!T39</f>
        <v>0</v>
      </c>
      <c r="S36" s="71">
        <f>'Konsumsi &amp; Pareto 2 Mingguan'!U39</f>
        <v>0</v>
      </c>
      <c r="T36" s="71">
        <f>'Konsumsi &amp; Pareto 2 Mingguan'!V39</f>
        <v>0</v>
      </c>
      <c r="U36" s="71">
        <f>'Konsumsi &amp; Pareto 2 Mingguan'!W39</f>
        <v>0</v>
      </c>
      <c r="V36" s="71">
        <f>'Konsumsi &amp; Pareto 2 Mingguan'!X39</f>
        <v>0</v>
      </c>
      <c r="W36" s="71">
        <f>'Konsumsi &amp; Pareto 2 Mingguan'!Y39</f>
        <v>0</v>
      </c>
      <c r="X36" s="71">
        <f>'Konsumsi &amp; Pareto 2 Mingguan'!Z39</f>
        <v>0</v>
      </c>
      <c r="Y36" s="71">
        <f>'Konsumsi &amp; Pareto 2 Mingguan'!AA39</f>
        <v>0</v>
      </c>
      <c r="Z36" s="71">
        <f>'Konsumsi &amp; Pareto 2 Mingguan'!AB39</f>
        <v>0</v>
      </c>
      <c r="AA36" s="71">
        <f>'Konsumsi &amp; Pareto 2 Mingguan'!AC39</f>
        <v>0</v>
      </c>
      <c r="AB36" s="71">
        <f>'Konsumsi &amp; Pareto 2 Mingguan'!AD39</f>
        <v>0</v>
      </c>
      <c r="AC36" s="71">
        <f>'Konsumsi &amp; Pareto 2 Mingguan'!AE39</f>
        <v>0</v>
      </c>
    </row>
    <row r="37" spans="1:31" s="1" customFormat="1">
      <c r="B37" s="69" t="s">
        <v>71</v>
      </c>
      <c r="C37" s="69"/>
      <c r="D37" s="69"/>
      <c r="E37" s="70"/>
      <c r="F37" s="71">
        <f>'Konsumsi &amp; Pareto 2 Mingguan'!H42</f>
        <v>6.6076000000000477</v>
      </c>
      <c r="G37" s="71">
        <f>'Konsumsi &amp; Pareto 2 Mingguan'!I42</f>
        <v>5.9436000000000915</v>
      </c>
      <c r="H37" s="71">
        <f>'Konsumsi &amp; Pareto 2 Mingguan'!J42</f>
        <v>5.8958999999999193</v>
      </c>
      <c r="I37" s="71">
        <f>'Konsumsi &amp; Pareto 2 Mingguan'!K42</f>
        <v>5.3742999999999732</v>
      </c>
      <c r="J37" s="71">
        <f>'Konsumsi &amp; Pareto 2 Mingguan'!L42</f>
        <v>5.6135999999997939</v>
      </c>
      <c r="K37" s="71">
        <f>'Konsumsi &amp; Pareto 2 Mingguan'!M42</f>
        <v>6.7129000000002232</v>
      </c>
      <c r="L37" s="71">
        <f>'Konsumsi &amp; Pareto 2 Mingguan'!N42</f>
        <v>7.6584999999998526</v>
      </c>
      <c r="M37" s="71">
        <f>'Konsumsi &amp; Pareto 2 Mingguan'!O42</f>
        <v>5.5461000000000409</v>
      </c>
      <c r="N37" s="71">
        <f>'Konsumsi &amp; Pareto 2 Mingguan'!P42</f>
        <v>2.8359999999997836</v>
      </c>
      <c r="O37" s="71">
        <f>'Konsumsi &amp; Pareto 2 Mingguan'!Q42</f>
        <v>2.1233999999999509</v>
      </c>
      <c r="P37" s="71">
        <f>'Konsumsi &amp; Pareto 2 Mingguan'!R42</f>
        <v>7.1223000000002292</v>
      </c>
      <c r="Q37" s="71">
        <f>'Konsumsi &amp; Pareto 2 Mingguan'!S42</f>
        <v>5.2065999999999892</v>
      </c>
      <c r="R37" s="71">
        <f>'Konsumsi &amp; Pareto 2 Mingguan'!T42</f>
        <v>0</v>
      </c>
      <c r="S37" s="71">
        <f>'Konsumsi &amp; Pareto 2 Mingguan'!U42</f>
        <v>0</v>
      </c>
      <c r="T37" s="71">
        <f>'Konsumsi &amp; Pareto 2 Mingguan'!V42</f>
        <v>0</v>
      </c>
      <c r="U37" s="71">
        <f>'Konsumsi &amp; Pareto 2 Mingguan'!W42</f>
        <v>0</v>
      </c>
      <c r="V37" s="71">
        <f>'Konsumsi &amp; Pareto 2 Mingguan'!X42</f>
        <v>0</v>
      </c>
      <c r="W37" s="71">
        <f>'Konsumsi &amp; Pareto 2 Mingguan'!Y42</f>
        <v>0</v>
      </c>
      <c r="X37" s="71">
        <f>'Konsumsi &amp; Pareto 2 Mingguan'!Z42</f>
        <v>0</v>
      </c>
      <c r="Y37" s="71">
        <f>'Konsumsi &amp; Pareto 2 Mingguan'!AA42</f>
        <v>0</v>
      </c>
      <c r="Z37" s="71">
        <f>'Konsumsi &amp; Pareto 2 Mingguan'!AB42</f>
        <v>0</v>
      </c>
      <c r="AA37" s="71">
        <f>'Konsumsi &amp; Pareto 2 Mingguan'!AC42</f>
        <v>0</v>
      </c>
      <c r="AB37" s="71">
        <f>'Konsumsi &amp; Pareto 2 Mingguan'!AD42</f>
        <v>0</v>
      </c>
      <c r="AC37" s="71">
        <f>'Konsumsi &amp; Pareto 2 Mingguan'!AE42</f>
        <v>0</v>
      </c>
    </row>
    <row r="38" spans="1:31">
      <c r="B38" s="69" t="s">
        <v>16</v>
      </c>
      <c r="C38" s="69"/>
      <c r="D38" s="69"/>
      <c r="E38" s="8" t="s">
        <v>109</v>
      </c>
      <c r="F38" s="71">
        <f>'Konsumsi &amp; Pareto 2 Mingguan'!H44</f>
        <v>101.15012551480218</v>
      </c>
      <c r="G38" s="71">
        <f>'Konsumsi &amp; Pareto 2 Mingguan'!I44</f>
        <v>87.65537194320757</v>
      </c>
      <c r="H38" s="71">
        <f>'Konsumsi &amp; Pareto 2 Mingguan'!J44</f>
        <v>93.142118749278481</v>
      </c>
      <c r="I38" s="71">
        <f>'Konsumsi &amp; Pareto 2 Mingguan'!K44</f>
        <v>87.15523105835581</v>
      </c>
      <c r="J38" s="71">
        <f>'Konsumsi &amp; Pareto 2 Mingguan'!L44</f>
        <v>101.14082949192147</v>
      </c>
      <c r="K38" s="71">
        <f>'Konsumsi &amp; Pareto 2 Mingguan'!M44</f>
        <v>102.71462808814962</v>
      </c>
      <c r="L38" s="71">
        <f>'Konsumsi &amp; Pareto 2 Mingguan'!N44</f>
        <v>117.68812587907387</v>
      </c>
      <c r="M38" s="71">
        <f>'Konsumsi &amp; Pareto 2 Mingguan'!O44</f>
        <v>90.017458420349286</v>
      </c>
      <c r="N38" s="71">
        <f>'Konsumsi &amp; Pareto 2 Mingguan'!P44</f>
        <v>58.739849828774226</v>
      </c>
      <c r="O38" s="71">
        <f>'Konsumsi &amp; Pareto 2 Mingguan'!Q44</f>
        <v>46.594040437898258</v>
      </c>
      <c r="P38" s="71">
        <f>'Konsumsi &amp; Pareto 2 Mingguan'!R44</f>
        <v>105.80066955897182</v>
      </c>
      <c r="Q38" s="71">
        <f>'Konsumsi &amp; Pareto 2 Mingguan'!S44</f>
        <v>82.27079024763475</v>
      </c>
      <c r="R38" s="71">
        <f>'Konsumsi &amp; Pareto 2 Mingguan'!T44</f>
        <v>0</v>
      </c>
      <c r="S38" s="71">
        <f>'Konsumsi &amp; Pareto 2 Mingguan'!U44</f>
        <v>0</v>
      </c>
      <c r="T38" s="71">
        <f>'Konsumsi &amp; Pareto 2 Mingguan'!V44</f>
        <v>0</v>
      </c>
      <c r="U38" s="71">
        <f>'Konsumsi &amp; Pareto 2 Mingguan'!W44</f>
        <v>0</v>
      </c>
      <c r="V38" s="71">
        <f>'Konsumsi &amp; Pareto 2 Mingguan'!X44</f>
        <v>0</v>
      </c>
      <c r="W38" s="71">
        <f>'Konsumsi &amp; Pareto 2 Mingguan'!Y44</f>
        <v>0</v>
      </c>
      <c r="X38" s="71">
        <f>'Konsumsi &amp; Pareto 2 Mingguan'!Z44</f>
        <v>0</v>
      </c>
      <c r="Y38" s="71">
        <f>'Konsumsi &amp; Pareto 2 Mingguan'!AA44</f>
        <v>0</v>
      </c>
      <c r="Z38" s="71">
        <f>'Konsumsi &amp; Pareto 2 Mingguan'!AB44</f>
        <v>0</v>
      </c>
      <c r="AA38" s="71">
        <f>'Konsumsi &amp; Pareto 2 Mingguan'!AC44</f>
        <v>0</v>
      </c>
      <c r="AB38" s="71">
        <f>'Konsumsi &amp; Pareto 2 Mingguan'!AD44</f>
        <v>0</v>
      </c>
      <c r="AC38" s="71">
        <f>'Konsumsi &amp; Pareto 2 Mingguan'!AE44</f>
        <v>0</v>
      </c>
    </row>
    <row r="39" spans="1:31">
      <c r="B39" s="69" t="s">
        <v>108</v>
      </c>
      <c r="C39" s="69"/>
      <c r="D39" s="69"/>
      <c r="E39" s="8" t="s">
        <v>109</v>
      </c>
      <c r="F39" s="71">
        <f>'Konsumsi &amp; Pareto 2 Mingguan'!H76</f>
        <v>69.927984397820993</v>
      </c>
      <c r="G39" s="71">
        <f>'Konsumsi &amp; Pareto 2 Mingguan'!I76</f>
        <v>58.571133649874142</v>
      </c>
      <c r="H39" s="71">
        <f>'Konsumsi &amp; Pareto 2 Mingguan'!J76</f>
        <v>65.926014486519946</v>
      </c>
      <c r="I39" s="71">
        <f>'Konsumsi &amp; Pareto 2 Mingguan'!K76</f>
        <v>60.517301985022435</v>
      </c>
      <c r="J39" s="71">
        <f>'Konsumsi &amp; Pareto 2 Mingguan'!L76</f>
        <v>68.184024660133673</v>
      </c>
      <c r="K39" s="71">
        <f>'Konsumsi &amp; Pareto 2 Mingguan'!M76</f>
        <v>70.545358676493052</v>
      </c>
      <c r="L39" s="71">
        <f>'Konsumsi &amp; Pareto 2 Mingguan'!N76</f>
        <v>84.402239233996085</v>
      </c>
      <c r="M39" s="71">
        <f>'Konsumsi &amp; Pareto 2 Mingguan'!O76</f>
        <v>62.123608615454302</v>
      </c>
      <c r="N39" s="71">
        <f>'Konsumsi &amp; Pareto 2 Mingguan'!P76</f>
        <v>36.264406192410704</v>
      </c>
      <c r="O39" s="71">
        <f>'Konsumsi &amp; Pareto 2 Mingguan'!Q76</f>
        <v>25.939645421682073</v>
      </c>
      <c r="P39" s="71">
        <f>'Konsumsi &amp; Pareto 2 Mingguan'!R76</f>
        <v>71.052364052721472</v>
      </c>
      <c r="Q39" s="71">
        <f>'Konsumsi &amp; Pareto 2 Mingguan'!S76</f>
        <v>56.145417847634846</v>
      </c>
      <c r="R39" s="71">
        <f>'Konsumsi &amp; Pareto 2 Mingguan'!T76</f>
        <v>0</v>
      </c>
      <c r="S39" s="71">
        <f>'Konsumsi &amp; Pareto 2 Mingguan'!U76</f>
        <v>0</v>
      </c>
      <c r="T39" s="71">
        <f>'Konsumsi &amp; Pareto 2 Mingguan'!V76</f>
        <v>0</v>
      </c>
      <c r="U39" s="71">
        <f>'Konsumsi &amp; Pareto 2 Mingguan'!W76</f>
        <v>0</v>
      </c>
      <c r="V39" s="71">
        <f>'Konsumsi &amp; Pareto 2 Mingguan'!X76</f>
        <v>0</v>
      </c>
      <c r="W39" s="71">
        <f>'Konsumsi &amp; Pareto 2 Mingguan'!Y76</f>
        <v>0</v>
      </c>
      <c r="X39" s="71">
        <f>'Konsumsi &amp; Pareto 2 Mingguan'!Z76</f>
        <v>0</v>
      </c>
      <c r="Y39" s="71">
        <f>'Konsumsi &amp; Pareto 2 Mingguan'!AA76</f>
        <v>0</v>
      </c>
      <c r="Z39" s="71">
        <f>'Konsumsi &amp; Pareto 2 Mingguan'!AB76</f>
        <v>0</v>
      </c>
      <c r="AA39" s="71">
        <f>'Konsumsi &amp; Pareto 2 Mingguan'!AC76</f>
        <v>0</v>
      </c>
      <c r="AB39" s="71">
        <f>'Konsumsi &amp; Pareto 2 Mingguan'!AD76</f>
        <v>0</v>
      </c>
      <c r="AC39" s="71">
        <f>'Konsumsi &amp; Pareto 2 Mingguan'!AE76</f>
        <v>0</v>
      </c>
    </row>
    <row r="40" spans="1:31">
      <c r="A40" t="s">
        <v>91</v>
      </c>
      <c r="B40" s="72" t="s">
        <v>42</v>
      </c>
      <c r="C40" s="72"/>
      <c r="D40" s="69" t="s">
        <v>72</v>
      </c>
      <c r="E40" s="8" t="s">
        <v>109</v>
      </c>
      <c r="F40" s="71">
        <f>'Konsumsi &amp; Pareto 2 Mingguan'!H45</f>
        <v>0</v>
      </c>
      <c r="G40" s="71">
        <f>'Konsumsi &amp; Pareto 2 Mingguan'!I45</f>
        <v>0</v>
      </c>
      <c r="H40" s="71">
        <f>'Konsumsi &amp; Pareto 2 Mingguan'!J45</f>
        <v>0</v>
      </c>
      <c r="I40" s="71">
        <f>'Konsumsi &amp; Pareto 2 Mingguan'!K45</f>
        <v>0</v>
      </c>
      <c r="J40" s="71">
        <f>'Konsumsi &amp; Pareto 2 Mingguan'!L45</f>
        <v>0</v>
      </c>
      <c r="K40" s="71">
        <f>'Konsumsi &amp; Pareto 2 Mingguan'!M45</f>
        <v>0</v>
      </c>
      <c r="L40" s="71">
        <f>'Konsumsi &amp; Pareto 2 Mingguan'!N45</f>
        <v>0</v>
      </c>
      <c r="M40" s="71">
        <f>'Konsumsi &amp; Pareto 2 Mingguan'!O45</f>
        <v>0</v>
      </c>
      <c r="N40" s="71">
        <f>'Konsumsi &amp; Pareto 2 Mingguan'!P45</f>
        <v>0</v>
      </c>
      <c r="O40" s="71">
        <f>'Konsumsi &amp; Pareto 2 Mingguan'!Q45</f>
        <v>0</v>
      </c>
      <c r="P40" s="71">
        <f>'Konsumsi &amp; Pareto 2 Mingguan'!R45</f>
        <v>0</v>
      </c>
      <c r="Q40" s="71">
        <f>'Konsumsi &amp; Pareto 2 Mingguan'!S45</f>
        <v>0</v>
      </c>
      <c r="R40" s="71">
        <f>'Konsumsi &amp; Pareto 2 Mingguan'!T45</f>
        <v>0</v>
      </c>
      <c r="S40" s="71">
        <f>'Konsumsi &amp; Pareto 2 Mingguan'!U45</f>
        <v>0</v>
      </c>
      <c r="T40" s="71">
        <f>'Konsumsi &amp; Pareto 2 Mingguan'!V45</f>
        <v>0</v>
      </c>
      <c r="U40" s="71">
        <f>'Konsumsi &amp; Pareto 2 Mingguan'!W45</f>
        <v>0</v>
      </c>
      <c r="V40" s="71">
        <f>'Konsumsi &amp; Pareto 2 Mingguan'!X45</f>
        <v>0</v>
      </c>
      <c r="W40" s="71">
        <f>'Konsumsi &amp; Pareto 2 Mingguan'!Y45</f>
        <v>0</v>
      </c>
      <c r="X40" s="71">
        <f>'Konsumsi &amp; Pareto 2 Mingguan'!Z45</f>
        <v>0</v>
      </c>
      <c r="Y40" s="71">
        <f>'Konsumsi &amp; Pareto 2 Mingguan'!AA45</f>
        <v>0</v>
      </c>
      <c r="Z40" s="71">
        <f>'Konsumsi &amp; Pareto 2 Mingguan'!AB45</f>
        <v>0</v>
      </c>
      <c r="AA40" s="71">
        <f>'Konsumsi &amp; Pareto 2 Mingguan'!AC45</f>
        <v>0</v>
      </c>
      <c r="AB40" s="71">
        <f>'Konsumsi &amp; Pareto 2 Mingguan'!AD45</f>
        <v>0</v>
      </c>
      <c r="AC40" s="71">
        <f>'Konsumsi &amp; Pareto 2 Mingguan'!AE45</f>
        <v>0</v>
      </c>
    </row>
    <row r="41" spans="1:31">
      <c r="B41" s="78" t="s">
        <v>105</v>
      </c>
      <c r="C41" s="78"/>
      <c r="D41" s="69"/>
      <c r="E41" s="8" t="s">
        <v>109</v>
      </c>
      <c r="F41" s="71">
        <f>'Konsumsi &amp; Pareto 2 Mingguan'!H46</f>
        <v>14.217599999999862</v>
      </c>
      <c r="G41" s="71">
        <f>'Konsumsi &amp; Pareto 2 Mingguan'!I46</f>
        <v>12.203599999999998</v>
      </c>
      <c r="H41" s="71">
        <f>'Konsumsi &amp; Pareto 2 Mingguan'!J46</f>
        <v>13.145900000000005</v>
      </c>
      <c r="I41" s="71">
        <f>'Konsumsi &amp; Pareto 2 Mingguan'!K46</f>
        <v>11.814299999999999</v>
      </c>
      <c r="J41" s="71">
        <f>'Konsumsi &amp; Pareto 2 Mingguan'!L46</f>
        <v>12.643600000000136</v>
      </c>
      <c r="K41" s="71">
        <f>'Konsumsi &amp; Pareto 2 Mingguan'!M46</f>
        <v>14.76289999999995</v>
      </c>
      <c r="L41" s="71">
        <f>'Konsumsi &amp; Pareto 2 Mingguan'!N46</f>
        <v>17.358499999999957</v>
      </c>
      <c r="M41" s="71">
        <f>'Konsumsi &amp; Pareto 2 Mingguan'!O46</f>
        <v>12.416099999999961</v>
      </c>
      <c r="N41" s="71">
        <f>'Konsumsi &amp; Pareto 2 Mingguan'!P46</f>
        <v>6.1460000000000417</v>
      </c>
      <c r="O41" s="71">
        <f>'Konsumsi &amp; Pareto 2 Mingguan'!Q46</f>
        <v>3.4834000000000498</v>
      </c>
      <c r="P41" s="71">
        <f>'Konsumsi &amp; Pareto 2 Mingguan'!R46</f>
        <v>12.462299999999864</v>
      </c>
      <c r="Q41" s="71">
        <f>'Konsumsi &amp; Pareto 2 Mingguan'!S46</f>
        <v>10.536600000000087</v>
      </c>
      <c r="R41" s="71">
        <f>'Konsumsi &amp; Pareto 2 Mingguan'!T46</f>
        <v>0</v>
      </c>
      <c r="S41" s="71">
        <f>'Konsumsi &amp; Pareto 2 Mingguan'!U46</f>
        <v>0</v>
      </c>
      <c r="T41" s="71">
        <f>'Konsumsi &amp; Pareto 2 Mingguan'!V46</f>
        <v>0</v>
      </c>
      <c r="U41" s="71">
        <f>'Konsumsi &amp; Pareto 2 Mingguan'!W46</f>
        <v>0</v>
      </c>
      <c r="V41" s="71">
        <f>'Konsumsi &amp; Pareto 2 Mingguan'!X46</f>
        <v>0</v>
      </c>
      <c r="W41" s="71">
        <f>'Konsumsi &amp; Pareto 2 Mingguan'!Y46</f>
        <v>0</v>
      </c>
      <c r="X41" s="71">
        <f>'Konsumsi &amp; Pareto 2 Mingguan'!Z46</f>
        <v>0</v>
      </c>
      <c r="Y41" s="71">
        <f>'Konsumsi &amp; Pareto 2 Mingguan'!AA46</f>
        <v>0</v>
      </c>
      <c r="Z41" s="71">
        <f>'Konsumsi &amp; Pareto 2 Mingguan'!AB46</f>
        <v>0</v>
      </c>
      <c r="AA41" s="71">
        <f>'Konsumsi &amp; Pareto 2 Mingguan'!AC46</f>
        <v>0</v>
      </c>
      <c r="AB41" s="71">
        <f>'Konsumsi &amp; Pareto 2 Mingguan'!AD46</f>
        <v>0</v>
      </c>
      <c r="AC41" s="71">
        <f>'Konsumsi &amp; Pareto 2 Mingguan'!AE46</f>
        <v>0</v>
      </c>
    </row>
    <row r="42" spans="1:31">
      <c r="B42" s="72" t="s">
        <v>43</v>
      </c>
      <c r="C42" s="72"/>
      <c r="D42" s="69"/>
      <c r="E42" s="8" t="s">
        <v>109</v>
      </c>
      <c r="F42" s="71">
        <f>'Konsumsi &amp; Pareto 2 Mingguan'!H48</f>
        <v>0.90999999999999659</v>
      </c>
      <c r="G42" s="71">
        <f>'Konsumsi &amp; Pareto 2 Mingguan'!I48</f>
        <v>0.65999999999999659</v>
      </c>
      <c r="H42" s="71">
        <f>'Konsumsi &amp; Pareto 2 Mingguan'!J48</f>
        <v>0.84999999999999432</v>
      </c>
      <c r="I42" s="71">
        <f>'Konsumsi &amp; Pareto 2 Mingguan'!K48</f>
        <v>0.94000000000002615</v>
      </c>
      <c r="J42" s="71">
        <f>'Konsumsi &amp; Pareto 2 Mingguan'!L48</f>
        <v>0.9299999999999784</v>
      </c>
      <c r="K42" s="71">
        <f>'Konsumsi &amp; Pareto 2 Mingguan'!M48</f>
        <v>0.75</v>
      </c>
      <c r="L42" s="71">
        <f>'Konsumsi &amp; Pareto 2 Mingguan'!N48</f>
        <v>0.80000000000001137</v>
      </c>
      <c r="M42" s="71">
        <f>'Konsumsi &amp; Pareto 2 Mingguan'!O48</f>
        <v>0.77000000000001023</v>
      </c>
      <c r="N42" s="71">
        <f>'Konsumsi &amp; Pareto 2 Mingguan'!P48</f>
        <v>0.60999999999998522</v>
      </c>
      <c r="O42" s="71">
        <f>'Konsumsi &amp; Pareto 2 Mingguan'!Q48</f>
        <v>0.46000000000000796</v>
      </c>
      <c r="P42" s="71">
        <f>'Konsumsi &amp; Pareto 2 Mingguan'!R48</f>
        <v>0.93999999999999773</v>
      </c>
      <c r="Q42" s="71">
        <f>'Konsumsi &amp; Pareto 2 Mingguan'!S48</f>
        <v>0.93000000000000682</v>
      </c>
      <c r="R42" s="71">
        <f>'Konsumsi &amp; Pareto 2 Mingguan'!T48</f>
        <v>0</v>
      </c>
      <c r="S42" s="71">
        <f>'Konsumsi &amp; Pareto 2 Mingguan'!U48</f>
        <v>0</v>
      </c>
      <c r="T42" s="71">
        <f>'Konsumsi &amp; Pareto 2 Mingguan'!V48</f>
        <v>0</v>
      </c>
      <c r="U42" s="71">
        <f>'Konsumsi &amp; Pareto 2 Mingguan'!W48</f>
        <v>0</v>
      </c>
      <c r="V42" s="71">
        <f>'Konsumsi &amp; Pareto 2 Mingguan'!X48</f>
        <v>0</v>
      </c>
      <c r="W42" s="71">
        <f>'Konsumsi &amp; Pareto 2 Mingguan'!Y48</f>
        <v>0</v>
      </c>
      <c r="X42" s="71">
        <f>'Konsumsi &amp; Pareto 2 Mingguan'!Z48</f>
        <v>0</v>
      </c>
      <c r="Y42" s="71">
        <f>'Konsumsi &amp; Pareto 2 Mingguan'!AA48</f>
        <v>0</v>
      </c>
      <c r="Z42" s="71">
        <f>'Konsumsi &amp; Pareto 2 Mingguan'!AB48</f>
        <v>0</v>
      </c>
      <c r="AA42" s="71">
        <f>'Konsumsi &amp; Pareto 2 Mingguan'!AC48</f>
        <v>0</v>
      </c>
      <c r="AB42" s="71">
        <f>'Konsumsi &amp; Pareto 2 Mingguan'!AD48</f>
        <v>0</v>
      </c>
      <c r="AC42" s="71">
        <f>'Konsumsi &amp; Pareto 2 Mingguan'!AE48</f>
        <v>0</v>
      </c>
    </row>
    <row r="43" spans="1:31">
      <c r="B43" s="72" t="s">
        <v>99</v>
      </c>
      <c r="C43" s="72"/>
      <c r="D43" s="69" t="s">
        <v>72</v>
      </c>
      <c r="E43" s="8" t="s">
        <v>109</v>
      </c>
      <c r="F43" s="71">
        <f>'Konsumsi &amp; Pareto 2 Mingguan'!H49</f>
        <v>15.969763998463486</v>
      </c>
      <c r="G43" s="71">
        <f>'Konsumsi &amp; Pareto 2 Mingguan'!I49</f>
        <v>12.147219208169316</v>
      </c>
      <c r="H43" s="71">
        <f>'Konsumsi &amp; Pareto 2 Mingguan'!J49</f>
        <v>12.012816425237993</v>
      </c>
      <c r="I43" s="71">
        <f>'Konsumsi &amp; Pareto 2 Mingguan'!K49</f>
        <v>11.481395533645562</v>
      </c>
      <c r="J43" s="71">
        <f>'Konsumsi &amp; Pareto 2 Mingguan'!L49</f>
        <v>15.885911121318664</v>
      </c>
      <c r="K43" s="71">
        <f>'Konsumsi &amp; Pareto 2 Mingguan'!M49</f>
        <v>14.193917588354346</v>
      </c>
      <c r="L43" s="71">
        <f>'Konsumsi &amp; Pareto 2 Mingguan'!N49</f>
        <v>15.334789355132676</v>
      </c>
      <c r="M43" s="71">
        <f>'Konsumsi &amp; Pareto 2 Mingguan'!O49</f>
        <v>12.574944085153415</v>
      </c>
      <c r="N43" s="71">
        <f>'Konsumsi &amp; Pareto 2 Mingguan'!P49</f>
        <v>9.6236081934063709</v>
      </c>
      <c r="O43" s="71">
        <f>'Konsumsi &amp; Pareto 2 Mingguan'!Q49</f>
        <v>9.4183213497518032</v>
      </c>
      <c r="P43" s="71">
        <f>'Konsumsi &amp; Pareto 2 Mingguan'!R49</f>
        <v>15.899896475448475</v>
      </c>
      <c r="Q43" s="71">
        <f>'Konsumsi &amp; Pareto 2 Mingguan'!S49</f>
        <v>12.264660452521893</v>
      </c>
      <c r="R43" s="71">
        <f>'Konsumsi &amp; Pareto 2 Mingguan'!T49</f>
        <v>0</v>
      </c>
      <c r="S43" s="71">
        <f>'Konsumsi &amp; Pareto 2 Mingguan'!U49</f>
        <v>0</v>
      </c>
      <c r="T43" s="71">
        <f>'Konsumsi &amp; Pareto 2 Mingguan'!V49</f>
        <v>0</v>
      </c>
      <c r="U43" s="71">
        <f>'Konsumsi &amp; Pareto 2 Mingguan'!W49</f>
        <v>0</v>
      </c>
      <c r="V43" s="71">
        <f>'Konsumsi &amp; Pareto 2 Mingguan'!X49</f>
        <v>0</v>
      </c>
      <c r="W43" s="71">
        <f>'Konsumsi &amp; Pareto 2 Mingguan'!Y49</f>
        <v>0</v>
      </c>
      <c r="X43" s="71">
        <f>'Konsumsi &amp; Pareto 2 Mingguan'!Z49</f>
        <v>0</v>
      </c>
      <c r="Y43" s="71">
        <f>'Konsumsi &amp; Pareto 2 Mingguan'!AA49</f>
        <v>0</v>
      </c>
      <c r="Z43" s="71">
        <f>'Konsumsi &amp; Pareto 2 Mingguan'!AB49</f>
        <v>0</v>
      </c>
      <c r="AA43" s="71">
        <f>'Konsumsi &amp; Pareto 2 Mingguan'!AC49</f>
        <v>0</v>
      </c>
      <c r="AB43" s="71">
        <f>'Konsumsi &amp; Pareto 2 Mingguan'!AD49</f>
        <v>0</v>
      </c>
      <c r="AC43" s="71">
        <f>'Konsumsi &amp; Pareto 2 Mingguan'!AE49</f>
        <v>0</v>
      </c>
    </row>
    <row r="44" spans="1:31">
      <c r="B44" s="72" t="s">
        <v>44</v>
      </c>
      <c r="C44" s="72"/>
      <c r="D44" s="69" t="s">
        <v>72</v>
      </c>
      <c r="E44" s="8" t="s">
        <v>109</v>
      </c>
      <c r="F44" s="71">
        <f>'Konsumsi &amp; Pareto 2 Mingguan'!H50</f>
        <v>8.2699999999999818</v>
      </c>
      <c r="G44" s="71">
        <f>'Konsumsi &amp; Pareto 2 Mingguan'!I50</f>
        <v>7.6899999999999409</v>
      </c>
      <c r="H44" s="71">
        <f>'Konsumsi &amp; Pareto 2 Mingguan'!J50</f>
        <v>7.0099999999999909</v>
      </c>
      <c r="I44" s="71">
        <f>'Konsumsi &amp; Pareto 2 Mingguan'!K50</f>
        <v>6.8600000000000136</v>
      </c>
      <c r="J44" s="71">
        <f>'Konsumsi &amp; Pareto 2 Mingguan'!L50</f>
        <v>8.3799999999999955</v>
      </c>
      <c r="K44" s="71">
        <f>'Konsumsi &amp; Pareto 2 Mingguan'!M50</f>
        <v>8.0299999999999727</v>
      </c>
      <c r="L44" s="71">
        <f>'Konsumsi &amp; Pareto 2 Mingguan'!N50</f>
        <v>7.7100000000000364</v>
      </c>
      <c r="M44" s="71">
        <f>'Konsumsi &amp; Pareto 2 Mingguan'!O50</f>
        <v>6.4700000000000273</v>
      </c>
      <c r="N44" s="71">
        <f>'Konsumsi &amp; Pareto 2 Mingguan'!P50</f>
        <v>5.4800000000000182</v>
      </c>
      <c r="O44" s="71">
        <f>'Konsumsi &amp; Pareto 2 Mingguan'!Q50</f>
        <v>5.2400000000000091</v>
      </c>
      <c r="P44" s="71">
        <f>'Konsumsi &amp; Pareto 2 Mingguan'!R50</f>
        <v>8.1100000000000136</v>
      </c>
      <c r="Q44" s="71">
        <f>'Konsumsi &amp; Pareto 2 Mingguan'!S50</f>
        <v>6.4599999999999227</v>
      </c>
      <c r="R44" s="71">
        <f>'Konsumsi &amp; Pareto 2 Mingguan'!T50</f>
        <v>0</v>
      </c>
      <c r="S44" s="71">
        <f>'Konsumsi &amp; Pareto 2 Mingguan'!U50</f>
        <v>0</v>
      </c>
      <c r="T44" s="71">
        <f>'Konsumsi &amp; Pareto 2 Mingguan'!V50</f>
        <v>0</v>
      </c>
      <c r="U44" s="71">
        <f>'Konsumsi &amp; Pareto 2 Mingguan'!W50</f>
        <v>0</v>
      </c>
      <c r="V44" s="71">
        <f>'Konsumsi &amp; Pareto 2 Mingguan'!X50</f>
        <v>0</v>
      </c>
      <c r="W44" s="71">
        <f>'Konsumsi &amp; Pareto 2 Mingguan'!Y50</f>
        <v>0</v>
      </c>
      <c r="X44" s="71">
        <f>'Konsumsi &amp; Pareto 2 Mingguan'!Z50</f>
        <v>0</v>
      </c>
      <c r="Y44" s="71">
        <f>'Konsumsi &amp; Pareto 2 Mingguan'!AA50</f>
        <v>0</v>
      </c>
      <c r="Z44" s="71">
        <f>'Konsumsi &amp; Pareto 2 Mingguan'!AB50</f>
        <v>0</v>
      </c>
      <c r="AA44" s="71">
        <f>'Konsumsi &amp; Pareto 2 Mingguan'!AC50</f>
        <v>0</v>
      </c>
      <c r="AB44" s="71">
        <f>'Konsumsi &amp; Pareto 2 Mingguan'!AD50</f>
        <v>0</v>
      </c>
      <c r="AC44" s="71">
        <f>'Konsumsi &amp; Pareto 2 Mingguan'!AE50</f>
        <v>0</v>
      </c>
    </row>
    <row r="45" spans="1:31">
      <c r="B45" s="72" t="s">
        <v>45</v>
      </c>
      <c r="C45" s="72"/>
      <c r="D45" s="69"/>
      <c r="E45" s="8" t="s">
        <v>109</v>
      </c>
      <c r="F45" s="71">
        <f>'Konsumsi &amp; Pareto 2 Mingguan'!H51</f>
        <v>15.700000000000045</v>
      </c>
      <c r="G45" s="71">
        <f>'Konsumsi &amp; Pareto 2 Mingguan'!I51</f>
        <v>14.900000000000091</v>
      </c>
      <c r="H45" s="71">
        <f>'Konsumsi &amp; Pareto 2 Mingguan'!J51</f>
        <v>13</v>
      </c>
      <c r="I45" s="71">
        <f>'Konsumsi &amp; Pareto 2 Mingguan'!K51</f>
        <v>13.200000000000045</v>
      </c>
      <c r="J45" s="71">
        <f>'Konsumsi &amp; Pareto 2 Mingguan'!L51</f>
        <v>17.399999999999864</v>
      </c>
      <c r="K45" s="71">
        <f>'Konsumsi &amp; Pareto 2 Mingguan'!M51</f>
        <v>15.799999999999955</v>
      </c>
      <c r="L45" s="71">
        <f>'Konsumsi &amp; Pareto 2 Mingguan'!N51</f>
        <v>16.800000000000182</v>
      </c>
      <c r="M45" s="71">
        <f>'Konsumsi &amp; Pareto 2 Mingguan'!O51</f>
        <v>14.699999999999818</v>
      </c>
      <c r="N45" s="71">
        <f>'Konsumsi &amp; Pareto 2 Mingguan'!P51</f>
        <v>13.700000000000045</v>
      </c>
      <c r="O45" s="71">
        <f>'Konsumsi &amp; Pareto 2 Mingguan'!Q51</f>
        <v>12.5</v>
      </c>
      <c r="P45" s="71">
        <f>'Konsumsi &amp; Pareto 2 Mingguan'!R51</f>
        <v>19.100000000000136</v>
      </c>
      <c r="Q45" s="71">
        <f>'Konsumsi &amp; Pareto 2 Mingguan'!S51</f>
        <v>14</v>
      </c>
      <c r="R45" s="71">
        <f>'Konsumsi &amp; Pareto 2 Mingguan'!T51</f>
        <v>0</v>
      </c>
      <c r="S45" s="71">
        <f>'Konsumsi &amp; Pareto 2 Mingguan'!U51</f>
        <v>0</v>
      </c>
      <c r="T45" s="71">
        <f>'Konsumsi &amp; Pareto 2 Mingguan'!V51</f>
        <v>0</v>
      </c>
      <c r="U45" s="71">
        <f>'Konsumsi &amp; Pareto 2 Mingguan'!W51</f>
        <v>0</v>
      </c>
      <c r="V45" s="71">
        <f>'Konsumsi &amp; Pareto 2 Mingguan'!X51</f>
        <v>0</v>
      </c>
      <c r="W45" s="71">
        <f>'Konsumsi &amp; Pareto 2 Mingguan'!Y51</f>
        <v>0</v>
      </c>
      <c r="X45" s="71">
        <f>'Konsumsi &amp; Pareto 2 Mingguan'!Z51</f>
        <v>0</v>
      </c>
      <c r="Y45" s="71">
        <f>'Konsumsi &amp; Pareto 2 Mingguan'!AA51</f>
        <v>0</v>
      </c>
      <c r="Z45" s="71">
        <f>'Konsumsi &amp; Pareto 2 Mingguan'!AB51</f>
        <v>0</v>
      </c>
      <c r="AA45" s="71">
        <f>'Konsumsi &amp; Pareto 2 Mingguan'!AC51</f>
        <v>0</v>
      </c>
      <c r="AB45" s="71">
        <f>'Konsumsi &amp; Pareto 2 Mingguan'!AD51</f>
        <v>0</v>
      </c>
      <c r="AC45" s="71">
        <f>'Konsumsi &amp; Pareto 2 Mingguan'!AE51</f>
        <v>0</v>
      </c>
    </row>
    <row r="46" spans="1:31">
      <c r="B46" s="72" t="s">
        <v>46</v>
      </c>
      <c r="C46" s="72"/>
      <c r="D46" s="69" t="s">
        <v>72</v>
      </c>
      <c r="E46" s="8" t="s">
        <v>109</v>
      </c>
      <c r="F46" s="71">
        <f>'Konsumsi &amp; Pareto 2 Mingguan'!H52</f>
        <v>1.25</v>
      </c>
      <c r="G46" s="71">
        <f>'Konsumsi &amp; Pareto 2 Mingguan'!I52</f>
        <v>1.0499999999999972</v>
      </c>
      <c r="H46" s="71">
        <f>'Konsumsi &amp; Pareto 2 Mingguan'!J52</f>
        <v>1.789999999999992</v>
      </c>
      <c r="I46" s="71">
        <f>'Konsumsi &amp; Pareto 2 Mingguan'!K52</f>
        <v>1.8050000000000068</v>
      </c>
      <c r="J46" s="71">
        <f>'Konsumsi &amp; Pareto 2 Mingguan'!L52</f>
        <v>2.3950000000000102</v>
      </c>
      <c r="K46" s="71">
        <f>'Konsumsi &amp; Pareto 2 Mingguan'!M52</f>
        <v>2.1850000000000023</v>
      </c>
      <c r="L46" s="71">
        <f>'Konsumsi &amp; Pareto 2 Mingguan'!N52</f>
        <v>1.8149999999999977</v>
      </c>
      <c r="M46" s="71">
        <f>'Konsumsi &amp; Pareto 2 Mingguan'!O52</f>
        <v>1.8400000000000034</v>
      </c>
      <c r="N46" s="71">
        <f>'Konsumsi &amp; Pareto 2 Mingguan'!P52</f>
        <v>0.96249999999999147</v>
      </c>
      <c r="O46" s="71">
        <f>'Konsumsi &amp; Pareto 2 Mingguan'!Q52</f>
        <v>0.84000000000000341</v>
      </c>
      <c r="P46" s="71">
        <f>'Konsumsi &amp; Pareto 2 Mingguan'!R52</f>
        <v>1.2950000000000017</v>
      </c>
      <c r="Q46" s="71">
        <f>'Konsumsi &amp; Pareto 2 Mingguan'!S52</f>
        <v>1.0275000000000034</v>
      </c>
      <c r="R46" s="71">
        <f>'Konsumsi &amp; Pareto 2 Mingguan'!T52</f>
        <v>0</v>
      </c>
      <c r="S46" s="71">
        <f>'Konsumsi &amp; Pareto 2 Mingguan'!U52</f>
        <v>0</v>
      </c>
      <c r="T46" s="71">
        <f>'Konsumsi &amp; Pareto 2 Mingguan'!V52</f>
        <v>0</v>
      </c>
      <c r="U46" s="71">
        <f>'Konsumsi &amp; Pareto 2 Mingguan'!W52</f>
        <v>0</v>
      </c>
      <c r="V46" s="71">
        <f>'Konsumsi &amp; Pareto 2 Mingguan'!X52</f>
        <v>0</v>
      </c>
      <c r="W46" s="71">
        <f>'Konsumsi &amp; Pareto 2 Mingguan'!Y52</f>
        <v>0</v>
      </c>
      <c r="X46" s="71">
        <f>'Konsumsi &amp; Pareto 2 Mingguan'!Z52</f>
        <v>0</v>
      </c>
      <c r="Y46" s="71">
        <f>'Konsumsi &amp; Pareto 2 Mingguan'!AA52</f>
        <v>0</v>
      </c>
      <c r="Z46" s="71">
        <f>'Konsumsi &amp; Pareto 2 Mingguan'!AB52</f>
        <v>0</v>
      </c>
      <c r="AA46" s="71">
        <f>'Konsumsi &amp; Pareto 2 Mingguan'!AC52</f>
        <v>0</v>
      </c>
      <c r="AB46" s="71">
        <f>'Konsumsi &amp; Pareto 2 Mingguan'!AD52</f>
        <v>0</v>
      </c>
      <c r="AC46" s="71">
        <f>'Konsumsi &amp; Pareto 2 Mingguan'!AE52</f>
        <v>0</v>
      </c>
    </row>
    <row r="47" spans="1:31">
      <c r="B47" s="72" t="s">
        <v>50</v>
      </c>
      <c r="C47" s="72"/>
      <c r="D47" s="69" t="s">
        <v>72</v>
      </c>
      <c r="E47" s="8"/>
      <c r="F47" s="71">
        <f>'Konsumsi &amp; Pareto 2 Mingguan'!H55</f>
        <v>38.064241827718611</v>
      </c>
      <c r="G47" s="71">
        <f>'Konsumsi &amp; Pareto 2 Mingguan'!I55</f>
        <v>33.070981775918199</v>
      </c>
      <c r="H47" s="71">
        <f>'Konsumsi &amp; Pareto 2 Mingguan'!J55</f>
        <v>39.37105542174195</v>
      </c>
      <c r="I47" s="71">
        <f>'Konsumsi &amp; Pareto 2 Mingguan'!K55</f>
        <v>35.894118229920764</v>
      </c>
      <c r="J47" s="71">
        <f>'Konsumsi &amp; Pareto 2 Mingguan'!L55</f>
        <v>38.087746495360058</v>
      </c>
      <c r="K47" s="71">
        <f>'Konsumsi &amp; Pareto 2 Mingguan'!M55</f>
        <v>40.356179623555484</v>
      </c>
      <c r="L47" s="71">
        <f>'Konsumsi &amp; Pareto 2 Mingguan'!N55</f>
        <v>50.209472087114818</v>
      </c>
      <c r="M47" s="71">
        <f>'Konsumsi &amp; Pareto 2 Mingguan'!O55</f>
        <v>35.874515912815198</v>
      </c>
      <c r="N47" s="71">
        <f>'Konsumsi &amp; Pareto 2 Mingguan'!P55</f>
        <v>19.49592721114573</v>
      </c>
      <c r="O47" s="71">
        <f>'Konsumsi &amp; Pareto 2 Mingguan'!Q55</f>
        <v>12.3742700283549</v>
      </c>
      <c r="P47" s="71">
        <f>'Konsumsi &amp; Pareto 2 Mingguan'!R55</f>
        <v>41.182608425391834</v>
      </c>
      <c r="Q47" s="71">
        <f>'Konsumsi &amp; Pareto 2 Mingguan'!S55</f>
        <v>31.901549934906775</v>
      </c>
      <c r="R47" s="71">
        <f>'Konsumsi &amp; Pareto 2 Mingguan'!T55</f>
        <v>0</v>
      </c>
      <c r="S47" s="71">
        <f>'Konsumsi &amp; Pareto 2 Mingguan'!U55</f>
        <v>0</v>
      </c>
      <c r="T47" s="71">
        <f>'Konsumsi &amp; Pareto 2 Mingguan'!V55</f>
        <v>0</v>
      </c>
      <c r="U47" s="71">
        <f>'Konsumsi &amp; Pareto 2 Mingguan'!W55</f>
        <v>0</v>
      </c>
      <c r="V47" s="71">
        <f>'Konsumsi &amp; Pareto 2 Mingguan'!X55</f>
        <v>0</v>
      </c>
      <c r="W47" s="71">
        <f>'Konsumsi &amp; Pareto 2 Mingguan'!Y55</f>
        <v>0</v>
      </c>
      <c r="X47" s="71">
        <f>'Konsumsi &amp; Pareto 2 Mingguan'!Z55</f>
        <v>0</v>
      </c>
      <c r="Y47" s="71">
        <f>'Konsumsi &amp; Pareto 2 Mingguan'!AA55</f>
        <v>0</v>
      </c>
      <c r="Z47" s="71">
        <f>'Konsumsi &amp; Pareto 2 Mingguan'!AB55</f>
        <v>0</v>
      </c>
      <c r="AA47" s="71">
        <f>'Konsumsi &amp; Pareto 2 Mingguan'!AC55</f>
        <v>0</v>
      </c>
      <c r="AB47" s="71">
        <f>'Konsumsi &amp; Pareto 2 Mingguan'!AD55</f>
        <v>0</v>
      </c>
      <c r="AC47" s="71">
        <f>'Konsumsi &amp; Pareto 2 Mingguan'!AE55</f>
        <v>0</v>
      </c>
    </row>
    <row r="48" spans="1:31">
      <c r="B48" s="73"/>
      <c r="C48" s="73"/>
      <c r="D48" s="8"/>
      <c r="E48" s="8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</row>
    <row r="49" spans="2:32">
      <c r="B49" s="74" t="s">
        <v>15</v>
      </c>
      <c r="C49" s="74"/>
      <c r="D49" s="75"/>
      <c r="E49" s="8" t="s">
        <v>109</v>
      </c>
      <c r="F49" s="71">
        <f>'Konsumsi &amp; Pareto 2 Mingguan'!H57</f>
        <v>52.998692485197829</v>
      </c>
      <c r="G49" s="71">
        <f>'Konsumsi &amp; Pareto 2 Mingguan'!I57</f>
        <v>49.572471929568501</v>
      </c>
      <c r="H49" s="71">
        <f>'Konsumsi &amp; Pareto 2 Mingguan'!J57</f>
        <v>46.761402141213331</v>
      </c>
      <c r="I49" s="71">
        <f>'Konsumsi &amp; Pareto 2 Mingguan'!K57</f>
        <v>51.869487017473965</v>
      </c>
      <c r="J49" s="71">
        <f>'Konsumsi &amp; Pareto 2 Mingguan'!L57</f>
        <v>61.212677838755674</v>
      </c>
      <c r="K49" s="71">
        <f>'Konsumsi &amp; Pareto 2 Mingguan'!M57</f>
        <v>51.736965274500605</v>
      </c>
      <c r="L49" s="71">
        <f>'Konsumsi &amp; Pareto 2 Mingguan'!N57</f>
        <v>52.844694403464658</v>
      </c>
      <c r="M49" s="71">
        <f>'Konsumsi &amp; Pareto 2 Mingguan'!O57</f>
        <v>52.231957877954677</v>
      </c>
      <c r="N49" s="71">
        <f>'Konsumsi &amp; Pareto 2 Mingguan'!P57</f>
        <v>47.799254493691535</v>
      </c>
      <c r="O49" s="71">
        <f>'Konsumsi &amp; Pareto 2 Mingguan'!Q57</f>
        <v>40.021023184103704</v>
      </c>
      <c r="P49" s="71">
        <f>'Konsumsi &amp; Pareto 2 Mingguan'!R57</f>
        <v>66.279740148607985</v>
      </c>
      <c r="Q49" s="71">
        <f>'Konsumsi &amp; Pareto 2 Mingguan'!S57</f>
        <v>53.641074167417052</v>
      </c>
      <c r="R49" s="71">
        <f>'Konsumsi &amp; Pareto 2 Mingguan'!T57</f>
        <v>0</v>
      </c>
      <c r="S49" s="71">
        <f>'Konsumsi &amp; Pareto 2 Mingguan'!U57</f>
        <v>0</v>
      </c>
      <c r="T49" s="71">
        <f>'Konsumsi &amp; Pareto 2 Mingguan'!V57</f>
        <v>0</v>
      </c>
      <c r="U49" s="71">
        <f>'Konsumsi &amp; Pareto 2 Mingguan'!W57</f>
        <v>0</v>
      </c>
      <c r="V49" s="71">
        <f>'Konsumsi &amp; Pareto 2 Mingguan'!X57</f>
        <v>0</v>
      </c>
      <c r="W49" s="71">
        <f>'Konsumsi &amp; Pareto 2 Mingguan'!Y57</f>
        <v>0</v>
      </c>
      <c r="X49" s="71">
        <f>'Konsumsi &amp; Pareto 2 Mingguan'!Z57</f>
        <v>0</v>
      </c>
      <c r="Y49" s="71">
        <f>'Konsumsi &amp; Pareto 2 Mingguan'!AA57</f>
        <v>0</v>
      </c>
      <c r="Z49" s="71">
        <f>'Konsumsi &amp; Pareto 2 Mingguan'!AB57</f>
        <v>0</v>
      </c>
      <c r="AA49" s="71">
        <f>'Konsumsi &amp; Pareto 2 Mingguan'!AC57</f>
        <v>0</v>
      </c>
      <c r="AB49" s="71">
        <f>'Konsumsi &amp; Pareto 2 Mingguan'!AD57</f>
        <v>0</v>
      </c>
      <c r="AC49" s="71">
        <f>'Konsumsi &amp; Pareto 2 Mingguan'!AE57</f>
        <v>0</v>
      </c>
    </row>
    <row r="50" spans="2:32">
      <c r="B50" s="76" t="s">
        <v>0</v>
      </c>
      <c r="C50" s="76"/>
      <c r="D50" s="75" t="s">
        <v>72</v>
      </c>
      <c r="E50" s="8" t="s">
        <v>109</v>
      </c>
      <c r="F50" s="71">
        <f>'Konsumsi &amp; Pareto 2 Mingguan'!H58</f>
        <v>1.6824000000000014</v>
      </c>
      <c r="G50" s="71">
        <f>'Konsumsi &amp; Pareto 2 Mingguan'!I58</f>
        <v>1.2964000000000029</v>
      </c>
      <c r="H50" s="71">
        <f>'Konsumsi &amp; Pareto 2 Mingguan'!J58</f>
        <v>1.3540999999999954</v>
      </c>
      <c r="I50" s="71">
        <f>'Konsumsi &amp; Pareto 2 Mingguan'!K58</f>
        <v>1.6857000000000006</v>
      </c>
      <c r="J50" s="71">
        <f>'Konsumsi &amp; Pareto 2 Mingguan'!L58</f>
        <v>2.4563999999999999</v>
      </c>
      <c r="K50" s="71">
        <f>'Konsumsi &amp; Pareto 2 Mingguan'!M58</f>
        <v>1.5371000000000046</v>
      </c>
      <c r="L50" s="71">
        <f>'Konsumsi &amp; Pareto 2 Mingguan'!N58</f>
        <v>1.9414999999999996</v>
      </c>
      <c r="M50" s="71">
        <f>'Konsumsi &amp; Pareto 2 Mingguan'!O58</f>
        <v>1.8838999999999944</v>
      </c>
      <c r="N50" s="71">
        <f>'Konsumsi &amp; Pareto 2 Mingguan'!P58</f>
        <v>1.5540000000000038</v>
      </c>
      <c r="O50" s="71">
        <f>'Konsumsi &amp; Pareto 2 Mingguan'!Q58</f>
        <v>0.21659999999999568</v>
      </c>
      <c r="P50" s="71">
        <f>'Konsumsi &amp; Pareto 2 Mingguan'!R58</f>
        <v>1.9377000000000004</v>
      </c>
      <c r="Q50" s="71">
        <f>'Konsumsi &amp; Pareto 2 Mingguan'!S58</f>
        <v>1.3634000000000035</v>
      </c>
      <c r="R50" s="71">
        <f>'Konsumsi &amp; Pareto 2 Mingguan'!T58</f>
        <v>0</v>
      </c>
      <c r="S50" s="71">
        <f>'Konsumsi &amp; Pareto 2 Mingguan'!U58</f>
        <v>0</v>
      </c>
      <c r="T50" s="71">
        <f>'Konsumsi &amp; Pareto 2 Mingguan'!V58</f>
        <v>0</v>
      </c>
      <c r="U50" s="71">
        <f>'Konsumsi &amp; Pareto 2 Mingguan'!W58</f>
        <v>0</v>
      </c>
      <c r="V50" s="71">
        <f>'Konsumsi &amp; Pareto 2 Mingguan'!X58</f>
        <v>0</v>
      </c>
      <c r="W50" s="71">
        <f>'Konsumsi &amp; Pareto 2 Mingguan'!Y58</f>
        <v>0</v>
      </c>
      <c r="X50" s="71">
        <f>'Konsumsi &amp; Pareto 2 Mingguan'!Z58</f>
        <v>0</v>
      </c>
      <c r="Y50" s="71">
        <f>'Konsumsi &amp; Pareto 2 Mingguan'!AA58</f>
        <v>0</v>
      </c>
      <c r="Z50" s="71">
        <f>'Konsumsi &amp; Pareto 2 Mingguan'!AB58</f>
        <v>0</v>
      </c>
      <c r="AA50" s="71">
        <f>'Konsumsi &amp; Pareto 2 Mingguan'!AC58</f>
        <v>0</v>
      </c>
      <c r="AB50" s="71">
        <f>'Konsumsi &amp; Pareto 2 Mingguan'!AD58</f>
        <v>0</v>
      </c>
      <c r="AC50" s="71">
        <f>'Konsumsi &amp; Pareto 2 Mingguan'!AE58</f>
        <v>0</v>
      </c>
    </row>
    <row r="51" spans="2:32">
      <c r="B51" s="76" t="s">
        <v>1</v>
      </c>
      <c r="C51" s="76"/>
      <c r="D51" s="75"/>
      <c r="E51" s="8" t="s">
        <v>109</v>
      </c>
      <c r="F51" s="71">
        <f>'Konsumsi &amp; Pareto 2 Mingguan'!H60</f>
        <v>5.2300000000000182</v>
      </c>
      <c r="G51" s="71">
        <f>'Konsumsi &amp; Pareto 2 Mingguan'!I60</f>
        <v>4.9400000000000546</v>
      </c>
      <c r="H51" s="71">
        <f>'Konsumsi &amp; Pareto 2 Mingguan'!J60</f>
        <v>4.7199999999999136</v>
      </c>
      <c r="I51" s="71">
        <f>'Konsumsi &amp; Pareto 2 Mingguan'!K60</f>
        <v>5.0900000000000318</v>
      </c>
      <c r="J51" s="71">
        <f>'Konsumsi &amp; Pareto 2 Mingguan'!L60</f>
        <v>5.7599999999999909</v>
      </c>
      <c r="K51" s="71">
        <f>'Konsumsi &amp; Pareto 2 Mingguan'!M60</f>
        <v>5.1100000000000136</v>
      </c>
      <c r="L51" s="71">
        <f>'Konsumsi &amp; Pareto 2 Mingguan'!N60</f>
        <v>4.9800000000000182</v>
      </c>
      <c r="M51" s="71">
        <f>'Konsumsi &amp; Pareto 2 Mingguan'!O60</f>
        <v>4.7699999999999818</v>
      </c>
      <c r="N51" s="71">
        <f>'Konsumsi &amp; Pareto 2 Mingguan'!P60</f>
        <v>3.7699999999999818</v>
      </c>
      <c r="O51" s="71">
        <f>'Konsumsi &amp; Pareto 2 Mingguan'!Q60</f>
        <v>3.4500000000000455</v>
      </c>
      <c r="P51" s="71">
        <f>'Konsumsi &amp; Pareto 2 Mingguan'!R60</f>
        <v>5.7599999999999909</v>
      </c>
      <c r="Q51" s="71">
        <f>'Konsumsi &amp; Pareto 2 Mingguan'!S60</f>
        <v>5.1899999999999409</v>
      </c>
      <c r="R51" s="71">
        <f>'Konsumsi &amp; Pareto 2 Mingguan'!T60</f>
        <v>0</v>
      </c>
      <c r="S51" s="71">
        <f>'Konsumsi &amp; Pareto 2 Mingguan'!U60</f>
        <v>0</v>
      </c>
      <c r="T51" s="71">
        <f>'Konsumsi &amp; Pareto 2 Mingguan'!V60</f>
        <v>0</v>
      </c>
      <c r="U51" s="71">
        <f>'Konsumsi &amp; Pareto 2 Mingguan'!W60</f>
        <v>0</v>
      </c>
      <c r="V51" s="71">
        <f>'Konsumsi &amp; Pareto 2 Mingguan'!X60</f>
        <v>0</v>
      </c>
      <c r="W51" s="71">
        <f>'Konsumsi &amp; Pareto 2 Mingguan'!Y60</f>
        <v>0</v>
      </c>
      <c r="X51" s="71">
        <f>'Konsumsi &amp; Pareto 2 Mingguan'!Z60</f>
        <v>0</v>
      </c>
      <c r="Y51" s="71">
        <f>'Konsumsi &amp; Pareto 2 Mingguan'!AA60</f>
        <v>0</v>
      </c>
      <c r="Z51" s="71">
        <f>'Konsumsi &amp; Pareto 2 Mingguan'!AB60</f>
        <v>0</v>
      </c>
      <c r="AA51" s="71">
        <f>'Konsumsi &amp; Pareto 2 Mingguan'!AC60</f>
        <v>0</v>
      </c>
      <c r="AB51" s="71">
        <f>'Konsumsi &amp; Pareto 2 Mingguan'!AD60</f>
        <v>0</v>
      </c>
      <c r="AC51" s="71">
        <f>'Konsumsi &amp; Pareto 2 Mingguan'!AE60</f>
        <v>0</v>
      </c>
    </row>
    <row r="52" spans="2:32">
      <c r="B52" s="76" t="s">
        <v>47</v>
      </c>
      <c r="C52" s="76"/>
      <c r="D52" s="75"/>
      <c r="E52" s="8" t="s">
        <v>109</v>
      </c>
      <c r="F52" s="71">
        <f>'Konsumsi &amp; Pareto 2 Mingguan'!H61</f>
        <v>5.75</v>
      </c>
      <c r="G52" s="71">
        <f>'Konsumsi &amp; Pareto 2 Mingguan'!I61</f>
        <v>5.4499999999999318</v>
      </c>
      <c r="H52" s="71">
        <f>'Konsumsi &amp; Pareto 2 Mingguan'!J61</f>
        <v>4.9300000000000637</v>
      </c>
      <c r="I52" s="71">
        <f>'Konsumsi &amp; Pareto 2 Mingguan'!K61</f>
        <v>4.8799999999999955</v>
      </c>
      <c r="J52" s="71">
        <f>'Konsumsi &amp; Pareto 2 Mingguan'!L61</f>
        <v>6.0900000000000318</v>
      </c>
      <c r="K52" s="71">
        <f>'Konsumsi &amp; Pareto 2 Mingguan'!M61</f>
        <v>5.75</v>
      </c>
      <c r="L52" s="71">
        <f>'Konsumsi &amp; Pareto 2 Mingguan'!N61</f>
        <v>5.6499999999999773</v>
      </c>
      <c r="M52" s="71">
        <f>'Konsumsi &amp; Pareto 2 Mingguan'!O61</f>
        <v>5.0900000000000318</v>
      </c>
      <c r="N52" s="71">
        <f>'Konsumsi &amp; Pareto 2 Mingguan'!P61</f>
        <v>4.8599999999999</v>
      </c>
      <c r="O52" s="71">
        <f>'Konsumsi &amp; Pareto 2 Mingguan'!Q61</f>
        <v>4.6500000000000909</v>
      </c>
      <c r="P52" s="71">
        <f>'Konsumsi &amp; Pareto 2 Mingguan'!R61</f>
        <v>6.8600000000000136</v>
      </c>
      <c r="Q52" s="71">
        <f>'Konsumsi &amp; Pareto 2 Mingguan'!S61</f>
        <v>5.6999999999999318</v>
      </c>
      <c r="R52" s="71">
        <f>'Konsumsi &amp; Pareto 2 Mingguan'!T61</f>
        <v>0</v>
      </c>
      <c r="S52" s="71">
        <f>'Konsumsi &amp; Pareto 2 Mingguan'!U61</f>
        <v>0</v>
      </c>
      <c r="T52" s="71">
        <f>'Konsumsi &amp; Pareto 2 Mingguan'!V61</f>
        <v>0</v>
      </c>
      <c r="U52" s="71">
        <f>'Konsumsi &amp; Pareto 2 Mingguan'!W61</f>
        <v>0</v>
      </c>
      <c r="V52" s="71">
        <f>'Konsumsi &amp; Pareto 2 Mingguan'!X61</f>
        <v>0</v>
      </c>
      <c r="W52" s="71">
        <f>'Konsumsi &amp; Pareto 2 Mingguan'!Y61</f>
        <v>0</v>
      </c>
      <c r="X52" s="71">
        <f>'Konsumsi &amp; Pareto 2 Mingguan'!Z61</f>
        <v>0</v>
      </c>
      <c r="Y52" s="71">
        <f>'Konsumsi &amp; Pareto 2 Mingguan'!AA61</f>
        <v>0</v>
      </c>
      <c r="Z52" s="71">
        <f>'Konsumsi &amp; Pareto 2 Mingguan'!AB61</f>
        <v>0</v>
      </c>
      <c r="AA52" s="71">
        <f>'Konsumsi &amp; Pareto 2 Mingguan'!AC61</f>
        <v>0</v>
      </c>
      <c r="AB52" s="71">
        <f>'Konsumsi &amp; Pareto 2 Mingguan'!AD61</f>
        <v>0</v>
      </c>
      <c r="AC52" s="71">
        <f>'Konsumsi &amp; Pareto 2 Mingguan'!AE61</f>
        <v>0</v>
      </c>
    </row>
    <row r="53" spans="2:32">
      <c r="B53" s="76" t="s">
        <v>48</v>
      </c>
      <c r="C53" s="76"/>
      <c r="D53" s="75"/>
      <c r="E53" s="8" t="s">
        <v>109</v>
      </c>
      <c r="F53" s="71">
        <f>'Konsumsi &amp; Pareto 2 Mingguan'!H62</f>
        <v>2.3999999999999986</v>
      </c>
      <c r="G53" s="71">
        <f>'Konsumsi &amp; Pareto 2 Mingguan'!I62</f>
        <v>2.2270000000000039</v>
      </c>
      <c r="H53" s="71">
        <f>'Konsumsi &amp; Pareto 2 Mingguan'!J62</f>
        <v>0.44599999999999795</v>
      </c>
      <c r="I53" s="71">
        <f>'Konsumsi &amp; Pareto 2 Mingguan'!K62</f>
        <v>0.19499999999999318</v>
      </c>
      <c r="J53" s="71">
        <f>'Konsumsi &amp; Pareto 2 Mingguan'!L62</f>
        <v>0.27600000000001046</v>
      </c>
      <c r="K53" s="71">
        <f>'Konsumsi &amp; Pareto 2 Mingguan'!M62</f>
        <v>0.2739999999999867</v>
      </c>
      <c r="L53" s="71">
        <f>'Konsumsi &amp; Pareto 2 Mingguan'!N62</f>
        <v>0.64700000000000557</v>
      </c>
      <c r="M53" s="71">
        <f>'Konsumsi &amp; Pareto 2 Mingguan'!O62</f>
        <v>2.1069999999999993</v>
      </c>
      <c r="N53" s="71">
        <f>'Konsumsi &amp; Pareto 2 Mingguan'!P62</f>
        <v>1.929000000000002</v>
      </c>
      <c r="O53" s="71">
        <f>'Konsumsi &amp; Pareto 2 Mingguan'!Q62</f>
        <v>2.2469999999999999</v>
      </c>
      <c r="P53" s="71">
        <f>'Konsumsi &amp; Pareto 2 Mingguan'!R62</f>
        <v>3.2540000000000049</v>
      </c>
      <c r="Q53" s="71">
        <f>'Konsumsi &amp; Pareto 2 Mingguan'!S62</f>
        <v>2.7209999999999894</v>
      </c>
      <c r="R53" s="71">
        <f>'Konsumsi &amp; Pareto 2 Mingguan'!T62</f>
        <v>0</v>
      </c>
      <c r="S53" s="71">
        <f>'Konsumsi &amp; Pareto 2 Mingguan'!U62</f>
        <v>0</v>
      </c>
      <c r="T53" s="71">
        <f>'Konsumsi &amp; Pareto 2 Mingguan'!V62</f>
        <v>0</v>
      </c>
      <c r="U53" s="71">
        <f>'Konsumsi &amp; Pareto 2 Mingguan'!W62</f>
        <v>0</v>
      </c>
      <c r="V53" s="71">
        <f>'Konsumsi &amp; Pareto 2 Mingguan'!X62</f>
        <v>0</v>
      </c>
      <c r="W53" s="71">
        <f>'Konsumsi &amp; Pareto 2 Mingguan'!Y62</f>
        <v>0</v>
      </c>
      <c r="X53" s="71">
        <f>'Konsumsi &amp; Pareto 2 Mingguan'!Z62</f>
        <v>0</v>
      </c>
      <c r="Y53" s="71">
        <f>'Konsumsi &amp; Pareto 2 Mingguan'!AA62</f>
        <v>0</v>
      </c>
      <c r="Z53" s="71">
        <f>'Konsumsi &amp; Pareto 2 Mingguan'!AB62</f>
        <v>0</v>
      </c>
      <c r="AA53" s="71">
        <f>'Konsumsi &amp; Pareto 2 Mingguan'!AC62</f>
        <v>0</v>
      </c>
      <c r="AB53" s="71">
        <f>'Konsumsi &amp; Pareto 2 Mingguan'!AD62</f>
        <v>0</v>
      </c>
      <c r="AC53" s="71">
        <f>'Konsumsi &amp; Pareto 2 Mingguan'!AE62</f>
        <v>0</v>
      </c>
      <c r="AF53" t="s">
        <v>94</v>
      </c>
    </row>
    <row r="54" spans="2:32">
      <c r="B54" s="76" t="s">
        <v>49</v>
      </c>
      <c r="C54" s="76"/>
      <c r="D54" s="75" t="s">
        <v>72</v>
      </c>
      <c r="E54" s="8" t="s">
        <v>109</v>
      </c>
      <c r="F54" s="71">
        <f>'Konsumsi &amp; Pareto 2 Mingguan'!H63</f>
        <v>3.082728000000003</v>
      </c>
      <c r="G54" s="71">
        <f>'Konsumsi &amp; Pareto 2 Mingguan'!I63</f>
        <v>2.7569839999999957</v>
      </c>
      <c r="H54" s="71">
        <f>'Konsumsi &amp; Pareto 2 Mingguan'!J63</f>
        <v>2.6262360000000058</v>
      </c>
      <c r="I54" s="71">
        <f>'Konsumsi &amp; Pareto 2 Mingguan'!K63</f>
        <v>2.8394319999999951</v>
      </c>
      <c r="J54" s="71">
        <f>'Konsumsi &amp; Pareto 2 Mingguan'!L63</f>
        <v>3.4741880000000052</v>
      </c>
      <c r="K54" s="71">
        <f>'Konsumsi &amp; Pareto 2 Mingguan'!M63</f>
        <v>3.4623599999999968</v>
      </c>
      <c r="L54" s="71">
        <f>'Konsumsi &amp; Pareto 2 Mingguan'!N63</f>
        <v>3.4465520000000041</v>
      </c>
      <c r="M54" s="71">
        <f>'Konsumsi &amp; Pareto 2 Mingguan'!O63</f>
        <v>2.9140759999999943</v>
      </c>
      <c r="N54" s="71">
        <f>'Konsumsi &amp; Pareto 2 Mingguan'!P63</f>
        <v>2.9242920000000083</v>
      </c>
      <c r="O54" s="71">
        <f>'Konsumsi &amp; Pareto 2 Mingguan'!Q63</f>
        <v>2.7509359999999958</v>
      </c>
      <c r="P54" s="71">
        <f>'Konsumsi &amp; Pareto 2 Mingguan'!R63</f>
        <v>2.6403119999999944</v>
      </c>
      <c r="Q54" s="71">
        <f>'Konsumsi &amp; Pareto 2 Mingguan'!S63</f>
        <v>3.0336720000000099</v>
      </c>
      <c r="R54" s="71">
        <f>'Konsumsi &amp; Pareto 2 Mingguan'!T63</f>
        <v>0</v>
      </c>
      <c r="S54" s="71">
        <f>'Konsumsi &amp; Pareto 2 Mingguan'!U63</f>
        <v>0</v>
      </c>
      <c r="T54" s="71">
        <f>'Konsumsi &amp; Pareto 2 Mingguan'!V63</f>
        <v>0</v>
      </c>
      <c r="U54" s="71">
        <f>'Konsumsi &amp; Pareto 2 Mingguan'!W63</f>
        <v>0</v>
      </c>
      <c r="V54" s="71">
        <f>'Konsumsi &amp; Pareto 2 Mingguan'!X63</f>
        <v>0</v>
      </c>
      <c r="W54" s="71">
        <f>'Konsumsi &amp; Pareto 2 Mingguan'!Y63</f>
        <v>0</v>
      </c>
      <c r="X54" s="71">
        <f>'Konsumsi &amp; Pareto 2 Mingguan'!Z63</f>
        <v>0</v>
      </c>
      <c r="Y54" s="71">
        <f>'Konsumsi &amp; Pareto 2 Mingguan'!AA63</f>
        <v>0</v>
      </c>
      <c r="Z54" s="71">
        <f>'Konsumsi &amp; Pareto 2 Mingguan'!AB63</f>
        <v>0</v>
      </c>
      <c r="AA54" s="71">
        <f>'Konsumsi &amp; Pareto 2 Mingguan'!AC63</f>
        <v>0</v>
      </c>
      <c r="AB54" s="71">
        <f>'Konsumsi &amp; Pareto 2 Mingguan'!AD63</f>
        <v>0</v>
      </c>
      <c r="AC54" s="71">
        <f>'Konsumsi &amp; Pareto 2 Mingguan'!AE63</f>
        <v>0</v>
      </c>
    </row>
    <row r="55" spans="2:32">
      <c r="B55" s="76" t="s">
        <v>99</v>
      </c>
      <c r="C55" s="76"/>
      <c r="D55" s="75" t="s">
        <v>72</v>
      </c>
      <c r="E55" s="8" t="s">
        <v>109</v>
      </c>
      <c r="F55" s="71">
        <f>'Konsumsi &amp; Pareto 2 Mingguan'!H64</f>
        <v>3.730236001536559</v>
      </c>
      <c r="G55" s="71">
        <f>'Konsumsi &amp; Pareto 2 Mingguan'!I64</f>
        <v>4.4527807918308184</v>
      </c>
      <c r="H55" s="71">
        <f>'Konsumsi &amp; Pareto 2 Mingguan'!J64</f>
        <v>3.9871835747620068</v>
      </c>
      <c r="I55" s="71">
        <f>'Konsumsi &amp; Pareto 2 Mingguan'!K64</f>
        <v>5.8186044663543921</v>
      </c>
      <c r="J55" s="71">
        <f>'Konsumsi &amp; Pareto 2 Mingguan'!L64</f>
        <v>4.9140888786812891</v>
      </c>
      <c r="K55" s="71">
        <f>'Konsumsi &amp; Pareto 2 Mingguan'!M64</f>
        <v>5.1060824116456098</v>
      </c>
      <c r="L55" s="71">
        <f>'Konsumsi &amp; Pareto 2 Mingguan'!N64</f>
        <v>4.5652106448674159</v>
      </c>
      <c r="M55" s="71">
        <f>'Konsumsi &amp; Pareto 2 Mingguan'!O64</f>
        <v>4.9250559148465838</v>
      </c>
      <c r="N55" s="71">
        <f>'Konsumsi &amp; Pareto 2 Mingguan'!P64</f>
        <v>4.7763918065934918</v>
      </c>
      <c r="O55" s="71">
        <f>'Konsumsi &amp; Pareto 2 Mingguan'!Q64</f>
        <v>4.1816786502483323</v>
      </c>
      <c r="P55" s="71">
        <f>'Konsumsi &amp; Pareto 2 Mingguan'!R64</f>
        <v>6.1001035245515256</v>
      </c>
      <c r="Q55" s="71">
        <f>'Konsumsi &amp; Pareto 2 Mingguan'!S64</f>
        <v>4.2353395474781079</v>
      </c>
      <c r="R55" s="71">
        <f>'Konsumsi &amp; Pareto 2 Mingguan'!T64</f>
        <v>0</v>
      </c>
      <c r="S55" s="71">
        <f>'Konsumsi &amp; Pareto 2 Mingguan'!U64</f>
        <v>0</v>
      </c>
      <c r="T55" s="71">
        <f>'Konsumsi &amp; Pareto 2 Mingguan'!V64</f>
        <v>0</v>
      </c>
      <c r="U55" s="71">
        <f>'Konsumsi &amp; Pareto 2 Mingguan'!W64</f>
        <v>0</v>
      </c>
      <c r="V55" s="71">
        <f>'Konsumsi &amp; Pareto 2 Mingguan'!X64</f>
        <v>0</v>
      </c>
      <c r="W55" s="71">
        <f>'Konsumsi &amp; Pareto 2 Mingguan'!Y64</f>
        <v>0</v>
      </c>
      <c r="X55" s="71">
        <f>'Konsumsi &amp; Pareto 2 Mingguan'!Z64</f>
        <v>0</v>
      </c>
      <c r="Y55" s="71">
        <f>'Konsumsi &amp; Pareto 2 Mingguan'!AA64</f>
        <v>0</v>
      </c>
      <c r="Z55" s="71">
        <f>'Konsumsi &amp; Pareto 2 Mingguan'!AB64</f>
        <v>0</v>
      </c>
      <c r="AA55" s="71">
        <f>'Konsumsi &amp; Pareto 2 Mingguan'!AC64</f>
        <v>0</v>
      </c>
      <c r="AB55" s="71">
        <f>'Konsumsi &amp; Pareto 2 Mingguan'!AD64</f>
        <v>0</v>
      </c>
      <c r="AC55" s="71">
        <f>'Konsumsi &amp; Pareto 2 Mingguan'!AE64</f>
        <v>0</v>
      </c>
    </row>
    <row r="56" spans="2:32">
      <c r="B56" s="77" t="s">
        <v>0</v>
      </c>
      <c r="C56" s="77"/>
      <c r="D56" s="75"/>
      <c r="E56" s="8" t="s">
        <v>109</v>
      </c>
      <c r="F56" s="71">
        <f>'Konsumsi &amp; Pareto 2 Mingguan'!H65</f>
        <v>1.0280590061727899</v>
      </c>
      <c r="G56" s="71">
        <f>'Konsumsi &amp; Pareto 2 Mingguan'!I65</f>
        <v>1.1577229859094726</v>
      </c>
      <c r="H56" s="71">
        <f>'Konsumsi &amp; Pareto 2 Mingguan'!J65</f>
        <v>1.2598337657451377</v>
      </c>
      <c r="I56" s="71">
        <f>'Konsumsi &amp; Pareto 2 Mingguan'!K65</f>
        <v>2.3187959221897683</v>
      </c>
      <c r="J56" s="71">
        <f>'Konsumsi &amp; Pareto 2 Mingguan'!L65</f>
        <v>1.9848111477954404</v>
      </c>
      <c r="K56" s="71">
        <f>'Konsumsi &amp; Pareto 2 Mingguan'!M65</f>
        <v>1.6265705121670935</v>
      </c>
      <c r="L56" s="71">
        <f>'Konsumsi &amp; Pareto 2 Mingguan'!N65</f>
        <v>2.0702697148559603</v>
      </c>
      <c r="M56" s="71">
        <f>'Konsumsi &amp; Pareto 2 Mingguan'!O65</f>
        <v>2.1036588073499902</v>
      </c>
      <c r="N56" s="71">
        <f>'Konsumsi &amp; Pareto 2 Mingguan'!P65</f>
        <v>1.9289264627725378</v>
      </c>
      <c r="O56" s="71">
        <f>'Konsumsi &amp; Pareto 2 Mingguan'!Q65</f>
        <v>0.43797503850464803</v>
      </c>
      <c r="P56" s="71">
        <f>'Konsumsi &amp; Pareto 2 Mingguan'!R65</f>
        <v>2.6980864858064995</v>
      </c>
      <c r="Q56" s="71">
        <f>'Konsumsi &amp; Pareto 2 Mingguan'!S65</f>
        <v>1.132777090876419</v>
      </c>
      <c r="R56" s="71">
        <f>'Konsumsi &amp; Pareto 2 Mingguan'!T65</f>
        <v>0</v>
      </c>
      <c r="S56" s="71">
        <f>'Konsumsi &amp; Pareto 2 Mingguan'!U65</f>
        <v>0</v>
      </c>
      <c r="T56" s="71">
        <f>'Konsumsi &amp; Pareto 2 Mingguan'!V65</f>
        <v>0</v>
      </c>
      <c r="U56" s="71">
        <f>'Konsumsi &amp; Pareto 2 Mingguan'!W65</f>
        <v>0</v>
      </c>
      <c r="V56" s="71">
        <f>'Konsumsi &amp; Pareto 2 Mingguan'!X65</f>
        <v>0</v>
      </c>
      <c r="W56" s="71">
        <f>'Konsumsi &amp; Pareto 2 Mingguan'!Y65</f>
        <v>0</v>
      </c>
      <c r="X56" s="71">
        <f>'Konsumsi &amp; Pareto 2 Mingguan'!Z65</f>
        <v>0</v>
      </c>
      <c r="Y56" s="71">
        <f>'Konsumsi &amp; Pareto 2 Mingguan'!AA65</f>
        <v>0</v>
      </c>
      <c r="Z56" s="71">
        <f>'Konsumsi &amp; Pareto 2 Mingguan'!AB65</f>
        <v>0</v>
      </c>
      <c r="AA56" s="71">
        <f>'Konsumsi &amp; Pareto 2 Mingguan'!AC65</f>
        <v>0</v>
      </c>
      <c r="AB56" s="71">
        <f>'Konsumsi &amp; Pareto 2 Mingguan'!AD65</f>
        <v>0</v>
      </c>
      <c r="AC56" s="71">
        <f>'Konsumsi &amp; Pareto 2 Mingguan'!AE65</f>
        <v>0</v>
      </c>
    </row>
    <row r="57" spans="2:32">
      <c r="B57" s="77" t="s">
        <v>1</v>
      </c>
      <c r="C57" s="77"/>
      <c r="D57" s="75"/>
      <c r="E57" s="8" t="s">
        <v>109</v>
      </c>
      <c r="F57" s="71">
        <f>'Konsumsi &amp; Pareto 2 Mingguan'!H66</f>
        <v>1.7884218167437527</v>
      </c>
      <c r="G57" s="71">
        <f>'Konsumsi &amp; Pareto 2 Mingguan'!I66</f>
        <v>2.1315324659202872</v>
      </c>
      <c r="H57" s="71">
        <f>'Konsumsi &amp; Pareto 2 Mingguan'!J66</f>
        <v>1.7785941684305016</v>
      </c>
      <c r="I57" s="71">
        <f>'Konsumsi &amp; Pareto 2 Mingguan'!K66</f>
        <v>2.2587454964003273</v>
      </c>
      <c r="J57" s="71">
        <f>'Konsumsi &amp; Pareto 2 Mingguan'!L66</f>
        <v>1.8816253332625368</v>
      </c>
      <c r="K57" s="71">
        <f>'Konsumsi &amp; Pareto 2 Mingguan'!M66</f>
        <v>2.2096672479880408</v>
      </c>
      <c r="L57" s="71">
        <f>'Konsumsi &amp; Pareto 2 Mingguan'!N66</f>
        <v>1.6004513665350406</v>
      </c>
      <c r="M57" s="71">
        <f>'Konsumsi &amp; Pareto 2 Mingguan'!O66</f>
        <v>1.7567131686755824</v>
      </c>
      <c r="N57" s="71">
        <f>'Konsumsi &amp; Pareto 2 Mingguan'!P66</f>
        <v>1.8554703693590078</v>
      </c>
      <c r="O57" s="71">
        <f>'Konsumsi &amp; Pareto 2 Mingguan'!Q66</f>
        <v>1.494086198869204</v>
      </c>
      <c r="P57" s="71">
        <f>'Konsumsi &amp; Pareto 2 Mingguan'!R66</f>
        <v>2.1425939224117383</v>
      </c>
      <c r="Q57" s="71">
        <f>'Konsumsi &amp; Pareto 2 Mingguan'!S66</f>
        <v>1.986088845797475</v>
      </c>
      <c r="R57" s="71">
        <f>'Konsumsi &amp; Pareto 2 Mingguan'!T66</f>
        <v>0</v>
      </c>
      <c r="S57" s="71">
        <f>'Konsumsi &amp; Pareto 2 Mingguan'!U66</f>
        <v>0</v>
      </c>
      <c r="T57" s="71">
        <f>'Konsumsi &amp; Pareto 2 Mingguan'!V66</f>
        <v>0</v>
      </c>
      <c r="U57" s="71">
        <f>'Konsumsi &amp; Pareto 2 Mingguan'!W66</f>
        <v>0</v>
      </c>
      <c r="V57" s="71">
        <f>'Konsumsi &amp; Pareto 2 Mingguan'!X66</f>
        <v>0</v>
      </c>
      <c r="W57" s="71">
        <f>'Konsumsi &amp; Pareto 2 Mingguan'!Y66</f>
        <v>0</v>
      </c>
      <c r="X57" s="71">
        <f>'Konsumsi &amp; Pareto 2 Mingguan'!Z66</f>
        <v>0</v>
      </c>
      <c r="Y57" s="71">
        <f>'Konsumsi &amp; Pareto 2 Mingguan'!AA66</f>
        <v>0</v>
      </c>
      <c r="Z57" s="71">
        <f>'Konsumsi &amp; Pareto 2 Mingguan'!AB66</f>
        <v>0</v>
      </c>
      <c r="AA57" s="71">
        <f>'Konsumsi &amp; Pareto 2 Mingguan'!AC66</f>
        <v>0</v>
      </c>
      <c r="AB57" s="71">
        <f>'Konsumsi &amp; Pareto 2 Mingguan'!AD66</f>
        <v>0</v>
      </c>
      <c r="AC57" s="71">
        <f>'Konsumsi &amp; Pareto 2 Mingguan'!AE66</f>
        <v>0</v>
      </c>
    </row>
    <row r="58" spans="2:32">
      <c r="B58" s="76" t="s">
        <v>46</v>
      </c>
      <c r="C58" s="76"/>
      <c r="D58" s="75" t="s">
        <v>72</v>
      </c>
      <c r="E58" s="8" t="s">
        <v>109</v>
      </c>
      <c r="F58" s="71">
        <f>'Konsumsi &amp; Pareto 2 Mingguan'!H67</f>
        <v>11.754790000000014</v>
      </c>
      <c r="G58" s="71">
        <f>'Konsumsi &amp; Pareto 2 Mingguan'!I67</f>
        <v>10.742189999999979</v>
      </c>
      <c r="H58" s="71">
        <f>'Konsumsi &amp; Pareto 2 Mingguan'!J67</f>
        <v>9.6118799999999993</v>
      </c>
      <c r="I58" s="71">
        <f>'Konsumsi &amp; Pareto 2 Mingguan'!K67</f>
        <v>9.8769000000000062</v>
      </c>
      <c r="J58" s="71">
        <f>'Konsumsi &amp; Pareto 2 Mingguan'!L67</f>
        <v>12.517400000000023</v>
      </c>
      <c r="K58" s="71">
        <f>'Konsumsi &amp; Pareto 2 Mingguan'!M67</f>
        <v>11.401939999999996</v>
      </c>
      <c r="L58" s="71">
        <f>'Konsumsi &amp; Pareto 2 Mingguan'!N67</f>
        <v>10.455659999999995</v>
      </c>
      <c r="M58" s="71">
        <f>'Konsumsi &amp; Pareto 2 Mingguan'!O67</f>
        <v>10.235400000000013</v>
      </c>
      <c r="N58" s="71">
        <f>'Konsumsi &amp; Pareto 2 Mingguan'!P67</f>
        <v>10.302999999999955</v>
      </c>
      <c r="O58" s="71">
        <f>'Konsumsi &amp; Pareto 2 Mingguan'!Q67</f>
        <v>9.2524800000000198</v>
      </c>
      <c r="P58" s="71">
        <f>'Konsumsi &amp; Pareto 2 Mingguan'!R67</f>
        <v>13.216860000000011</v>
      </c>
      <c r="Q58" s="71">
        <f>'Konsumsi &amp; Pareto 2 Mingguan'!S67</f>
        <v>10.804679999999991</v>
      </c>
      <c r="R58" s="71">
        <f>'Konsumsi &amp; Pareto 2 Mingguan'!T67</f>
        <v>0</v>
      </c>
      <c r="S58" s="71">
        <f>'Konsumsi &amp; Pareto 2 Mingguan'!U67</f>
        <v>0</v>
      </c>
      <c r="T58" s="71">
        <f>'Konsumsi &amp; Pareto 2 Mingguan'!V67</f>
        <v>0</v>
      </c>
      <c r="U58" s="71">
        <f>'Konsumsi &amp; Pareto 2 Mingguan'!W67</f>
        <v>0</v>
      </c>
      <c r="V58" s="71">
        <f>'Konsumsi &amp; Pareto 2 Mingguan'!X67</f>
        <v>0</v>
      </c>
      <c r="W58" s="71">
        <f>'Konsumsi &amp; Pareto 2 Mingguan'!Y67</f>
        <v>0</v>
      </c>
      <c r="X58" s="71">
        <f>'Konsumsi &amp; Pareto 2 Mingguan'!Z67</f>
        <v>0</v>
      </c>
      <c r="Y58" s="71">
        <f>'Konsumsi &amp; Pareto 2 Mingguan'!AA67</f>
        <v>0</v>
      </c>
      <c r="Z58" s="71">
        <f>'Konsumsi &amp; Pareto 2 Mingguan'!AB67</f>
        <v>0</v>
      </c>
      <c r="AA58" s="71">
        <f>'Konsumsi &amp; Pareto 2 Mingguan'!AC67</f>
        <v>0</v>
      </c>
      <c r="AB58" s="71">
        <f>'Konsumsi &amp; Pareto 2 Mingguan'!AD67</f>
        <v>0</v>
      </c>
      <c r="AC58" s="71">
        <f>'Konsumsi &amp; Pareto 2 Mingguan'!AE67</f>
        <v>0</v>
      </c>
    </row>
    <row r="59" spans="2:32">
      <c r="B59" s="76" t="s">
        <v>50</v>
      </c>
      <c r="C59" s="76"/>
      <c r="D59" s="75" t="s">
        <v>72</v>
      </c>
      <c r="E59" s="8" t="s">
        <v>109</v>
      </c>
      <c r="F59" s="71">
        <f>'Konsumsi &amp; Pareto 2 Mingguan'!H69</f>
        <v>18.435758172281389</v>
      </c>
      <c r="G59" s="71">
        <f>'Konsumsi &amp; Pareto 2 Mingguan'!I69</f>
        <v>16.82901822408235</v>
      </c>
      <c r="H59" s="71">
        <f>'Konsumsi &amp; Pareto 2 Mingguan'!J69</f>
        <v>18.228944578257504</v>
      </c>
      <c r="I59" s="71">
        <f>'Konsumsi &amp; Pareto 2 Mingguan'!K69</f>
        <v>20.405881770079418</v>
      </c>
      <c r="J59" s="71">
        <f>'Konsumsi &amp; Pareto 2 Mingguan'!L69</f>
        <v>24.512253504640306</v>
      </c>
      <c r="K59" s="71">
        <f>'Konsumsi &amp; Pareto 2 Mingguan'!M69</f>
        <v>18.143820376444516</v>
      </c>
      <c r="L59" s="71">
        <f>'Konsumsi &amp; Pareto 2 Mingguan'!N69</f>
        <v>20.090527912885367</v>
      </c>
      <c r="M59" s="71">
        <f>'Konsumsi &amp; Pareto 2 Mingguan'!O69</f>
        <v>19.225484087184253</v>
      </c>
      <c r="N59" s="71">
        <f>'Konsumsi &amp; Pareto 2 Mingguan'!P69</f>
        <v>16.704072788854088</v>
      </c>
      <c r="O59" s="71">
        <f>'Konsumsi &amp; Pareto 2 Mingguan'!Q69</f>
        <v>12.825729971645828</v>
      </c>
      <c r="P59" s="71">
        <f>'Konsumsi &amp; Pareto 2 Mingguan'!R69</f>
        <v>25.217391574607802</v>
      </c>
      <c r="Q59" s="71">
        <f>'Konsumsi &amp; Pareto 2 Mingguan'!S69</f>
        <v>19.698450065093589</v>
      </c>
      <c r="R59" s="71">
        <f>'Konsumsi &amp; Pareto 2 Mingguan'!T69</f>
        <v>0</v>
      </c>
      <c r="S59" s="71">
        <f>'Konsumsi &amp; Pareto 2 Mingguan'!U69</f>
        <v>0</v>
      </c>
      <c r="T59" s="71">
        <f>'Konsumsi &amp; Pareto 2 Mingguan'!V69</f>
        <v>0</v>
      </c>
      <c r="U59" s="71">
        <f>'Konsumsi &amp; Pareto 2 Mingguan'!W69</f>
        <v>0</v>
      </c>
      <c r="V59" s="71">
        <f>'Konsumsi &amp; Pareto 2 Mingguan'!X69</f>
        <v>0</v>
      </c>
      <c r="W59" s="71">
        <f>'Konsumsi &amp; Pareto 2 Mingguan'!Y69</f>
        <v>0</v>
      </c>
      <c r="X59" s="71">
        <f>'Konsumsi &amp; Pareto 2 Mingguan'!Z69</f>
        <v>0</v>
      </c>
      <c r="Y59" s="71">
        <f>'Konsumsi &amp; Pareto 2 Mingguan'!AA69</f>
        <v>0</v>
      </c>
      <c r="Z59" s="71">
        <f>'Konsumsi &amp; Pareto 2 Mingguan'!AB69</f>
        <v>0</v>
      </c>
      <c r="AA59" s="71">
        <f>'Konsumsi &amp; Pareto 2 Mingguan'!AC69</f>
        <v>0</v>
      </c>
      <c r="AB59" s="71">
        <f>'Konsumsi &amp; Pareto 2 Mingguan'!AD69</f>
        <v>0</v>
      </c>
      <c r="AC59" s="71">
        <f>'Konsumsi &amp; Pareto 2 Mingguan'!AE69</f>
        <v>0</v>
      </c>
    </row>
    <row r="60" spans="2:32">
      <c r="B60" s="77" t="s">
        <v>0</v>
      </c>
      <c r="C60" s="77"/>
      <c r="D60" s="75"/>
      <c r="E60" s="8" t="s">
        <v>109</v>
      </c>
      <c r="F60" s="71">
        <f>'Konsumsi &amp; Pareto 2 Mingguan'!H70</f>
        <v>4.7536683008834171</v>
      </c>
      <c r="G60" s="71">
        <f>'Konsumsi &amp; Pareto 2 Mingguan'!I70</f>
        <v>3.7348301477871741</v>
      </c>
      <c r="H60" s="71">
        <f>'Konsumsi &amp; Pareto 2 Mingguan'!J70</f>
        <v>4.4914462531406754</v>
      </c>
      <c r="I60" s="71">
        <f>'Konsumsi &amp; Pareto 2 Mingguan'!K70</f>
        <v>5.4516146977958435</v>
      </c>
      <c r="J60" s="71">
        <f>'Konsumsi &amp; Pareto 2 Mingguan'!L70</f>
        <v>7.613352420327864</v>
      </c>
      <c r="K60" s="71">
        <f>'Konsumsi &amp; Pareto 2 Mingguan'!M70</f>
        <v>4.5436454299432185</v>
      </c>
      <c r="L60" s="71">
        <f>'Konsumsi &amp; Pareto 2 Mingguan'!N70</f>
        <v>5.9559825684064114</v>
      </c>
      <c r="M60" s="71">
        <f>'Konsumsi &amp; Pareto 2 Mingguan'!O70</f>
        <v>5.7102397154966331</v>
      </c>
      <c r="N60" s="71">
        <f>'Konsumsi &amp; Pareto 2 Mingguan'!P70</f>
        <v>5.0065999525729898</v>
      </c>
      <c r="O60" s="71">
        <f>'Konsumsi &amp; Pareto 2 Mingguan'!Q70</f>
        <v>0.91671175420629236</v>
      </c>
      <c r="P60" s="71">
        <f>'Konsumsi &amp; Pareto 2 Mingguan'!R70</f>
        <v>6.6901588376926941</v>
      </c>
      <c r="Q60" s="71">
        <f>'Konsumsi &amp; Pareto 2 Mingguan'!S70</f>
        <v>4.3887180129732712</v>
      </c>
      <c r="R60" s="71">
        <f>'Konsumsi &amp; Pareto 2 Mingguan'!T70</f>
        <v>0</v>
      </c>
      <c r="S60" s="71">
        <f>'Konsumsi &amp; Pareto 2 Mingguan'!U70</f>
        <v>0</v>
      </c>
      <c r="T60" s="71">
        <f>'Konsumsi &amp; Pareto 2 Mingguan'!V70</f>
        <v>0</v>
      </c>
      <c r="U60" s="71">
        <f>'Konsumsi &amp; Pareto 2 Mingguan'!W70</f>
        <v>0</v>
      </c>
      <c r="V60" s="71">
        <f>'Konsumsi &amp; Pareto 2 Mingguan'!X70</f>
        <v>0</v>
      </c>
      <c r="W60" s="71">
        <f>'Konsumsi &amp; Pareto 2 Mingguan'!Y70</f>
        <v>0</v>
      </c>
      <c r="X60" s="71">
        <f>'Konsumsi &amp; Pareto 2 Mingguan'!Z70</f>
        <v>0</v>
      </c>
      <c r="Y60" s="71">
        <f>'Konsumsi &amp; Pareto 2 Mingguan'!AA70</f>
        <v>0</v>
      </c>
      <c r="Z60" s="71">
        <f>'Konsumsi &amp; Pareto 2 Mingguan'!AB70</f>
        <v>0</v>
      </c>
      <c r="AA60" s="71">
        <f>'Konsumsi &amp; Pareto 2 Mingguan'!AC70</f>
        <v>0</v>
      </c>
      <c r="AB60" s="71">
        <f>'Konsumsi &amp; Pareto 2 Mingguan'!AD70</f>
        <v>0</v>
      </c>
      <c r="AC60" s="71">
        <f>'Konsumsi &amp; Pareto 2 Mingguan'!AE70</f>
        <v>0</v>
      </c>
    </row>
    <row r="61" spans="2:32">
      <c r="B61" s="77" t="s">
        <v>1</v>
      </c>
      <c r="C61" s="77"/>
      <c r="D61" s="75"/>
      <c r="E61" s="8" t="s">
        <v>109</v>
      </c>
      <c r="F61" s="71">
        <f>'Konsumsi &amp; Pareto 2 Mingguan'!H71</f>
        <v>13.68208987139797</v>
      </c>
      <c r="G61" s="71">
        <f>'Konsumsi &amp; Pareto 2 Mingguan'!I71</f>
        <v>13.094188076295175</v>
      </c>
      <c r="H61" s="71">
        <f>'Konsumsi &amp; Pareto 2 Mingguan'!J71</f>
        <v>13.737498325116828</v>
      </c>
      <c r="I61" s="71">
        <f>'Konsumsi &amp; Pareto 2 Mingguan'!K71</f>
        <v>14.954267072283574</v>
      </c>
      <c r="J61" s="71">
        <f>'Konsumsi &amp; Pareto 2 Mingguan'!L71</f>
        <v>16.898901084312442</v>
      </c>
      <c r="K61" s="71">
        <f>'Konsumsi &amp; Pareto 2 Mingguan'!M71</f>
        <v>13.600174946501296</v>
      </c>
      <c r="L61" s="71">
        <f>'Konsumsi &amp; Pareto 2 Mingguan'!N71</f>
        <v>14.134545344478955</v>
      </c>
      <c r="M61" s="71">
        <f>'Konsumsi &amp; Pareto 2 Mingguan'!O71</f>
        <v>13.515244371687618</v>
      </c>
      <c r="N61" s="71">
        <f>'Konsumsi &amp; Pareto 2 Mingguan'!P71</f>
        <v>11.697472836281099</v>
      </c>
      <c r="O61" s="71">
        <f>'Konsumsi &amp; Pareto 2 Mingguan'!Q71</f>
        <v>11.909018217439534</v>
      </c>
      <c r="P61" s="71">
        <f>'Konsumsi &amp; Pareto 2 Mingguan'!R71</f>
        <v>18.527232736915106</v>
      </c>
      <c r="Q61" s="71">
        <f>'Konsumsi &amp; Pareto 2 Mingguan'!S71</f>
        <v>15.309732052120317</v>
      </c>
      <c r="R61" s="71">
        <f>'Konsumsi &amp; Pareto 2 Mingguan'!T71</f>
        <v>0</v>
      </c>
      <c r="S61" s="71">
        <f>'Konsumsi &amp; Pareto 2 Mingguan'!U71</f>
        <v>0</v>
      </c>
      <c r="T61" s="71">
        <f>'Konsumsi &amp; Pareto 2 Mingguan'!V71</f>
        <v>0</v>
      </c>
      <c r="U61" s="71">
        <f>'Konsumsi &amp; Pareto 2 Mingguan'!W71</f>
        <v>0</v>
      </c>
      <c r="V61" s="71">
        <f>'Konsumsi &amp; Pareto 2 Mingguan'!X71</f>
        <v>0</v>
      </c>
      <c r="W61" s="71">
        <f>'Konsumsi &amp; Pareto 2 Mingguan'!Y71</f>
        <v>0</v>
      </c>
      <c r="X61" s="71">
        <f>'Konsumsi &amp; Pareto 2 Mingguan'!Z71</f>
        <v>0</v>
      </c>
      <c r="Y61" s="71">
        <f>'Konsumsi &amp; Pareto 2 Mingguan'!AA71</f>
        <v>0</v>
      </c>
      <c r="Z61" s="71">
        <f>'Konsumsi &amp; Pareto 2 Mingguan'!AB71</f>
        <v>0</v>
      </c>
      <c r="AA61" s="71">
        <f>'Konsumsi &amp; Pareto 2 Mingguan'!AC71</f>
        <v>0</v>
      </c>
      <c r="AB61" s="71">
        <f>'Konsumsi &amp; Pareto 2 Mingguan'!AD71</f>
        <v>0</v>
      </c>
      <c r="AC61" s="71">
        <f>'Konsumsi &amp; Pareto 2 Mingguan'!AE71</f>
        <v>0</v>
      </c>
    </row>
    <row r="64" spans="2:32">
      <c r="B64" s="86" t="s">
        <v>116</v>
      </c>
      <c r="C64" s="86"/>
    </row>
    <row r="65" spans="2:6">
      <c r="B65" s="86" t="s">
        <v>16</v>
      </c>
      <c r="C65" s="86"/>
      <c r="F65" s="84"/>
    </row>
    <row r="66" spans="2:6">
      <c r="B66" s="86" t="s">
        <v>15</v>
      </c>
      <c r="C66" s="86"/>
    </row>
    <row r="67" spans="2:6">
      <c r="B67" s="87" t="s">
        <v>76</v>
      </c>
      <c r="C67" s="87"/>
      <c r="F67" s="84"/>
    </row>
    <row r="68" spans="2:6">
      <c r="B68" s="87" t="s">
        <v>89</v>
      </c>
      <c r="C68" s="87"/>
      <c r="F68" s="84"/>
    </row>
    <row r="89" spans="9:9">
      <c r="I89" t="s">
        <v>91</v>
      </c>
    </row>
  </sheetData>
  <mergeCells count="148">
    <mergeCell ref="T19:U19"/>
    <mergeCell ref="V19:W19"/>
    <mergeCell ref="X19:Y19"/>
    <mergeCell ref="Z19:AA19"/>
    <mergeCell ref="AB19:AC19"/>
    <mergeCell ref="N20:O20"/>
    <mergeCell ref="P20:Q20"/>
    <mergeCell ref="R20:S20"/>
    <mergeCell ref="T20:U20"/>
    <mergeCell ref="V20:W20"/>
    <mergeCell ref="X20:Y20"/>
    <mergeCell ref="Z20:AA20"/>
    <mergeCell ref="AB20:AC20"/>
    <mergeCell ref="P26:Q26"/>
    <mergeCell ref="N27:O27"/>
    <mergeCell ref="P27:Q27"/>
    <mergeCell ref="N18:O18"/>
    <mergeCell ref="N19:O19"/>
    <mergeCell ref="P19:Q19"/>
    <mergeCell ref="R19:S19"/>
    <mergeCell ref="R27:S27"/>
    <mergeCell ref="R26:S26"/>
    <mergeCell ref="P18:Q18"/>
    <mergeCell ref="R18:S18"/>
    <mergeCell ref="T26:U26"/>
    <mergeCell ref="N32:O32"/>
    <mergeCell ref="P32:Q32"/>
    <mergeCell ref="R32:S32"/>
    <mergeCell ref="T32:U32"/>
    <mergeCell ref="AB34:AC34"/>
    <mergeCell ref="R34:S34"/>
    <mergeCell ref="T34:U34"/>
    <mergeCell ref="V34:W34"/>
    <mergeCell ref="X34:Y34"/>
    <mergeCell ref="Z34:AA34"/>
    <mergeCell ref="AB27:AC27"/>
    <mergeCell ref="Z26:AA26"/>
    <mergeCell ref="AB26:AC26"/>
    <mergeCell ref="T27:U27"/>
    <mergeCell ref="V27:W27"/>
    <mergeCell ref="X27:Y27"/>
    <mergeCell ref="Z27:AA27"/>
    <mergeCell ref="V26:W26"/>
    <mergeCell ref="X26:Y26"/>
    <mergeCell ref="V32:W32"/>
    <mergeCell ref="N34:O34"/>
    <mergeCell ref="P34:Q34"/>
    <mergeCell ref="N26:O26"/>
    <mergeCell ref="B25:D25"/>
    <mergeCell ref="F16:G16"/>
    <mergeCell ref="H16:I16"/>
    <mergeCell ref="H34:I34"/>
    <mergeCell ref="F26:G26"/>
    <mergeCell ref="F27:G27"/>
    <mergeCell ref="F18:G18"/>
    <mergeCell ref="H26:I26"/>
    <mergeCell ref="H18:I18"/>
    <mergeCell ref="H27:I27"/>
    <mergeCell ref="F32:G32"/>
    <mergeCell ref="H32:I32"/>
    <mergeCell ref="B34:D35"/>
    <mergeCell ref="E34:E35"/>
    <mergeCell ref="F34:G34"/>
    <mergeCell ref="J34:K34"/>
    <mergeCell ref="L34:M34"/>
    <mergeCell ref="J26:K26"/>
    <mergeCell ref="L26:M26"/>
    <mergeCell ref="J18:K18"/>
    <mergeCell ref="L18:M18"/>
    <mergeCell ref="J32:K32"/>
    <mergeCell ref="L32:M32"/>
    <mergeCell ref="J27:K27"/>
    <mergeCell ref="L27:M27"/>
    <mergeCell ref="L19:M19"/>
    <mergeCell ref="L20:M20"/>
    <mergeCell ref="Z4:AA4"/>
    <mergeCell ref="AB4:AC4"/>
    <mergeCell ref="P4:Q4"/>
    <mergeCell ref="R4:S4"/>
    <mergeCell ref="T4:U4"/>
    <mergeCell ref="V4:W4"/>
    <mergeCell ref="X4:Y4"/>
    <mergeCell ref="J16:K16"/>
    <mergeCell ref="L16:M16"/>
    <mergeCell ref="L10:M10"/>
    <mergeCell ref="L11:M11"/>
    <mergeCell ref="L9:M9"/>
    <mergeCell ref="N16:O16"/>
    <mergeCell ref="N10:O10"/>
    <mergeCell ref="N11:O11"/>
    <mergeCell ref="P10:Q10"/>
    <mergeCell ref="R10:S10"/>
    <mergeCell ref="T10:U10"/>
    <mergeCell ref="V10:W10"/>
    <mergeCell ref="X10:Y10"/>
    <mergeCell ref="Z10:AA10"/>
    <mergeCell ref="AB10:AC10"/>
    <mergeCell ref="P11:Q11"/>
    <mergeCell ref="R11:S11"/>
    <mergeCell ref="D2:D3"/>
    <mergeCell ref="E2:E3"/>
    <mergeCell ref="N2:O2"/>
    <mergeCell ref="B2:B3"/>
    <mergeCell ref="F2:G2"/>
    <mergeCell ref="H2:I2"/>
    <mergeCell ref="J2:K2"/>
    <mergeCell ref="L2:M2"/>
    <mergeCell ref="AB2:AC2"/>
    <mergeCell ref="P2:Q2"/>
    <mergeCell ref="R2:S2"/>
    <mergeCell ref="T2:U2"/>
    <mergeCell ref="V2:W2"/>
    <mergeCell ref="X2:Y2"/>
    <mergeCell ref="Z2:AA2"/>
    <mergeCell ref="F8:G8"/>
    <mergeCell ref="H8:I8"/>
    <mergeCell ref="J8:K8"/>
    <mergeCell ref="L8:M8"/>
    <mergeCell ref="N8:O8"/>
    <mergeCell ref="F4:G4"/>
    <mergeCell ref="H4:I4"/>
    <mergeCell ref="J4:K4"/>
    <mergeCell ref="L4:M4"/>
    <mergeCell ref="N4:O4"/>
    <mergeCell ref="T18:U18"/>
    <mergeCell ref="V18:W18"/>
    <mergeCell ref="X18:Y18"/>
    <mergeCell ref="Z18:AA18"/>
    <mergeCell ref="AB18:AC18"/>
    <mergeCell ref="Z8:AA8"/>
    <mergeCell ref="AB8:AC8"/>
    <mergeCell ref="X8:Y8"/>
    <mergeCell ref="P8:Q8"/>
    <mergeCell ref="R8:S8"/>
    <mergeCell ref="T8:U8"/>
    <mergeCell ref="V8:W8"/>
    <mergeCell ref="X16:Y16"/>
    <mergeCell ref="Z16:AA16"/>
    <mergeCell ref="AB16:AC16"/>
    <mergeCell ref="P16:Q16"/>
    <mergeCell ref="R16:S16"/>
    <mergeCell ref="T16:U16"/>
    <mergeCell ref="V16:W16"/>
    <mergeCell ref="T11:U11"/>
    <mergeCell ref="V11:W11"/>
    <mergeCell ref="X11:Y11"/>
    <mergeCell ref="Z11:AA11"/>
    <mergeCell ref="AB11:AC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Z80"/>
  <sheetViews>
    <sheetView topLeftCell="K1" zoomScale="55" zoomScaleNormal="55" workbookViewId="0">
      <pane xSplit="2" ySplit="3" topLeftCell="M4" activePane="bottomRight" state="frozen"/>
      <selection activeCell="K1" sqref="K1"/>
      <selection pane="topRight" activeCell="M1" sqref="M1"/>
      <selection pane="bottomLeft" activeCell="K4" sqref="K4"/>
      <selection pane="bottomRight" activeCell="M35" sqref="M35:AQ35"/>
    </sheetView>
  </sheetViews>
  <sheetFormatPr defaultRowHeight="15" outlineLevelRow="1"/>
  <cols>
    <col min="1" max="1" width="4.85546875" customWidth="1"/>
    <col min="2" max="2" width="7" customWidth="1"/>
    <col min="3" max="4" width="14.28515625" bestFit="1" customWidth="1"/>
    <col min="5" max="5" width="4.5703125" bestFit="1" customWidth="1"/>
    <col min="6" max="7" width="14.42578125" bestFit="1" customWidth="1"/>
    <col min="8" max="8" width="4.5703125" bestFit="1" customWidth="1"/>
    <col min="11" max="11" width="10.85546875" bestFit="1" customWidth="1"/>
    <col min="12" max="12" width="45.85546875" customWidth="1"/>
    <col min="13" max="13" width="4.7109375" style="117" customWidth="1"/>
    <col min="14" max="18" width="4.5703125" style="117" bestFit="1" customWidth="1"/>
    <col min="19" max="19" width="4.5703125" style="117" customWidth="1"/>
    <col min="20" max="21" width="4.5703125" style="117" bestFit="1" customWidth="1"/>
    <col min="22" max="22" width="5.28515625" style="117" bestFit="1" customWidth="1"/>
    <col min="23" max="23" width="5" style="117" bestFit="1" customWidth="1"/>
    <col min="24" max="31" width="5.28515625" style="117" bestFit="1" customWidth="1"/>
    <col min="32" max="32" width="5.7109375" style="117" bestFit="1" customWidth="1"/>
    <col min="33" max="33" width="5.28515625" style="117" bestFit="1" customWidth="1"/>
    <col min="34" max="42" width="5.7109375" style="117" bestFit="1" customWidth="1"/>
    <col min="43" max="43" width="5.28515625" style="117" bestFit="1" customWidth="1"/>
    <col min="44" max="44" width="11.42578125" style="117" bestFit="1" customWidth="1"/>
    <col min="45" max="45" width="11.140625" customWidth="1"/>
    <col min="46" max="46" width="15.42578125" customWidth="1"/>
    <col min="47" max="51" width="19.5703125" customWidth="1"/>
  </cols>
  <sheetData>
    <row r="1" spans="2:50">
      <c r="Y1" s="117" t="s">
        <v>90</v>
      </c>
    </row>
    <row r="2" spans="2:50">
      <c r="B2" t="s">
        <v>88</v>
      </c>
      <c r="M2" s="117" t="s">
        <v>73</v>
      </c>
    </row>
    <row r="3" spans="2:50" ht="30.75" thickBot="1">
      <c r="B3" s="283" t="s">
        <v>37</v>
      </c>
      <c r="C3" s="284" t="s">
        <v>16</v>
      </c>
      <c r="D3" s="284"/>
      <c r="E3" s="284"/>
      <c r="F3" s="285" t="s">
        <v>15</v>
      </c>
      <c r="G3" s="285"/>
      <c r="H3" s="285"/>
      <c r="M3" s="118">
        <v>1</v>
      </c>
      <c r="N3" s="118">
        <v>2</v>
      </c>
      <c r="O3" s="118">
        <v>3</v>
      </c>
      <c r="P3" s="118">
        <v>4</v>
      </c>
      <c r="Q3" s="118">
        <v>5</v>
      </c>
      <c r="R3" s="118">
        <v>6</v>
      </c>
      <c r="S3" s="118">
        <v>7</v>
      </c>
      <c r="T3" s="118">
        <v>8</v>
      </c>
      <c r="U3" s="118">
        <v>9</v>
      </c>
      <c r="V3" s="118">
        <v>10</v>
      </c>
      <c r="W3" s="118">
        <v>11</v>
      </c>
      <c r="X3" s="118">
        <v>12</v>
      </c>
      <c r="Y3" s="118">
        <v>13</v>
      </c>
      <c r="Z3" s="118">
        <v>14</v>
      </c>
      <c r="AA3" s="118">
        <v>15</v>
      </c>
      <c r="AB3" s="118">
        <v>16</v>
      </c>
      <c r="AC3" s="118">
        <v>17</v>
      </c>
      <c r="AD3" s="118">
        <v>18</v>
      </c>
      <c r="AE3" s="118">
        <v>19</v>
      </c>
      <c r="AF3" s="118">
        <v>20</v>
      </c>
      <c r="AG3" s="118">
        <v>21</v>
      </c>
      <c r="AH3" s="118">
        <v>22</v>
      </c>
      <c r="AI3" s="118">
        <v>23</v>
      </c>
      <c r="AJ3" s="118">
        <v>24</v>
      </c>
      <c r="AK3" s="118">
        <v>25</v>
      </c>
      <c r="AL3" s="118">
        <v>26</v>
      </c>
      <c r="AM3" s="118">
        <v>27</v>
      </c>
      <c r="AN3" s="118">
        <v>28</v>
      </c>
      <c r="AO3" s="118">
        <v>29</v>
      </c>
      <c r="AP3" s="118">
        <v>30</v>
      </c>
      <c r="AQ3" s="118">
        <v>31</v>
      </c>
      <c r="AR3" s="119" t="s">
        <v>86</v>
      </c>
      <c r="AS3" s="115"/>
      <c r="AU3" s="47" t="s">
        <v>85</v>
      </c>
      <c r="AV3" s="47" t="s">
        <v>92</v>
      </c>
      <c r="AW3" s="47" t="s">
        <v>93</v>
      </c>
      <c r="AX3" s="47" t="s">
        <v>87</v>
      </c>
    </row>
    <row r="4" spans="2:50" outlineLevel="1">
      <c r="B4" s="283"/>
      <c r="C4" s="41">
        <v>2016</v>
      </c>
      <c r="D4" s="41">
        <v>2017</v>
      </c>
      <c r="E4" s="41" t="s">
        <v>38</v>
      </c>
      <c r="F4" s="42">
        <v>2016</v>
      </c>
      <c r="G4" s="42">
        <v>2017</v>
      </c>
      <c r="H4" s="42" t="s">
        <v>38</v>
      </c>
      <c r="K4" t="s">
        <v>74</v>
      </c>
      <c r="L4" s="48" t="s">
        <v>75</v>
      </c>
      <c r="M4" s="120">
        <f>'[5]Rill HK'!B2</f>
        <v>0</v>
      </c>
      <c r="N4" s="120">
        <f>'[5]Rill HK'!C2</f>
        <v>0</v>
      </c>
      <c r="O4" s="120">
        <f>'[5]Rill HK'!D2</f>
        <v>0</v>
      </c>
      <c r="P4" s="120">
        <f>'[5]Rill HK'!E2</f>
        <v>0</v>
      </c>
      <c r="Q4" s="120">
        <f>'[5]Rill HK'!F2</f>
        <v>1</v>
      </c>
      <c r="R4" s="120">
        <f>'[5]Rill HK'!G2</f>
        <v>1</v>
      </c>
      <c r="S4" s="120">
        <f>'[5]Rill HK'!H2</f>
        <v>1</v>
      </c>
      <c r="T4" s="120">
        <f>'[5]Rill HK'!I2</f>
        <v>1</v>
      </c>
      <c r="U4" s="120">
        <f>'[5]Rill HK'!J2</f>
        <v>1</v>
      </c>
      <c r="V4" s="120">
        <f>'[5]Rill HK'!K2</f>
        <v>1</v>
      </c>
      <c r="W4" s="120">
        <f>'[5]Rill HK'!L2</f>
        <v>0</v>
      </c>
      <c r="X4" s="120">
        <f>'[5]Rill HK'!M2</f>
        <v>0</v>
      </c>
      <c r="Y4" s="120">
        <f>'[5]Rill HK'!N2</f>
        <v>1</v>
      </c>
      <c r="Z4" s="120">
        <f>'[5]Rill HK'!O2</f>
        <v>1</v>
      </c>
      <c r="AA4" s="120">
        <f>'[5]Rill HK'!P2</f>
        <v>1</v>
      </c>
      <c r="AB4" s="120">
        <f>'[5]Rill HK'!Q2</f>
        <v>1</v>
      </c>
      <c r="AC4" s="120">
        <f>'[5]Rill HK'!R2</f>
        <v>1</v>
      </c>
      <c r="AD4" s="120">
        <f>'[5]Rill HK'!S2</f>
        <v>1</v>
      </c>
      <c r="AE4" s="120">
        <f>'[5]Rill HK'!T2</f>
        <v>1</v>
      </c>
      <c r="AF4" s="120">
        <f>'[5]Rill HK'!U2</f>
        <v>1</v>
      </c>
      <c r="AG4" s="120">
        <f>'[5]Rill HK'!V2</f>
        <v>1</v>
      </c>
      <c r="AH4" s="120">
        <f>'[5]Rill HK'!W2</f>
        <v>1</v>
      </c>
      <c r="AI4" s="120">
        <f>'[5]Rill HK'!X2</f>
        <v>1</v>
      </c>
      <c r="AJ4" s="120">
        <f>'[5]Rill HK'!Y2</f>
        <v>1</v>
      </c>
      <c r="AK4" s="120">
        <f>'[5]Rill HK'!Z2</f>
        <v>0</v>
      </c>
      <c r="AL4" s="120">
        <f>'[5]Rill HK'!AA2</f>
        <v>0</v>
      </c>
      <c r="AM4" s="120">
        <f>'[5]Rill HK'!AB2</f>
        <v>0</v>
      </c>
      <c r="AN4" s="120">
        <f>'[5]Rill HK'!AC2</f>
        <v>0</v>
      </c>
      <c r="AO4" s="120">
        <f>'[5]Rill HK'!AD2</f>
        <v>0</v>
      </c>
      <c r="AP4" s="120">
        <f>'[5]Rill HK'!AE2</f>
        <v>0</v>
      </c>
      <c r="AQ4" s="120">
        <f>'[5]Rill HK'!AF2</f>
        <v>0</v>
      </c>
      <c r="AR4" s="286">
        <v>31</v>
      </c>
      <c r="AS4" s="116"/>
      <c r="AU4" s="48">
        <f>SUM(M4:AQ4)</f>
        <v>18</v>
      </c>
      <c r="AV4" s="48">
        <f>(SUM(M4:AA4))</f>
        <v>9</v>
      </c>
      <c r="AW4" s="48">
        <f>SUM(AB4:AQ4)</f>
        <v>9</v>
      </c>
      <c r="AX4" s="49">
        <f t="shared" ref="AX4:AX41" si="0">$AR$4-AU4</f>
        <v>13</v>
      </c>
    </row>
    <row r="5" spans="2:50" ht="16.5" outlineLevel="1" thickBot="1">
      <c r="B5" s="2" t="s">
        <v>2</v>
      </c>
      <c r="C5" s="40">
        <v>72919.618164086976</v>
      </c>
      <c r="D5" s="44">
        <v>89784.484039607705</v>
      </c>
      <c r="E5" s="44"/>
      <c r="F5" s="45">
        <v>30110.78183591249</v>
      </c>
      <c r="G5" s="45">
        <v>18218.715960391859</v>
      </c>
      <c r="H5" s="38"/>
      <c r="L5" s="50" t="s">
        <v>149</v>
      </c>
      <c r="M5" s="121"/>
      <c r="N5" s="121"/>
      <c r="O5" s="122"/>
      <c r="P5" s="123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4"/>
      <c r="AH5" s="121"/>
      <c r="AI5" s="121"/>
      <c r="AJ5" s="121"/>
      <c r="AK5" s="121"/>
      <c r="AL5" s="121"/>
      <c r="AM5" s="121"/>
      <c r="AN5" s="121"/>
      <c r="AO5" s="121"/>
      <c r="AP5" s="121"/>
      <c r="AQ5" s="125"/>
      <c r="AR5" s="287"/>
      <c r="AS5" s="116"/>
      <c r="AU5" s="50">
        <f>SUM(M5:AQ5)</f>
        <v>0</v>
      </c>
      <c r="AV5" s="50">
        <f>(SUM(M5:AA5))</f>
        <v>0</v>
      </c>
      <c r="AW5" s="50">
        <f>SUM(AB5:AQ5)</f>
        <v>0</v>
      </c>
      <c r="AX5" s="51">
        <f t="shared" si="0"/>
        <v>31</v>
      </c>
    </row>
    <row r="6" spans="2:50" outlineLevel="1">
      <c r="B6" s="2" t="s">
        <v>3</v>
      </c>
      <c r="C6" s="40">
        <v>84304.835606853216</v>
      </c>
      <c r="D6" s="44">
        <v>148685.83152151108</v>
      </c>
      <c r="E6" s="44"/>
      <c r="F6" s="45">
        <v>24562.364393147011</v>
      </c>
      <c r="G6" s="45">
        <v>29864.568478488996</v>
      </c>
      <c r="H6" s="38"/>
      <c r="L6" s="52" t="s">
        <v>89</v>
      </c>
      <c r="M6" s="126">
        <v>0</v>
      </c>
      <c r="N6" s="126">
        <v>1</v>
      </c>
      <c r="O6" s="127">
        <v>1</v>
      </c>
      <c r="P6" s="128">
        <v>0</v>
      </c>
      <c r="Q6" s="129">
        <v>0</v>
      </c>
      <c r="R6" s="129">
        <v>1</v>
      </c>
      <c r="S6" s="129">
        <v>1</v>
      </c>
      <c r="T6" s="129">
        <v>1</v>
      </c>
      <c r="U6" s="129">
        <v>1</v>
      </c>
      <c r="V6" s="129">
        <v>1</v>
      </c>
      <c r="W6" s="129">
        <v>0</v>
      </c>
      <c r="X6" s="129">
        <v>0</v>
      </c>
      <c r="Y6" s="129">
        <v>1</v>
      </c>
      <c r="Z6" s="129">
        <v>1</v>
      </c>
      <c r="AA6" s="129">
        <v>1</v>
      </c>
      <c r="AB6" s="129">
        <v>1</v>
      </c>
      <c r="AC6" s="129">
        <v>1</v>
      </c>
      <c r="AD6" s="129">
        <v>0</v>
      </c>
      <c r="AE6" s="129">
        <v>0</v>
      </c>
      <c r="AF6" s="129">
        <v>1</v>
      </c>
      <c r="AG6" s="129">
        <v>1</v>
      </c>
      <c r="AH6" s="129">
        <v>1</v>
      </c>
      <c r="AI6" s="129">
        <v>1</v>
      </c>
      <c r="AJ6" s="129">
        <v>1</v>
      </c>
      <c r="AK6" s="129">
        <v>0</v>
      </c>
      <c r="AL6" s="129">
        <v>0</v>
      </c>
      <c r="AM6" s="129">
        <v>1</v>
      </c>
      <c r="AN6" s="129">
        <v>1</v>
      </c>
      <c r="AO6" s="129">
        <v>1</v>
      </c>
      <c r="AP6" s="129">
        <v>0</v>
      </c>
      <c r="AQ6" s="130">
        <v>1</v>
      </c>
      <c r="AR6" s="287"/>
      <c r="AS6" s="116"/>
      <c r="AU6" s="52">
        <f>SUM(M6:AQ6)</f>
        <v>21</v>
      </c>
      <c r="AV6" s="52">
        <f>(SUM(M6:AA6))</f>
        <v>10</v>
      </c>
      <c r="AW6" s="52">
        <f>SUM(AB6:AQ6)</f>
        <v>11</v>
      </c>
      <c r="AX6" s="53">
        <f t="shared" si="0"/>
        <v>10</v>
      </c>
    </row>
    <row r="7" spans="2:50" ht="15.75" outlineLevel="1">
      <c r="B7" s="2" t="s">
        <v>4</v>
      </c>
      <c r="C7" s="40">
        <v>108094.11084337348</v>
      </c>
      <c r="D7" s="44">
        <v>210825.92627998322</v>
      </c>
      <c r="E7" s="44"/>
      <c r="F7" s="45">
        <v>19745.88915662649</v>
      </c>
      <c r="G7" s="45">
        <v>28457.273720017536</v>
      </c>
      <c r="H7" s="38"/>
      <c r="L7" s="54" t="s">
        <v>150</v>
      </c>
      <c r="M7" s="131">
        <v>0</v>
      </c>
      <c r="N7" s="131">
        <v>0</v>
      </c>
      <c r="O7" s="132">
        <v>0</v>
      </c>
      <c r="P7" s="133">
        <v>0</v>
      </c>
      <c r="Q7" s="131">
        <v>0</v>
      </c>
      <c r="R7" s="131">
        <v>1</v>
      </c>
      <c r="S7" s="131">
        <v>1</v>
      </c>
      <c r="T7" s="131">
        <v>1</v>
      </c>
      <c r="U7" s="131">
        <v>1</v>
      </c>
      <c r="V7" s="131">
        <v>0</v>
      </c>
      <c r="W7" s="131">
        <v>0</v>
      </c>
      <c r="X7" s="131">
        <v>0</v>
      </c>
      <c r="Y7" s="131">
        <v>1</v>
      </c>
      <c r="Z7" s="131">
        <v>1</v>
      </c>
      <c r="AA7" s="131">
        <v>1</v>
      </c>
      <c r="AB7" s="131">
        <v>1</v>
      </c>
      <c r="AC7" s="131">
        <v>0</v>
      </c>
      <c r="AD7" s="131">
        <v>0</v>
      </c>
      <c r="AE7" s="131">
        <v>1</v>
      </c>
      <c r="AF7" s="131">
        <v>1</v>
      </c>
      <c r="AG7" s="134">
        <v>1</v>
      </c>
      <c r="AH7" s="131">
        <v>1</v>
      </c>
      <c r="AI7" s="131">
        <v>1</v>
      </c>
      <c r="AJ7" s="131">
        <v>1</v>
      </c>
      <c r="AK7" s="131">
        <v>0</v>
      </c>
      <c r="AL7" s="131">
        <v>0</v>
      </c>
      <c r="AM7" s="131">
        <v>0</v>
      </c>
      <c r="AN7" s="131">
        <v>0</v>
      </c>
      <c r="AO7" s="131">
        <v>0</v>
      </c>
      <c r="AP7" s="131">
        <v>0</v>
      </c>
      <c r="AQ7" s="135">
        <v>0</v>
      </c>
      <c r="AR7" s="287"/>
      <c r="AS7" s="116"/>
      <c r="AU7" s="54">
        <f>SUM(M7:AQ7)</f>
        <v>14</v>
      </c>
      <c r="AV7" s="54">
        <f>(SUM(M7:AA7))</f>
        <v>7</v>
      </c>
      <c r="AW7" s="54">
        <f>SUM(AB7:AQ7)</f>
        <v>7</v>
      </c>
      <c r="AX7" s="55">
        <f t="shared" si="0"/>
        <v>17</v>
      </c>
    </row>
    <row r="8" spans="2:50" ht="15.75" outlineLevel="1" thickBot="1">
      <c r="B8" s="2" t="s">
        <v>5</v>
      </c>
      <c r="C8" s="40">
        <v>72988.599103139233</v>
      </c>
      <c r="D8" s="44">
        <v>291350.215721121</v>
      </c>
      <c r="E8" s="44"/>
      <c r="F8" s="45">
        <v>23321.800896861059</v>
      </c>
      <c r="G8" s="45">
        <v>26233.784278879015</v>
      </c>
      <c r="H8" s="38"/>
      <c r="L8" s="56" t="s">
        <v>39</v>
      </c>
      <c r="M8" s="136">
        <f>COUNTIF(M4:M7,"&gt;0")</f>
        <v>0</v>
      </c>
      <c r="N8" s="136">
        <f t="shared" ref="N8:AQ8" si="1">COUNTIF(N4:N7,"&gt;0")</f>
        <v>1</v>
      </c>
      <c r="O8" s="137">
        <f t="shared" si="1"/>
        <v>1</v>
      </c>
      <c r="P8" s="138">
        <f t="shared" si="1"/>
        <v>0</v>
      </c>
      <c r="Q8" s="136">
        <f t="shared" si="1"/>
        <v>1</v>
      </c>
      <c r="R8" s="136">
        <f t="shared" si="1"/>
        <v>3</v>
      </c>
      <c r="S8" s="136">
        <f t="shared" si="1"/>
        <v>3</v>
      </c>
      <c r="T8" s="136">
        <f t="shared" si="1"/>
        <v>3</v>
      </c>
      <c r="U8" s="136">
        <f t="shared" si="1"/>
        <v>3</v>
      </c>
      <c r="V8" s="136">
        <f t="shared" si="1"/>
        <v>2</v>
      </c>
      <c r="W8" s="136">
        <f t="shared" si="1"/>
        <v>0</v>
      </c>
      <c r="X8" s="136">
        <f t="shared" si="1"/>
        <v>0</v>
      </c>
      <c r="Y8" s="136">
        <f t="shared" si="1"/>
        <v>3</v>
      </c>
      <c r="Z8" s="136">
        <f t="shared" si="1"/>
        <v>3</v>
      </c>
      <c r="AA8" s="136">
        <f t="shared" si="1"/>
        <v>3</v>
      </c>
      <c r="AB8" s="136">
        <f t="shared" si="1"/>
        <v>3</v>
      </c>
      <c r="AC8" s="136">
        <f t="shared" si="1"/>
        <v>2</v>
      </c>
      <c r="AD8" s="136">
        <f t="shared" si="1"/>
        <v>1</v>
      </c>
      <c r="AE8" s="136">
        <f t="shared" si="1"/>
        <v>2</v>
      </c>
      <c r="AF8" s="136">
        <f t="shared" si="1"/>
        <v>3</v>
      </c>
      <c r="AG8" s="136">
        <f t="shared" si="1"/>
        <v>3</v>
      </c>
      <c r="AH8" s="136">
        <f t="shared" si="1"/>
        <v>3</v>
      </c>
      <c r="AI8" s="136">
        <f t="shared" si="1"/>
        <v>3</v>
      </c>
      <c r="AJ8" s="136">
        <f t="shared" si="1"/>
        <v>3</v>
      </c>
      <c r="AK8" s="136">
        <f t="shared" si="1"/>
        <v>0</v>
      </c>
      <c r="AL8" s="136">
        <f t="shared" si="1"/>
        <v>0</v>
      </c>
      <c r="AM8" s="136">
        <f t="shared" si="1"/>
        <v>1</v>
      </c>
      <c r="AN8" s="136">
        <f t="shared" si="1"/>
        <v>1</v>
      </c>
      <c r="AO8" s="136">
        <f t="shared" si="1"/>
        <v>1</v>
      </c>
      <c r="AP8" s="136">
        <f t="shared" si="1"/>
        <v>0</v>
      </c>
      <c r="AQ8" s="139">
        <f t="shared" si="1"/>
        <v>1</v>
      </c>
      <c r="AR8" s="288"/>
      <c r="AS8" s="116"/>
      <c r="AU8" s="56">
        <f>COUNTIF(M8:AQ8,"&gt;0")</f>
        <v>24</v>
      </c>
      <c r="AV8" s="56">
        <f>COUNTIF(M8:AA8,"&gt;0")</f>
        <v>11</v>
      </c>
      <c r="AW8" s="56">
        <f>COUNTIF(AB8:AQ8,"&gt;0")</f>
        <v>13</v>
      </c>
      <c r="AX8" s="57">
        <f t="shared" si="0"/>
        <v>7</v>
      </c>
    </row>
    <row r="9" spans="2:50" ht="15.75" thickBot="1">
      <c r="B9" s="2"/>
      <c r="C9" s="40"/>
      <c r="D9" s="44"/>
      <c r="E9" s="44"/>
      <c r="F9" s="45"/>
      <c r="G9" s="45"/>
      <c r="H9" s="38"/>
      <c r="AU9" s="113"/>
      <c r="AV9" s="113"/>
      <c r="AW9" s="113"/>
      <c r="AX9" s="114"/>
    </row>
    <row r="10" spans="2:50" ht="15" customHeight="1" outlineLevel="1">
      <c r="B10" s="2" t="s">
        <v>33</v>
      </c>
      <c r="C10" s="40">
        <v>97792.636177474415</v>
      </c>
      <c r="D10" s="44">
        <v>339510.98487777129</v>
      </c>
      <c r="E10" s="44"/>
      <c r="F10" s="45">
        <v>24722.563822525601</v>
      </c>
      <c r="G10" s="45">
        <v>26140.21512222859</v>
      </c>
      <c r="H10" s="38"/>
      <c r="K10" t="s">
        <v>77</v>
      </c>
      <c r="L10" s="48" t="s">
        <v>75</v>
      </c>
      <c r="M10" s="120">
        <f>'[5]Rill HK'!B3</f>
        <v>0</v>
      </c>
      <c r="N10" s="120">
        <f>'[5]Rill HK'!C3</f>
        <v>0</v>
      </c>
      <c r="O10" s="120">
        <f>'[5]Rill HK'!D3</f>
        <v>0.33333333333333331</v>
      </c>
      <c r="P10" s="120">
        <f>'[5]Rill HK'!E3</f>
        <v>0.66666666666666663</v>
      </c>
      <c r="Q10" s="120">
        <f>'[5]Rill HK'!F3</f>
        <v>1</v>
      </c>
      <c r="R10" s="120">
        <f>'[5]Rill HK'!G3</f>
        <v>1</v>
      </c>
      <c r="S10" s="120">
        <f>'[5]Rill HK'!H3</f>
        <v>1</v>
      </c>
      <c r="T10" s="120">
        <f>'[5]Rill HK'!I3</f>
        <v>0.16666666666666666</v>
      </c>
      <c r="U10" s="120">
        <f>'[5]Rill HK'!J3</f>
        <v>0</v>
      </c>
      <c r="V10" s="120">
        <f>'[5]Rill HK'!K3</f>
        <v>1</v>
      </c>
      <c r="W10" s="120">
        <f>'[5]Rill HK'!L3</f>
        <v>1</v>
      </c>
      <c r="X10" s="120">
        <f>'[5]Rill HK'!M3</f>
        <v>1</v>
      </c>
      <c r="Y10" s="120">
        <f>'[5]Rill HK'!N3</f>
        <v>1</v>
      </c>
      <c r="Z10" s="120">
        <f>'[5]Rill HK'!O3</f>
        <v>1</v>
      </c>
      <c r="AA10" s="120">
        <f>'[5]Rill HK'!P3</f>
        <v>8.3333333333333329E-2</v>
      </c>
      <c r="AB10" s="120">
        <f>'[5]Rill HK'!Q3</f>
        <v>0</v>
      </c>
      <c r="AC10" s="120">
        <f>'[5]Rill HK'!R3</f>
        <v>1</v>
      </c>
      <c r="AD10" s="120">
        <f>'[5]Rill HK'!S3</f>
        <v>1</v>
      </c>
      <c r="AE10" s="120">
        <f>'[5]Rill HK'!T3</f>
        <v>1</v>
      </c>
      <c r="AF10" s="120">
        <f>'[5]Rill HK'!U3</f>
        <v>0.66666666666666663</v>
      </c>
      <c r="AG10" s="120">
        <f>'[5]Rill HK'!V3</f>
        <v>0.66666666666666663</v>
      </c>
      <c r="AH10" s="120">
        <f>'[5]Rill HK'!W3</f>
        <v>0</v>
      </c>
      <c r="AI10" s="120">
        <f>'[5]Rill HK'!X3</f>
        <v>0</v>
      </c>
      <c r="AJ10" s="120">
        <f>'[5]Rill HK'!Y3</f>
        <v>1</v>
      </c>
      <c r="AK10" s="120">
        <f>'[5]Rill HK'!Z3</f>
        <v>1</v>
      </c>
      <c r="AL10" s="120">
        <f>'[5]Rill HK'!AA3</f>
        <v>1</v>
      </c>
      <c r="AM10" s="120">
        <f>'[5]Rill HK'!AB3</f>
        <v>1</v>
      </c>
      <c r="AN10" s="120">
        <f>'[5]Rill HK'!AC3</f>
        <v>0.33333333333333331</v>
      </c>
      <c r="AO10" s="120">
        <f>'[5]Rill HK'!AD3</f>
        <v>0</v>
      </c>
      <c r="AP10" s="120">
        <f>'[5]Rill HK'!AE3</f>
        <v>0</v>
      </c>
      <c r="AQ10" s="120">
        <f>'[5]Rill HK'!AF3</f>
        <v>0</v>
      </c>
      <c r="AR10" s="286">
        <v>29</v>
      </c>
      <c r="AS10" s="116"/>
      <c r="AU10" s="48">
        <f>SUM(M10:AQ10)</f>
        <v>17.916666666666668</v>
      </c>
      <c r="AV10" s="48">
        <f>(SUM(M10:AA10))</f>
        <v>9.2500000000000018</v>
      </c>
      <c r="AW10" s="48">
        <f>SUM(AB10:AQ10)</f>
        <v>8.6666666666666661</v>
      </c>
      <c r="AX10" s="186">
        <f>$AR$10-AU10</f>
        <v>11.083333333333332</v>
      </c>
    </row>
    <row r="11" spans="2:50" ht="16.5" customHeight="1" outlineLevel="1" thickBot="1">
      <c r="B11" s="2" t="s">
        <v>7</v>
      </c>
      <c r="C11" s="40">
        <v>119930.47120174761</v>
      </c>
      <c r="D11" s="44">
        <v>177657.03421407871</v>
      </c>
      <c r="E11" s="44"/>
      <c r="F11" s="45">
        <v>22242.328798251932</v>
      </c>
      <c r="G11" s="45">
        <v>24560.565785920873</v>
      </c>
      <c r="H11" s="38"/>
      <c r="L11" s="50" t="s">
        <v>76</v>
      </c>
      <c r="M11" s="121"/>
      <c r="N11" s="121"/>
      <c r="O11" s="121"/>
      <c r="P11" s="123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4"/>
      <c r="AH11" s="121"/>
      <c r="AI11" s="121"/>
      <c r="AJ11" s="121"/>
      <c r="AK11" s="121"/>
      <c r="AL11" s="121"/>
      <c r="AM11" s="121"/>
      <c r="AN11" s="121"/>
      <c r="AO11" s="121"/>
      <c r="AP11" s="121"/>
      <c r="AQ11" s="125"/>
      <c r="AR11" s="287"/>
      <c r="AS11" s="116"/>
      <c r="AU11" s="50">
        <f>SUM(M11:AQ11)</f>
        <v>0</v>
      </c>
      <c r="AV11" s="50">
        <f>(SUM(M11:AA11))</f>
        <v>0</v>
      </c>
      <c r="AW11" s="50">
        <f>SUM(AB11:AQ11)</f>
        <v>0</v>
      </c>
      <c r="AX11" s="51">
        <f t="shared" si="0"/>
        <v>31</v>
      </c>
    </row>
    <row r="12" spans="2:50" ht="15" customHeight="1" outlineLevel="1">
      <c r="B12" s="2" t="s">
        <v>8</v>
      </c>
      <c r="C12" s="40">
        <v>127650.18097087379</v>
      </c>
      <c r="D12" s="44">
        <v>320736.47604879498</v>
      </c>
      <c r="E12" s="44"/>
      <c r="F12" s="45">
        <v>18276.219029126216</v>
      </c>
      <c r="G12" s="45">
        <v>31503.523951204999</v>
      </c>
      <c r="H12" s="38"/>
      <c r="L12" s="52" t="s">
        <v>89</v>
      </c>
      <c r="M12" s="126">
        <v>0</v>
      </c>
      <c r="N12" s="126">
        <v>0</v>
      </c>
      <c r="O12" s="126">
        <v>1</v>
      </c>
      <c r="P12" s="128">
        <v>1</v>
      </c>
      <c r="Q12" s="129">
        <v>1</v>
      </c>
      <c r="R12" s="129">
        <v>1</v>
      </c>
      <c r="S12" s="129">
        <v>1</v>
      </c>
      <c r="T12" s="129">
        <v>0</v>
      </c>
      <c r="U12" s="129">
        <v>0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0</v>
      </c>
      <c r="AB12" s="129">
        <v>0</v>
      </c>
      <c r="AC12" s="129">
        <v>1</v>
      </c>
      <c r="AD12" s="129">
        <v>1</v>
      </c>
      <c r="AE12" s="129">
        <v>1</v>
      </c>
      <c r="AF12" s="129">
        <v>1</v>
      </c>
      <c r="AG12" s="129">
        <v>1</v>
      </c>
      <c r="AH12" s="129">
        <v>0</v>
      </c>
      <c r="AI12" s="129">
        <v>0</v>
      </c>
      <c r="AJ12" s="129">
        <v>1</v>
      </c>
      <c r="AK12" s="129">
        <v>1</v>
      </c>
      <c r="AL12" s="129">
        <v>1</v>
      </c>
      <c r="AM12" s="129">
        <v>1</v>
      </c>
      <c r="AN12" s="129">
        <v>1</v>
      </c>
      <c r="AO12" s="129">
        <v>0</v>
      </c>
      <c r="AP12" s="129"/>
      <c r="AQ12" s="130"/>
      <c r="AR12" s="287"/>
      <c r="AS12" s="116"/>
      <c r="AU12" s="52">
        <f>SUM(M12:AQ12)</f>
        <v>20</v>
      </c>
      <c r="AV12" s="52">
        <f>(SUM(M12:AA12))</f>
        <v>10</v>
      </c>
      <c r="AW12" s="52">
        <f>SUM(AB12:AQ12)</f>
        <v>10</v>
      </c>
      <c r="AX12" s="53">
        <f t="shared" si="0"/>
        <v>11</v>
      </c>
    </row>
    <row r="13" spans="2:50" ht="15.75" customHeight="1" outlineLevel="1">
      <c r="B13" s="2" t="s">
        <v>34</v>
      </c>
      <c r="C13" s="40">
        <v>171352.92459970826</v>
      </c>
      <c r="D13" s="44">
        <v>280728.02041804173</v>
      </c>
      <c r="E13" s="44"/>
      <c r="F13" s="45">
        <v>25799.075400291033</v>
      </c>
      <c r="G13" s="45">
        <v>33419.179581958189</v>
      </c>
      <c r="H13" s="38"/>
      <c r="L13" s="54" t="s">
        <v>150</v>
      </c>
      <c r="M13" s="131">
        <v>0</v>
      </c>
      <c r="N13" s="131">
        <v>0</v>
      </c>
      <c r="O13" s="131">
        <v>1</v>
      </c>
      <c r="P13" s="133">
        <v>1</v>
      </c>
      <c r="Q13" s="131">
        <v>1</v>
      </c>
      <c r="R13" s="131">
        <v>1</v>
      </c>
      <c r="S13" s="131">
        <v>1</v>
      </c>
      <c r="T13" s="131">
        <v>0</v>
      </c>
      <c r="U13" s="131">
        <v>0</v>
      </c>
      <c r="V13" s="131">
        <v>1</v>
      </c>
      <c r="W13" s="131">
        <v>1</v>
      </c>
      <c r="X13" s="131">
        <v>1</v>
      </c>
      <c r="Y13" s="131">
        <v>1</v>
      </c>
      <c r="Z13" s="131">
        <v>1</v>
      </c>
      <c r="AA13" s="131">
        <v>0</v>
      </c>
      <c r="AB13" s="131">
        <v>0</v>
      </c>
      <c r="AC13" s="131">
        <v>0</v>
      </c>
      <c r="AD13" s="131">
        <v>1</v>
      </c>
      <c r="AE13" s="131">
        <v>1</v>
      </c>
      <c r="AF13" s="131">
        <v>1</v>
      </c>
      <c r="AG13" s="134">
        <v>0</v>
      </c>
      <c r="AH13" s="131">
        <v>1</v>
      </c>
      <c r="AI13" s="131">
        <v>0</v>
      </c>
      <c r="AJ13" s="131">
        <v>1</v>
      </c>
      <c r="AK13" s="131">
        <v>1</v>
      </c>
      <c r="AL13" s="131">
        <v>1</v>
      </c>
      <c r="AM13" s="131">
        <v>1</v>
      </c>
      <c r="AN13" s="131">
        <v>0</v>
      </c>
      <c r="AO13" s="131">
        <v>0</v>
      </c>
      <c r="AP13" s="131">
        <v>0</v>
      </c>
      <c r="AQ13" s="135">
        <v>0</v>
      </c>
      <c r="AR13" s="287"/>
      <c r="AS13" s="116"/>
      <c r="AU13" s="54">
        <f>SUM(M13:AQ13)</f>
        <v>18</v>
      </c>
      <c r="AV13" s="54">
        <f>(SUM(M13:AA13))</f>
        <v>10</v>
      </c>
      <c r="AW13" s="54">
        <f>SUM(AB13:AQ13)</f>
        <v>8</v>
      </c>
      <c r="AX13" s="55">
        <f t="shared" si="0"/>
        <v>13</v>
      </c>
    </row>
    <row r="14" spans="2:50" ht="15.75" customHeight="1" outlineLevel="1" thickBot="1">
      <c r="B14" s="2" t="s">
        <v>10</v>
      </c>
      <c r="C14" s="40">
        <v>231524.24211374886</v>
      </c>
      <c r="D14" s="44">
        <v>243390.43404255321</v>
      </c>
      <c r="E14" s="44"/>
      <c r="F14" s="45">
        <v>24997.357886251735</v>
      </c>
      <c r="G14" s="45">
        <v>44391.96595744681</v>
      </c>
      <c r="H14" s="38"/>
      <c r="L14" s="56" t="s">
        <v>39</v>
      </c>
      <c r="M14" s="136">
        <f t="shared" ref="M14:AQ14" si="2">COUNTIF(M10:M13,"&gt;0")</f>
        <v>0</v>
      </c>
      <c r="N14" s="136">
        <f t="shared" si="2"/>
        <v>0</v>
      </c>
      <c r="O14" s="136">
        <f t="shared" si="2"/>
        <v>3</v>
      </c>
      <c r="P14" s="138">
        <f t="shared" si="2"/>
        <v>3</v>
      </c>
      <c r="Q14" s="136">
        <f t="shared" si="2"/>
        <v>3</v>
      </c>
      <c r="R14" s="136">
        <f t="shared" si="2"/>
        <v>3</v>
      </c>
      <c r="S14" s="136">
        <f t="shared" si="2"/>
        <v>3</v>
      </c>
      <c r="T14" s="136">
        <f t="shared" si="2"/>
        <v>1</v>
      </c>
      <c r="U14" s="136">
        <f t="shared" si="2"/>
        <v>0</v>
      </c>
      <c r="V14" s="136">
        <f t="shared" si="2"/>
        <v>3</v>
      </c>
      <c r="W14" s="136">
        <f t="shared" si="2"/>
        <v>3</v>
      </c>
      <c r="X14" s="136">
        <f t="shared" si="2"/>
        <v>3</v>
      </c>
      <c r="Y14" s="136">
        <f t="shared" si="2"/>
        <v>3</v>
      </c>
      <c r="Z14" s="136">
        <f t="shared" si="2"/>
        <v>3</v>
      </c>
      <c r="AA14" s="136">
        <f t="shared" si="2"/>
        <v>1</v>
      </c>
      <c r="AB14" s="136">
        <f t="shared" si="2"/>
        <v>0</v>
      </c>
      <c r="AC14" s="136">
        <f t="shared" si="2"/>
        <v>2</v>
      </c>
      <c r="AD14" s="136">
        <f t="shared" si="2"/>
        <v>3</v>
      </c>
      <c r="AE14" s="136">
        <f t="shared" si="2"/>
        <v>3</v>
      </c>
      <c r="AF14" s="136">
        <f t="shared" si="2"/>
        <v>3</v>
      </c>
      <c r="AG14" s="136">
        <f t="shared" si="2"/>
        <v>2</v>
      </c>
      <c r="AH14" s="136">
        <f t="shared" si="2"/>
        <v>1</v>
      </c>
      <c r="AI14" s="136">
        <f t="shared" si="2"/>
        <v>0</v>
      </c>
      <c r="AJ14" s="136">
        <f t="shared" si="2"/>
        <v>3</v>
      </c>
      <c r="AK14" s="136">
        <f t="shared" si="2"/>
        <v>3</v>
      </c>
      <c r="AL14" s="136">
        <f t="shared" si="2"/>
        <v>3</v>
      </c>
      <c r="AM14" s="136">
        <f t="shared" si="2"/>
        <v>3</v>
      </c>
      <c r="AN14" s="136">
        <f t="shared" si="2"/>
        <v>2</v>
      </c>
      <c r="AO14" s="136">
        <f t="shared" si="2"/>
        <v>0</v>
      </c>
      <c r="AP14" s="136">
        <f t="shared" si="2"/>
        <v>0</v>
      </c>
      <c r="AQ14" s="139">
        <f t="shared" si="2"/>
        <v>0</v>
      </c>
      <c r="AR14" s="288"/>
      <c r="AS14" s="116"/>
      <c r="AU14" s="56">
        <f>COUNTIF(M14:AQ14,"&gt;0")</f>
        <v>23</v>
      </c>
      <c r="AV14" s="56">
        <f>COUNTIF(M14:AA14,"&gt;0")</f>
        <v>12</v>
      </c>
      <c r="AW14" s="56">
        <f>COUNTIF(AB14:AQ14,"&gt;0")</f>
        <v>11</v>
      </c>
      <c r="AX14" s="57">
        <f t="shared" si="0"/>
        <v>8</v>
      </c>
    </row>
    <row r="15" spans="2:50" ht="15.75" thickBot="1">
      <c r="B15" s="2"/>
      <c r="C15" s="40"/>
      <c r="D15" s="44"/>
      <c r="E15" s="44"/>
      <c r="F15" s="45"/>
      <c r="G15" s="45"/>
      <c r="H15" s="38"/>
      <c r="V15" s="199"/>
      <c r="W15" s="199"/>
      <c r="X15" s="199"/>
      <c r="Y15" s="199"/>
      <c r="Z15" s="199"/>
      <c r="AJ15" s="199"/>
      <c r="AK15" s="199"/>
      <c r="AL15" s="199"/>
      <c r="AM15" s="199"/>
      <c r="AN15" s="199"/>
    </row>
    <row r="16" spans="2:50" ht="15" customHeight="1" outlineLevel="1">
      <c r="B16" s="2" t="s">
        <v>35</v>
      </c>
      <c r="C16" s="40">
        <v>252411.04485178841</v>
      </c>
      <c r="D16" s="44">
        <v>250861.09462555064</v>
      </c>
      <c r="E16" s="44"/>
      <c r="F16" s="45">
        <v>25374.55514821121</v>
      </c>
      <c r="G16" s="45">
        <v>29244.505374449338</v>
      </c>
      <c r="H16" s="38"/>
      <c r="K16" t="s">
        <v>78</v>
      </c>
      <c r="L16" s="48" t="s">
        <v>75</v>
      </c>
      <c r="M16" s="120">
        <f>'[5]Rill HK'!B4</f>
        <v>0</v>
      </c>
      <c r="N16" s="120">
        <f>'[5]Rill HK'!C4</f>
        <v>1</v>
      </c>
      <c r="O16" s="120">
        <f>'[5]Rill HK'!D4</f>
        <v>1</v>
      </c>
      <c r="P16" s="120">
        <f>'[5]Rill HK'!E4</f>
        <v>1</v>
      </c>
      <c r="Q16" s="120">
        <f>'[5]Rill HK'!F4</f>
        <v>1</v>
      </c>
      <c r="R16" s="120">
        <f>'[5]Rill HK'!G4</f>
        <v>1</v>
      </c>
      <c r="S16" s="120">
        <f>'[5]Rill HK'!H4</f>
        <v>0</v>
      </c>
      <c r="T16" s="120">
        <f>'[5]Rill HK'!I4</f>
        <v>0</v>
      </c>
      <c r="U16" s="120">
        <f>'[5]Rill HK'!J4</f>
        <v>1</v>
      </c>
      <c r="V16" s="120">
        <f>'[5]Rill HK'!K4</f>
        <v>1</v>
      </c>
      <c r="W16" s="120">
        <f>'[5]Rill HK'!L4</f>
        <v>1</v>
      </c>
      <c r="X16" s="120">
        <f>'[5]Rill HK'!M4</f>
        <v>1</v>
      </c>
      <c r="Y16" s="120">
        <f>'[5]Rill HK'!N4</f>
        <v>0.70833333333333337</v>
      </c>
      <c r="Z16" s="120">
        <f>'[5]Rill HK'!O4</f>
        <v>0</v>
      </c>
      <c r="AA16" s="120">
        <f>'[5]Rill HK'!P4</f>
        <v>0</v>
      </c>
      <c r="AB16" s="120">
        <f>'[5]Rill HK'!Q4</f>
        <v>1</v>
      </c>
      <c r="AC16" s="120">
        <f>'[5]Rill HK'!R4</f>
        <v>1</v>
      </c>
      <c r="AD16" s="120">
        <f>'[5]Rill HK'!S4</f>
        <v>1</v>
      </c>
      <c r="AE16" s="120">
        <f>'[5]Rill HK'!T4</f>
        <v>1</v>
      </c>
      <c r="AF16" s="120">
        <f>'[5]Rill HK'!U4</f>
        <v>0.58333333333333337</v>
      </c>
      <c r="AG16" s="120">
        <f>'[5]Rill HK'!V4</f>
        <v>0</v>
      </c>
      <c r="AH16" s="120">
        <f>'[5]Rill HK'!W4</f>
        <v>0</v>
      </c>
      <c r="AI16" s="120">
        <f>'[5]Rill HK'!X4</f>
        <v>0</v>
      </c>
      <c r="AJ16" s="120">
        <f>'[5]Rill HK'!Y4</f>
        <v>0</v>
      </c>
      <c r="AK16" s="120">
        <f>'[5]Rill HK'!Z4</f>
        <v>0</v>
      </c>
      <c r="AL16" s="120">
        <f>'[5]Rill HK'!AA4</f>
        <v>1</v>
      </c>
      <c r="AM16" s="120">
        <f>'[5]Rill HK'!AB4</f>
        <v>1</v>
      </c>
      <c r="AN16" s="120">
        <f>'[5]Rill HK'!AC4</f>
        <v>0.79166666666666663</v>
      </c>
      <c r="AO16" s="120">
        <f>'[5]Rill HK'!AD4</f>
        <v>0</v>
      </c>
      <c r="AP16" s="120">
        <f>'[5]Rill HK'!AE4</f>
        <v>1</v>
      </c>
      <c r="AQ16" s="120">
        <f>'[5]Rill HK'!AF4</f>
        <v>1</v>
      </c>
      <c r="AR16" s="286">
        <v>31</v>
      </c>
      <c r="AS16" s="194">
        <f>SUM(M16:AF16)</f>
        <v>14.291666666666668</v>
      </c>
      <c r="AT16" s="195">
        <f>SUM(AL16:AQ16)</f>
        <v>4.7916666666666661</v>
      </c>
      <c r="AU16" s="48">
        <f>SUM(M16:AQ16)</f>
        <v>19.083333333333336</v>
      </c>
      <c r="AV16" s="48">
        <f>(SUM(M16:AA16))</f>
        <v>9.7083333333333339</v>
      </c>
      <c r="AW16" s="48">
        <f>SUM(AB16:AQ16)</f>
        <v>9.375</v>
      </c>
      <c r="AX16" s="49">
        <f t="shared" si="0"/>
        <v>11.916666666666664</v>
      </c>
    </row>
    <row r="17" spans="2:50" ht="16.5" customHeight="1" outlineLevel="1" thickBot="1">
      <c r="B17" s="2" t="s">
        <v>12</v>
      </c>
      <c r="C17" s="40">
        <v>303900.44344849011</v>
      </c>
      <c r="D17" s="44">
        <v>336465.37448397878</v>
      </c>
      <c r="E17" s="44"/>
      <c r="F17" s="45">
        <v>26086.756551509461</v>
      </c>
      <c r="G17" s="45">
        <v>30830.625516021231</v>
      </c>
      <c r="H17" s="38"/>
      <c r="J17">
        <f>11/21</f>
        <v>0.52380952380952384</v>
      </c>
      <c r="L17" s="50" t="s">
        <v>76</v>
      </c>
      <c r="M17" s="121"/>
      <c r="N17" s="121"/>
      <c r="O17" s="121"/>
      <c r="P17" s="123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4"/>
      <c r="AH17" s="121"/>
      <c r="AI17" s="121"/>
      <c r="AJ17" s="121"/>
      <c r="AK17" s="121"/>
      <c r="AL17" s="121"/>
      <c r="AM17" s="121"/>
      <c r="AN17" s="121"/>
      <c r="AO17" s="121"/>
      <c r="AP17" s="121"/>
      <c r="AQ17" s="125"/>
      <c r="AR17" s="287"/>
      <c r="AS17" s="116"/>
      <c r="AU17" s="50">
        <f>SUM(M17:AQ17)</f>
        <v>0</v>
      </c>
      <c r="AV17" s="50">
        <f>(SUM(M17:AA17))</f>
        <v>0</v>
      </c>
      <c r="AW17" s="50">
        <f>SUM(AB17:AQ17)</f>
        <v>0</v>
      </c>
      <c r="AX17" s="51">
        <f t="shared" si="0"/>
        <v>31</v>
      </c>
    </row>
    <row r="18" spans="2:50" ht="15" customHeight="1" outlineLevel="1">
      <c r="B18" s="2" t="s">
        <v>36</v>
      </c>
      <c r="C18" s="40">
        <v>294791.92363631289</v>
      </c>
      <c r="D18" s="44">
        <v>293407.9407712082</v>
      </c>
      <c r="E18" s="44"/>
      <c r="F18" s="45">
        <v>60334.476363687761</v>
      </c>
      <c r="G18" s="45">
        <v>26950.459228791795</v>
      </c>
      <c r="H18" s="38"/>
      <c r="L18" s="52" t="s">
        <v>89</v>
      </c>
      <c r="M18" s="126">
        <v>0</v>
      </c>
      <c r="N18" s="126">
        <v>1</v>
      </c>
      <c r="O18" s="126">
        <v>1</v>
      </c>
      <c r="P18" s="128">
        <v>1</v>
      </c>
      <c r="Q18" s="129">
        <v>1</v>
      </c>
      <c r="R18" s="129">
        <v>1</v>
      </c>
      <c r="S18" s="129">
        <v>0</v>
      </c>
      <c r="T18" s="129">
        <v>0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0</v>
      </c>
      <c r="AA18" s="129">
        <v>0</v>
      </c>
      <c r="AB18" s="129">
        <v>1</v>
      </c>
      <c r="AC18" s="129">
        <v>1</v>
      </c>
      <c r="AD18" s="129">
        <v>1</v>
      </c>
      <c r="AE18" s="129">
        <v>1</v>
      </c>
      <c r="AF18" s="129">
        <v>1</v>
      </c>
      <c r="AG18" s="129">
        <v>0</v>
      </c>
      <c r="AH18" s="129">
        <v>0</v>
      </c>
      <c r="AI18" s="129">
        <v>0</v>
      </c>
      <c r="AJ18" s="129">
        <v>0</v>
      </c>
      <c r="AK18" s="129">
        <v>0</v>
      </c>
      <c r="AL18" s="129">
        <v>1</v>
      </c>
      <c r="AM18" s="129">
        <v>1</v>
      </c>
      <c r="AN18" s="129">
        <v>1</v>
      </c>
      <c r="AO18" s="129">
        <v>0</v>
      </c>
      <c r="AP18" s="129">
        <v>1</v>
      </c>
      <c r="AQ18" s="130">
        <v>1</v>
      </c>
      <c r="AR18" s="287"/>
      <c r="AS18" s="116"/>
      <c r="AU18" s="52">
        <f>SUM(M18:AQ18)</f>
        <v>20</v>
      </c>
      <c r="AV18" s="52">
        <f>(SUM(M18:AA18))</f>
        <v>10</v>
      </c>
      <c r="AW18" s="52">
        <f>SUM(AB18:AQ18)</f>
        <v>10</v>
      </c>
      <c r="AX18" s="53">
        <f t="shared" si="0"/>
        <v>11</v>
      </c>
    </row>
    <row r="19" spans="2:50" ht="15.75" customHeight="1" outlineLevel="1">
      <c r="B19" s="2" t="s">
        <v>39</v>
      </c>
      <c r="C19" s="44">
        <f t="shared" ref="C19:H19" si="3">SUM(C5:C18)</f>
        <v>1937661.0307175971</v>
      </c>
      <c r="D19" s="44">
        <f t="shared" si="3"/>
        <v>2983403.8170442008</v>
      </c>
      <c r="E19" s="2">
        <f t="shared" si="3"/>
        <v>0</v>
      </c>
      <c r="F19" s="45">
        <f t="shared" si="3"/>
        <v>325574.16928240203</v>
      </c>
      <c r="G19" s="45">
        <f t="shared" si="3"/>
        <v>349815.38295579929</v>
      </c>
      <c r="H19" s="38">
        <f t="shared" si="3"/>
        <v>0</v>
      </c>
      <c r="L19" s="54" t="s">
        <v>150</v>
      </c>
      <c r="M19" s="131">
        <v>0</v>
      </c>
      <c r="N19" s="131">
        <v>1</v>
      </c>
      <c r="O19" s="131">
        <v>1</v>
      </c>
      <c r="P19" s="133">
        <v>1</v>
      </c>
      <c r="Q19" s="131">
        <v>1</v>
      </c>
      <c r="R19" s="131">
        <v>1</v>
      </c>
      <c r="S19" s="131">
        <v>0</v>
      </c>
      <c r="T19" s="131">
        <v>0</v>
      </c>
      <c r="U19" s="131">
        <v>1</v>
      </c>
      <c r="V19" s="131">
        <v>1</v>
      </c>
      <c r="W19" s="131">
        <v>1</v>
      </c>
      <c r="X19" s="131">
        <v>1</v>
      </c>
      <c r="Y19" s="131">
        <v>1</v>
      </c>
      <c r="Z19" s="131">
        <v>0</v>
      </c>
      <c r="AA19" s="131">
        <v>0</v>
      </c>
      <c r="AB19" s="131">
        <v>1</v>
      </c>
      <c r="AC19" s="131">
        <v>1</v>
      </c>
      <c r="AD19" s="131">
        <v>1</v>
      </c>
      <c r="AE19" s="131">
        <v>1</v>
      </c>
      <c r="AF19" s="131">
        <v>0</v>
      </c>
      <c r="AG19" s="134">
        <v>0</v>
      </c>
      <c r="AH19" s="131">
        <v>0</v>
      </c>
      <c r="AI19" s="131">
        <v>0</v>
      </c>
      <c r="AJ19" s="131">
        <v>0</v>
      </c>
      <c r="AK19" s="131">
        <v>0</v>
      </c>
      <c r="AL19" s="131">
        <v>1</v>
      </c>
      <c r="AM19" s="131">
        <v>1</v>
      </c>
      <c r="AN19" s="131">
        <v>0</v>
      </c>
      <c r="AO19" s="131">
        <v>0</v>
      </c>
      <c r="AP19" s="131">
        <v>1</v>
      </c>
      <c r="AQ19" s="135">
        <v>1</v>
      </c>
      <c r="AR19" s="287"/>
      <c r="AS19" s="116"/>
      <c r="AU19" s="54">
        <f>SUM(M19:AQ19)</f>
        <v>18</v>
      </c>
      <c r="AV19" s="54">
        <f>(SUM(M19:AA19))</f>
        <v>10</v>
      </c>
      <c r="AW19" s="54">
        <f>SUM(AB19:AQ19)</f>
        <v>8</v>
      </c>
      <c r="AX19" s="55">
        <f t="shared" si="0"/>
        <v>13</v>
      </c>
    </row>
    <row r="20" spans="2:50" ht="15.75" customHeight="1" outlineLevel="1" thickBot="1">
      <c r="L20" s="56" t="s">
        <v>39</v>
      </c>
      <c r="M20" s="136">
        <f t="shared" ref="M20:AQ20" si="4">COUNTIF(M16:M19,"&gt;0")</f>
        <v>0</v>
      </c>
      <c r="N20" s="136">
        <f t="shared" si="4"/>
        <v>3</v>
      </c>
      <c r="O20" s="136">
        <f t="shared" si="4"/>
        <v>3</v>
      </c>
      <c r="P20" s="138">
        <f t="shared" si="4"/>
        <v>3</v>
      </c>
      <c r="Q20" s="136">
        <f t="shared" si="4"/>
        <v>3</v>
      </c>
      <c r="R20" s="136">
        <f t="shared" si="4"/>
        <v>3</v>
      </c>
      <c r="S20" s="136">
        <f t="shared" si="4"/>
        <v>0</v>
      </c>
      <c r="T20" s="136">
        <f t="shared" si="4"/>
        <v>0</v>
      </c>
      <c r="U20" s="136">
        <f t="shared" si="4"/>
        <v>3</v>
      </c>
      <c r="V20" s="136">
        <f t="shared" si="4"/>
        <v>3</v>
      </c>
      <c r="W20" s="136">
        <f t="shared" si="4"/>
        <v>3</v>
      </c>
      <c r="X20" s="136">
        <f t="shared" si="4"/>
        <v>3</v>
      </c>
      <c r="Y20" s="136">
        <f t="shared" si="4"/>
        <v>3</v>
      </c>
      <c r="Z20" s="136">
        <f t="shared" si="4"/>
        <v>0</v>
      </c>
      <c r="AA20" s="136">
        <f t="shared" si="4"/>
        <v>0</v>
      </c>
      <c r="AB20" s="136">
        <f t="shared" si="4"/>
        <v>3</v>
      </c>
      <c r="AC20" s="136">
        <f t="shared" si="4"/>
        <v>3</v>
      </c>
      <c r="AD20" s="136">
        <f t="shared" si="4"/>
        <v>3</v>
      </c>
      <c r="AE20" s="136">
        <f t="shared" si="4"/>
        <v>3</v>
      </c>
      <c r="AF20" s="136">
        <f t="shared" si="4"/>
        <v>2</v>
      </c>
      <c r="AG20" s="136">
        <f t="shared" si="4"/>
        <v>0</v>
      </c>
      <c r="AH20" s="136">
        <f t="shared" si="4"/>
        <v>0</v>
      </c>
      <c r="AI20" s="136">
        <f t="shared" si="4"/>
        <v>0</v>
      </c>
      <c r="AJ20" s="136">
        <f t="shared" si="4"/>
        <v>0</v>
      </c>
      <c r="AK20" s="136">
        <f t="shared" si="4"/>
        <v>0</v>
      </c>
      <c r="AL20" s="136">
        <f t="shared" si="4"/>
        <v>3</v>
      </c>
      <c r="AM20" s="136">
        <f t="shared" si="4"/>
        <v>3</v>
      </c>
      <c r="AN20" s="136">
        <f t="shared" si="4"/>
        <v>2</v>
      </c>
      <c r="AO20" s="136">
        <f t="shared" si="4"/>
        <v>0</v>
      </c>
      <c r="AP20" s="136">
        <f t="shared" si="4"/>
        <v>3</v>
      </c>
      <c r="AQ20" s="139">
        <f t="shared" si="4"/>
        <v>3</v>
      </c>
      <c r="AR20" s="288"/>
      <c r="AS20" s="116"/>
      <c r="AU20" s="56">
        <f>COUNTIF(M20:AQ20,"&gt;0")</f>
        <v>20</v>
      </c>
      <c r="AV20" s="56">
        <f>COUNTIF(M20:AA20,"&gt;0")</f>
        <v>10</v>
      </c>
      <c r="AW20" s="56">
        <f>COUNTIF(AB20:AQ20,"&gt;0")</f>
        <v>10</v>
      </c>
      <c r="AX20" s="57">
        <f t="shared" si="0"/>
        <v>11</v>
      </c>
    </row>
    <row r="21" spans="2:50" ht="15.75" thickBot="1">
      <c r="B21" s="2"/>
      <c r="C21" s="40"/>
      <c r="D21" s="44"/>
      <c r="E21" s="44"/>
      <c r="F21" s="45"/>
      <c r="G21" s="45"/>
      <c r="H21" s="38"/>
      <c r="U21" s="199"/>
      <c r="V21" s="199"/>
      <c r="W21" s="199"/>
      <c r="X21" s="199"/>
      <c r="Y21" s="199"/>
      <c r="AB21" s="199"/>
      <c r="AC21" s="199"/>
      <c r="AD21" s="199"/>
      <c r="AE21" s="199"/>
      <c r="AF21" s="199"/>
    </row>
    <row r="22" spans="2:50" ht="15" customHeight="1" outlineLevel="1">
      <c r="K22" t="s">
        <v>79</v>
      </c>
      <c r="L22" s="48" t="s">
        <v>75</v>
      </c>
      <c r="M22" s="120">
        <f>'[5]Rill HK'!B5</f>
        <v>1</v>
      </c>
      <c r="N22" s="120">
        <f>'[5]Rill HK'!C5</f>
        <v>1</v>
      </c>
      <c r="O22" s="120">
        <f>'[5]Rill HK'!D5</f>
        <v>1.03125</v>
      </c>
      <c r="P22" s="120">
        <f>'[5]Rill HK'!E5</f>
        <v>0</v>
      </c>
      <c r="Q22" s="120">
        <f>'[5]Rill HK'!F5</f>
        <v>0</v>
      </c>
      <c r="R22" s="120">
        <f>'[5]Rill HK'!G5</f>
        <v>1</v>
      </c>
      <c r="S22" s="120">
        <f>'[5]Rill HK'!H5</f>
        <v>1</v>
      </c>
      <c r="T22" s="120">
        <f>'[5]Rill HK'!I5</f>
        <v>1</v>
      </c>
      <c r="U22" s="120">
        <f>'[5]Rill HK'!J5</f>
        <v>1</v>
      </c>
      <c r="V22" s="120">
        <f>'[5]Rill HK'!K5</f>
        <v>0</v>
      </c>
      <c r="W22" s="120">
        <f>'[5]Rill HK'!L5</f>
        <v>0</v>
      </c>
      <c r="X22" s="120">
        <f>'[5]Rill HK'!M5</f>
        <v>1</v>
      </c>
      <c r="Y22" s="120">
        <f>'[5]Rill HK'!N5</f>
        <v>1</v>
      </c>
      <c r="Z22" s="120">
        <f>'[5]Rill HK'!O5</f>
        <v>1</v>
      </c>
      <c r="AA22" s="120">
        <f>'[5]Rill HK'!P5</f>
        <v>1</v>
      </c>
      <c r="AB22" s="120">
        <f>'[5]Rill HK'!Q5</f>
        <v>1</v>
      </c>
      <c r="AC22" s="120">
        <f>'[5]Rill HK'!R5</f>
        <v>0.95833333333333337</v>
      </c>
      <c r="AD22" s="120">
        <f>'[5]Rill HK'!S5</f>
        <v>0</v>
      </c>
      <c r="AE22" s="120">
        <f>'[5]Rill HK'!T5</f>
        <v>0</v>
      </c>
      <c r="AF22" s="120">
        <f>'[5]Rill HK'!U5</f>
        <v>1</v>
      </c>
      <c r="AG22" s="120">
        <f>'[5]Rill HK'!V5</f>
        <v>1</v>
      </c>
      <c r="AH22" s="120">
        <f>'[5]Rill HK'!W5</f>
        <v>1</v>
      </c>
      <c r="AI22" s="120">
        <f>'[5]Rill HK'!X5</f>
        <v>0.66666666666666663</v>
      </c>
      <c r="AJ22" s="120">
        <f>'[5]Rill HK'!Y5</f>
        <v>0</v>
      </c>
      <c r="AK22" s="120">
        <f>'[5]Rill HK'!Z5</f>
        <v>0</v>
      </c>
      <c r="AL22" s="120">
        <f>'[5]Rill HK'!AA5</f>
        <v>0</v>
      </c>
      <c r="AM22" s="120">
        <f>'[5]Rill HK'!AB5</f>
        <v>1</v>
      </c>
      <c r="AN22" s="120">
        <f>'[5]Rill HK'!AC5</f>
        <v>1</v>
      </c>
      <c r="AO22" s="120">
        <f>'[5]Rill HK'!AD5</f>
        <v>0.95833333333333337</v>
      </c>
      <c r="AP22" s="120">
        <f>'[5]Rill HK'!AE5</f>
        <v>0</v>
      </c>
      <c r="AQ22" s="120">
        <f>'[5]Rill HK'!AF5</f>
        <v>0</v>
      </c>
      <c r="AR22" s="286">
        <v>30</v>
      </c>
      <c r="AS22" s="116"/>
      <c r="AU22" s="48">
        <f>SUM(M22:AQ22)</f>
        <v>19.614583333333332</v>
      </c>
      <c r="AV22" s="48">
        <f>(SUM(M22:AA22))</f>
        <v>11.03125</v>
      </c>
      <c r="AW22" s="48">
        <f>SUM(AB22:AQ22)</f>
        <v>8.5833333333333339</v>
      </c>
      <c r="AX22" s="49">
        <f t="shared" ref="AX22:AX23" si="5">$AR$4-AU22</f>
        <v>11.385416666666668</v>
      </c>
    </row>
    <row r="23" spans="2:50" ht="16.5" customHeight="1" outlineLevel="1" thickBot="1">
      <c r="B23" s="283" t="s">
        <v>37</v>
      </c>
      <c r="C23" s="284" t="s">
        <v>16</v>
      </c>
      <c r="D23" s="284"/>
      <c r="E23" s="284"/>
      <c r="F23" s="285" t="s">
        <v>15</v>
      </c>
      <c r="G23" s="285"/>
      <c r="H23" s="285"/>
      <c r="L23" s="50" t="s">
        <v>76</v>
      </c>
      <c r="M23" s="121"/>
      <c r="N23" s="121"/>
      <c r="O23" s="121"/>
      <c r="P23" s="123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4"/>
      <c r="AH23" s="121"/>
      <c r="AI23" s="121"/>
      <c r="AJ23" s="121"/>
      <c r="AK23" s="121"/>
      <c r="AL23" s="121"/>
      <c r="AM23" s="121"/>
      <c r="AN23" s="121"/>
      <c r="AO23" s="121"/>
      <c r="AP23" s="121"/>
      <c r="AQ23" s="125"/>
      <c r="AR23" s="287"/>
      <c r="AS23" s="116"/>
      <c r="AU23" s="50">
        <f>SUM(M23:AQ23)</f>
        <v>0</v>
      </c>
      <c r="AV23" s="50">
        <f>(SUM(M23:AA23))</f>
        <v>0</v>
      </c>
      <c r="AW23" s="50">
        <f>SUM(AB23:AQ23)</f>
        <v>0</v>
      </c>
      <c r="AX23" s="51">
        <f t="shared" si="5"/>
        <v>31</v>
      </c>
    </row>
    <row r="24" spans="2:50" ht="30" customHeight="1" outlineLevel="1">
      <c r="B24" s="283"/>
      <c r="C24" s="41">
        <v>2016</v>
      </c>
      <c r="D24" s="41">
        <v>2017</v>
      </c>
      <c r="E24" s="41" t="s">
        <v>38</v>
      </c>
      <c r="F24" s="42">
        <v>2016</v>
      </c>
      <c r="G24" s="42">
        <v>2017</v>
      </c>
      <c r="H24" s="42" t="s">
        <v>38</v>
      </c>
      <c r="L24" s="52" t="s">
        <v>89</v>
      </c>
      <c r="M24" s="126">
        <v>1</v>
      </c>
      <c r="N24" s="126">
        <v>1</v>
      </c>
      <c r="O24" s="126">
        <v>0.66666666699999999</v>
      </c>
      <c r="P24" s="128"/>
      <c r="Q24" s="129"/>
      <c r="R24" s="129">
        <v>1</v>
      </c>
      <c r="S24" s="129">
        <v>1</v>
      </c>
      <c r="T24" s="129">
        <v>1</v>
      </c>
      <c r="U24" s="129">
        <v>1</v>
      </c>
      <c r="V24" s="129"/>
      <c r="W24" s="129"/>
      <c r="X24" s="129"/>
      <c r="Y24" s="129">
        <v>1</v>
      </c>
      <c r="Z24" s="129">
        <v>1</v>
      </c>
      <c r="AA24" s="129">
        <v>1</v>
      </c>
      <c r="AB24" s="129">
        <v>1</v>
      </c>
      <c r="AC24" s="129">
        <v>1</v>
      </c>
      <c r="AD24" s="129"/>
      <c r="AE24" s="129"/>
      <c r="AF24" s="129">
        <v>1</v>
      </c>
      <c r="AG24" s="129">
        <v>1</v>
      </c>
      <c r="AH24" s="129">
        <v>1</v>
      </c>
      <c r="AI24" s="129">
        <v>1</v>
      </c>
      <c r="AJ24" s="129"/>
      <c r="AK24" s="129"/>
      <c r="AL24" s="129"/>
      <c r="AM24" s="129">
        <v>1</v>
      </c>
      <c r="AN24" s="129">
        <v>1</v>
      </c>
      <c r="AO24" s="129">
        <v>1</v>
      </c>
      <c r="AP24" s="129"/>
      <c r="AQ24" s="130"/>
      <c r="AR24" s="287"/>
      <c r="AS24" s="116"/>
      <c r="AU24" s="52">
        <f>SUM(M24:AQ24)</f>
        <v>18.666666667000001</v>
      </c>
      <c r="AV24" s="52">
        <f>(SUM(M24:AA24))</f>
        <v>9.6666666669999994</v>
      </c>
      <c r="AW24" s="52">
        <f>SUM(AB24:AQ24)</f>
        <v>9</v>
      </c>
      <c r="AX24" s="53">
        <f t="shared" si="0"/>
        <v>12.333333332999999</v>
      </c>
    </row>
    <row r="25" spans="2:50" ht="15.75" customHeight="1" outlineLevel="1">
      <c r="B25" s="2" t="s">
        <v>2</v>
      </c>
      <c r="C25" s="40">
        <v>85051809</v>
      </c>
      <c r="D25" s="40">
        <v>103877462</v>
      </c>
      <c r="E25" s="2"/>
      <c r="F25" s="46">
        <v>33881748</v>
      </c>
      <c r="G25" s="46">
        <v>21078407</v>
      </c>
      <c r="H25" s="38"/>
      <c r="L25" s="54" t="s">
        <v>150</v>
      </c>
      <c r="M25" s="131">
        <v>1</v>
      </c>
      <c r="N25" s="131">
        <v>1</v>
      </c>
      <c r="O25" s="131">
        <v>0.33333333300000001</v>
      </c>
      <c r="P25" s="133"/>
      <c r="Q25" s="131"/>
      <c r="R25" s="131"/>
      <c r="S25" s="131">
        <v>0.33333333300000001</v>
      </c>
      <c r="T25" s="131">
        <v>1</v>
      </c>
      <c r="U25" s="131">
        <v>0.33333333300000001</v>
      </c>
      <c r="V25" s="131"/>
      <c r="W25" s="131"/>
      <c r="X25" s="131"/>
      <c r="Y25" s="131">
        <v>1</v>
      </c>
      <c r="Z25" s="131">
        <v>1</v>
      </c>
      <c r="AA25" s="131">
        <v>1</v>
      </c>
      <c r="AB25" s="131">
        <v>0.33333333300000001</v>
      </c>
      <c r="AC25" s="131"/>
      <c r="AD25" s="131"/>
      <c r="AE25" s="131"/>
      <c r="AF25" s="131">
        <v>1</v>
      </c>
      <c r="AG25" s="134">
        <v>1</v>
      </c>
      <c r="AH25" s="131">
        <v>1</v>
      </c>
      <c r="AI25" s="131"/>
      <c r="AJ25" s="131"/>
      <c r="AK25" s="131"/>
      <c r="AL25" s="131"/>
      <c r="AM25" s="131">
        <v>1</v>
      </c>
      <c r="AN25" s="131">
        <v>1</v>
      </c>
      <c r="AO25" s="131">
        <v>1</v>
      </c>
      <c r="AP25" s="131"/>
      <c r="AQ25" s="135"/>
      <c r="AR25" s="287"/>
      <c r="AS25" s="116"/>
      <c r="AU25" s="54">
        <f>SUM(M25:AQ25)</f>
        <v>13.333333331999999</v>
      </c>
      <c r="AV25" s="54">
        <f>(SUM(M25:AA25))</f>
        <v>6.9999999989999999</v>
      </c>
      <c r="AW25" s="54">
        <f>SUM(AB25:AQ25)</f>
        <v>6.3333333330000006</v>
      </c>
      <c r="AX25" s="55">
        <f t="shared" si="0"/>
        <v>17.666666668000001</v>
      </c>
    </row>
    <row r="26" spans="2:50" ht="15.75" customHeight="1" outlineLevel="1" thickBot="1">
      <c r="B26" s="2" t="s">
        <v>3</v>
      </c>
      <c r="C26" s="40">
        <v>93598868</v>
      </c>
      <c r="D26" s="40">
        <v>172819956</v>
      </c>
      <c r="E26" s="2"/>
      <c r="F26" s="46">
        <v>27270197</v>
      </c>
      <c r="G26" s="46">
        <v>34712072</v>
      </c>
      <c r="H26" s="38"/>
      <c r="L26" s="56" t="s">
        <v>39</v>
      </c>
      <c r="M26" s="136">
        <f t="shared" ref="M26:AF26" si="6">COUNTIF(M23:M25,"&gt;0")</f>
        <v>2</v>
      </c>
      <c r="N26" s="136">
        <f t="shared" si="6"/>
        <v>2</v>
      </c>
      <c r="O26" s="136">
        <f t="shared" si="6"/>
        <v>2</v>
      </c>
      <c r="P26" s="138">
        <f t="shared" si="6"/>
        <v>0</v>
      </c>
      <c r="Q26" s="136">
        <f t="shared" si="6"/>
        <v>0</v>
      </c>
      <c r="R26" s="136">
        <f t="shared" si="6"/>
        <v>1</v>
      </c>
      <c r="S26" s="136">
        <f t="shared" si="6"/>
        <v>2</v>
      </c>
      <c r="T26" s="136">
        <f t="shared" si="6"/>
        <v>2</v>
      </c>
      <c r="U26" s="136">
        <f t="shared" si="6"/>
        <v>2</v>
      </c>
      <c r="V26" s="136">
        <f t="shared" si="6"/>
        <v>0</v>
      </c>
      <c r="W26" s="136">
        <f t="shared" si="6"/>
        <v>0</v>
      </c>
      <c r="X26" s="136">
        <f t="shared" si="6"/>
        <v>0</v>
      </c>
      <c r="Y26" s="136">
        <f t="shared" si="6"/>
        <v>2</v>
      </c>
      <c r="Z26" s="136">
        <f t="shared" si="6"/>
        <v>2</v>
      </c>
      <c r="AA26" s="136">
        <f t="shared" si="6"/>
        <v>2</v>
      </c>
      <c r="AB26" s="136">
        <f t="shared" si="6"/>
        <v>2</v>
      </c>
      <c r="AC26" s="136">
        <f t="shared" si="6"/>
        <v>1</v>
      </c>
      <c r="AD26" s="136">
        <f t="shared" si="6"/>
        <v>0</v>
      </c>
      <c r="AE26" s="136">
        <f t="shared" si="6"/>
        <v>0</v>
      </c>
      <c r="AF26" s="136">
        <f t="shared" si="6"/>
        <v>2</v>
      </c>
      <c r="AG26" s="136" t="s">
        <v>90</v>
      </c>
      <c r="AH26" s="136">
        <f t="shared" ref="AH26:AQ26" si="7">COUNTIF(AH23:AH25,"&gt;0")</f>
        <v>2</v>
      </c>
      <c r="AI26" s="136">
        <f t="shared" si="7"/>
        <v>1</v>
      </c>
      <c r="AJ26" s="136">
        <f t="shared" si="7"/>
        <v>0</v>
      </c>
      <c r="AK26" s="136">
        <f t="shared" si="7"/>
        <v>0</v>
      </c>
      <c r="AL26" s="136">
        <f t="shared" si="7"/>
        <v>0</v>
      </c>
      <c r="AM26" s="136">
        <f t="shared" si="7"/>
        <v>2</v>
      </c>
      <c r="AN26" s="136">
        <f t="shared" si="7"/>
        <v>2</v>
      </c>
      <c r="AO26" s="136">
        <f t="shared" si="7"/>
        <v>2</v>
      </c>
      <c r="AP26" s="136">
        <f t="shared" si="7"/>
        <v>0</v>
      </c>
      <c r="AQ26" s="139">
        <f t="shared" si="7"/>
        <v>0</v>
      </c>
      <c r="AR26" s="288"/>
      <c r="AS26" s="116"/>
      <c r="AU26" s="56">
        <f>COUNTIF(M26:AQ26,"&gt;0")</f>
        <v>18</v>
      </c>
      <c r="AV26" s="56">
        <f>COUNTIF(M26:AA26,"&gt;0")</f>
        <v>10</v>
      </c>
      <c r="AW26" s="56">
        <f>COUNTIF(AB26:AQ26,"&gt;0")</f>
        <v>8</v>
      </c>
      <c r="AX26" s="57">
        <f t="shared" si="0"/>
        <v>13</v>
      </c>
    </row>
    <row r="27" spans="2:50" ht="15.75" thickBot="1">
      <c r="B27" s="2"/>
      <c r="C27" s="40"/>
      <c r="D27" s="44"/>
      <c r="E27" s="44"/>
      <c r="F27" s="45"/>
      <c r="G27" s="45"/>
      <c r="H27" s="38"/>
    </row>
    <row r="28" spans="2:50" ht="15" customHeight="1" outlineLevel="1">
      <c r="B28" s="2" t="s">
        <v>4</v>
      </c>
      <c r="C28" s="40">
        <v>116687181</v>
      </c>
      <c r="D28" s="40">
        <v>244615498</v>
      </c>
      <c r="E28" s="2"/>
      <c r="F28" s="46">
        <v>21315612</v>
      </c>
      <c r="G28" s="46">
        <v>33018188</v>
      </c>
      <c r="H28" s="38"/>
      <c r="K28" t="s">
        <v>33</v>
      </c>
      <c r="L28" s="48" t="s">
        <v>75</v>
      </c>
      <c r="M28" s="120">
        <f>'[5]Rill HK'!B6</f>
        <v>0</v>
      </c>
      <c r="N28" s="120">
        <f>'[5]Rill HK'!C6</f>
        <v>0</v>
      </c>
      <c r="O28" s="120">
        <f>'[5]Rill HK'!D6</f>
        <v>0</v>
      </c>
      <c r="P28" s="120">
        <f>'[5]Rill HK'!E6</f>
        <v>1</v>
      </c>
      <c r="Q28" s="120">
        <f>'[5]Rill HK'!F6</f>
        <v>1</v>
      </c>
      <c r="R28" s="120">
        <f>'[5]Rill HK'!G6</f>
        <v>0.41666666666666669</v>
      </c>
      <c r="S28" s="120">
        <f>'[5]Rill HK'!H6</f>
        <v>0</v>
      </c>
      <c r="T28" s="120">
        <f>'[5]Rill HK'!I6</f>
        <v>0</v>
      </c>
      <c r="U28" s="120">
        <f>'[5]Rill HK'!J6</f>
        <v>0</v>
      </c>
      <c r="V28" s="120">
        <f>'[5]Rill HK'!K6</f>
        <v>0</v>
      </c>
      <c r="W28" s="120">
        <f>'[5]Rill HK'!L6</f>
        <v>1</v>
      </c>
      <c r="X28" s="120">
        <f>'[5]Rill HK'!M6</f>
        <v>1</v>
      </c>
      <c r="Y28" s="120">
        <f>'[5]Rill HK'!N6</f>
        <v>1</v>
      </c>
      <c r="Z28" s="120">
        <f>'[5]Rill HK'!O6</f>
        <v>1</v>
      </c>
      <c r="AA28" s="120">
        <f>'[5]Rill HK'!P6</f>
        <v>0</v>
      </c>
      <c r="AB28" s="120">
        <f>'[5]Rill HK'!Q6</f>
        <v>0</v>
      </c>
      <c r="AC28" s="120">
        <f>'[5]Rill HK'!R6</f>
        <v>0</v>
      </c>
      <c r="AD28" s="120">
        <f>'[5]Rill HK'!S6</f>
        <v>0</v>
      </c>
      <c r="AE28" s="120">
        <f>'[5]Rill HK'!T6</f>
        <v>0</v>
      </c>
      <c r="AF28" s="120">
        <f>'[5]Rill HK'!U6</f>
        <v>0</v>
      </c>
      <c r="AG28" s="120">
        <f>'[5]Rill HK'!V6</f>
        <v>0</v>
      </c>
      <c r="AH28" s="120">
        <f>'[5]Rill HK'!W6</f>
        <v>0</v>
      </c>
      <c r="AI28" s="120">
        <f>'[5]Rill HK'!X6</f>
        <v>0</v>
      </c>
      <c r="AJ28" s="120">
        <f>'[5]Rill HK'!Y6</f>
        <v>0</v>
      </c>
      <c r="AK28" s="120">
        <f>'[5]Rill HK'!Z6</f>
        <v>0</v>
      </c>
      <c r="AL28" s="120">
        <f>'[5]Rill HK'!AA6</f>
        <v>0</v>
      </c>
      <c r="AM28" s="120">
        <f>'[5]Rill HK'!AB6</f>
        <v>1</v>
      </c>
      <c r="AN28" s="120">
        <f>'[5]Rill HK'!AC6</f>
        <v>1</v>
      </c>
      <c r="AO28" s="120">
        <f>'[5]Rill HK'!AD6</f>
        <v>0.66666666666666663</v>
      </c>
      <c r="AP28" s="120">
        <f>'[5]Rill HK'!AE6</f>
        <v>0</v>
      </c>
      <c r="AQ28" s="120">
        <f>'[5]Rill HK'!AF6</f>
        <v>0</v>
      </c>
      <c r="AR28" s="286">
        <v>31</v>
      </c>
      <c r="AS28" s="116"/>
      <c r="AU28" s="48">
        <f>SUM(M28:AQ28)</f>
        <v>9.0833333333333321</v>
      </c>
      <c r="AV28" s="48">
        <f>(SUM(M28:AA28))</f>
        <v>6.4166666666666661</v>
      </c>
      <c r="AW28" s="48">
        <f>SUM(AB28:AQ28)</f>
        <v>2.6666666666666665</v>
      </c>
      <c r="AX28" s="49">
        <f t="shared" si="0"/>
        <v>21.916666666666668</v>
      </c>
    </row>
    <row r="29" spans="2:50" ht="16.5" customHeight="1" outlineLevel="1" thickBot="1">
      <c r="B29" s="2" t="s">
        <v>5</v>
      </c>
      <c r="C29" s="40">
        <v>78301377</v>
      </c>
      <c r="D29" s="40">
        <v>322227126</v>
      </c>
      <c r="E29" s="2"/>
      <c r="F29" s="46">
        <v>25019375</v>
      </c>
      <c r="G29" s="46">
        <v>44274595</v>
      </c>
      <c r="H29" s="38"/>
      <c r="L29" s="50" t="s">
        <v>76</v>
      </c>
      <c r="M29" s="121"/>
      <c r="N29" s="121"/>
      <c r="O29" s="121"/>
      <c r="P29" s="123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4"/>
      <c r="AH29" s="121"/>
      <c r="AI29" s="121"/>
      <c r="AJ29" s="121"/>
      <c r="AK29" s="121"/>
      <c r="AL29" s="121"/>
      <c r="AM29" s="121"/>
      <c r="AN29" s="121"/>
      <c r="AO29" s="121"/>
      <c r="AP29" s="121"/>
      <c r="AQ29" s="125"/>
      <c r="AR29" s="287"/>
      <c r="AS29" s="116"/>
      <c r="AU29" s="50">
        <f>SUM(M29:AQ29)</f>
        <v>0</v>
      </c>
      <c r="AV29" s="50">
        <f>(SUM(M29:AA29))</f>
        <v>0</v>
      </c>
      <c r="AW29" s="50">
        <f>SUM(AB29:AQ29)</f>
        <v>0</v>
      </c>
      <c r="AX29" s="51">
        <f t="shared" si="0"/>
        <v>31</v>
      </c>
    </row>
    <row r="30" spans="2:50" ht="15" customHeight="1" outlineLevel="1">
      <c r="B30" s="2" t="s">
        <v>33</v>
      </c>
      <c r="C30" s="40">
        <v>105231844</v>
      </c>
      <c r="D30" s="40">
        <v>378562362</v>
      </c>
      <c r="E30" s="2"/>
      <c r="F30" s="46">
        <v>26603204</v>
      </c>
      <c r="G30" s="46">
        <v>44224838</v>
      </c>
      <c r="H30" s="38"/>
      <c r="L30" s="52" t="s">
        <v>89</v>
      </c>
      <c r="M30" s="126"/>
      <c r="N30" s="126"/>
      <c r="O30" s="126"/>
      <c r="P30" s="128">
        <v>1</v>
      </c>
      <c r="Q30" s="129">
        <v>1</v>
      </c>
      <c r="R30" s="129">
        <v>1</v>
      </c>
      <c r="S30" s="129">
        <v>1</v>
      </c>
      <c r="T30" s="129"/>
      <c r="U30" s="129"/>
      <c r="V30" s="129"/>
      <c r="W30" s="129">
        <v>1</v>
      </c>
      <c r="X30" s="129">
        <v>1</v>
      </c>
      <c r="Y30" s="129">
        <v>1</v>
      </c>
      <c r="Z30" s="129">
        <v>1</v>
      </c>
      <c r="AA30" s="129">
        <v>1</v>
      </c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>
        <v>1</v>
      </c>
      <c r="AN30" s="129">
        <v>1</v>
      </c>
      <c r="AO30" s="129">
        <v>1</v>
      </c>
      <c r="AP30" s="129"/>
      <c r="AQ30" s="130"/>
      <c r="AR30" s="287"/>
      <c r="AS30" s="116"/>
      <c r="AU30" s="52">
        <f>SUM(M30:AQ30)</f>
        <v>12</v>
      </c>
      <c r="AV30" s="52">
        <f>(SUM(M30:AA30))</f>
        <v>9</v>
      </c>
      <c r="AW30" s="52">
        <f>SUM(AB30:AQ30)</f>
        <v>3</v>
      </c>
      <c r="AX30" s="53">
        <f t="shared" si="0"/>
        <v>19</v>
      </c>
    </row>
    <row r="31" spans="2:50" ht="15.75" customHeight="1" outlineLevel="1">
      <c r="B31" s="2" t="s">
        <v>7</v>
      </c>
      <c r="C31" s="40">
        <v>130427005</v>
      </c>
      <c r="D31" s="40">
        <v>191441507</v>
      </c>
      <c r="E31" s="2"/>
      <c r="F31" s="46">
        <v>24189040</v>
      </c>
      <c r="G31" s="46">
        <v>42401688</v>
      </c>
      <c r="H31" s="38"/>
      <c r="L31" s="54" t="s">
        <v>150</v>
      </c>
      <c r="M31" s="131"/>
      <c r="N31" s="131"/>
      <c r="O31" s="131"/>
      <c r="P31" s="133">
        <v>1</v>
      </c>
      <c r="Q31" s="131">
        <v>1</v>
      </c>
      <c r="R31" s="131"/>
      <c r="S31" s="131"/>
      <c r="T31" s="131"/>
      <c r="U31" s="131"/>
      <c r="V31" s="131"/>
      <c r="W31" s="131">
        <v>1</v>
      </c>
      <c r="X31" s="131">
        <v>1</v>
      </c>
      <c r="Y31" s="131">
        <v>1</v>
      </c>
      <c r="Z31" s="131">
        <v>0.33333333300000001</v>
      </c>
      <c r="AA31" s="131"/>
      <c r="AB31" s="131"/>
      <c r="AC31" s="131"/>
      <c r="AD31" s="131"/>
      <c r="AE31" s="131"/>
      <c r="AF31" s="131"/>
      <c r="AG31" s="134"/>
      <c r="AH31" s="131"/>
      <c r="AI31" s="131"/>
      <c r="AJ31" s="131"/>
      <c r="AK31" s="131"/>
      <c r="AL31" s="131"/>
      <c r="AM31" s="131"/>
      <c r="AN31" s="131"/>
      <c r="AO31" s="131"/>
      <c r="AP31" s="131"/>
      <c r="AQ31" s="135"/>
      <c r="AR31" s="287"/>
      <c r="AS31" s="116"/>
      <c r="AU31" s="54">
        <f>SUM(M31:AQ31)</f>
        <v>5.3333333329999997</v>
      </c>
      <c r="AV31" s="54">
        <f>(SUM(M31:AA31))</f>
        <v>5.3333333329999997</v>
      </c>
      <c r="AW31" s="54">
        <f>SUM(AB31:AQ31)</f>
        <v>0</v>
      </c>
      <c r="AX31" s="55">
        <f t="shared" si="0"/>
        <v>25.666666667000001</v>
      </c>
    </row>
    <row r="32" spans="2:50" ht="15.75" customHeight="1" outlineLevel="1" thickBot="1">
      <c r="B32" s="2" t="s">
        <v>8</v>
      </c>
      <c r="C32" s="40">
        <v>143466322</v>
      </c>
      <c r="D32" s="40">
        <v>356556427</v>
      </c>
      <c r="E32" s="2"/>
      <c r="F32" s="46">
        <v>20540633</v>
      </c>
      <c r="G32" s="46">
        <v>50396961</v>
      </c>
      <c r="H32" s="38"/>
      <c r="L32" s="56" t="s">
        <v>39</v>
      </c>
      <c r="M32" s="136">
        <f t="shared" ref="M32:AQ32" si="8">COUNTIF(M28:M31,"&gt;0")</f>
        <v>0</v>
      </c>
      <c r="N32" s="136">
        <f t="shared" si="8"/>
        <v>0</v>
      </c>
      <c r="O32" s="136">
        <f t="shared" si="8"/>
        <v>0</v>
      </c>
      <c r="P32" s="138">
        <f t="shared" si="8"/>
        <v>3</v>
      </c>
      <c r="Q32" s="136">
        <f t="shared" si="8"/>
        <v>3</v>
      </c>
      <c r="R32" s="136">
        <f t="shared" si="8"/>
        <v>2</v>
      </c>
      <c r="S32" s="136">
        <f t="shared" si="8"/>
        <v>1</v>
      </c>
      <c r="T32" s="136">
        <f t="shared" si="8"/>
        <v>0</v>
      </c>
      <c r="U32" s="136">
        <f t="shared" si="8"/>
        <v>0</v>
      </c>
      <c r="V32" s="136">
        <f t="shared" si="8"/>
        <v>0</v>
      </c>
      <c r="W32" s="136">
        <f t="shared" si="8"/>
        <v>3</v>
      </c>
      <c r="X32" s="136">
        <f t="shared" si="8"/>
        <v>3</v>
      </c>
      <c r="Y32" s="136">
        <f t="shared" si="8"/>
        <v>3</v>
      </c>
      <c r="Z32" s="136">
        <f t="shared" si="8"/>
        <v>3</v>
      </c>
      <c r="AA32" s="136">
        <f t="shared" si="8"/>
        <v>1</v>
      </c>
      <c r="AB32" s="136">
        <f t="shared" si="8"/>
        <v>0</v>
      </c>
      <c r="AC32" s="136">
        <f t="shared" si="8"/>
        <v>0</v>
      </c>
      <c r="AD32" s="136">
        <f t="shared" si="8"/>
        <v>0</v>
      </c>
      <c r="AE32" s="136">
        <f t="shared" si="8"/>
        <v>0</v>
      </c>
      <c r="AF32" s="136">
        <f t="shared" si="8"/>
        <v>0</v>
      </c>
      <c r="AG32" s="136">
        <f t="shared" si="8"/>
        <v>0</v>
      </c>
      <c r="AH32" s="136">
        <f t="shared" si="8"/>
        <v>0</v>
      </c>
      <c r="AI32" s="136">
        <f t="shared" si="8"/>
        <v>0</v>
      </c>
      <c r="AJ32" s="136">
        <f t="shared" si="8"/>
        <v>0</v>
      </c>
      <c r="AK32" s="136">
        <f t="shared" si="8"/>
        <v>0</v>
      </c>
      <c r="AL32" s="136">
        <f t="shared" si="8"/>
        <v>0</v>
      </c>
      <c r="AM32" s="136">
        <f t="shared" si="8"/>
        <v>2</v>
      </c>
      <c r="AN32" s="136">
        <f t="shared" si="8"/>
        <v>2</v>
      </c>
      <c r="AO32" s="136">
        <f t="shared" si="8"/>
        <v>2</v>
      </c>
      <c r="AP32" s="136">
        <f t="shared" si="8"/>
        <v>0</v>
      </c>
      <c r="AQ32" s="139">
        <f t="shared" si="8"/>
        <v>0</v>
      </c>
      <c r="AR32" s="288"/>
      <c r="AS32" s="116"/>
      <c r="AU32" s="56">
        <f>COUNTIF(M32:AQ32,"&gt;0")</f>
        <v>12</v>
      </c>
      <c r="AV32" s="56">
        <f>COUNTIF(M32:AA32,"&gt;0")</f>
        <v>9</v>
      </c>
      <c r="AW32" s="56">
        <f>COUNTIF(AB32:AQ32,"&gt;0")</f>
        <v>3</v>
      </c>
      <c r="AX32" s="57">
        <f t="shared" si="0"/>
        <v>19</v>
      </c>
    </row>
    <row r="33" spans="2:50" ht="15.75" thickBot="1">
      <c r="B33" s="2"/>
      <c r="C33" s="40"/>
      <c r="D33" s="44"/>
      <c r="E33" s="44"/>
      <c r="F33" s="45"/>
      <c r="G33" s="45"/>
      <c r="H33" s="38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</row>
    <row r="34" spans="2:50" ht="15" customHeight="1" outlineLevel="1">
      <c r="B34" s="2" t="s">
        <v>34</v>
      </c>
      <c r="C34" s="40">
        <v>192325002</v>
      </c>
      <c r="D34" s="40">
        <v>310048902</v>
      </c>
      <c r="E34" s="2"/>
      <c r="F34" s="46">
        <v>28956574</v>
      </c>
      <c r="G34" s="46">
        <v>52576300</v>
      </c>
      <c r="H34" s="38"/>
      <c r="K34" t="s">
        <v>80</v>
      </c>
      <c r="L34" s="48" t="s">
        <v>75</v>
      </c>
      <c r="M34" s="120">
        <f>'[5]Rill HK'!B7</f>
        <v>0</v>
      </c>
      <c r="N34" s="120">
        <f>'[5]Rill HK'!C7</f>
        <v>1</v>
      </c>
      <c r="O34" s="120">
        <f>'[5]Rill HK'!D7</f>
        <v>1</v>
      </c>
      <c r="P34" s="120">
        <f>'[5]Rill HK'!E7</f>
        <v>1</v>
      </c>
      <c r="Q34" s="120">
        <f>'[5]Rill HK'!F7</f>
        <v>1</v>
      </c>
      <c r="R34" s="120">
        <f>'[5]Rill HK'!G7</f>
        <v>0.39583333333333331</v>
      </c>
      <c r="S34" s="120">
        <f>'[5]Rill HK'!H7</f>
        <v>0</v>
      </c>
      <c r="T34" s="120">
        <f>'[5]Rill HK'!I7</f>
        <v>1</v>
      </c>
      <c r="U34" s="120">
        <f>'[5]Rill HK'!J7</f>
        <v>1</v>
      </c>
      <c r="V34" s="120">
        <f>'[5]Rill HK'!K7</f>
        <v>1</v>
      </c>
      <c r="W34" s="120">
        <f>'[5]Rill HK'!L7</f>
        <v>1</v>
      </c>
      <c r="X34" s="120">
        <f>'[5]Rill HK'!M7</f>
        <v>0.66666666666666663</v>
      </c>
      <c r="Y34" s="120">
        <f>'[5]Rill HK'!N7</f>
        <v>0</v>
      </c>
      <c r="Z34" s="120">
        <f>'[5]Rill HK'!O7</f>
        <v>0</v>
      </c>
      <c r="AA34" s="120">
        <f>'[5]Rill HK'!P7</f>
        <v>1</v>
      </c>
      <c r="AB34" s="120">
        <f>'[5]Rill HK'!Q7</f>
        <v>1</v>
      </c>
      <c r="AC34" s="120">
        <f>'[5]Rill HK'!R7</f>
        <v>1</v>
      </c>
      <c r="AD34" s="120">
        <f>'[5]Rill HK'!S7</f>
        <v>1</v>
      </c>
      <c r="AE34" s="120">
        <f>'[5]Rill HK'!T7</f>
        <v>0.5625</v>
      </c>
      <c r="AF34" s="120">
        <f>'[5]Rill HK'!U7</f>
        <v>0</v>
      </c>
      <c r="AG34" s="120">
        <f>'[5]Rill HK'!V7</f>
        <v>0</v>
      </c>
      <c r="AH34" s="120">
        <f>'[5]Rill HK'!W7</f>
        <v>1</v>
      </c>
      <c r="AI34" s="120">
        <f>'[5]Rill HK'!X7</f>
        <v>1</v>
      </c>
      <c r="AJ34" s="120">
        <f>'[5]Rill HK'!Y7</f>
        <v>1</v>
      </c>
      <c r="AK34" s="120">
        <f>'[5]Rill HK'!Z7</f>
        <v>1</v>
      </c>
      <c r="AL34" s="120">
        <f>'[5]Rill HK'!AA7</f>
        <v>0.66666666666666663</v>
      </c>
      <c r="AM34" s="120">
        <f>'[5]Rill HK'!AB7</f>
        <v>0</v>
      </c>
      <c r="AN34" s="120">
        <f>'[5]Rill HK'!AC7</f>
        <v>0</v>
      </c>
      <c r="AO34" s="120">
        <f>'[5]Rill HK'!AD7</f>
        <v>1</v>
      </c>
      <c r="AP34" s="120">
        <f>'[5]Rill HK'!AE7</f>
        <v>1</v>
      </c>
      <c r="AQ34" s="120">
        <f>'[5]Rill HK'!AF7</f>
        <v>0</v>
      </c>
      <c r="AR34" s="286">
        <v>30</v>
      </c>
      <c r="AS34" s="116"/>
      <c r="AU34" s="48">
        <f>SUM(M34:AQ34)</f>
        <v>20.291666666666668</v>
      </c>
      <c r="AV34" s="48">
        <f>(SUM(M34:AA34))</f>
        <v>10.062499999999998</v>
      </c>
      <c r="AW34" s="48">
        <f>SUM(AB34:AQ34)</f>
        <v>10.229166666666666</v>
      </c>
      <c r="AX34" s="49">
        <f t="shared" si="0"/>
        <v>10.708333333333332</v>
      </c>
    </row>
    <row r="35" spans="2:50" ht="16.5" customHeight="1" outlineLevel="1" thickBot="1">
      <c r="B35" s="2" t="s">
        <v>10</v>
      </c>
      <c r="C35" s="40">
        <v>264385040</v>
      </c>
      <c r="D35" s="40">
        <v>267098073</v>
      </c>
      <c r="E35" s="2"/>
      <c r="F35" s="46">
        <v>29808841</v>
      </c>
      <c r="G35" s="46">
        <v>65269460</v>
      </c>
      <c r="H35" s="38"/>
      <c r="L35" s="50" t="s">
        <v>76</v>
      </c>
      <c r="M35" s="121"/>
      <c r="N35" s="121"/>
      <c r="O35" s="121"/>
      <c r="P35" s="123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4"/>
      <c r="AH35" s="121"/>
      <c r="AI35" s="121"/>
      <c r="AJ35" s="121"/>
      <c r="AK35" s="121"/>
      <c r="AL35" s="121"/>
      <c r="AM35" s="121"/>
      <c r="AN35" s="121"/>
      <c r="AO35" s="121"/>
      <c r="AP35" s="121"/>
      <c r="AQ35" s="125"/>
      <c r="AR35" s="287"/>
      <c r="AS35" s="116"/>
      <c r="AU35" s="50">
        <f>SUM(M35:AQ35)</f>
        <v>0</v>
      </c>
      <c r="AV35" s="50">
        <f>(SUM(M35:AA35))</f>
        <v>0</v>
      </c>
      <c r="AW35" s="50">
        <f>SUM(AB35:AQ35)</f>
        <v>0</v>
      </c>
      <c r="AX35" s="51">
        <f t="shared" si="0"/>
        <v>31</v>
      </c>
    </row>
    <row r="36" spans="2:50" ht="15" customHeight="1" outlineLevel="1">
      <c r="B36" s="2" t="s">
        <v>35</v>
      </c>
      <c r="C36" s="40">
        <v>290564376</v>
      </c>
      <c r="D36" s="40">
        <v>275185105</v>
      </c>
      <c r="E36" s="2"/>
      <c r="F36" s="46">
        <v>29251258</v>
      </c>
      <c r="G36" s="46">
        <v>47712184</v>
      </c>
      <c r="H36" s="38"/>
      <c r="L36" s="52" t="s">
        <v>89</v>
      </c>
      <c r="M36" s="126"/>
      <c r="N36" s="126">
        <v>0.66666666699999999</v>
      </c>
      <c r="O36" s="126">
        <v>1</v>
      </c>
      <c r="P36" s="128">
        <v>1</v>
      </c>
      <c r="Q36" s="129">
        <v>1</v>
      </c>
      <c r="R36" s="129"/>
      <c r="S36" s="129"/>
      <c r="T36" s="129">
        <v>1</v>
      </c>
      <c r="U36" s="129">
        <v>1</v>
      </c>
      <c r="V36" s="129">
        <v>1</v>
      </c>
      <c r="W36" s="129">
        <v>1</v>
      </c>
      <c r="X36" s="129"/>
      <c r="Y36" s="129"/>
      <c r="Z36" s="129"/>
      <c r="AA36" s="129">
        <v>1</v>
      </c>
      <c r="AB36" s="129">
        <v>1</v>
      </c>
      <c r="AC36" s="129">
        <v>1</v>
      </c>
      <c r="AD36" s="129">
        <v>1</v>
      </c>
      <c r="AE36" s="129"/>
      <c r="AF36" s="129"/>
      <c r="AG36" s="129"/>
      <c r="AH36" s="129">
        <v>1</v>
      </c>
      <c r="AI36" s="129">
        <v>1</v>
      </c>
      <c r="AJ36" s="129">
        <v>1</v>
      </c>
      <c r="AK36" s="129">
        <v>1</v>
      </c>
      <c r="AL36" s="129">
        <v>1</v>
      </c>
      <c r="AM36" s="129"/>
      <c r="AN36" s="129"/>
      <c r="AO36" s="129">
        <v>1</v>
      </c>
      <c r="AP36" s="129">
        <v>1</v>
      </c>
      <c r="AQ36" s="130"/>
      <c r="AR36" s="287"/>
      <c r="AS36" s="116"/>
      <c r="AU36" s="52">
        <f>SUM(M36:AQ36)</f>
        <v>18.666666667000001</v>
      </c>
      <c r="AV36" s="52">
        <f>(SUM(M36:AA36))</f>
        <v>8.6666666669999994</v>
      </c>
      <c r="AW36" s="52">
        <f>SUM(AB36:AQ36)</f>
        <v>10</v>
      </c>
      <c r="AX36" s="53">
        <f t="shared" si="0"/>
        <v>12.333333332999999</v>
      </c>
    </row>
    <row r="37" spans="2:50" ht="15.75" customHeight="1" outlineLevel="1">
      <c r="B37" s="2" t="s">
        <v>12</v>
      </c>
      <c r="C37" s="40">
        <v>349591490</v>
      </c>
      <c r="D37" s="40">
        <v>374291612</v>
      </c>
      <c r="E37" s="2"/>
      <c r="F37" s="46">
        <v>30008748</v>
      </c>
      <c r="G37" s="46">
        <v>49579510</v>
      </c>
      <c r="H37" s="38"/>
      <c r="L37" s="54" t="s">
        <v>150</v>
      </c>
      <c r="M37" s="131"/>
      <c r="N37" s="131">
        <v>0.66666666699999999</v>
      </c>
      <c r="O37" s="131">
        <v>1</v>
      </c>
      <c r="P37" s="133">
        <v>1</v>
      </c>
      <c r="Q37" s="131">
        <v>0.33333333300000001</v>
      </c>
      <c r="R37" s="131"/>
      <c r="S37" s="131"/>
      <c r="T37" s="131">
        <v>1</v>
      </c>
      <c r="U37" s="131">
        <v>1</v>
      </c>
      <c r="V37" s="131">
        <v>1</v>
      </c>
      <c r="W37" s="131">
        <v>1</v>
      </c>
      <c r="X37" s="131"/>
      <c r="Y37" s="131"/>
      <c r="Z37" s="131"/>
      <c r="AA37" s="131">
        <v>1</v>
      </c>
      <c r="AB37" s="131">
        <v>1</v>
      </c>
      <c r="AC37" s="131">
        <v>0.33333333300000001</v>
      </c>
      <c r="AD37" s="131">
        <v>1</v>
      </c>
      <c r="AE37" s="131">
        <v>0.33333333300000001</v>
      </c>
      <c r="AF37" s="131"/>
      <c r="AG37" s="134"/>
      <c r="AH37" s="131">
        <v>1</v>
      </c>
      <c r="AI37" s="131">
        <v>0.66666666699999999</v>
      </c>
      <c r="AJ37" s="131">
        <v>1</v>
      </c>
      <c r="AK37" s="131">
        <v>1</v>
      </c>
      <c r="AL37" s="131"/>
      <c r="AM37" s="131"/>
      <c r="AN37" s="131"/>
      <c r="AO37" s="131">
        <v>1</v>
      </c>
      <c r="AP37" s="131">
        <v>1</v>
      </c>
      <c r="AQ37" s="135"/>
      <c r="AR37" s="287"/>
      <c r="AS37" s="116"/>
      <c r="AU37" s="54">
        <f>SUM(M37:AQ37)</f>
        <v>16.333333332999999</v>
      </c>
      <c r="AV37" s="54">
        <f>(SUM(M37:AA37))</f>
        <v>8</v>
      </c>
      <c r="AW37" s="54">
        <f>SUM(AB37:AQ37)</f>
        <v>8.3333333330000006</v>
      </c>
      <c r="AX37" s="55">
        <f t="shared" si="0"/>
        <v>14.666666667000001</v>
      </c>
    </row>
    <row r="38" spans="2:50" ht="15.75" customHeight="1" outlineLevel="1" thickBot="1">
      <c r="B38" s="2" t="s">
        <v>36</v>
      </c>
      <c r="C38" s="40">
        <v>343555821</v>
      </c>
      <c r="D38" s="40">
        <v>325427740</v>
      </c>
      <c r="E38" s="2"/>
      <c r="F38" s="46">
        <v>70314768</v>
      </c>
      <c r="G38" s="46">
        <v>45177525</v>
      </c>
      <c r="H38" s="38"/>
      <c r="L38" s="56" t="s">
        <v>39</v>
      </c>
      <c r="M38" s="136">
        <f t="shared" ref="M38:AQ38" si="9">COUNTIF(M34:M37,"&gt;0")</f>
        <v>0</v>
      </c>
      <c r="N38" s="136">
        <f t="shared" si="9"/>
        <v>3</v>
      </c>
      <c r="O38" s="136">
        <f t="shared" si="9"/>
        <v>3</v>
      </c>
      <c r="P38" s="138">
        <f t="shared" si="9"/>
        <v>3</v>
      </c>
      <c r="Q38" s="136">
        <f t="shared" si="9"/>
        <v>3</v>
      </c>
      <c r="R38" s="136">
        <f t="shared" si="9"/>
        <v>1</v>
      </c>
      <c r="S38" s="136">
        <f t="shared" si="9"/>
        <v>0</v>
      </c>
      <c r="T38" s="136">
        <f t="shared" si="9"/>
        <v>3</v>
      </c>
      <c r="U38" s="136">
        <f t="shared" si="9"/>
        <v>3</v>
      </c>
      <c r="V38" s="136">
        <f t="shared" si="9"/>
        <v>3</v>
      </c>
      <c r="W38" s="136">
        <f t="shared" si="9"/>
        <v>3</v>
      </c>
      <c r="X38" s="136">
        <f t="shared" si="9"/>
        <v>1</v>
      </c>
      <c r="Y38" s="136">
        <f t="shared" si="9"/>
        <v>0</v>
      </c>
      <c r="Z38" s="136">
        <f t="shared" si="9"/>
        <v>0</v>
      </c>
      <c r="AA38" s="136">
        <f t="shared" si="9"/>
        <v>3</v>
      </c>
      <c r="AB38" s="136">
        <f t="shared" si="9"/>
        <v>3</v>
      </c>
      <c r="AC38" s="136">
        <f t="shared" si="9"/>
        <v>3</v>
      </c>
      <c r="AD38" s="136">
        <f t="shared" si="9"/>
        <v>3</v>
      </c>
      <c r="AE38" s="136">
        <f t="shared" si="9"/>
        <v>2</v>
      </c>
      <c r="AF38" s="136">
        <f t="shared" si="9"/>
        <v>0</v>
      </c>
      <c r="AG38" s="136">
        <f t="shared" si="9"/>
        <v>0</v>
      </c>
      <c r="AH38" s="136">
        <f t="shared" si="9"/>
        <v>3</v>
      </c>
      <c r="AI38" s="136">
        <f t="shared" si="9"/>
        <v>3</v>
      </c>
      <c r="AJ38" s="136">
        <f t="shared" si="9"/>
        <v>3</v>
      </c>
      <c r="AK38" s="136">
        <f t="shared" si="9"/>
        <v>3</v>
      </c>
      <c r="AL38" s="136">
        <f t="shared" si="9"/>
        <v>2</v>
      </c>
      <c r="AM38" s="136">
        <f t="shared" si="9"/>
        <v>0</v>
      </c>
      <c r="AN38" s="136">
        <f t="shared" si="9"/>
        <v>0</v>
      </c>
      <c r="AO38" s="136">
        <f t="shared" si="9"/>
        <v>3</v>
      </c>
      <c r="AP38" s="136">
        <f t="shared" si="9"/>
        <v>3</v>
      </c>
      <c r="AQ38" s="139">
        <f t="shared" si="9"/>
        <v>0</v>
      </c>
      <c r="AR38" s="288"/>
      <c r="AS38" s="116"/>
      <c r="AU38" s="56">
        <f>COUNTIF(M38:AQ38,"&gt;0")</f>
        <v>22</v>
      </c>
      <c r="AV38" s="56">
        <f>COUNTIF(M38:AA38,"&gt;0")</f>
        <v>11</v>
      </c>
      <c r="AW38" s="56">
        <f>COUNTIF(AB38:AQ38,"&gt;0")</f>
        <v>11</v>
      </c>
      <c r="AX38" s="57">
        <f t="shared" si="0"/>
        <v>9</v>
      </c>
    </row>
    <row r="39" spans="2:50" ht="15.75" thickBot="1">
      <c r="B39" s="2"/>
      <c r="C39" s="40"/>
      <c r="D39" s="44"/>
      <c r="E39" s="44"/>
      <c r="F39" s="45"/>
      <c r="G39" s="45"/>
      <c r="H39" s="38"/>
    </row>
    <row r="40" spans="2:50" ht="15" customHeight="1" outlineLevel="1">
      <c r="B40" s="2" t="s">
        <v>39</v>
      </c>
      <c r="C40" s="40">
        <f t="shared" ref="C40:H40" si="10">SUM(C25:C38)</f>
        <v>2193186135</v>
      </c>
      <c r="D40" s="40">
        <f t="shared" si="10"/>
        <v>3322151770</v>
      </c>
      <c r="E40" s="2">
        <f t="shared" si="10"/>
        <v>0</v>
      </c>
      <c r="F40" s="46">
        <f t="shared" si="10"/>
        <v>367159998</v>
      </c>
      <c r="G40" s="46">
        <f t="shared" si="10"/>
        <v>530421728</v>
      </c>
      <c r="H40" s="38">
        <f t="shared" si="10"/>
        <v>0</v>
      </c>
      <c r="K40" t="s">
        <v>81</v>
      </c>
      <c r="L40" s="48" t="s">
        <v>75</v>
      </c>
      <c r="M40" s="120">
        <f>'[5]Rill HK'!B8</f>
        <v>1</v>
      </c>
      <c r="N40" s="120">
        <f>'[5]Rill HK'!C8</f>
        <v>1</v>
      </c>
      <c r="O40" s="120">
        <f>'[5]Rill HK'!D8</f>
        <v>1</v>
      </c>
      <c r="P40" s="120">
        <f>'[5]Rill HK'!E8</f>
        <v>0.83333333333333337</v>
      </c>
      <c r="Q40" s="120">
        <f>'[5]Rill HK'!F8</f>
        <v>0</v>
      </c>
      <c r="R40" s="120">
        <f>'[5]Rill HK'!G8</f>
        <v>0</v>
      </c>
      <c r="S40" s="120">
        <f>'[5]Rill HK'!H8</f>
        <v>0</v>
      </c>
      <c r="T40" s="120">
        <f>'[5]Rill HK'!I8</f>
        <v>0</v>
      </c>
      <c r="U40" s="120">
        <f>'[5]Rill HK'!J8</f>
        <v>0</v>
      </c>
      <c r="V40" s="120">
        <f>'[5]Rill HK'!K8</f>
        <v>0</v>
      </c>
      <c r="W40" s="120">
        <f>'[5]Rill HK'!L8</f>
        <v>0</v>
      </c>
      <c r="X40" s="120">
        <f>'[5]Rill HK'!M8</f>
        <v>0</v>
      </c>
      <c r="Y40" s="120">
        <f>'[5]Rill HK'!N8</f>
        <v>0</v>
      </c>
      <c r="Z40" s="120">
        <f>'[5]Rill HK'!O8</f>
        <v>0</v>
      </c>
      <c r="AA40" s="120">
        <f>'[5]Rill HK'!P8</f>
        <v>0</v>
      </c>
      <c r="AB40" s="120">
        <f>'[5]Rill HK'!Q8</f>
        <v>0</v>
      </c>
      <c r="AC40" s="120">
        <f>'[5]Rill HK'!R8</f>
        <v>0</v>
      </c>
      <c r="AD40" s="120">
        <f>'[5]Rill HK'!S8</f>
        <v>0</v>
      </c>
      <c r="AE40" s="120">
        <f>'[5]Rill HK'!T8</f>
        <v>0</v>
      </c>
      <c r="AF40" s="120">
        <f>'[5]Rill HK'!U8</f>
        <v>0</v>
      </c>
      <c r="AG40" s="120">
        <f>'[5]Rill HK'!V8</f>
        <v>0</v>
      </c>
      <c r="AH40" s="120">
        <f>'[5]Rill HK'!W8</f>
        <v>0</v>
      </c>
      <c r="AI40" s="120">
        <f>'[5]Rill HK'!X8</f>
        <v>0</v>
      </c>
      <c r="AJ40" s="120">
        <f>'[5]Rill HK'!Y8</f>
        <v>0</v>
      </c>
      <c r="AK40" s="120">
        <f>'[5]Rill HK'!Z8</f>
        <v>0</v>
      </c>
      <c r="AL40" s="120">
        <f>'[5]Rill HK'!AA8</f>
        <v>0</v>
      </c>
      <c r="AM40" s="120">
        <f>'[5]Rill HK'!AB8</f>
        <v>0</v>
      </c>
      <c r="AN40" s="120">
        <f>'[5]Rill HK'!AC8</f>
        <v>0</v>
      </c>
      <c r="AO40" s="120">
        <f>'[5]Rill HK'!AD8</f>
        <v>0</v>
      </c>
      <c r="AP40" s="120">
        <f>'[5]Rill HK'!AE8</f>
        <v>0</v>
      </c>
      <c r="AQ40" s="120">
        <f>'[5]Rill HK'!AF8</f>
        <v>0</v>
      </c>
      <c r="AR40" s="286">
        <v>31</v>
      </c>
      <c r="AS40" s="116"/>
      <c r="AU40" s="48">
        <f>SUM(M40:AQ40)</f>
        <v>3.8333333333333335</v>
      </c>
      <c r="AV40" s="48">
        <f>(SUM(M40:AA40))</f>
        <v>3.8333333333333335</v>
      </c>
      <c r="AW40" s="48">
        <f>SUM(AB40:AQ40)</f>
        <v>0</v>
      </c>
      <c r="AX40" s="49">
        <f t="shared" si="0"/>
        <v>27.166666666666668</v>
      </c>
    </row>
    <row r="41" spans="2:50" ht="16.5" customHeight="1" outlineLevel="1" thickBot="1">
      <c r="L41" s="50" t="s">
        <v>76</v>
      </c>
      <c r="M41" s="121"/>
      <c r="N41" s="121"/>
      <c r="O41" s="121"/>
      <c r="P41" s="123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4"/>
      <c r="AH41" s="121"/>
      <c r="AI41" s="121"/>
      <c r="AJ41" s="121"/>
      <c r="AK41" s="121"/>
      <c r="AL41" s="121"/>
      <c r="AM41" s="121"/>
      <c r="AN41" s="121"/>
      <c r="AO41" s="121"/>
      <c r="AP41" s="121"/>
      <c r="AQ41" s="125"/>
      <c r="AR41" s="287"/>
      <c r="AS41" s="116"/>
      <c r="AU41" s="50">
        <f>SUM(M41:AQ41)</f>
        <v>0</v>
      </c>
      <c r="AV41" s="50">
        <f>(SUM(M41:AA41))</f>
        <v>0</v>
      </c>
      <c r="AW41" s="50">
        <f>SUM(AB41:AQ41)</f>
        <v>0</v>
      </c>
      <c r="AX41" s="51">
        <f t="shared" si="0"/>
        <v>31</v>
      </c>
    </row>
    <row r="42" spans="2:50" ht="15" customHeight="1" outlineLevel="1">
      <c r="L42" s="52" t="s">
        <v>89</v>
      </c>
      <c r="M42" s="126"/>
      <c r="N42" s="126"/>
      <c r="O42" s="126"/>
      <c r="P42" s="128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30"/>
      <c r="AR42" s="287"/>
      <c r="AS42" s="116"/>
      <c r="AU42" s="52">
        <f>SUM(M42:AQ42)</f>
        <v>0</v>
      </c>
      <c r="AV42" s="52">
        <f>(SUM(M42:AA42))</f>
        <v>0</v>
      </c>
      <c r="AW42" s="52">
        <f>SUM(AB42:AQ42)</f>
        <v>0</v>
      </c>
      <c r="AX42" s="53">
        <f t="shared" ref="AX42:AX74" si="11">$AR$4-AU42</f>
        <v>31</v>
      </c>
    </row>
    <row r="43" spans="2:50" ht="15.75" customHeight="1" outlineLevel="1">
      <c r="B43" t="s">
        <v>112</v>
      </c>
      <c r="L43" s="54" t="s">
        <v>150</v>
      </c>
      <c r="M43" s="131"/>
      <c r="N43" s="131"/>
      <c r="O43" s="131"/>
      <c r="P43" s="133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4"/>
      <c r="AH43" s="131"/>
      <c r="AI43" s="131"/>
      <c r="AJ43" s="131"/>
      <c r="AK43" s="131"/>
      <c r="AL43" s="131"/>
      <c r="AM43" s="131"/>
      <c r="AN43" s="131"/>
      <c r="AO43" s="131"/>
      <c r="AP43" s="131"/>
      <c r="AQ43" s="135"/>
      <c r="AR43" s="287"/>
      <c r="AS43" s="116"/>
      <c r="AU43" s="54">
        <f>SUM(M43:AQ43)</f>
        <v>0</v>
      </c>
      <c r="AV43" s="54">
        <f>(SUM(M43:AA43))</f>
        <v>0</v>
      </c>
      <c r="AW43" s="54">
        <f>SUM(AB43:AQ43)</f>
        <v>0</v>
      </c>
      <c r="AX43" s="55">
        <f t="shared" si="11"/>
        <v>31</v>
      </c>
    </row>
    <row r="44" spans="2:50" ht="15.75" customHeight="1" outlineLevel="1" thickBot="1">
      <c r="L44" s="56" t="s">
        <v>39</v>
      </c>
      <c r="M44" s="136">
        <f t="shared" ref="M44:AQ44" si="12">COUNTIF(M40:M43,"&gt;0")</f>
        <v>1</v>
      </c>
      <c r="N44" s="136">
        <f t="shared" si="12"/>
        <v>1</v>
      </c>
      <c r="O44" s="136">
        <f t="shared" si="12"/>
        <v>1</v>
      </c>
      <c r="P44" s="138">
        <f t="shared" si="12"/>
        <v>1</v>
      </c>
      <c r="Q44" s="136">
        <f t="shared" si="12"/>
        <v>0</v>
      </c>
      <c r="R44" s="136">
        <f t="shared" si="12"/>
        <v>0</v>
      </c>
      <c r="S44" s="136">
        <f t="shared" si="12"/>
        <v>0</v>
      </c>
      <c r="T44" s="136">
        <f t="shared" si="12"/>
        <v>0</v>
      </c>
      <c r="U44" s="136">
        <f t="shared" si="12"/>
        <v>0</v>
      </c>
      <c r="V44" s="136">
        <f t="shared" si="12"/>
        <v>0</v>
      </c>
      <c r="W44" s="136">
        <f t="shared" si="12"/>
        <v>0</v>
      </c>
      <c r="X44" s="136">
        <f t="shared" si="12"/>
        <v>0</v>
      </c>
      <c r="Y44" s="136">
        <f t="shared" si="12"/>
        <v>0</v>
      </c>
      <c r="Z44" s="136">
        <f t="shared" si="12"/>
        <v>0</v>
      </c>
      <c r="AA44" s="136">
        <f t="shared" si="12"/>
        <v>0</v>
      </c>
      <c r="AB44" s="136">
        <f t="shared" si="12"/>
        <v>0</v>
      </c>
      <c r="AC44" s="136">
        <f t="shared" si="12"/>
        <v>0</v>
      </c>
      <c r="AD44" s="136">
        <f t="shared" si="12"/>
        <v>0</v>
      </c>
      <c r="AE44" s="136">
        <f t="shared" si="12"/>
        <v>0</v>
      </c>
      <c r="AF44" s="136">
        <f t="shared" si="12"/>
        <v>0</v>
      </c>
      <c r="AG44" s="136">
        <f t="shared" si="12"/>
        <v>0</v>
      </c>
      <c r="AH44" s="136">
        <f t="shared" si="12"/>
        <v>0</v>
      </c>
      <c r="AI44" s="136">
        <f t="shared" si="12"/>
        <v>0</v>
      </c>
      <c r="AJ44" s="136">
        <f t="shared" si="12"/>
        <v>0</v>
      </c>
      <c r="AK44" s="136">
        <f t="shared" si="12"/>
        <v>0</v>
      </c>
      <c r="AL44" s="136">
        <f t="shared" si="12"/>
        <v>0</v>
      </c>
      <c r="AM44" s="136">
        <f t="shared" si="12"/>
        <v>0</v>
      </c>
      <c r="AN44" s="136">
        <f t="shared" si="12"/>
        <v>0</v>
      </c>
      <c r="AO44" s="136">
        <f t="shared" si="12"/>
        <v>0</v>
      </c>
      <c r="AP44" s="136">
        <f t="shared" si="12"/>
        <v>0</v>
      </c>
      <c r="AQ44" s="139">
        <f t="shared" si="12"/>
        <v>0</v>
      </c>
      <c r="AR44" s="288"/>
      <c r="AS44" s="116"/>
      <c r="AU44" s="56">
        <f>COUNTIF(M44:AQ44,"&gt;0")</f>
        <v>4</v>
      </c>
      <c r="AV44" s="56">
        <f>COUNTIF(M44:AA44,"&gt;0")</f>
        <v>4</v>
      </c>
      <c r="AW44" s="56">
        <f>COUNTIF(AB44:AQ44,"&gt;0")</f>
        <v>0</v>
      </c>
      <c r="AX44" s="57">
        <f t="shared" si="11"/>
        <v>27</v>
      </c>
    </row>
    <row r="45" spans="2:50" ht="15.75" thickBot="1">
      <c r="B45" s="2"/>
      <c r="C45" s="40"/>
      <c r="D45" s="44"/>
      <c r="E45" s="44"/>
      <c r="F45" s="45"/>
      <c r="G45" s="45"/>
      <c r="H45" s="38"/>
    </row>
    <row r="46" spans="2:50" ht="15" customHeight="1" outlineLevel="1">
      <c r="B46" t="s">
        <v>113</v>
      </c>
      <c r="D46">
        <f>AVERAGE(Tonase!J15,Tonase!K15,Tonase!H15,Tonase!L15,Tonase!P15,Tonase!R15,Tonase!F15)</f>
        <v>0</v>
      </c>
      <c r="K46" t="s">
        <v>82</v>
      </c>
      <c r="L46" s="48" t="s">
        <v>75</v>
      </c>
      <c r="M46" s="120">
        <f>'[5]Rill HK'!B9</f>
        <v>0</v>
      </c>
      <c r="N46" s="120">
        <f>'[5]Rill HK'!C9</f>
        <v>0</v>
      </c>
      <c r="O46" s="120">
        <f>'[5]Rill HK'!D9</f>
        <v>0</v>
      </c>
      <c r="P46" s="120">
        <f>'[5]Rill HK'!E9</f>
        <v>0</v>
      </c>
      <c r="Q46" s="120">
        <f>'[5]Rill HK'!F9</f>
        <v>0</v>
      </c>
      <c r="R46" s="120">
        <f>'[5]Rill HK'!G9</f>
        <v>0</v>
      </c>
      <c r="S46" s="120">
        <f>'[5]Rill HK'!H9</f>
        <v>0</v>
      </c>
      <c r="T46" s="120">
        <f>'[5]Rill HK'!I9</f>
        <v>0</v>
      </c>
      <c r="U46" s="120">
        <f>'[5]Rill HK'!J9</f>
        <v>0</v>
      </c>
      <c r="V46" s="120">
        <f>'[5]Rill HK'!K9</f>
        <v>0</v>
      </c>
      <c r="W46" s="120">
        <f>'[5]Rill HK'!L9</f>
        <v>0</v>
      </c>
      <c r="X46" s="120">
        <f>'[5]Rill HK'!M9</f>
        <v>0</v>
      </c>
      <c r="Y46" s="120">
        <f>'[5]Rill HK'!N9</f>
        <v>0</v>
      </c>
      <c r="Z46" s="120">
        <f>'[5]Rill HK'!O9</f>
        <v>0</v>
      </c>
      <c r="AA46" s="120">
        <f>'[5]Rill HK'!P9</f>
        <v>0</v>
      </c>
      <c r="AB46" s="120">
        <f>'[5]Rill HK'!Q9</f>
        <v>0</v>
      </c>
      <c r="AC46" s="120">
        <f>'[5]Rill HK'!R9</f>
        <v>0</v>
      </c>
      <c r="AD46" s="120">
        <f>'[5]Rill HK'!S9</f>
        <v>0</v>
      </c>
      <c r="AE46" s="120">
        <f>'[5]Rill HK'!T9</f>
        <v>0</v>
      </c>
      <c r="AF46" s="120">
        <f>'[5]Rill HK'!U9</f>
        <v>0</v>
      </c>
      <c r="AG46" s="120">
        <f>'[5]Rill HK'!V9</f>
        <v>0</v>
      </c>
      <c r="AH46" s="120">
        <f>'[5]Rill HK'!W9</f>
        <v>0</v>
      </c>
      <c r="AI46" s="120">
        <f>'[5]Rill HK'!X9</f>
        <v>0</v>
      </c>
      <c r="AJ46" s="120">
        <f>'[5]Rill HK'!Y9</f>
        <v>0</v>
      </c>
      <c r="AK46" s="120">
        <f>'[5]Rill HK'!Z9</f>
        <v>0</v>
      </c>
      <c r="AL46" s="120">
        <f>'[5]Rill HK'!AA9</f>
        <v>0</v>
      </c>
      <c r="AM46" s="120">
        <f>'[5]Rill HK'!AB9</f>
        <v>0</v>
      </c>
      <c r="AN46" s="120">
        <f>'[5]Rill HK'!AC9</f>
        <v>0</v>
      </c>
      <c r="AO46" s="120">
        <f>'[5]Rill HK'!AD9</f>
        <v>0</v>
      </c>
      <c r="AP46" s="120">
        <f>'[5]Rill HK'!AE9</f>
        <v>0</v>
      </c>
      <c r="AQ46" s="120">
        <f>'[5]Rill HK'!AF9</f>
        <v>0</v>
      </c>
      <c r="AR46" s="286">
        <v>31</v>
      </c>
      <c r="AS46" s="116"/>
      <c r="AU46" s="48">
        <f>SUM(M46:AQ46)</f>
        <v>0</v>
      </c>
      <c r="AV46" s="48">
        <f>(SUM(M46:AA46))</f>
        <v>0</v>
      </c>
      <c r="AW46" s="48">
        <f>SUM(AB46:AQ46)</f>
        <v>0</v>
      </c>
      <c r="AX46" s="49">
        <f t="shared" si="11"/>
        <v>31</v>
      </c>
    </row>
    <row r="47" spans="2:50" ht="16.5" customHeight="1" outlineLevel="1" thickBot="1">
      <c r="L47" s="50" t="s">
        <v>76</v>
      </c>
      <c r="M47" s="121"/>
      <c r="N47" s="121"/>
      <c r="O47" s="121"/>
      <c r="P47" s="123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4"/>
      <c r="AH47" s="121"/>
      <c r="AI47" s="121"/>
      <c r="AJ47" s="121"/>
      <c r="AK47" s="121"/>
      <c r="AL47" s="121"/>
      <c r="AM47" s="121"/>
      <c r="AN47" s="121"/>
      <c r="AO47" s="121"/>
      <c r="AP47" s="121"/>
      <c r="AQ47" s="125"/>
      <c r="AR47" s="287"/>
      <c r="AS47" s="116"/>
      <c r="AU47" s="50">
        <f>SUM(M47:AQ47)</f>
        <v>0</v>
      </c>
      <c r="AV47" s="50">
        <f>(SUM(M47:AA47))</f>
        <v>0</v>
      </c>
      <c r="AW47" s="50">
        <f>SUM(AB47:AQ47)</f>
        <v>0</v>
      </c>
      <c r="AX47" s="51">
        <f t="shared" si="11"/>
        <v>31</v>
      </c>
    </row>
    <row r="48" spans="2:50" ht="15" customHeight="1" outlineLevel="1">
      <c r="L48" s="52" t="s">
        <v>89</v>
      </c>
      <c r="M48" s="126"/>
      <c r="N48" s="126"/>
      <c r="O48" s="126"/>
      <c r="P48" s="128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30"/>
      <c r="AR48" s="287"/>
      <c r="AS48" s="116"/>
      <c r="AU48" s="52">
        <f>SUM(M48:AQ48)</f>
        <v>0</v>
      </c>
      <c r="AV48" s="52">
        <f>(SUM(M48:AA48))</f>
        <v>0</v>
      </c>
      <c r="AW48" s="52">
        <f>SUM(AB48:AQ48)</f>
        <v>0</v>
      </c>
      <c r="AX48" s="53">
        <f t="shared" si="11"/>
        <v>31</v>
      </c>
    </row>
    <row r="49" spans="2:50" ht="15.75" customHeight="1" outlineLevel="1">
      <c r="L49" s="54" t="s">
        <v>150</v>
      </c>
      <c r="M49" s="131"/>
      <c r="N49" s="131"/>
      <c r="O49" s="131"/>
      <c r="P49" s="133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4"/>
      <c r="AH49" s="131"/>
      <c r="AI49" s="131"/>
      <c r="AJ49" s="131"/>
      <c r="AK49" s="131"/>
      <c r="AL49" s="131"/>
      <c r="AM49" s="131"/>
      <c r="AN49" s="131"/>
      <c r="AO49" s="131"/>
      <c r="AP49" s="131"/>
      <c r="AQ49" s="135"/>
      <c r="AR49" s="287"/>
      <c r="AS49" s="116"/>
      <c r="AU49" s="54">
        <f>SUM(M49:AQ49)</f>
        <v>0</v>
      </c>
      <c r="AV49" s="54">
        <f>(SUM(M49:AA49))</f>
        <v>0</v>
      </c>
      <c r="AW49" s="54">
        <f>SUM(AB49:AQ49)</f>
        <v>0</v>
      </c>
      <c r="AX49" s="55">
        <f t="shared" si="11"/>
        <v>31</v>
      </c>
    </row>
    <row r="50" spans="2:50" ht="15.75" customHeight="1" outlineLevel="1" thickBot="1">
      <c r="L50" s="56" t="s">
        <v>39</v>
      </c>
      <c r="M50" s="136">
        <f t="shared" ref="M50:AQ50" si="13">COUNTIF(M46:M49,"&gt;0")</f>
        <v>0</v>
      </c>
      <c r="N50" s="136">
        <f t="shared" si="13"/>
        <v>0</v>
      </c>
      <c r="O50" s="136">
        <f t="shared" si="13"/>
        <v>0</v>
      </c>
      <c r="P50" s="138">
        <f t="shared" si="13"/>
        <v>0</v>
      </c>
      <c r="Q50" s="136">
        <f t="shared" si="13"/>
        <v>0</v>
      </c>
      <c r="R50" s="136">
        <f t="shared" si="13"/>
        <v>0</v>
      </c>
      <c r="S50" s="136">
        <f t="shared" si="13"/>
        <v>0</v>
      </c>
      <c r="T50" s="136">
        <f t="shared" si="13"/>
        <v>0</v>
      </c>
      <c r="U50" s="136">
        <f t="shared" si="13"/>
        <v>0</v>
      </c>
      <c r="V50" s="136">
        <f t="shared" si="13"/>
        <v>0</v>
      </c>
      <c r="W50" s="136">
        <f t="shared" si="13"/>
        <v>0</v>
      </c>
      <c r="X50" s="136">
        <f t="shared" si="13"/>
        <v>0</v>
      </c>
      <c r="Y50" s="136">
        <f t="shared" si="13"/>
        <v>0</v>
      </c>
      <c r="Z50" s="136">
        <f t="shared" si="13"/>
        <v>0</v>
      </c>
      <c r="AA50" s="136">
        <f t="shared" si="13"/>
        <v>0</v>
      </c>
      <c r="AB50" s="136">
        <f t="shared" si="13"/>
        <v>0</v>
      </c>
      <c r="AC50" s="136">
        <f t="shared" si="13"/>
        <v>0</v>
      </c>
      <c r="AD50" s="136">
        <f t="shared" si="13"/>
        <v>0</v>
      </c>
      <c r="AE50" s="136">
        <f t="shared" si="13"/>
        <v>0</v>
      </c>
      <c r="AF50" s="136">
        <f t="shared" si="13"/>
        <v>0</v>
      </c>
      <c r="AG50" s="136">
        <f t="shared" si="13"/>
        <v>0</v>
      </c>
      <c r="AH50" s="136">
        <f t="shared" si="13"/>
        <v>0</v>
      </c>
      <c r="AI50" s="136">
        <f t="shared" si="13"/>
        <v>0</v>
      </c>
      <c r="AJ50" s="136">
        <f t="shared" si="13"/>
        <v>0</v>
      </c>
      <c r="AK50" s="136">
        <f t="shared" si="13"/>
        <v>0</v>
      </c>
      <c r="AL50" s="136">
        <f t="shared" si="13"/>
        <v>0</v>
      </c>
      <c r="AM50" s="136">
        <f t="shared" si="13"/>
        <v>0</v>
      </c>
      <c r="AN50" s="136">
        <f t="shared" si="13"/>
        <v>0</v>
      </c>
      <c r="AO50" s="136">
        <f t="shared" si="13"/>
        <v>0</v>
      </c>
      <c r="AP50" s="136">
        <f t="shared" si="13"/>
        <v>0</v>
      </c>
      <c r="AQ50" s="139">
        <f t="shared" si="13"/>
        <v>0</v>
      </c>
      <c r="AR50" s="288"/>
      <c r="AS50" s="116"/>
      <c r="AU50" s="56">
        <f>COUNTIF(M50:AQ50,"&gt;0")</f>
        <v>0</v>
      </c>
      <c r="AV50" s="56">
        <f>COUNTIF(M50:AA50,"&gt;0")</f>
        <v>0</v>
      </c>
      <c r="AW50" s="56">
        <f>COUNTIF(AB50:AQ50,"&gt;0")</f>
        <v>0</v>
      </c>
      <c r="AX50" s="57">
        <f t="shared" si="11"/>
        <v>31</v>
      </c>
    </row>
    <row r="51" spans="2:50" ht="15.75" thickBot="1">
      <c r="B51" s="2"/>
      <c r="C51" s="40"/>
      <c r="D51" s="44"/>
      <c r="E51" s="44"/>
      <c r="F51" s="45"/>
      <c r="G51" s="45"/>
      <c r="H51" s="38"/>
    </row>
    <row r="52" spans="2:50" ht="15" customHeight="1" outlineLevel="1">
      <c r="K52" t="s">
        <v>83</v>
      </c>
      <c r="L52" s="48" t="s">
        <v>75</v>
      </c>
      <c r="M52" s="120">
        <f>'[5]Rill HK'!B10</f>
        <v>0</v>
      </c>
      <c r="N52" s="120">
        <f>'[5]Rill HK'!C10</f>
        <v>0</v>
      </c>
      <c r="O52" s="120">
        <f>'[5]Rill HK'!D10</f>
        <v>0</v>
      </c>
      <c r="P52" s="120">
        <f>'[5]Rill HK'!E10</f>
        <v>0</v>
      </c>
      <c r="Q52" s="120">
        <f>'[5]Rill HK'!F10</f>
        <v>0</v>
      </c>
      <c r="R52" s="120">
        <f>'[5]Rill HK'!G10</f>
        <v>0</v>
      </c>
      <c r="S52" s="120">
        <f>'[5]Rill HK'!H10</f>
        <v>0</v>
      </c>
      <c r="T52" s="120">
        <f>'[5]Rill HK'!I10</f>
        <v>0</v>
      </c>
      <c r="U52" s="120">
        <f>'[5]Rill HK'!J10</f>
        <v>0</v>
      </c>
      <c r="V52" s="120">
        <f>'[5]Rill HK'!K10</f>
        <v>0</v>
      </c>
      <c r="W52" s="120">
        <f>'[5]Rill HK'!L10</f>
        <v>0</v>
      </c>
      <c r="X52" s="120">
        <f>'[5]Rill HK'!M10</f>
        <v>0</v>
      </c>
      <c r="Y52" s="120">
        <f>'[5]Rill HK'!N10</f>
        <v>0</v>
      </c>
      <c r="Z52" s="120">
        <f>'[5]Rill HK'!O10</f>
        <v>0</v>
      </c>
      <c r="AA52" s="120">
        <f>'[5]Rill HK'!P10</f>
        <v>0</v>
      </c>
      <c r="AB52" s="120">
        <f>'[5]Rill HK'!Q10</f>
        <v>0</v>
      </c>
      <c r="AC52" s="120">
        <f>'[5]Rill HK'!R10</f>
        <v>0</v>
      </c>
      <c r="AD52" s="120">
        <f>'[5]Rill HK'!S10</f>
        <v>0</v>
      </c>
      <c r="AE52" s="120">
        <f>'[5]Rill HK'!T10</f>
        <v>0</v>
      </c>
      <c r="AF52" s="120">
        <f>'[5]Rill HK'!U10</f>
        <v>0</v>
      </c>
      <c r="AG52" s="120">
        <f>'[5]Rill HK'!V10</f>
        <v>0</v>
      </c>
      <c r="AH52" s="120">
        <f>'[5]Rill HK'!W10</f>
        <v>0</v>
      </c>
      <c r="AI52" s="120">
        <f>'[5]Rill HK'!X10</f>
        <v>0</v>
      </c>
      <c r="AJ52" s="120">
        <f>'[5]Rill HK'!Y10</f>
        <v>0</v>
      </c>
      <c r="AK52" s="120">
        <f>'[5]Rill HK'!Z10</f>
        <v>0</v>
      </c>
      <c r="AL52" s="120">
        <f>'[5]Rill HK'!AA10</f>
        <v>0</v>
      </c>
      <c r="AM52" s="120">
        <f>'[5]Rill HK'!AB10</f>
        <v>0</v>
      </c>
      <c r="AN52" s="120">
        <f>'[5]Rill HK'!AC10</f>
        <v>0</v>
      </c>
      <c r="AO52" s="120">
        <f>'[5]Rill HK'!AD10</f>
        <v>0</v>
      </c>
      <c r="AP52" s="120">
        <f>'[5]Rill HK'!AE10</f>
        <v>0</v>
      </c>
      <c r="AQ52" s="120">
        <f>'[5]Rill HK'!AF10</f>
        <v>0</v>
      </c>
      <c r="AR52" s="286">
        <v>30</v>
      </c>
      <c r="AS52" s="116"/>
      <c r="AU52" s="48">
        <f>SUM(M52:AQ52)</f>
        <v>0</v>
      </c>
      <c r="AV52" s="48">
        <f>(SUM(M52:AA52))</f>
        <v>0</v>
      </c>
      <c r="AW52" s="48">
        <f>SUM(AB52:AQ52)</f>
        <v>0</v>
      </c>
      <c r="AX52" s="49">
        <f t="shared" si="11"/>
        <v>31</v>
      </c>
    </row>
    <row r="53" spans="2:50" ht="16.5" customHeight="1" outlineLevel="1" thickBot="1">
      <c r="L53" s="50" t="s">
        <v>76</v>
      </c>
      <c r="M53" s="121"/>
      <c r="N53" s="121"/>
      <c r="O53" s="121"/>
      <c r="P53" s="123"/>
      <c r="Q53" s="121"/>
      <c r="R53" s="121"/>
      <c r="S53" s="121"/>
      <c r="T53" s="121"/>
      <c r="U53" s="121"/>
      <c r="V53" s="131"/>
      <c r="W53" s="131"/>
      <c r="X53" s="121"/>
      <c r="Y53" s="121"/>
      <c r="Z53" s="121"/>
      <c r="AA53" s="121"/>
      <c r="AB53" s="121"/>
      <c r="AC53" s="121"/>
      <c r="AD53" s="121"/>
      <c r="AE53" s="121"/>
      <c r="AF53" s="121"/>
      <c r="AG53" s="124"/>
      <c r="AH53" s="121"/>
      <c r="AI53" s="121"/>
      <c r="AJ53" s="121"/>
      <c r="AK53" s="121"/>
      <c r="AL53" s="121"/>
      <c r="AM53" s="121"/>
      <c r="AN53" s="121"/>
      <c r="AO53" s="121"/>
      <c r="AP53" s="121"/>
      <c r="AQ53" s="125"/>
      <c r="AR53" s="287"/>
      <c r="AS53" s="116"/>
      <c r="AU53" s="50">
        <f>SUM(M53:AQ53)</f>
        <v>0</v>
      </c>
      <c r="AV53" s="50">
        <f>(SUM(M53:AA53))</f>
        <v>0</v>
      </c>
      <c r="AW53" s="50">
        <f>SUM(AB53:AQ53)</f>
        <v>0</v>
      </c>
      <c r="AX53" s="51">
        <f t="shared" si="11"/>
        <v>31</v>
      </c>
    </row>
    <row r="54" spans="2:50" ht="15" customHeight="1" outlineLevel="1">
      <c r="L54" s="52" t="s">
        <v>89</v>
      </c>
      <c r="M54" s="126"/>
      <c r="N54" s="126"/>
      <c r="O54" s="126"/>
      <c r="P54" s="128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30"/>
      <c r="AR54" s="287"/>
      <c r="AS54" s="116"/>
      <c r="AU54" s="52">
        <f>SUM(M54:AQ54)</f>
        <v>0</v>
      </c>
      <c r="AV54" s="52">
        <f>(SUM(M54:AA54))</f>
        <v>0</v>
      </c>
      <c r="AW54" s="52">
        <f>SUM(AB54:AQ54)</f>
        <v>0</v>
      </c>
      <c r="AX54" s="53">
        <f t="shared" si="11"/>
        <v>31</v>
      </c>
    </row>
    <row r="55" spans="2:50" ht="15.75" customHeight="1" outlineLevel="1">
      <c r="L55" s="54" t="s">
        <v>150</v>
      </c>
      <c r="M55" s="131"/>
      <c r="N55" s="131"/>
      <c r="O55" s="131"/>
      <c r="P55" s="133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4"/>
      <c r="AH55" s="131"/>
      <c r="AI55" s="131"/>
      <c r="AJ55" s="131"/>
      <c r="AK55" s="131"/>
      <c r="AL55" s="131"/>
      <c r="AM55" s="131"/>
      <c r="AN55" s="131"/>
      <c r="AO55" s="131"/>
      <c r="AP55" s="131"/>
      <c r="AQ55" s="135"/>
      <c r="AR55" s="287"/>
      <c r="AS55" s="116"/>
      <c r="AU55" s="54">
        <f>SUM(M55:AQ55)</f>
        <v>0</v>
      </c>
      <c r="AV55" s="54">
        <f>(SUM(M55:AA55))</f>
        <v>0</v>
      </c>
      <c r="AW55" s="54">
        <f>SUM(AB55:AQ55)</f>
        <v>0</v>
      </c>
      <c r="AX55" s="55">
        <f t="shared" si="11"/>
        <v>31</v>
      </c>
    </row>
    <row r="56" spans="2:50" ht="15.75" customHeight="1" outlineLevel="1" thickBot="1">
      <c r="L56" s="56" t="s">
        <v>39</v>
      </c>
      <c r="M56" s="136">
        <f t="shared" ref="M56:AQ56" si="14">COUNTIF(M52:M55,"&gt;0")</f>
        <v>0</v>
      </c>
      <c r="N56" s="136">
        <f t="shared" si="14"/>
        <v>0</v>
      </c>
      <c r="O56" s="136">
        <f t="shared" si="14"/>
        <v>0</v>
      </c>
      <c r="P56" s="138">
        <f t="shared" si="14"/>
        <v>0</v>
      </c>
      <c r="Q56" s="136">
        <f t="shared" si="14"/>
        <v>0</v>
      </c>
      <c r="R56" s="136">
        <f t="shared" si="14"/>
        <v>0</v>
      </c>
      <c r="S56" s="136">
        <f t="shared" si="14"/>
        <v>0</v>
      </c>
      <c r="T56" s="136">
        <f t="shared" si="14"/>
        <v>0</v>
      </c>
      <c r="U56" s="136">
        <f t="shared" si="14"/>
        <v>0</v>
      </c>
      <c r="V56" s="136">
        <f t="shared" si="14"/>
        <v>0</v>
      </c>
      <c r="W56" s="136">
        <f t="shared" si="14"/>
        <v>0</v>
      </c>
      <c r="X56" s="136">
        <f t="shared" si="14"/>
        <v>0</v>
      </c>
      <c r="Y56" s="136">
        <f t="shared" si="14"/>
        <v>0</v>
      </c>
      <c r="Z56" s="136">
        <f t="shared" si="14"/>
        <v>0</v>
      </c>
      <c r="AA56" s="136">
        <f t="shared" si="14"/>
        <v>0</v>
      </c>
      <c r="AB56" s="136">
        <f t="shared" si="14"/>
        <v>0</v>
      </c>
      <c r="AC56" s="136">
        <f t="shared" si="14"/>
        <v>0</v>
      </c>
      <c r="AD56" s="136">
        <f t="shared" si="14"/>
        <v>0</v>
      </c>
      <c r="AE56" s="136">
        <f t="shared" si="14"/>
        <v>0</v>
      </c>
      <c r="AF56" s="136">
        <f t="shared" si="14"/>
        <v>0</v>
      </c>
      <c r="AG56" s="136">
        <f t="shared" si="14"/>
        <v>0</v>
      </c>
      <c r="AH56" s="136">
        <f t="shared" si="14"/>
        <v>0</v>
      </c>
      <c r="AI56" s="136">
        <f t="shared" si="14"/>
        <v>0</v>
      </c>
      <c r="AJ56" s="136">
        <f t="shared" si="14"/>
        <v>0</v>
      </c>
      <c r="AK56" s="136">
        <f t="shared" si="14"/>
        <v>0</v>
      </c>
      <c r="AL56" s="136">
        <f t="shared" si="14"/>
        <v>0</v>
      </c>
      <c r="AM56" s="136">
        <f t="shared" si="14"/>
        <v>0</v>
      </c>
      <c r="AN56" s="136">
        <f t="shared" si="14"/>
        <v>0</v>
      </c>
      <c r="AO56" s="136">
        <f t="shared" si="14"/>
        <v>0</v>
      </c>
      <c r="AP56" s="136">
        <f t="shared" si="14"/>
        <v>0</v>
      </c>
      <c r="AQ56" s="139">
        <f t="shared" si="14"/>
        <v>0</v>
      </c>
      <c r="AR56" s="288"/>
      <c r="AS56" s="116"/>
      <c r="AU56" s="56">
        <f>COUNTIF(M56:AQ56,"&gt;0")</f>
        <v>0</v>
      </c>
      <c r="AV56" s="56">
        <f>COUNTIF(M56:AA56,"&gt;0")</f>
        <v>0</v>
      </c>
      <c r="AW56" s="56">
        <f>COUNTIF(AB56:AQ56,"&gt;0")</f>
        <v>0</v>
      </c>
      <c r="AX56" s="57">
        <f t="shared" si="11"/>
        <v>31</v>
      </c>
    </row>
    <row r="57" spans="2:50" ht="15.75" thickBot="1">
      <c r="B57" s="2"/>
      <c r="C57" s="40"/>
      <c r="D57" s="44"/>
      <c r="E57" s="44"/>
      <c r="F57" s="45"/>
      <c r="G57" s="45"/>
      <c r="H57" s="38"/>
    </row>
    <row r="58" spans="2:50" ht="15" customHeight="1" outlineLevel="1">
      <c r="K58" t="s">
        <v>114</v>
      </c>
      <c r="L58" s="48" t="s">
        <v>75</v>
      </c>
      <c r="M58" s="120">
        <f>'[5]Rill HK'!B11</f>
        <v>0</v>
      </c>
      <c r="N58" s="120">
        <f>'[5]Rill HK'!C11</f>
        <v>0</v>
      </c>
      <c r="O58" s="120">
        <f>'[5]Rill HK'!D11</f>
        <v>0</v>
      </c>
      <c r="P58" s="120">
        <f>'[5]Rill HK'!E11</f>
        <v>0</v>
      </c>
      <c r="Q58" s="120">
        <f>'[5]Rill HK'!F11</f>
        <v>0</v>
      </c>
      <c r="R58" s="120">
        <f>'[5]Rill HK'!G11</f>
        <v>0</v>
      </c>
      <c r="S58" s="120">
        <f>'[5]Rill HK'!H11</f>
        <v>0</v>
      </c>
      <c r="T58" s="120">
        <f>'[5]Rill HK'!I11</f>
        <v>0</v>
      </c>
      <c r="U58" s="120">
        <f>'[5]Rill HK'!J11</f>
        <v>0</v>
      </c>
      <c r="V58" s="120">
        <f>'[5]Rill HK'!K11</f>
        <v>0</v>
      </c>
      <c r="W58" s="120">
        <f>'[5]Rill HK'!L11</f>
        <v>0</v>
      </c>
      <c r="X58" s="120">
        <f>'[5]Rill HK'!M11</f>
        <v>0</v>
      </c>
      <c r="Y58" s="120">
        <f>'[5]Rill HK'!N11</f>
        <v>0</v>
      </c>
      <c r="Z58" s="120">
        <f>'[5]Rill HK'!O11</f>
        <v>0</v>
      </c>
      <c r="AA58" s="120">
        <f>'[5]Rill HK'!P11</f>
        <v>0</v>
      </c>
      <c r="AB58" s="120">
        <f>'[5]Rill HK'!Q11</f>
        <v>0</v>
      </c>
      <c r="AC58" s="120">
        <f>'[5]Rill HK'!R11</f>
        <v>0</v>
      </c>
      <c r="AD58" s="120">
        <f>'[5]Rill HK'!S11</f>
        <v>0</v>
      </c>
      <c r="AE58" s="120">
        <f>'[5]Rill HK'!T11</f>
        <v>0</v>
      </c>
      <c r="AF58" s="120">
        <f>'[5]Rill HK'!U11</f>
        <v>0</v>
      </c>
      <c r="AG58" s="120">
        <f>'[5]Rill HK'!V11</f>
        <v>0</v>
      </c>
      <c r="AH58" s="120">
        <f>'[5]Rill HK'!W11</f>
        <v>0</v>
      </c>
      <c r="AI58" s="120">
        <f>'[5]Rill HK'!X11</f>
        <v>0</v>
      </c>
      <c r="AJ58" s="120">
        <f>'[5]Rill HK'!Y11</f>
        <v>0</v>
      </c>
      <c r="AK58" s="120">
        <f>'[5]Rill HK'!Z11</f>
        <v>0</v>
      </c>
      <c r="AL58" s="120">
        <f>'[5]Rill HK'!AA11</f>
        <v>0</v>
      </c>
      <c r="AM58" s="120">
        <f>'[5]Rill HK'!AB11</f>
        <v>0</v>
      </c>
      <c r="AN58" s="120">
        <f>'[5]Rill HK'!AC11</f>
        <v>0</v>
      </c>
      <c r="AO58" s="120">
        <f>'[5]Rill HK'!AD11</f>
        <v>0</v>
      </c>
      <c r="AP58" s="120">
        <f>'[5]Rill HK'!AE11</f>
        <v>0</v>
      </c>
      <c r="AQ58" s="120">
        <f>'[5]Rill HK'!AF11</f>
        <v>0</v>
      </c>
      <c r="AR58" s="286">
        <v>30</v>
      </c>
      <c r="AS58" s="116"/>
      <c r="AU58" s="48">
        <f>SUM(M58:AQ58)</f>
        <v>0</v>
      </c>
      <c r="AV58" s="48">
        <f>(SUM(M58:AA58))</f>
        <v>0</v>
      </c>
      <c r="AW58" s="48">
        <f>SUM(AB58:AQ58)</f>
        <v>0</v>
      </c>
      <c r="AX58" s="49">
        <f t="shared" si="11"/>
        <v>31</v>
      </c>
    </row>
    <row r="59" spans="2:50" ht="16.5" customHeight="1" outlineLevel="1" thickBot="1">
      <c r="L59" s="50" t="s">
        <v>76</v>
      </c>
      <c r="M59" s="121"/>
      <c r="N59" s="121"/>
      <c r="O59" s="121"/>
      <c r="P59" s="123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4"/>
      <c r="AH59" s="121"/>
      <c r="AI59" s="121"/>
      <c r="AJ59" s="121"/>
      <c r="AK59" s="121"/>
      <c r="AL59" s="121"/>
      <c r="AM59" s="121"/>
      <c r="AN59" s="121"/>
      <c r="AO59" s="121"/>
      <c r="AP59" s="121"/>
      <c r="AQ59" s="125"/>
      <c r="AR59" s="287"/>
      <c r="AS59" s="116"/>
      <c r="AU59" s="50">
        <f>SUM(M59:AQ59)</f>
        <v>0</v>
      </c>
      <c r="AV59" s="50">
        <f>(SUM(M59:AA59))</f>
        <v>0</v>
      </c>
      <c r="AW59" s="50">
        <f>SUM(AB59:AQ59)</f>
        <v>0</v>
      </c>
      <c r="AX59" s="51">
        <f t="shared" si="11"/>
        <v>31</v>
      </c>
    </row>
    <row r="60" spans="2:50" ht="15" customHeight="1" outlineLevel="1">
      <c r="L60" s="52" t="s">
        <v>89</v>
      </c>
      <c r="M60" s="126"/>
      <c r="N60" s="126"/>
      <c r="O60" s="126"/>
      <c r="P60" s="128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30"/>
      <c r="AR60" s="287"/>
      <c r="AS60" s="116"/>
      <c r="AU60" s="52">
        <f>SUM(M60:AQ60)</f>
        <v>0</v>
      </c>
      <c r="AV60" s="52">
        <f>(SUM(M60:AA60))</f>
        <v>0</v>
      </c>
      <c r="AW60" s="52">
        <f>SUM(AB60:AQ60)</f>
        <v>0</v>
      </c>
      <c r="AX60" s="53">
        <f t="shared" si="11"/>
        <v>31</v>
      </c>
    </row>
    <row r="61" spans="2:50" ht="15.75" customHeight="1" outlineLevel="1">
      <c r="L61" s="54" t="s">
        <v>150</v>
      </c>
      <c r="M61" s="131"/>
      <c r="N61" s="131"/>
      <c r="O61" s="131"/>
      <c r="P61" s="133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4"/>
      <c r="AH61" s="131"/>
      <c r="AI61" s="131"/>
      <c r="AJ61" s="131"/>
      <c r="AK61" s="131"/>
      <c r="AL61" s="131"/>
      <c r="AM61" s="131"/>
      <c r="AN61" s="131"/>
      <c r="AO61" s="131"/>
      <c r="AP61" s="131"/>
      <c r="AQ61" s="135"/>
      <c r="AR61" s="287"/>
      <c r="AS61" s="116"/>
      <c r="AU61" s="54">
        <f>SUM(M61:AQ61)</f>
        <v>0</v>
      </c>
      <c r="AV61" s="54">
        <f>(SUM(M61:AA61))</f>
        <v>0</v>
      </c>
      <c r="AW61" s="54">
        <f>SUM(AB61:AQ61)</f>
        <v>0</v>
      </c>
      <c r="AX61" s="55">
        <f t="shared" si="11"/>
        <v>31</v>
      </c>
    </row>
    <row r="62" spans="2:50" ht="15.75" customHeight="1" outlineLevel="1" thickBot="1">
      <c r="L62" s="56" t="s">
        <v>39</v>
      </c>
      <c r="M62" s="136">
        <f>COUNTIF(M58:M61,"&gt;0")</f>
        <v>0</v>
      </c>
      <c r="N62" s="136">
        <f t="shared" ref="N62:AQ62" si="15">COUNTIF(N58:N61,"&gt;0")</f>
        <v>0</v>
      </c>
      <c r="O62" s="136">
        <f t="shared" si="15"/>
        <v>0</v>
      </c>
      <c r="P62" s="138">
        <f t="shared" si="15"/>
        <v>0</v>
      </c>
      <c r="Q62" s="136">
        <f t="shared" si="15"/>
        <v>0</v>
      </c>
      <c r="R62" s="136">
        <f t="shared" si="15"/>
        <v>0</v>
      </c>
      <c r="S62" s="136">
        <f t="shared" si="15"/>
        <v>0</v>
      </c>
      <c r="T62" s="136">
        <f t="shared" si="15"/>
        <v>0</v>
      </c>
      <c r="U62" s="136">
        <f t="shared" si="15"/>
        <v>0</v>
      </c>
      <c r="V62" s="136">
        <f t="shared" si="15"/>
        <v>0</v>
      </c>
      <c r="W62" s="136">
        <f t="shared" si="15"/>
        <v>0</v>
      </c>
      <c r="X62" s="136">
        <f t="shared" si="15"/>
        <v>0</v>
      </c>
      <c r="Y62" s="136">
        <f t="shared" si="15"/>
        <v>0</v>
      </c>
      <c r="Z62" s="136">
        <f t="shared" si="15"/>
        <v>0</v>
      </c>
      <c r="AA62" s="136">
        <f t="shared" si="15"/>
        <v>0</v>
      </c>
      <c r="AB62" s="136">
        <f t="shared" si="15"/>
        <v>0</v>
      </c>
      <c r="AC62" s="136">
        <f t="shared" si="15"/>
        <v>0</v>
      </c>
      <c r="AD62" s="136">
        <f t="shared" si="15"/>
        <v>0</v>
      </c>
      <c r="AE62" s="136">
        <f t="shared" si="15"/>
        <v>0</v>
      </c>
      <c r="AF62" s="136">
        <f t="shared" si="15"/>
        <v>0</v>
      </c>
      <c r="AG62" s="136">
        <f t="shared" si="15"/>
        <v>0</v>
      </c>
      <c r="AH62" s="136">
        <f t="shared" si="15"/>
        <v>0</v>
      </c>
      <c r="AI62" s="136">
        <f t="shared" si="15"/>
        <v>0</v>
      </c>
      <c r="AJ62" s="136">
        <f t="shared" si="15"/>
        <v>0</v>
      </c>
      <c r="AK62" s="136">
        <f t="shared" si="15"/>
        <v>0</v>
      </c>
      <c r="AL62" s="136">
        <f t="shared" si="15"/>
        <v>0</v>
      </c>
      <c r="AM62" s="136">
        <f t="shared" si="15"/>
        <v>0</v>
      </c>
      <c r="AN62" s="136">
        <f t="shared" si="15"/>
        <v>0</v>
      </c>
      <c r="AO62" s="136">
        <f t="shared" si="15"/>
        <v>0</v>
      </c>
      <c r="AP62" s="136">
        <f t="shared" si="15"/>
        <v>0</v>
      </c>
      <c r="AQ62" s="139">
        <f t="shared" si="15"/>
        <v>0</v>
      </c>
      <c r="AR62" s="288"/>
      <c r="AS62" s="116"/>
      <c r="AU62" s="56">
        <f>COUNTIF(M62:AQ62,"&gt;0")</f>
        <v>0</v>
      </c>
      <c r="AV62" s="56">
        <f>COUNTIF(M62:AA62,"&gt;0")</f>
        <v>0</v>
      </c>
      <c r="AW62" s="56">
        <f>COUNTIF(AB62:AQ62,"&gt;0")</f>
        <v>0</v>
      </c>
      <c r="AX62" s="57">
        <f t="shared" si="11"/>
        <v>31</v>
      </c>
    </row>
    <row r="63" spans="2:50" ht="15.75" thickBot="1">
      <c r="B63" s="2"/>
      <c r="C63" s="40"/>
      <c r="D63" s="44"/>
      <c r="E63" s="44"/>
      <c r="F63" s="45"/>
      <c r="G63" s="45"/>
      <c r="H63" s="38"/>
    </row>
    <row r="64" spans="2:50" ht="15.75" customHeight="1" outlineLevel="1" thickBot="1">
      <c r="K64" t="s">
        <v>118</v>
      </c>
      <c r="L64" s="48" t="s">
        <v>75</v>
      </c>
      <c r="M64" s="120">
        <f>'[5]Rill HK'!B12</f>
        <v>0</v>
      </c>
      <c r="N64" s="120">
        <f>'[5]Rill HK'!C12</f>
        <v>0</v>
      </c>
      <c r="O64" s="120">
        <f>'[5]Rill HK'!D12</f>
        <v>0</v>
      </c>
      <c r="P64" s="120">
        <f>'[5]Rill HK'!E12</f>
        <v>0</v>
      </c>
      <c r="Q64" s="120">
        <f>'[5]Rill HK'!F12</f>
        <v>0</v>
      </c>
      <c r="R64" s="120">
        <f>'[5]Rill HK'!G12</f>
        <v>0</v>
      </c>
      <c r="S64" s="120">
        <f>'[5]Rill HK'!H12</f>
        <v>0</v>
      </c>
      <c r="T64" s="120">
        <f>'[5]Rill HK'!I12</f>
        <v>0</v>
      </c>
      <c r="U64" s="120">
        <f>'[5]Rill HK'!J12</f>
        <v>0</v>
      </c>
      <c r="V64" s="120">
        <f>'[5]Rill HK'!K12</f>
        <v>0</v>
      </c>
      <c r="W64" s="120">
        <f>'[5]Rill HK'!L12</f>
        <v>0</v>
      </c>
      <c r="X64" s="120">
        <f>'[5]Rill HK'!M12</f>
        <v>0</v>
      </c>
      <c r="Y64" s="120">
        <f>'[5]Rill HK'!N12</f>
        <v>0</v>
      </c>
      <c r="Z64" s="120">
        <f>'[5]Rill HK'!O12</f>
        <v>0</v>
      </c>
      <c r="AA64" s="120">
        <f>'[5]Rill HK'!P12</f>
        <v>0</v>
      </c>
      <c r="AB64" s="120">
        <f>'[5]Rill HK'!Q12</f>
        <v>0</v>
      </c>
      <c r="AC64" s="120">
        <f>'[5]Rill HK'!R12</f>
        <v>0</v>
      </c>
      <c r="AD64" s="120">
        <f>'[5]Rill HK'!S12</f>
        <v>0</v>
      </c>
      <c r="AE64" s="120">
        <f>'[5]Rill HK'!T12</f>
        <v>0</v>
      </c>
      <c r="AF64" s="120">
        <f>'[5]Rill HK'!U12</f>
        <v>0</v>
      </c>
      <c r="AG64" s="120">
        <f>'[5]Rill HK'!V12</f>
        <v>0</v>
      </c>
      <c r="AH64" s="120">
        <f>'[5]Rill HK'!W12</f>
        <v>0</v>
      </c>
      <c r="AI64" s="120">
        <f>'[5]Rill HK'!X12</f>
        <v>0</v>
      </c>
      <c r="AJ64" s="120">
        <f>'[5]Rill HK'!Y12</f>
        <v>0</v>
      </c>
      <c r="AK64" s="120">
        <f>'[5]Rill HK'!Z12</f>
        <v>0</v>
      </c>
      <c r="AL64" s="120">
        <f>'[5]Rill HK'!AA12</f>
        <v>0</v>
      </c>
      <c r="AM64" s="120">
        <f>'[5]Rill HK'!AB12</f>
        <v>0</v>
      </c>
      <c r="AN64" s="120">
        <f>'[5]Rill HK'!AC12</f>
        <v>0</v>
      </c>
      <c r="AO64" s="120">
        <f>'[5]Rill HK'!AD12</f>
        <v>0</v>
      </c>
      <c r="AP64" s="120">
        <f>'[5]Rill HK'!AE12</f>
        <v>0</v>
      </c>
      <c r="AQ64" s="120">
        <f>'[5]Rill HK'!AF12</f>
        <v>0</v>
      </c>
      <c r="AR64" s="286">
        <f>'[7]Rill HK'!T12</f>
        <v>1</v>
      </c>
      <c r="AS64" s="116"/>
      <c r="AT64">
        <f>'[7]Rill HK'!U12</f>
        <v>1</v>
      </c>
      <c r="AU64" s="48">
        <f>SUM(M64:AQ64)</f>
        <v>0</v>
      </c>
      <c r="AV64" s="48">
        <f>(SUM(M64:AA64))</f>
        <v>0</v>
      </c>
      <c r="AW64" s="48">
        <f>SUM(AB64:AQ64)</f>
        <v>0</v>
      </c>
      <c r="AX64" s="49">
        <f t="shared" ref="AX64" si="16">$AR$4-AU64</f>
        <v>31</v>
      </c>
    </row>
    <row r="65" spans="2:52" ht="16.5" customHeight="1" outlineLevel="1" thickBot="1">
      <c r="L65" s="50" t="s">
        <v>76</v>
      </c>
      <c r="M65" s="121"/>
      <c r="N65" s="121"/>
      <c r="O65" s="121"/>
      <c r="P65" s="123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6"/>
      <c r="AB65" s="121"/>
      <c r="AC65" s="121"/>
      <c r="AD65" s="121"/>
      <c r="AE65" s="121"/>
      <c r="AF65" s="121"/>
      <c r="AG65" s="124"/>
      <c r="AH65" s="121"/>
      <c r="AI65" s="121"/>
      <c r="AJ65" s="121"/>
      <c r="AK65" s="121"/>
      <c r="AL65" s="121"/>
      <c r="AM65" s="121"/>
      <c r="AN65" s="121"/>
      <c r="AO65" s="121"/>
      <c r="AP65" s="121"/>
      <c r="AQ65" s="125"/>
      <c r="AR65" s="287"/>
      <c r="AS65" s="116"/>
      <c r="AU65" s="50">
        <f>SUM(M65:AQ65)</f>
        <v>0</v>
      </c>
      <c r="AV65" s="50">
        <f>(SUM(M65:AA65))</f>
        <v>0</v>
      </c>
      <c r="AW65" s="50">
        <f>SUM(AB65:AQ65)</f>
        <v>0</v>
      </c>
      <c r="AX65" s="51">
        <f t="shared" si="11"/>
        <v>31</v>
      </c>
    </row>
    <row r="66" spans="2:52" ht="15" customHeight="1" outlineLevel="1">
      <c r="L66" s="52" t="s">
        <v>89</v>
      </c>
      <c r="M66" s="126"/>
      <c r="N66" s="126"/>
      <c r="O66" s="126"/>
      <c r="P66" s="126"/>
      <c r="Q66" s="129"/>
      <c r="R66" s="129"/>
      <c r="S66" s="126"/>
      <c r="T66" s="126"/>
      <c r="U66" s="126"/>
      <c r="V66" s="129"/>
      <c r="W66" s="126"/>
      <c r="X66" s="126"/>
      <c r="Y66" s="129"/>
      <c r="Z66" s="129"/>
      <c r="AA66" s="126"/>
      <c r="AB66" s="129"/>
      <c r="AC66" s="129"/>
      <c r="AD66" s="126"/>
      <c r="AE66" s="126"/>
      <c r="AF66" s="126"/>
      <c r="AG66" s="126"/>
      <c r="AH66" s="126"/>
      <c r="AI66" s="129"/>
      <c r="AJ66" s="129"/>
      <c r="AK66" s="126"/>
      <c r="AL66" s="126"/>
      <c r="AM66" s="126"/>
      <c r="AN66" s="129"/>
      <c r="AO66" s="126"/>
      <c r="AP66" s="129"/>
      <c r="AQ66" s="130"/>
      <c r="AR66" s="287"/>
      <c r="AS66" s="116"/>
      <c r="AU66" s="52">
        <f>SUM(M66:AQ66)</f>
        <v>0</v>
      </c>
      <c r="AV66" s="52">
        <f>(SUM(M66:AA66))</f>
        <v>0</v>
      </c>
      <c r="AW66" s="52">
        <f>SUM(AB66:AQ66)</f>
        <v>0</v>
      </c>
      <c r="AX66" s="53">
        <f t="shared" si="11"/>
        <v>31</v>
      </c>
    </row>
    <row r="67" spans="2:52" ht="15.75" customHeight="1" outlineLevel="1">
      <c r="L67" s="54" t="s">
        <v>150</v>
      </c>
      <c r="M67" s="131"/>
      <c r="N67" s="131"/>
      <c r="O67" s="131"/>
      <c r="P67" s="133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4"/>
      <c r="AH67" s="131"/>
      <c r="AI67" s="131"/>
      <c r="AJ67" s="131"/>
      <c r="AK67" s="131"/>
      <c r="AL67" s="131"/>
      <c r="AM67" s="131"/>
      <c r="AN67" s="131"/>
      <c r="AO67" s="131"/>
      <c r="AP67" s="131"/>
      <c r="AQ67" s="135"/>
      <c r="AR67" s="287"/>
      <c r="AS67" s="116"/>
      <c r="AU67" s="54">
        <f>SUM(M67:AQ67)</f>
        <v>0</v>
      </c>
      <c r="AV67" s="54">
        <f>(SUM(M67:AA67))</f>
        <v>0</v>
      </c>
      <c r="AW67" s="54">
        <f>SUM(AB67:AQ67)</f>
        <v>0</v>
      </c>
      <c r="AX67" s="55">
        <f t="shared" si="11"/>
        <v>31</v>
      </c>
    </row>
    <row r="68" spans="2:52" ht="15.75" customHeight="1" outlineLevel="1" thickBot="1">
      <c r="L68" s="56" t="s">
        <v>39</v>
      </c>
      <c r="M68" s="136">
        <f t="shared" ref="M68:AQ68" si="17">COUNTIF(M64:M67,"&gt;0")</f>
        <v>0</v>
      </c>
      <c r="N68" s="136">
        <f t="shared" si="17"/>
        <v>0</v>
      </c>
      <c r="O68" s="136">
        <f t="shared" si="17"/>
        <v>0</v>
      </c>
      <c r="P68" s="138">
        <f t="shared" si="17"/>
        <v>0</v>
      </c>
      <c r="Q68" s="136">
        <f t="shared" si="17"/>
        <v>0</v>
      </c>
      <c r="R68" s="136">
        <f t="shared" si="17"/>
        <v>0</v>
      </c>
      <c r="S68" s="136">
        <f t="shared" si="17"/>
        <v>0</v>
      </c>
      <c r="T68" s="136">
        <f t="shared" si="17"/>
        <v>0</v>
      </c>
      <c r="U68" s="136">
        <f t="shared" si="17"/>
        <v>0</v>
      </c>
      <c r="V68" s="136">
        <f t="shared" si="17"/>
        <v>0</v>
      </c>
      <c r="W68" s="136">
        <f t="shared" si="17"/>
        <v>0</v>
      </c>
      <c r="X68" s="136">
        <f t="shared" si="17"/>
        <v>0</v>
      </c>
      <c r="Y68" s="136">
        <f t="shared" si="17"/>
        <v>0</v>
      </c>
      <c r="Z68" s="136">
        <f t="shared" si="17"/>
        <v>0</v>
      </c>
      <c r="AA68" s="136">
        <f t="shared" si="17"/>
        <v>0</v>
      </c>
      <c r="AB68" s="136">
        <f t="shared" si="17"/>
        <v>0</v>
      </c>
      <c r="AC68" s="136">
        <f t="shared" si="17"/>
        <v>0</v>
      </c>
      <c r="AD68" s="136">
        <f t="shared" si="17"/>
        <v>0</v>
      </c>
      <c r="AE68" s="136">
        <f t="shared" si="17"/>
        <v>0</v>
      </c>
      <c r="AF68" s="136">
        <f t="shared" si="17"/>
        <v>0</v>
      </c>
      <c r="AG68" s="136">
        <f t="shared" si="17"/>
        <v>0</v>
      </c>
      <c r="AH68" s="136">
        <f t="shared" si="17"/>
        <v>0</v>
      </c>
      <c r="AI68" s="136">
        <f t="shared" si="17"/>
        <v>0</v>
      </c>
      <c r="AJ68" s="136">
        <f t="shared" si="17"/>
        <v>0</v>
      </c>
      <c r="AK68" s="136">
        <f t="shared" si="17"/>
        <v>0</v>
      </c>
      <c r="AL68" s="136">
        <f t="shared" si="17"/>
        <v>0</v>
      </c>
      <c r="AM68" s="136">
        <f t="shared" si="17"/>
        <v>0</v>
      </c>
      <c r="AN68" s="136">
        <f t="shared" si="17"/>
        <v>0</v>
      </c>
      <c r="AO68" s="136">
        <f t="shared" si="17"/>
        <v>0</v>
      </c>
      <c r="AP68" s="136">
        <f t="shared" si="17"/>
        <v>0</v>
      </c>
      <c r="AQ68" s="139">
        <f t="shared" si="17"/>
        <v>0</v>
      </c>
      <c r="AR68" s="288"/>
      <c r="AS68" s="116"/>
      <c r="AU68" s="56">
        <f>COUNTIF(M68:AQ68,"&gt;0")</f>
        <v>0</v>
      </c>
      <c r="AV68" s="56">
        <f>COUNTIF(M68:AA68,"&gt;0")</f>
        <v>0</v>
      </c>
      <c r="AW68" s="56">
        <f>COUNTIF(AB68:AQ68,"&gt;0")</f>
        <v>0</v>
      </c>
      <c r="AX68" s="57">
        <f t="shared" si="11"/>
        <v>31</v>
      </c>
    </row>
    <row r="69" spans="2:52" ht="15.75" thickBot="1">
      <c r="B69" s="2"/>
      <c r="C69" s="40"/>
      <c r="D69" s="44"/>
      <c r="E69" s="44"/>
      <c r="F69" s="45"/>
      <c r="G69" s="45"/>
      <c r="H69" s="38"/>
    </row>
    <row r="70" spans="2:52" outlineLevel="1">
      <c r="K70" t="s">
        <v>84</v>
      </c>
      <c r="L70" s="48" t="s">
        <v>75</v>
      </c>
      <c r="M70" s="120">
        <f>'[5]Rill HK'!B13</f>
        <v>0</v>
      </c>
      <c r="N70" s="120">
        <f>'[5]Rill HK'!C13</f>
        <v>0</v>
      </c>
      <c r="O70" s="120">
        <f>'[5]Rill HK'!D13</f>
        <v>0</v>
      </c>
      <c r="P70" s="120">
        <f>'[5]Rill HK'!E13</f>
        <v>0</v>
      </c>
      <c r="Q70" s="120">
        <f>'[5]Rill HK'!F13</f>
        <v>0</v>
      </c>
      <c r="R70" s="120">
        <f>'[5]Rill HK'!G13</f>
        <v>0</v>
      </c>
      <c r="S70" s="120">
        <f>'[5]Rill HK'!H13</f>
        <v>0</v>
      </c>
      <c r="T70" s="120">
        <f>'[5]Rill HK'!I13</f>
        <v>0</v>
      </c>
      <c r="U70" s="120">
        <f>'[5]Rill HK'!J13</f>
        <v>0</v>
      </c>
      <c r="V70" s="120">
        <f>'[5]Rill HK'!K13</f>
        <v>0</v>
      </c>
      <c r="W70" s="120">
        <f>'[5]Rill HK'!L13</f>
        <v>0</v>
      </c>
      <c r="X70" s="120">
        <f>'[5]Rill HK'!M13</f>
        <v>0</v>
      </c>
      <c r="Y70" s="120">
        <f>'[5]Rill HK'!N13</f>
        <v>0</v>
      </c>
      <c r="Z70" s="120">
        <f>'[5]Rill HK'!O13</f>
        <v>0</v>
      </c>
      <c r="AA70" s="120">
        <f>'[5]Rill HK'!P13</f>
        <v>0</v>
      </c>
      <c r="AB70" s="120">
        <f>'[5]Rill HK'!Q13</f>
        <v>0</v>
      </c>
      <c r="AC70" s="120">
        <f>'[5]Rill HK'!R13</f>
        <v>0</v>
      </c>
      <c r="AD70" s="120">
        <f>'[5]Rill HK'!S13</f>
        <v>0</v>
      </c>
      <c r="AE70" s="120">
        <f>'[5]Rill HK'!T13</f>
        <v>0</v>
      </c>
      <c r="AF70" s="120">
        <f>'[5]Rill HK'!U13</f>
        <v>0</v>
      </c>
      <c r="AG70" s="120">
        <f>'[5]Rill HK'!V13</f>
        <v>0</v>
      </c>
      <c r="AH70" s="120">
        <f>'[5]Rill HK'!W13</f>
        <v>0</v>
      </c>
      <c r="AI70" s="120">
        <f>'[5]Rill HK'!X13</f>
        <v>0</v>
      </c>
      <c r="AJ70" s="120">
        <f>'[5]Rill HK'!Y13</f>
        <v>0</v>
      </c>
      <c r="AK70" s="120">
        <f>'[5]Rill HK'!Z13</f>
        <v>0</v>
      </c>
      <c r="AL70" s="120">
        <f>'[5]Rill HK'!AA13</f>
        <v>0</v>
      </c>
      <c r="AM70" s="120">
        <f>'[5]Rill HK'!AB13</f>
        <v>0</v>
      </c>
      <c r="AN70" s="120">
        <f>'[5]Rill HK'!AC13</f>
        <v>0</v>
      </c>
      <c r="AO70" s="120">
        <f>'[5]Rill HK'!AD13</f>
        <v>0</v>
      </c>
      <c r="AP70" s="120">
        <f>'[5]Rill HK'!AE13</f>
        <v>0</v>
      </c>
      <c r="AQ70" s="120">
        <f>'[5]Rill HK'!AF13</f>
        <v>0</v>
      </c>
      <c r="AR70" s="286">
        <v>31</v>
      </c>
      <c r="AS70" s="116"/>
      <c r="AU70" s="48">
        <f>SUM(M70:AQ70)</f>
        <v>0</v>
      </c>
      <c r="AV70" s="48">
        <f>(SUM(M70:AA70))</f>
        <v>0</v>
      </c>
      <c r="AW70" s="48">
        <f>SUM(AB70:AQ70)</f>
        <v>0</v>
      </c>
      <c r="AX70" s="49">
        <f t="shared" ref="AX70" si="18">$AR$4-AU70</f>
        <v>31</v>
      </c>
    </row>
    <row r="71" spans="2:52" ht="16.5" outlineLevel="1" thickBot="1">
      <c r="L71" s="50" t="s">
        <v>76</v>
      </c>
      <c r="M71" s="121"/>
      <c r="N71" s="121"/>
      <c r="O71" s="121"/>
      <c r="P71" s="123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4"/>
      <c r="AH71" s="121"/>
      <c r="AI71" s="121"/>
      <c r="AJ71" s="121"/>
      <c r="AK71" s="121"/>
      <c r="AL71" s="121"/>
      <c r="AM71" s="121"/>
      <c r="AN71" s="121"/>
      <c r="AO71" s="121"/>
      <c r="AP71" s="121"/>
      <c r="AQ71" s="125"/>
      <c r="AR71" s="287"/>
      <c r="AS71" s="116"/>
      <c r="AU71" s="50">
        <f>SUM(M71:AQ71)</f>
        <v>0</v>
      </c>
      <c r="AV71" s="50">
        <f>(SUM(M71:AA71))</f>
        <v>0</v>
      </c>
      <c r="AW71" s="50">
        <f>SUM(AB71:AQ71)</f>
        <v>0</v>
      </c>
      <c r="AX71" s="51">
        <f t="shared" si="11"/>
        <v>31</v>
      </c>
    </row>
    <row r="72" spans="2:52" outlineLevel="1">
      <c r="L72" s="52" t="s">
        <v>89</v>
      </c>
      <c r="M72" s="126"/>
      <c r="N72" s="126"/>
      <c r="O72" s="126"/>
      <c r="P72" s="128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30"/>
      <c r="AR72" s="287"/>
      <c r="AS72" s="116"/>
      <c r="AU72" s="52">
        <f>SUM(M72:AQ72)</f>
        <v>0</v>
      </c>
      <c r="AV72" s="52">
        <f>(SUM(M72:AA72))</f>
        <v>0</v>
      </c>
      <c r="AW72" s="52">
        <f>SUM(AB72:AQ72)</f>
        <v>0</v>
      </c>
      <c r="AX72" s="53">
        <f t="shared" si="11"/>
        <v>31</v>
      </c>
    </row>
    <row r="73" spans="2:52" ht="15.75" outlineLevel="1">
      <c r="L73" s="54" t="s">
        <v>150</v>
      </c>
      <c r="M73" s="131"/>
      <c r="N73" s="131"/>
      <c r="O73" s="131"/>
      <c r="P73" s="133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4"/>
      <c r="AH73" s="131"/>
      <c r="AI73" s="131"/>
      <c r="AJ73" s="131"/>
      <c r="AK73" s="131"/>
      <c r="AL73" s="131"/>
      <c r="AM73" s="131"/>
      <c r="AN73" s="131"/>
      <c r="AO73" s="131"/>
      <c r="AP73" s="131"/>
      <c r="AQ73" s="135"/>
      <c r="AR73" s="287"/>
      <c r="AS73" s="116"/>
      <c r="AU73" s="54">
        <f>SUM(M73:AQ73)</f>
        <v>0</v>
      </c>
      <c r="AV73" s="54">
        <f>(SUM(M73:AA73))</f>
        <v>0</v>
      </c>
      <c r="AW73" s="54">
        <f>SUM(AB73:AQ73)</f>
        <v>0</v>
      </c>
      <c r="AX73" s="55">
        <f t="shared" si="11"/>
        <v>31</v>
      </c>
    </row>
    <row r="74" spans="2:52" ht="15.75" outlineLevel="1" thickBot="1">
      <c r="L74" s="56" t="s">
        <v>39</v>
      </c>
      <c r="M74" s="136">
        <f t="shared" ref="M74:AQ74" si="19">COUNTIF(M70:M73,"&gt;0")</f>
        <v>0</v>
      </c>
      <c r="N74" s="136">
        <f t="shared" si="19"/>
        <v>0</v>
      </c>
      <c r="O74" s="136">
        <f t="shared" si="19"/>
        <v>0</v>
      </c>
      <c r="P74" s="138">
        <f t="shared" si="19"/>
        <v>0</v>
      </c>
      <c r="Q74" s="136">
        <f t="shared" si="19"/>
        <v>0</v>
      </c>
      <c r="R74" s="136">
        <f t="shared" si="19"/>
        <v>0</v>
      </c>
      <c r="S74" s="136">
        <f t="shared" si="19"/>
        <v>0</v>
      </c>
      <c r="T74" s="136">
        <f t="shared" si="19"/>
        <v>0</v>
      </c>
      <c r="U74" s="136">
        <f t="shared" si="19"/>
        <v>0</v>
      </c>
      <c r="V74" s="136">
        <f t="shared" si="19"/>
        <v>0</v>
      </c>
      <c r="W74" s="136">
        <f t="shared" si="19"/>
        <v>0</v>
      </c>
      <c r="X74" s="136">
        <f t="shared" si="19"/>
        <v>0</v>
      </c>
      <c r="Y74" s="136">
        <f t="shared" si="19"/>
        <v>0</v>
      </c>
      <c r="Z74" s="136">
        <f t="shared" si="19"/>
        <v>0</v>
      </c>
      <c r="AA74" s="136">
        <f t="shared" si="19"/>
        <v>0</v>
      </c>
      <c r="AB74" s="136">
        <f t="shared" si="19"/>
        <v>0</v>
      </c>
      <c r="AC74" s="136">
        <f t="shared" si="19"/>
        <v>0</v>
      </c>
      <c r="AD74" s="136">
        <f t="shared" si="19"/>
        <v>0</v>
      </c>
      <c r="AE74" s="136">
        <f t="shared" si="19"/>
        <v>0</v>
      </c>
      <c r="AF74" s="136">
        <f t="shared" si="19"/>
        <v>0</v>
      </c>
      <c r="AG74" s="136">
        <f t="shared" si="19"/>
        <v>0</v>
      </c>
      <c r="AH74" s="136">
        <f t="shared" si="19"/>
        <v>0</v>
      </c>
      <c r="AI74" s="136">
        <f t="shared" si="19"/>
        <v>0</v>
      </c>
      <c r="AJ74" s="136">
        <f t="shared" si="19"/>
        <v>0</v>
      </c>
      <c r="AK74" s="136">
        <f t="shared" si="19"/>
        <v>0</v>
      </c>
      <c r="AL74" s="136">
        <f t="shared" si="19"/>
        <v>0</v>
      </c>
      <c r="AM74" s="136">
        <f t="shared" si="19"/>
        <v>0</v>
      </c>
      <c r="AN74" s="136">
        <f t="shared" si="19"/>
        <v>0</v>
      </c>
      <c r="AO74" s="136">
        <f t="shared" si="19"/>
        <v>0</v>
      </c>
      <c r="AP74" s="136">
        <f t="shared" si="19"/>
        <v>0</v>
      </c>
      <c r="AQ74" s="139">
        <f t="shared" si="19"/>
        <v>0</v>
      </c>
      <c r="AR74" s="288"/>
      <c r="AS74" s="116"/>
      <c r="AU74" s="56">
        <f>COUNTIF(M74:AQ74,"&gt;0")</f>
        <v>0</v>
      </c>
      <c r="AV74" s="56">
        <f>COUNTIF(M74:AA74,"&gt;0")</f>
        <v>0</v>
      </c>
      <c r="AW74" s="56">
        <f>COUNTIF(AB74:AQ74,"&gt;0")</f>
        <v>0</v>
      </c>
      <c r="AX74" s="57">
        <f t="shared" si="11"/>
        <v>31</v>
      </c>
    </row>
    <row r="80" spans="2:52">
      <c r="AZ80" t="s">
        <v>90</v>
      </c>
    </row>
  </sheetData>
  <mergeCells count="18">
    <mergeCell ref="AR64:AR68"/>
    <mergeCell ref="AR70:AR74"/>
    <mergeCell ref="AR34:AR38"/>
    <mergeCell ref="AR40:AR44"/>
    <mergeCell ref="AR58:AR62"/>
    <mergeCell ref="AR46:AR50"/>
    <mergeCell ref="AR52:AR56"/>
    <mergeCell ref="AR4:AR8"/>
    <mergeCell ref="AR10:AR14"/>
    <mergeCell ref="AR16:AR20"/>
    <mergeCell ref="AR22:AR26"/>
    <mergeCell ref="AR28:AR32"/>
    <mergeCell ref="B23:B24"/>
    <mergeCell ref="C23:E23"/>
    <mergeCell ref="F23:H23"/>
    <mergeCell ref="C3:E3"/>
    <mergeCell ref="F3:H3"/>
    <mergeCell ref="B3:B4"/>
  </mergeCells>
  <conditionalFormatting sqref="M4:AQ8 M10:AQ14 M16:AQ20 M28:AQ32 M34:AQ38 M40:AQ44 M46:AQ50 M52:AQ56 M58:AQ62 M64:AQ68 M70:AQ74 M22:AQ26"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conditionalFormatting sqref="M50:AQ50 M8:AQ8 M14:AQ14 M20:AQ20 M26:AQ26 M32:AQ32 M38:AQ38 M44:AQ44 M74:AQ74 M56:AQ56 M68:AQ68 M58:AQ62 AM64:AQ64">
    <cfRule type="cellIs" dxfId="0" priority="19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dasboard</vt:lpstr>
      <vt:lpstr>Konsumsi &amp; Pareto Bulanan</vt:lpstr>
      <vt:lpstr>Konsumsi &amp; Pareto 2 Mingguan</vt:lpstr>
      <vt:lpstr>HK - BDGT</vt:lpstr>
      <vt:lpstr>Tonase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prathama.sindhu</dc:creator>
  <cp:lastModifiedBy>prathama.sindhu</cp:lastModifiedBy>
  <dcterms:created xsi:type="dcterms:W3CDTF">2018-03-29T07:06:29Z</dcterms:created>
  <dcterms:modified xsi:type="dcterms:W3CDTF">2020-07-16T09:24:06Z</dcterms:modified>
</cp:coreProperties>
</file>