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styles.xml" ContentType="application/vnd.openxmlformats-officedocument.spreadsheetml.styles+xml"/>
  <Override PartName="/xl/drawings/vmlDrawing1.vml" ContentType="application/vnd.openxmlformats-officedocument.vmlDrawing"/>
  <Override PartName="/xl/workbook.xml" ContentType="application/vnd.openxmlformats-officedocument.spreadsheetml.sheet.main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pl_sharp_el-w516x. " sheetId="1" state="visible" r:id="rId2"/>
  </sheets>
  <definedNames>
    <definedName function="false" hidden="false" name="BoardQty" vbProcedure="false">'repl_sharp_el-w516x. '!$H$1</definedName>
    <definedName function="false" hidden="false" name="CAD_USD" vbProcedure="false">'repl_sharp_el-w516x. '!$C$43</definedName>
    <definedName function="false" hidden="false" name="digikey_part_data" vbProcedure="false">'repl_sharp_el-w516x. '!$I$5:$M$40</definedName>
    <definedName function="false" hidden="false" name="global_part_data" vbProcedure="false">'repl_sharp_el-w516x. '!$A$5:$H$40</definedName>
    <definedName function="false" hidden="false" name="TotalCost" vbProcedure="false">'repl_sharp_el-w516x. '!$H$3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6" authorId="0">
      <text>
        <r>
          <rPr>
            <sz val="8"/>
            <color rgb="FF000000"/>
            <rFont val="Tahoma"/>
            <family val="2"/>
            <charset val="1"/>
          </rPr>
          <t xml:space="preserve">Schematic identifier for each part.</t>
        </r>
      </text>
    </comment>
    <comment ref="B6" authorId="0">
      <text>
        <r>
          <rPr>
            <sz val="8"/>
            <color rgb="FF000000"/>
            <rFont val="Tahoma"/>
            <family val="2"/>
            <charset val="1"/>
          </rPr>
          <t xml:space="preserve">Value of each part.</t>
        </r>
      </text>
    </comment>
    <comment ref="C6" authorId="0">
      <text>
        <r>
          <rPr>
            <sz val="8"/>
            <color rgb="FF000000"/>
            <rFont val="Tahoma"/>
            <family val="2"/>
            <charset val="1"/>
          </rPr>
          <t xml:space="preserve">Description of each part.</t>
        </r>
      </text>
    </comment>
    <comment ref="D6" authorId="0">
      <text>
        <r>
          <rPr>
            <sz val="8"/>
            <color rgb="FF000000"/>
            <rFont val="Tahoma"/>
            <family val="2"/>
            <charset val="1"/>
          </rPr>
          <t xml:space="preserve">PCB footprint for each part.</t>
        </r>
      </text>
    </comment>
    <comment ref="E6" authorId="0">
      <text>
        <r>
          <rPr>
            <sz val="8"/>
            <color rgb="FF000000"/>
            <rFont val="Tahoma"/>
            <family val="2"/>
            <charset val="1"/>
          </rPr>
          <t xml:space="preserve">Manufacturer number for each part and link to it's datasheet (ctrl-click).
Purple -&gt; Obsolete part detected by one of the distributors.</t>
        </r>
      </text>
    </comment>
    <comment ref="F6" authorId="0">
      <text>
        <r>
          <rPr>
            <sz val="8"/>
            <color rgb="FF000000"/>
            <rFont val="Tahoma"/>
            <family val="2"/>
            <charset val="1"/>
          </rPr>
          <t xml:space="preserve">Total number of each part needed.
Gray -&gt; No manf# provided.
Red -&gt; No parts available.
Orange -&gt; Not enough parts available.
Yellow -&gt; Parts available, but haven't purchased enough.</t>
        </r>
      </text>
    </comment>
    <comment ref="G3" authorId="0">
      <text>
        <r>
          <rPr>
            <sz val="8"/>
            <color rgb="FF000000"/>
            <rFont val="Tahoma"/>
            <family val="2"/>
            <charset val="1"/>
          </rPr>
          <t xml:space="preserve">Use the minimum extend price across distributors not taking account available quantities.</t>
        </r>
      </text>
    </comment>
    <comment ref="G6" authorId="0">
      <text>
        <r>
          <rPr>
            <sz val="8"/>
            <color rgb="FF000000"/>
            <rFont val="Tahoma"/>
            <family val="2"/>
            <charset val="1"/>
          </rPr>
          <t xml:space="preserve">Minimum unit price for each part across all distributors.</t>
        </r>
      </text>
    </comment>
    <comment ref="G42" authorId="0">
      <text>
        <r>
          <rPr>
            <sz val="8"/>
            <color rgb="FF000000"/>
            <rFont val="Tahoma"/>
            <family val="2"/>
            <charset val="1"/>
          </rPr>
          <t xml:space="preserve">This is the total of your cart across all distributors.</t>
        </r>
      </text>
    </comment>
    <comment ref="H6" authorId="0">
      <text>
        <r>
          <rPr>
            <sz val="8"/>
            <color rgb="FF000000"/>
            <rFont val="Tahoma"/>
            <family val="2"/>
            <charset val="1"/>
          </rPr>
          <t xml:space="preserve">Minimum extended price for each part across all distributors.</t>
        </r>
      </text>
    </comment>
    <comment ref="I6" authorId="0">
      <text>
        <r>
          <rPr>
            <sz val="8"/>
            <color rgb="FF000000"/>
            <rFont val="Tahoma"/>
            <family val="2"/>
            <charset val="1"/>
          </rPr>
          <t xml:space="preserve">Available quantity of each part at the distributor.
Red -&gt; No quantity available.
Orange -&gt; Too little quantity available.</t>
        </r>
      </text>
    </comment>
    <comment ref="J6" authorId="0">
      <text>
        <r>
          <rPr>
            <sz val="8"/>
            <color rgb="FF000000"/>
            <rFont val="Tahoma"/>
            <family val="2"/>
            <charset val="1"/>
          </rPr>
          <t xml:space="preserve">Purchase quantity of each part from this distributor.
Yellow -&gt; This part have a minimum purchase quantity bigger than 1 (check the price breaks).
Red -&gt; Purchasing more than the available quantity.</t>
        </r>
      </text>
    </comment>
    <comment ref="J42" authorId="0">
      <text>
        <r>
          <rPr>
            <sz val="8"/>
            <color rgb="FF000000"/>
            <rFont val="Tahoma"/>
            <family val="2"/>
            <charset val="1"/>
          </rPr>
          <t xml:space="preserve">Copy the information below to the BOM import page of the distributor web site.</t>
        </r>
      </text>
    </comment>
    <comment ref="K6" authorId="0">
      <text>
        <r>
          <rPr>
            <sz val="8"/>
            <color rgb="FF000000"/>
            <rFont val="Tahoma"/>
            <family val="2"/>
            <charset val="1"/>
          </rPr>
          <t xml:space="preserve">Unit price of each part from this distributor.
Green -&gt; lowest price across distributors.</t>
        </r>
      </text>
    </comment>
    <comment ref="K7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(USD):
  Qty  -  Unit$  -  Ext$
================
     1   $0.10      $0.10
    10   $0.05      $0.46
   100   $0.02      $2.05
   500   $0.01      $7.33
  1000   $0.01     $11.52
  4000   $0.01     $33.52
  8000   $0.01     $61.20
 12000   $0.01     $87.48</t>
        </r>
      </text>
    </comment>
    <comment ref="K8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(USD):
  Qty  -  Unit$  -  Ext$
================
     1   $0.10      $0.10
    10   $0.06      $0.55
   100   $0.02      $2.45
   500   $0.02      $8.75
  1000   $0.01     $13.75
  4000   $0.01     $46.00
  8000   $0.01     $84.00
 12000   $0.01    $120.00</t>
        </r>
      </text>
    </comment>
    <comment ref="K9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(USD):
  Qty  -  Unit$  -  Ext$
================
     1   $0.60      $0.60
    10   $0.42      $4.23
   100   $0.28     $27.84
   500   $0.21    $103.12
  1000   $0.18    $175.30
  2000   $0.14    $273.28
  4000   $0.13    $512.40
 10000   $0.12  $1,195.60
 14000   $0.12  $1,644.02
 50000   $0.12  $5,807.00</t>
        </r>
      </text>
    </comment>
    <comment ref="K10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(USD):
  Qty  -  Unit$  -  Ext$
================
     1   $0.10      $0.10
    10   $0.03      $0.29
   100   $0.01      $1.30
   500   $0.01      $4.64
  1000   $0.01      $7.29
  4000   $0.01     $21.16
  8000   $0.00     $38.64
 12000   $0.00     $55.20</t>
        </r>
      </text>
    </comment>
    <comment ref="K11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(USD):
  Qty  -  Unit$  -  Ext$
================
     1   $0.10      $0.10
    10   $0.04      $0.38
   100   $0.02      $1.68
   500   $0.01      $6.00
  1000   $0.01      $9.43
  4000   $0.01     $27.44
  8000   $0.01     $50.08
 12000   $0.01     $71.52</t>
        </r>
      </text>
    </comment>
    <comment ref="K12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(USD):
  Qty  -  Unit$  -  Ext$
================
     1   $0.22      $0.22
    10   $0.16      $1.62
    25   $0.12      $2.98
   100   $0.09      $8.53
   250   $0.06     $14.49
   500   $0.05     $25.58
  1000   $0.04     $40.07
  3000   $0.04    $106.95
  6000   $0.03    $186.00
 15000   $0.03    $418.50
 30000   $0.02    $744.00
 75000   $0.02  $1,686.00
150000   $0.02  $3,255.00</t>
        </r>
      </text>
    </comment>
    <comment ref="K13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(USD):
  Qty  -  Unit$  -  Ext$
================
     1   $0.22      $0.22
    10   $0.16      $1.62
    25   $0.12      $2.98
   100   $0.09      $8.53
   250   $0.06     $14.49
   500   $0.05     $25.58
  1000   $0.04     $40.07
  3000   $0.04    $106.95
  6000   $0.03    $186.00
 15000   $0.03    $418.50
 30000   $0.02    $744.00
 75000   $0.02  $1,686.00
150000   $0.02  $3,255.00</t>
        </r>
      </text>
    </comment>
    <comment ref="K14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(USD):
  Qty  -  Unit$  -  Ext$
================
     1   $0.22      $0.22
    10   $0.16      $1.62
    25   $0.12      $2.98
   100   $0.09      $8.53
   250   $0.06     $14.49
   500   $0.05     $25.58
  1000   $0.04     $40.07
  3000   $0.04    $106.95
  6000   $0.03    $186.00
 15000   $0.03    $418.50
 30000   $0.02    $744.00
 75000   $0.02  $1,686.00
150000   $0.02  $3,255.00</t>
        </r>
      </text>
    </comment>
    <comment ref="K15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(USD):
  Qty  -  Unit$  -  Ext$
================
     1   $0.17      $0.17
    10   $0.16      $1.56
   100   $0.10     $10.20
   500   $0.05     $24.93
  1000   $0.03     $33.99
  2500   $0.03     $72.22
  5000   $0.03    $126.50
 10000   $0.02    $220.00
 25000   $0.02    $495.00
 50000   $0.02    $880.00
125000   $0.02  $1,925.00</t>
        </r>
      </text>
    </comment>
    <comment ref="K16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(USD):
  Qty  -  Unit$  -  Ext$
================
     1  $11.00     $11.00
     5  $10.34     $51.70
    10   $9.68     $96.80
    50   $9.13    $456.50
   100   $8.69    $869.00
   250   $8.25  $2,062.50
   500   $7.92  $3,960.01</t>
        </r>
      </text>
    </comment>
    <comment ref="K17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(USD):
  Qty  -  Unit$  -  Ext$
================
     1   $0.42      $0.42
    10   $0.39      $3.93
    25   $0.35      $8.84
    50   $0.31     $15.72
   100   $0.30     $30.13
   250   $0.28     $68.78
   500   $0.26    $131.01
  1400   $0.21    $291.80
  2800   $0.19    $533.57
  7000   $0.18  $1,250.55
  9800   $0.17  $1,634.05
 14000   $0.16  $2,251.06
 35000   $0.16  $5,544.00</t>
        </r>
      </text>
    </comment>
    <comment ref="K20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(USD):
  Qty  -  Unit$  -  Ext$
================
     1   $0.10      $0.10
    10   $0.02      $0.24
   100   $0.01      $0.97
  1000   $0.00      $4.37
  2500   $0.00      $9.48
  5000   $0.00     $14.25
 10000   $0.00     $24.80
 25000   $0.00     $54.50
 50000   $0.00    $100.00
125000   $0.00    $245.00</t>
        </r>
      </text>
    </comment>
    <comment ref="K21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(USD):
  Qty  -  Unit$  -  Ext$
================
     1   $0.10      $0.10
    10   $0.02      $0.24
   100   $0.01      $0.97
  1000   $0.00      $4.37
  2500   $0.00      $9.48
  5000   $0.00     $14.25
 10000   $0.00     $24.80
 25000   $0.00     $54.50
 50000   $0.00    $100.00
125000   $0.00    $245.00</t>
        </r>
      </text>
    </comment>
    <comment ref="K22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(USD):
  Qty  -  Unit$  -  Ext$
================
     1   $0.10      $0.10
    10   $0.02      $0.24
   100   $0.01      $0.97
  1000   $0.00      $4.37
  2500   $0.00      $9.48
  5000   $0.00     $14.25
 10000   $0.00     $24.80
 25000   $0.00     $54.50
 50000   $0.00    $100.00
125000   $0.00    $245.00</t>
        </r>
      </text>
    </comment>
    <comment ref="K23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(USD):
  Qty  -  Unit$  -  Ext$
================
     1   $0.10      $0.10
    10   $0.02      $0.24
   100   $0.01      $0.97
  1000   $0.00      $4.37
  2500   $0.00      $9.48
  5000   $0.00     $14.25
 10000   $0.00     $24.80
 25000   $0.00     $54.50
 50000   $0.00    $100.00
125000   $0.00    $245.00</t>
        </r>
      </text>
    </comment>
    <comment ref="K24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(USD):
  Qty  -  Unit$  -  Ext$
================
     1   $0.10      $0.10
    10   $0.02      $0.24
   100   $0.01      $0.97
  1000   $0.00      $4.37
  2500   $0.00      $9.48
  5000   $0.00     $14.25
 10000   $0.00     $24.80
 25000   $0.00     $54.50
 50000   $0.00    $100.00
125000   $0.00    $245.00</t>
        </r>
      </text>
    </comment>
    <comment ref="K25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(USD):
  Qty  -  Unit$  -  Ext$
================
     1   $0.16      $0.16
    10   $0.16      $1.57
    25   $0.15      $3.79
    50   $0.15      $7.31
   100   $0.14     $13.81
   250   $0.13     $32.49
   500   $0.12     $62.26
  1000   $0.09     $86.14
  5000   $0.07    $356.85</t>
        </r>
      </text>
    </comment>
    <comment ref="K27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(USD):
  Qty  -  Unit$  -  Ext$
================
     1   $0.56      $0.56
    10   $0.54      $5.38
    25   $0.53     $13.16
    50   $0.47     $23.53
   100   $0.45     $44.81
   250   $0.44    $109.23
   500   $0.37    $184.86
  1000   $0.33    $325.92
  5000   $0.29  $1,425.90</t>
        </r>
      </text>
    </comment>
    <comment ref="K34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(USD):
  Qty  -  Unit$  -  Ext$
================
     1   $0.38      $0.38
    10   $0.31      $3.10
    50   $0.28     $14.19
   100   $0.21     $21.12
   250   $0.19     $47.85
   500   $0.16     $79.20
  1000   $0.12    $118.80
  2500   $0.11    $272.25
  5000   $0.10    $511.50</t>
        </r>
      </text>
    </comment>
    <comment ref="K35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(USD):
  Qty  -  Unit$  -  Ext$
================
     1   $4.20      $4.20
    25   $3.85     $96.31
   100   $3.49    $349.17
  1500   $3.49  $5,237.56</t>
        </r>
      </text>
    </comment>
    <comment ref="K36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(USD):
  Qty  -  Unit$  -  Ext$
================
     1   $0.51      $0.51
    10   $0.43      $4.33
   100   $0.32     $32.30
   500   $0.25    $126.90
  1000   $0.20    $196.11
  2500   $0.17    $434.00
  5000   $0.16    $812.00
 12500   $0.15  $1,890.00</t>
        </r>
      </text>
    </comment>
    <comment ref="K37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(USD):
  Qty  -  Unit$  -  Ext$
================
     1   $2.27      $2.27
    10   $2.04     $20.42
   100   $1.64    $164.10
   500   $1.35    $674.14
  1000   $1.12  $1,117.14
  3000   $1.01  $3,029.40
  6000   $0.97  $5,834.40</t>
        </r>
      </text>
    </comment>
    <comment ref="K38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(USD):
  Qty  -  Unit$  -  Ext$
================
     1   $0.42      $0.42
    10   $0.32      $3.17
   100   $0.20     $19.73
   500   $0.13     $67.48
  1000   $0.10    $103.82
  3000   $0.09    $272.16
  6000   $0.09    $514.08
 15000   $0.08  $1,171.80
 30000   $0.07  $2,192.40
 75000   $0.07  $4,914.00
150000   $0.06  $9,450.00</t>
        </r>
      </text>
    </comment>
    <comment ref="K39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(USD):
  Qty  -  Unit$  -  Ext$
================
     1   $1.24      $1.24
    10   $1.09     $10.94
    25   $1.03     $25.74
    50   $0.99     $49.34
   100   $0.94     $94.38
   250   $0.86    $214.50
   500   $0.77    $386.10
  1000   $0.62    $624.00
  2000   $0.58  $1,170.00
  3000   $0.57  $1,696.50
  5000   $0.55  $2,730.00
 10000   $0.52  $5,187.00</t>
        </r>
      </text>
    </comment>
    <comment ref="K40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(USD):
  Qty  -  Unit$  -  Ext$
================
     1   $0.69      $0.69
    10   $0.61      $6.07
    50   $0.57     $28.38
   100   $0.50     $50.16
   500   $0.48    $237.60
  1000   $0.38    $384.00
  3000   $0.36  $1,080.00
  5000   $0.35  $1,740.00
 10000   $0.34  $3,360.00</t>
        </r>
      </text>
    </comment>
    <comment ref="L6" authorId="0">
      <text>
        <r>
          <rPr>
            <sz val="8"/>
            <color rgb="FF000000"/>
            <rFont val="Tahoma"/>
            <family val="2"/>
            <charset val="1"/>
          </rPr>
          <t xml:space="preserve">(Unit Price) x (Purchase Qty) of each part from this distributor.
Red -&gt; Next price break is cheaper.
Green -&gt; Cheapest supplier.</t>
        </r>
      </text>
    </comment>
    <comment ref="M3" authorId="0">
      <text>
        <r>
          <rPr>
            <sz val="8"/>
            <color rgb="FF000000"/>
            <rFont val="Tahoma"/>
            <family val="2"/>
            <charset val="1"/>
          </rPr>
          <t xml:space="preserve">Number of parts found at this distributor.</t>
        </r>
      </text>
    </comment>
    <comment ref="M6" authorId="0">
      <text>
        <r>
          <rPr>
            <sz val="8"/>
            <color rgb="FF000000"/>
            <rFont val="Tahoma"/>
            <family val="2"/>
            <charset val="1"/>
          </rPr>
          <t xml:space="preserve">Distributor-assigned catalog number for each part and link to it's web page (ctrl-click). Extra distributor data is shown as comment.</t>
        </r>
      </text>
    </comment>
  </commentList>
</comments>
</file>

<file path=xl/sharedStrings.xml><?xml version="1.0" encoding="utf-8"?>
<sst xmlns="http://schemas.openxmlformats.org/spreadsheetml/2006/main" count="206" uniqueCount="181">
  <si>
    <t xml:space="preserve">Prj:</t>
  </si>
  <si>
    <t xml:space="preserve">SHARP_EL-W516X</t>
  </si>
  <si>
    <t xml:space="preserve">Board Qty:</t>
  </si>
  <si>
    <t xml:space="preserve">Co.:</t>
  </si>
  <si>
    <t xml:space="preserve">Unit Cost:</t>
  </si>
  <si>
    <t xml:space="preserve">Prj date:</t>
  </si>
  <si>
    <t xml:space="preserve">Sun 07 Jul 2019 11:28:35 PM EDT</t>
  </si>
  <si>
    <t xml:space="preserve">Total Cost:</t>
  </si>
  <si>
    <t xml:space="preserve">$ date:</t>
  </si>
  <si>
    <t xml:space="preserve">2019-07-07 23:32:04</t>
  </si>
  <si>
    <t xml:space="preserve">Global Part Info</t>
  </si>
  <si>
    <t xml:space="preserve">Digi-Key</t>
  </si>
  <si>
    <t xml:space="preserve">Refs</t>
  </si>
  <si>
    <t xml:space="preserve">Value</t>
  </si>
  <si>
    <t xml:space="preserve">Desc</t>
  </si>
  <si>
    <t xml:space="preserve">Footprint</t>
  </si>
  <si>
    <t xml:space="preserve">Manf#</t>
  </si>
  <si>
    <t xml:space="preserve">Qty</t>
  </si>
  <si>
    <t xml:space="preserve">Unit$</t>
  </si>
  <si>
    <t xml:space="preserve">Ext$</t>
  </si>
  <si>
    <t xml:space="preserve">Avail</t>
  </si>
  <si>
    <t xml:space="preserve">Purch</t>
  </si>
  <si>
    <t xml:space="preserve">Cat#</t>
  </si>
  <si>
    <t xml:space="preserve">C1,C2</t>
  </si>
  <si>
    <t xml:space="preserve">22p</t>
  </si>
  <si>
    <t xml:space="preserve">Oscillator load</t>
  </si>
  <si>
    <t xml:space="preserve">Capacitor_SMD:C_0603_1608Metric_Pad1.05x0.95mm_HandSolder</t>
  </si>
  <si>
    <t xml:space="preserve">CC0603JRNPO9BN220</t>
  </si>
  <si>
    <t xml:space="preserve">311-1062-2-ND</t>
  </si>
  <si>
    <t xml:space="preserve">C12,C19,C21-C23</t>
  </si>
  <si>
    <t xml:space="preserve">4.7u</t>
  </si>
  <si>
    <t xml:space="preserve">USB power decoupling</t>
  </si>
  <si>
    <t xml:space="preserve">CL10A475KQ8NNNC</t>
  </si>
  <si>
    <t xml:space="preserve">1276-1045-6-ND</t>
  </si>
  <si>
    <t xml:space="preserve">C20</t>
  </si>
  <si>
    <t xml:space="preserve">10u</t>
  </si>
  <si>
    <t xml:space="preserve">Power decoupling</t>
  </si>
  <si>
    <t xml:space="preserve">Capacitor_SMD:CP_Elec_4x5.3</t>
  </si>
  <si>
    <t xml:space="preserve">UZR1C100MCL1GB</t>
  </si>
  <si>
    <t xml:space="preserve">493-10106-2-ND</t>
  </si>
  <si>
    <t xml:space="preserve">C3,C4,C6-C8,C13-C18</t>
  </si>
  <si>
    <t xml:space="preserve">0.1u</t>
  </si>
  <si>
    <t xml:space="preserve">Assorted display</t>
  </si>
  <si>
    <t xml:space="preserve">CL10B104KO8NNNC</t>
  </si>
  <si>
    <t xml:space="preserve">1276-1005-1-ND</t>
  </si>
  <si>
    <t xml:space="preserve">C5,C9-C11</t>
  </si>
  <si>
    <t xml:space="preserve">1u</t>
  </si>
  <si>
    <t xml:space="preserve">Assorted decoupling</t>
  </si>
  <si>
    <t xml:space="preserve">CL10A105KP8NNNC</t>
  </si>
  <si>
    <t xml:space="preserve">1276-1182-1-ND</t>
  </si>
  <si>
    <t xml:space="preserve">D10</t>
  </si>
  <si>
    <t xml:space="preserve">LED_CHG</t>
  </si>
  <si>
    <t xml:space="preserve">Indicator LED</t>
  </si>
  <si>
    <t xml:space="preserve">LED_SMD:LED_0603_1608Metric_Pad1.05x0.95mm_HandSolder</t>
  </si>
  <si>
    <t xml:space="preserve">SML-D12U1WT86</t>
  </si>
  <si>
    <t xml:space="preserve">SML-D12U1WT86TR-ND</t>
  </si>
  <si>
    <t xml:space="preserve">D11</t>
  </si>
  <si>
    <t xml:space="preserve">LED</t>
  </si>
  <si>
    <t xml:space="preserve">Diode_SMD:D_0603_1608Metric_Pad1.05x0.95mm_HandSolder</t>
  </si>
  <si>
    <t xml:space="preserve">D9</t>
  </si>
  <si>
    <t xml:space="preserve">LED_PGOOD</t>
  </si>
  <si>
    <t xml:space="preserve">D1-D8</t>
  </si>
  <si>
    <t xml:space="preserve">D</t>
  </si>
  <si>
    <t xml:space="preserve">Switch matrix protection</t>
  </si>
  <si>
    <t xml:space="preserve">TS4148C RZG</t>
  </si>
  <si>
    <t xml:space="preserve">TS4148CRZGTR-ND</t>
  </si>
  <si>
    <t xml:space="preserve">DS1</t>
  </si>
  <si>
    <t xml:space="preserve">NHD-C12832A1Z-FSW-FBW-3V3</t>
  </si>
  <si>
    <t xml:space="preserve">LCD Graphic Display Modules &amp; Accessories FSTN (+) 41.4 x 24.3 x 4.0</t>
  </si>
  <si>
    <t xml:space="preserve">NHD-C12832A1Z-FSW-FBW-3V3:NHDC12832A1ZFSWFBW3V3</t>
  </si>
  <si>
    <t xml:space="preserve">NHD-C12832A1Z-FSW-FBW-3V3-ND</t>
  </si>
  <si>
    <t xml:space="preserve">J1</t>
  </si>
  <si>
    <t xml:space="preserve">USB_B_Micro</t>
  </si>
  <si>
    <t xml:space="preserve">USB Micro B Amphenol</t>
  </si>
  <si>
    <t xml:space="preserve">Connector_USB:USB_Micro-B_Amphenol_10103594-0001LF_Horizontal</t>
  </si>
  <si>
    <t xml:space="preserve">10118192-0001LF</t>
  </si>
  <si>
    <t xml:space="preserve">609-4613-2-ND</t>
  </si>
  <si>
    <t xml:space="preserve">J2</t>
  </si>
  <si>
    <t xml:space="preserve">AVR-ISP-6</t>
  </si>
  <si>
    <t xml:space="preserve">Connector_PinHeader_1.27mm:PinHeader_2x03_P1.27mm_Vertical_SMD</t>
  </si>
  <si>
    <t xml:space="preserve">JP1</t>
  </si>
  <si>
    <t xml:space="preserve">Jumper_2_Open</t>
  </si>
  <si>
    <t xml:space="preserve">Jumper:SolderJumper-2_P1.3mm_Open_Pad1.0x1.5mm</t>
  </si>
  <si>
    <t xml:space="preserve">R1,R4-R13</t>
  </si>
  <si>
    <t xml:space="preserve">10k</t>
  </si>
  <si>
    <t xml:space="preserve">Input pull-down resistor</t>
  </si>
  <si>
    <t xml:space="preserve">Resistor_SMD:R_0603_1608Metric_Pad1.05x0.95mm_HandSolder</t>
  </si>
  <si>
    <t xml:space="preserve">RC0603FR-0710KL</t>
  </si>
  <si>
    <t xml:space="preserve">311-10.0KHRDKR-ND</t>
  </si>
  <si>
    <t xml:space="preserve">R14,R15,R18</t>
  </si>
  <si>
    <t xml:space="preserve">1k</t>
  </si>
  <si>
    <t xml:space="preserve">LED current limiting</t>
  </si>
  <si>
    <t xml:space="preserve">RC0603FR-071KL</t>
  </si>
  <si>
    <t xml:space="preserve">311-1.00KHRTR-ND</t>
  </si>
  <si>
    <t xml:space="preserve">R16</t>
  </si>
  <si>
    <t xml:space="preserve">1.13k</t>
  </si>
  <si>
    <t xml:space="preserve">Battery Management ISET</t>
  </si>
  <si>
    <t xml:space="preserve">RC0603FR-071K13L</t>
  </si>
  <si>
    <t xml:space="preserve">311-1.13KHRTR-ND</t>
  </si>
  <si>
    <t xml:space="preserve">R17</t>
  </si>
  <si>
    <t xml:space="preserve">1.18k</t>
  </si>
  <si>
    <t xml:space="preserve">Battery Management ILIM</t>
  </si>
  <si>
    <t xml:space="preserve">RC0603FR-071K18L</t>
  </si>
  <si>
    <t xml:space="preserve">311-1.18KHRTR-ND</t>
  </si>
  <si>
    <t xml:space="preserve">R2,R3</t>
  </si>
  <si>
    <t xml:space="preserve">22</t>
  </si>
  <si>
    <t xml:space="preserve">USB data resistor</t>
  </si>
  <si>
    <t xml:space="preserve">RC0603FR-0722RL</t>
  </si>
  <si>
    <t xml:space="preserve">311-22.0HRCT-ND</t>
  </si>
  <si>
    <t xml:space="preserve">SW1</t>
  </si>
  <si>
    <t xml:space="preserve">SW_RESET</t>
  </si>
  <si>
    <t xml:space="preserve">Reset button</t>
  </si>
  <si>
    <t xml:space="preserve">Button_Switch_SMD:SW_Push_1P1T_NO_6x6mm_H9.5mm</t>
  </si>
  <si>
    <t xml:space="preserve">PTS645SM43SMTR92 LFS</t>
  </si>
  <si>
    <t xml:space="preserve">CKN9112CT-ND</t>
  </si>
  <si>
    <t xml:space="preserve">SW12,SW28</t>
  </si>
  <si>
    <t xml:space="preserve">SW_Push</t>
  </si>
  <si>
    <t xml:space="preserve">pcb_buttons:btn_long_rect</t>
  </si>
  <si>
    <t xml:space="preserve">SW66</t>
  </si>
  <si>
    <t xml:space="preserve">SW_POWER</t>
  </si>
  <si>
    <t xml:space="preserve">Power switch</t>
  </si>
  <si>
    <t xml:space="preserve">Button_Switch_SMD:SW_SPDT_CK-JS102011SAQN</t>
  </si>
  <si>
    <t xml:space="preserve">JS102011SAQN</t>
  </si>
  <si>
    <t xml:space="preserve">401-1999-1-ND</t>
  </si>
  <si>
    <t xml:space="preserve">SW3-SW5,SW10,SW18,SW19,SW21,SW26,SW34-SW37</t>
  </si>
  <si>
    <t xml:space="preserve">pcb_buttons:btn_rect</t>
  </si>
  <si>
    <t xml:space="preserve">SW6-SW9,SW14-SW17,SW22-SW25,SW30-SW33,SW38-SW47,SW50-SW55,SW58-SW63</t>
  </si>
  <si>
    <t xml:space="preserve">pcb_buttons:btn_circular</t>
  </si>
  <si>
    <t xml:space="preserve">TP1</t>
  </si>
  <si>
    <t xml:space="preserve">TP_VCC</t>
  </si>
  <si>
    <t xml:space="preserve">TestPoint:TestPoint_Pad_1.0x1.0mm</t>
  </si>
  <si>
    <t xml:space="preserve">TP2</t>
  </si>
  <si>
    <t xml:space="preserve">TP_GND</t>
  </si>
  <si>
    <t xml:space="preserve">TP3</t>
  </si>
  <si>
    <t xml:space="preserve">TP_+BATT</t>
  </si>
  <si>
    <t xml:space="preserve">TP4</t>
  </si>
  <si>
    <t xml:space="preserve">TP_ICHG</t>
  </si>
  <si>
    <t xml:space="preserve">U1</t>
  </si>
  <si>
    <t xml:space="preserve">74HC165D</t>
  </si>
  <si>
    <t xml:space="preserve">8-bit PISO Shift Register</t>
  </si>
  <si>
    <t xml:space="preserve">Package_SO:SOIC-16_3.9x9.9mm_P1.27mm</t>
  </si>
  <si>
    <t xml:space="preserve">74HC165D,652</t>
  </si>
  <si>
    <t xml:space="preserve">1727-3782-ND</t>
  </si>
  <si>
    <t xml:space="preserve">U2</t>
  </si>
  <si>
    <t xml:space="preserve">ATmega32U4-AU</t>
  </si>
  <si>
    <t xml:space="preserve">ATMEGA32U4-AU uC</t>
  </si>
  <si>
    <t xml:space="preserve">Package_QFP:TQFP-44_10x10mm_P0.8mm</t>
  </si>
  <si>
    <t xml:space="preserve">ATMEGA32U4-AUR</t>
  </si>
  <si>
    <t xml:space="preserve">ATMEGA32U4-AURDKR-ND</t>
  </si>
  <si>
    <t xml:space="preserve">U3</t>
  </si>
  <si>
    <t xml:space="preserve">74HC595</t>
  </si>
  <si>
    <t xml:space="preserve">8-bit SIPO Shift Register</t>
  </si>
  <si>
    <t xml:space="preserve">SN74HC595DR</t>
  </si>
  <si>
    <t xml:space="preserve">296-14857-6-ND</t>
  </si>
  <si>
    <t xml:space="preserve">U4</t>
  </si>
  <si>
    <t xml:space="preserve">BQ24072RGTR</t>
  </si>
  <si>
    <t xml:space="preserve">IC LI-ION Charge Mgmt</t>
  </si>
  <si>
    <t xml:space="preserve">UL_BQ24072RGTR:BQ24072RGTR</t>
  </si>
  <si>
    <t xml:space="preserve">296-38871-2-ND</t>
  </si>
  <si>
    <t xml:space="preserve">U5</t>
  </si>
  <si>
    <t xml:space="preserve">AP2210-33</t>
  </si>
  <si>
    <t xml:space="preserve">Linear Voltage Reg IC Positive Fixed 1 Output 300mA</t>
  </si>
  <si>
    <t xml:space="preserve">Package_TO_SOT_SMD:SOT-23</t>
  </si>
  <si>
    <t xml:space="preserve">AP2210N-3.3TRG1</t>
  </si>
  <si>
    <t xml:space="preserve">AP2210N-3.3TRG1DITR-ND</t>
  </si>
  <si>
    <t xml:space="preserve">XB1</t>
  </si>
  <si>
    <t xml:space="preserve">BATT_CONN</t>
  </si>
  <si>
    <t xml:space="preserve">Right Angle SMT Battery Conn</t>
  </si>
  <si>
    <t xml:space="preserve">009155004541006:BAT_009155004541006</t>
  </si>
  <si>
    <t xml:space="preserve">009155004541006</t>
  </si>
  <si>
    <t xml:space="preserve">478-5452-2-ND</t>
  </si>
  <si>
    <t xml:space="preserve">Y1</t>
  </si>
  <si>
    <t xml:space="preserve">Crystal</t>
  </si>
  <si>
    <t xml:space="preserve">8MHz ±20ppm Crystal 18pF 100 Ohms 2-SMD</t>
  </si>
  <si>
    <t xml:space="preserve">Crystal:Crystal_SMD_5032-2Pin_5.0x3.2mm</t>
  </si>
  <si>
    <t xml:space="preserve">ECS-80-18-30-JGN-TR</t>
  </si>
  <si>
    <t xml:space="preserve">XC2103TR-ND</t>
  </si>
  <si>
    <t xml:space="preserve">Used currency rates:</t>
  </si>
  <si>
    <t xml:space="preserve">Total Purchase:</t>
  </si>
  <si>
    <t xml:space="preserve">CAD(CA$)/USD($):</t>
  </si>
  <si>
    <t xml:space="preserve">KiCost® v.1.1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</si>
</sst>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CA$&quot;#,##0.00"/>
  </numFmts>
  <fonts count="1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13"/>
      <color rgb="FF008000"/>
      <name val="Calibri"/>
      <family val="2"/>
      <charset val="1"/>
    </font>
    <font>
      <b val="true"/>
      <sz val="13"/>
      <color rgb="FFFF0000"/>
      <name val="Calibri"/>
      <family val="2"/>
      <charset val="1"/>
    </font>
    <font>
      <b val="true"/>
      <i val="true"/>
      <sz val="10"/>
      <color rgb="FF000000"/>
      <name val="Calibri"/>
      <family val="2"/>
      <charset val="1"/>
    </font>
    <font>
      <b val="true"/>
      <sz val="14"/>
      <color rgb="FFFFFFFF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  <font>
      <sz val="8"/>
      <color rgb="FF000000"/>
      <name val="Tahoma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303030"/>
        <bgColor rgb="FF333300"/>
      </patternFill>
    </fill>
    <fill>
      <patternFill patternType="solid">
        <fgColor rgb="FFCC0000"/>
        <bgColor rgb="FFFF00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dxfs count="4">
    <dxf>
      <fill>
        <patternFill>
          <bgColor rgb="FFAAAAAA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ill>
        <patternFill>
          <bgColor rgb="FFFFFF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AAAAA"/>
      <rgbColor rgb="FF003366"/>
      <rgbColor rgb="FF339966"/>
      <rgbColor rgb="FF003300"/>
      <rgbColor rgb="FF333300"/>
      <rgbColor rgb="FF993300"/>
      <rgbColor rgb="FF993366"/>
      <rgbColor rgb="FF333399"/>
      <rgbColor rgb="FF30303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://www.yageo.com/documents/recent/UPY-GP_NP0_16V-to-50V_16.pdf" TargetMode="External"/><Relationship Id="rId3" Type="http://schemas.openxmlformats.org/officeDocument/2006/relationships/hyperlink" Target="https://octopart.com/click/track?ak=&amp;sig=0b0acd0&amp;sid=459&amp;ppid=192915&amp;vpid=119670960&amp;ct=offers" TargetMode="External"/><Relationship Id="rId4" Type="http://schemas.openxmlformats.org/officeDocument/2006/relationships/hyperlink" Target="http://www.samsungsem.com/kr/support/product-search/mlcc/CL10A475KQ8NNNC.jsp" TargetMode="External"/><Relationship Id="rId5" Type="http://schemas.openxmlformats.org/officeDocument/2006/relationships/hyperlink" Target="https://octopart.com/click/track?ak=&amp;sig=00887e1&amp;sid=459&amp;ppid=10525435&amp;vpid=72523742&amp;ct=offers" TargetMode="External"/><Relationship Id="rId6" Type="http://schemas.openxmlformats.org/officeDocument/2006/relationships/hyperlink" Target="https://octopart.com/click/track?ak=&amp;sig=0e8b655&amp;sid=459&amp;ppid=7874332&amp;vpid=73993008&amp;ct=offers" TargetMode="External"/><Relationship Id="rId7" Type="http://schemas.openxmlformats.org/officeDocument/2006/relationships/hyperlink" Target="http://www.samsungsem.com/kr/support/product-search/mlcc/CL10B104KO8NNNC.jsp" TargetMode="External"/><Relationship Id="rId8" Type="http://schemas.openxmlformats.org/officeDocument/2006/relationships/hyperlink" Target="https://octopart.com/click/track?ak=&amp;sig=0d44439&amp;sid=459&amp;ppid=9267155&amp;vpid=72523905&amp;ct=offers" TargetMode="External"/><Relationship Id="rId9" Type="http://schemas.openxmlformats.org/officeDocument/2006/relationships/hyperlink" Target="http://www.samsungsem.com/kr/support/product-search/mlcc/CL10A105KP8NNNC.jsp" TargetMode="External"/><Relationship Id="rId10" Type="http://schemas.openxmlformats.org/officeDocument/2006/relationships/hyperlink" Target="https://octopart.com/click/track?ak=&amp;sig=029fa32&amp;sid=459&amp;ppid=9291899&amp;vpid=72523558&amp;ct=offers" TargetMode="External"/><Relationship Id="rId11" Type="http://schemas.openxmlformats.org/officeDocument/2006/relationships/hyperlink" Target="https://www.rohm.com/datasheet/SML-D12U1W" TargetMode="External"/><Relationship Id="rId12" Type="http://schemas.openxmlformats.org/officeDocument/2006/relationships/hyperlink" Target="https://octopart.com/click/track?ak=&amp;sig=09c207e&amp;sid=459&amp;ppid=70850259&amp;vpid=248817863&amp;ct=offers" TargetMode="External"/><Relationship Id="rId13" Type="http://schemas.openxmlformats.org/officeDocument/2006/relationships/hyperlink" Target="https://www.rohm.com/datasheet/SML-D12U1W" TargetMode="External"/><Relationship Id="rId14" Type="http://schemas.openxmlformats.org/officeDocument/2006/relationships/hyperlink" Target="https://octopart.com/click/track?ak=&amp;sig=09c207e&amp;sid=459&amp;ppid=70850259&amp;vpid=248817863&amp;ct=offers" TargetMode="External"/><Relationship Id="rId15" Type="http://schemas.openxmlformats.org/officeDocument/2006/relationships/hyperlink" Target="https://www.rohm.com/datasheet/SML-D12U1W" TargetMode="External"/><Relationship Id="rId16" Type="http://schemas.openxmlformats.org/officeDocument/2006/relationships/hyperlink" Target="https://octopart.com/click/track?ak=&amp;sig=09c207e&amp;sid=459&amp;ppid=70850259&amp;vpid=248817863&amp;ct=offers" TargetMode="External"/><Relationship Id="rId17" Type="http://schemas.openxmlformats.org/officeDocument/2006/relationships/hyperlink" Target="https://www.taiwansemi.com/products/datasheet/TS4148C_G1809.pdf" TargetMode="External"/><Relationship Id="rId18" Type="http://schemas.openxmlformats.org/officeDocument/2006/relationships/hyperlink" Target="https://octopart.com/click/track?ak=&amp;sig=0b15362&amp;sid=459&amp;ppid=22124138&amp;vpid=462998877&amp;ct=offers" TargetMode="External"/><Relationship Id="rId19" Type="http://schemas.openxmlformats.org/officeDocument/2006/relationships/hyperlink" Target="https://www.newhavendisplay.com/specs/NHD-C12832A1Z-FSW-FBW-3V3.pdf" TargetMode="External"/><Relationship Id="rId20" Type="http://schemas.openxmlformats.org/officeDocument/2006/relationships/hyperlink" Target="https://octopart.com/click/track?ak=&amp;sig=0b8c610&amp;sid=459&amp;ppid=18786545&amp;vpid=34235057&amp;ct=offers" TargetMode="External"/><Relationship Id="rId21" Type="http://schemas.openxmlformats.org/officeDocument/2006/relationships/hyperlink" Target="https://octopart.com/click/track?ak=&amp;sig=0da3005&amp;sid=459&amp;ppid=21265434&amp;vpid=531263944&amp;ct=offers" TargetMode="External"/><Relationship Id="rId22" Type="http://schemas.openxmlformats.org/officeDocument/2006/relationships/hyperlink" Target="http://www.yageo.com/documents/recent/PYu-RC_Group_51_RoHS_L_10.pdf" TargetMode="External"/><Relationship Id="rId23" Type="http://schemas.openxmlformats.org/officeDocument/2006/relationships/hyperlink" Target="https://octopart.com/click/track?ak=&amp;sig=0e8a3be&amp;sid=459&amp;ppid=40025538&amp;vpid=114982760&amp;ct=offers" TargetMode="External"/><Relationship Id="rId24" Type="http://schemas.openxmlformats.org/officeDocument/2006/relationships/hyperlink" Target="http://www.yageo.com/documents/recent/PYu-RC_Group_51_RoHS_L_10.pdf" TargetMode="External"/><Relationship Id="rId25" Type="http://schemas.openxmlformats.org/officeDocument/2006/relationships/hyperlink" Target="https://octopart.com/click/track?ak=&amp;sig=0f495f3&amp;sid=459&amp;ppid=55402882&amp;vpid=188128908&amp;ct=offers" TargetMode="External"/><Relationship Id="rId26" Type="http://schemas.openxmlformats.org/officeDocument/2006/relationships/hyperlink" Target="http://www.yageo.com/documents/recent/PYu-RC_Group_51_RoHS_L_10.pdf" TargetMode="External"/><Relationship Id="rId27" Type="http://schemas.openxmlformats.org/officeDocument/2006/relationships/hyperlink" Target="https://octopart.com/click/track?ak=&amp;sig=00e18e1&amp;sid=459&amp;ppid=1225781&amp;vpid=1706505&amp;ct=offers" TargetMode="External"/><Relationship Id="rId28" Type="http://schemas.openxmlformats.org/officeDocument/2006/relationships/hyperlink" Target="http://www.yageo.com/documents/recent/PYu-RC_Group_51_RoHS_L_10.pdf" TargetMode="External"/><Relationship Id="rId29" Type="http://schemas.openxmlformats.org/officeDocument/2006/relationships/hyperlink" Target="https://octopart.com/click/track?ak=&amp;sig=078f9bb&amp;sid=459&amp;ppid=39797283&amp;vpid=115141407&amp;ct=offers" TargetMode="External"/><Relationship Id="rId30" Type="http://schemas.openxmlformats.org/officeDocument/2006/relationships/hyperlink" Target="http://www.yageo.com/documents/recent/PYu-RC_Group_51_RoHS_L_10.pdf" TargetMode="External"/><Relationship Id="rId31" Type="http://schemas.openxmlformats.org/officeDocument/2006/relationships/hyperlink" Target="https://octopart.com/click/track?ak=&amp;sig=02261b1&amp;sid=459&amp;ppid=1405859&amp;vpid=115263523&amp;ct=offers" TargetMode="External"/><Relationship Id="rId32" Type="http://schemas.openxmlformats.org/officeDocument/2006/relationships/hyperlink" Target="https://www.ckswitches.com/media/1471/pts645.pdf" TargetMode="External"/><Relationship Id="rId33" Type="http://schemas.openxmlformats.org/officeDocument/2006/relationships/hyperlink" Target="https://octopart.com/click/track?ak=&amp;sig=0f7ff2f&amp;sid=459&amp;ppid=55389261&amp;vpid=76879294&amp;ct=offers" TargetMode="External"/><Relationship Id="rId34" Type="http://schemas.openxmlformats.org/officeDocument/2006/relationships/hyperlink" Target="https://www.ckswitches.com/media/1422/js.pdf" TargetMode="External"/><Relationship Id="rId35" Type="http://schemas.openxmlformats.org/officeDocument/2006/relationships/hyperlink" Target="https://octopart.com/click/track?ak=&amp;sig=0e387fb&amp;sid=459&amp;ppid=7088996&amp;vpid=34441074&amp;ct=offers" TargetMode="External"/><Relationship Id="rId36" Type="http://schemas.openxmlformats.org/officeDocument/2006/relationships/hyperlink" Target="https://assets.nexperia.com/documents/data-sheet/74HC_HCT165.pdf" TargetMode="External"/><Relationship Id="rId37" Type="http://schemas.openxmlformats.org/officeDocument/2006/relationships/hyperlink" Target="https://octopart.com/click/track?ak=&amp;sig=0c27404&amp;sid=459&amp;ppid=78737090&amp;vpid=417193082&amp;ct=offers" TargetMode="External"/><Relationship Id="rId38" Type="http://schemas.openxmlformats.org/officeDocument/2006/relationships/hyperlink" Target="https://octopart.com/click/track?ak=&amp;sig=060b535&amp;sid=459&amp;ppid=77760311&amp;vpid=408717064&amp;ct=offers" TargetMode="External"/><Relationship Id="rId39" Type="http://schemas.openxmlformats.org/officeDocument/2006/relationships/hyperlink" Target="http://www.ti.com/lit/ds/symlink/sn74hc595.pdf" TargetMode="External"/><Relationship Id="rId40" Type="http://schemas.openxmlformats.org/officeDocument/2006/relationships/hyperlink" Target="https://octopart.com/click/track?ak=&amp;sig=0816528&amp;sid=459&amp;ppid=500634&amp;vpid=1131053&amp;ct=offers" TargetMode="External"/><Relationship Id="rId41" Type="http://schemas.openxmlformats.org/officeDocument/2006/relationships/hyperlink" Target="https://octopart.com/click/track?ak=&amp;sig=056bd39&amp;sid=459&amp;ppid=12192001&amp;vpid=188081820&amp;ct=offers" TargetMode="External"/><Relationship Id="rId42" Type="http://schemas.openxmlformats.org/officeDocument/2006/relationships/hyperlink" Target="http://www.diodes.com/datasheets/AP1117.pdf" TargetMode="External"/><Relationship Id="rId43" Type="http://schemas.openxmlformats.org/officeDocument/2006/relationships/hyperlink" Target="https://octopart.com/click/track?ak=&amp;sig=07a2e74&amp;sid=459&amp;ppid=30954633&amp;vpid=94944143&amp;ct=offers" TargetMode="External"/><Relationship Id="rId44" Type="http://schemas.openxmlformats.org/officeDocument/2006/relationships/hyperlink" Target="https://media.digikey.com/pdf/Data%20Sheets/AVX%20PDFs/9155%20MOBO%20Battery%20Connector.pdf" TargetMode="External"/><Relationship Id="rId45" Type="http://schemas.openxmlformats.org/officeDocument/2006/relationships/hyperlink" Target="https://octopart.com/click/track?ak=&amp;sig=07d7e9d&amp;sid=459&amp;ppid=19037771&amp;vpid=33587679&amp;ct=offers" TargetMode="External"/><Relationship Id="rId46" Type="http://schemas.openxmlformats.org/officeDocument/2006/relationships/hyperlink" Target="http://www.ecsxtal.com/store/pdf/ecx-53r.pdf" TargetMode="External"/><Relationship Id="rId47" Type="http://schemas.openxmlformats.org/officeDocument/2006/relationships/hyperlink" Target="https://octopart.com/click/track?ak=&amp;sig=0e3994e&amp;sid=459&amp;ppid=71168052&amp;vpid=252370608&amp;ct=offers" TargetMode="External"/><Relationship Id="rId48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6" topLeftCell="I7" activePane="bottomLeft" state="frozen"/>
      <selection pane="topLeft" activeCell="A1" activeCellId="0" sqref="A1"/>
      <selection pane="bottomLeft" activeCell="L16" activeCellId="0" sqref="L16"/>
    </sheetView>
  </sheetViews>
  <sheetFormatPr defaultRowHeight="15" zeroHeight="false" outlineLevelRow="0" outlineLevelCol="2"/>
  <cols>
    <col collapsed="false" customWidth="true" hidden="false" outlineLevel="0" max="1" min="1" style="0" width="21.83"/>
    <col collapsed="false" customWidth="true" hidden="false" outlineLevel="0" max="2" min="2" style="0" width="17.31"/>
    <col collapsed="false" customWidth="true" hidden="false" outlineLevel="2" max="3" min="3" style="0" width="15.54"/>
    <col collapsed="false" customWidth="true" hidden="false" outlineLevel="2" max="4" min="4" style="0" width="9.14"/>
    <col collapsed="false" customWidth="true" hidden="false" outlineLevel="1" max="6" min="5" style="0" width="9.14"/>
    <col collapsed="false" customWidth="true" hidden="false" outlineLevel="0" max="7" min="7" style="0" width="9.14"/>
    <col collapsed="false" customWidth="true" hidden="false" outlineLevel="0" max="8" min="8" style="0" width="15.71"/>
    <col collapsed="false" customWidth="true" hidden="false" outlineLevel="1" max="9" min="9" style="0" width="9.14"/>
    <col collapsed="false" customWidth="true" hidden="false" outlineLevel="2" max="11" min="10" style="0" width="9.14"/>
    <col collapsed="false" customWidth="true" hidden="false" outlineLevel="0" max="12" min="12" style="0" width="15.71"/>
    <col collapsed="false" customWidth="true" hidden="false" outlineLevel="2" max="13" min="13" style="0" width="15.71"/>
    <col collapsed="false" customWidth="true" hidden="false" outlineLevel="0" max="1025" min="14" style="0" width="8.53"/>
  </cols>
  <sheetData>
    <row r="1" customFormat="false" ht="15" hidden="false" customHeight="false" outlineLevel="0" collapsed="false">
      <c r="A1" s="1" t="s">
        <v>0</v>
      </c>
      <c r="B1" s="2" t="s">
        <v>1</v>
      </c>
      <c r="G1" s="3" t="s">
        <v>2</v>
      </c>
      <c r="H1" s="3" t="n">
        <v>1</v>
      </c>
    </row>
    <row r="2" customFormat="false" ht="15" hidden="false" customHeight="false" outlineLevel="0" collapsed="false">
      <c r="A2" s="1" t="s">
        <v>3</v>
      </c>
      <c r="B2" s="2"/>
      <c r="G2" s="1" t="s">
        <v>4</v>
      </c>
      <c r="H2" s="4" t="n">
        <f aca="false">TotalCost/BoardQty</f>
        <v>36.1218247836559</v>
      </c>
    </row>
    <row r="3" customFormat="false" ht="15" hidden="false" customHeight="false" outlineLevel="0" collapsed="false">
      <c r="A3" s="1" t="s">
        <v>5</v>
      </c>
      <c r="B3" s="2" t="s">
        <v>6</v>
      </c>
      <c r="G3" s="1" t="s">
        <v>7</v>
      </c>
      <c r="H3" s="5" t="n">
        <f aca="false">SUM(H7:H40)</f>
        <v>36.1218247836559</v>
      </c>
      <c r="L3" s="5" t="n">
        <f aca="false">SUM(L7:L40)</f>
        <v>36.121824783656</v>
      </c>
      <c r="M3" s="6" t="str">
        <f aca="false">(COUNTA(L7:L40)&amp;" of "&amp;ROWS(L7:L40)&amp;" parts found")</f>
        <v>25 of 34 parts found</v>
      </c>
    </row>
    <row r="4" customFormat="false" ht="15" hidden="false" customHeight="false" outlineLevel="0" collapsed="false">
      <c r="A4" s="1" t="s">
        <v>8</v>
      </c>
      <c r="B4" s="2" t="s">
        <v>9</v>
      </c>
    </row>
    <row r="5" customFormat="false" ht="15" hidden="false" customHeight="false" outlineLevel="0" collapsed="false">
      <c r="A5" s="7" t="s">
        <v>10</v>
      </c>
      <c r="B5" s="7"/>
      <c r="C5" s="7"/>
      <c r="D5" s="7"/>
      <c r="E5" s="7"/>
      <c r="F5" s="7"/>
      <c r="G5" s="7"/>
      <c r="H5" s="7"/>
      <c r="I5" s="8" t="s">
        <v>11</v>
      </c>
      <c r="J5" s="8"/>
      <c r="K5" s="8"/>
      <c r="L5" s="8"/>
      <c r="M5" s="8"/>
    </row>
    <row r="6" customFormat="false" ht="15" hidden="false" customHeight="false" outlineLevel="0" collapsed="false">
      <c r="A6" s="9" t="s">
        <v>12</v>
      </c>
      <c r="B6" s="9" t="s">
        <v>13</v>
      </c>
      <c r="C6" s="9" t="s">
        <v>14</v>
      </c>
      <c r="D6" s="9" t="s">
        <v>15</v>
      </c>
      <c r="E6" s="9" t="s">
        <v>16</v>
      </c>
      <c r="F6" s="9" t="s">
        <v>17</v>
      </c>
      <c r="G6" s="9" t="s">
        <v>18</v>
      </c>
      <c r="H6" s="9" t="s">
        <v>19</v>
      </c>
      <c r="I6" s="9" t="s">
        <v>20</v>
      </c>
      <c r="J6" s="9" t="s">
        <v>21</v>
      </c>
      <c r="K6" s="9" t="s">
        <v>18</v>
      </c>
      <c r="L6" s="9" t="s">
        <v>19</v>
      </c>
      <c r="M6" s="9" t="s">
        <v>22</v>
      </c>
    </row>
    <row r="7" customFormat="false" ht="15" hidden="false" customHeight="false" outlineLevel="0" collapsed="false">
      <c r="A7" s="10" t="s">
        <v>23</v>
      </c>
      <c r="B7" s="10" t="s">
        <v>24</v>
      </c>
      <c r="C7" s="10" t="s">
        <v>25</v>
      </c>
      <c r="D7" s="10" t="s">
        <v>26</v>
      </c>
      <c r="E7" s="10" t="s">
        <v>27</v>
      </c>
      <c r="F7" s="11" t="n">
        <f aca="false">BoardQty*2</f>
        <v>2</v>
      </c>
      <c r="G7" s="12" t="n">
        <f aca="true">MINA(INDIRECT(ADDRESS(ROW(),COLUMN(digikey_part_data)+2)))</f>
        <v>0.134516906057632</v>
      </c>
      <c r="H7" s="12" t="n">
        <f aca="false">IFERROR(F7*G7,"")</f>
        <v>0.269033812115264</v>
      </c>
      <c r="I7" s="11" t="n">
        <v>416000</v>
      </c>
      <c r="K7" s="12" t="n">
        <f aca="false">IFERROR(CAD_USD*LOOKUP(IF(J7="",F7,J7),{0,1,10,100,500,1000,4000,8000,12000},{0,0.1,0.046,0.0205,0.01466,0.01152,0.00838,0.00765,0.00729}),"")</f>
        <v>0.134516906057632</v>
      </c>
      <c r="L7" s="12" t="n">
        <f aca="false">IFERROR(IF(J7="",F7,J7)*K7,"")</f>
        <v>0.269033812115264</v>
      </c>
      <c r="M7" s="13" t="s">
        <v>28</v>
      </c>
    </row>
    <row r="8" customFormat="false" ht="15" hidden="false" customHeight="false" outlineLevel="0" collapsed="false">
      <c r="A8" s="10" t="s">
        <v>29</v>
      </c>
      <c r="B8" s="10" t="s">
        <v>30</v>
      </c>
      <c r="C8" s="10" t="s">
        <v>31</v>
      </c>
      <c r="D8" s="10" t="s">
        <v>26</v>
      </c>
      <c r="E8" s="10" t="s">
        <v>32</v>
      </c>
      <c r="F8" s="11" t="n">
        <f aca="false">BoardQty*5</f>
        <v>5</v>
      </c>
      <c r="G8" s="12" t="n">
        <f aca="true">MINA(INDIRECT(ADDRESS(ROW(),COLUMN(digikey_part_data)+2)))</f>
        <v>0.134516906057632</v>
      </c>
      <c r="H8" s="12" t="n">
        <f aca="false">IFERROR(F8*G8,"")</f>
        <v>0.67258453028816</v>
      </c>
      <c r="I8" s="11" t="n">
        <v>3797320</v>
      </c>
      <c r="K8" s="12" t="n">
        <f aca="false">IFERROR(CAD_USD*LOOKUP(IF(J8="",F8,J8),{0,1,10,100,500,1000,4000,8000,12000},{0,0.1,0.055,0.0245,0.0175,0.01375,0.0115,0.0105,0.01}),"")</f>
        <v>0.134516906057632</v>
      </c>
      <c r="L8" s="12" t="n">
        <f aca="false">IFERROR(IF(J8="",F8,J8)*K8,"")</f>
        <v>0.672584530288161</v>
      </c>
      <c r="M8" s="13" t="s">
        <v>33</v>
      </c>
    </row>
    <row r="9" customFormat="false" ht="15" hidden="false" customHeight="false" outlineLevel="0" collapsed="false">
      <c r="A9" s="10" t="s">
        <v>34</v>
      </c>
      <c r="B9" s="10" t="s">
        <v>35</v>
      </c>
      <c r="C9" s="10" t="s">
        <v>36</v>
      </c>
      <c r="D9" s="10" t="s">
        <v>37</v>
      </c>
      <c r="E9" s="10" t="s">
        <v>38</v>
      </c>
      <c r="F9" s="11" t="n">
        <f aca="false">BoardQty*1</f>
        <v>1</v>
      </c>
      <c r="G9" s="12" t="n">
        <f aca="true">MINA(INDIRECT(ADDRESS(ROW(),COLUMN(digikey_part_data)+2)))</f>
        <v>0.807101436345793</v>
      </c>
      <c r="H9" s="12" t="n">
        <f aca="false">IFERROR(F9*G9,"")</f>
        <v>0.807101436345793</v>
      </c>
      <c r="I9" s="11" t="n">
        <v>4000</v>
      </c>
      <c r="K9" s="12" t="n">
        <f aca="false">IFERROR(CAD_USD*LOOKUP(IF(J9="",F9,J9),{0,1,10,100,500,1000,2000,4000,10000,14000,50000},{0,0.6,0.423,0.2784,0.20624,0.1753,0.13664,0.1281,0.11956,0.11743,0.11614}),"")</f>
        <v>0.807101436345793</v>
      </c>
      <c r="L9" s="12" t="n">
        <f aca="false">IFERROR(IF(J9="",F9,J9)*K9,"")</f>
        <v>0.807101436345793</v>
      </c>
      <c r="M9" s="13" t="s">
        <v>39</v>
      </c>
    </row>
    <row r="10" customFormat="false" ht="15" hidden="false" customHeight="false" outlineLevel="0" collapsed="false">
      <c r="A10" s="10" t="s">
        <v>40</v>
      </c>
      <c r="B10" s="10" t="s">
        <v>41</v>
      </c>
      <c r="C10" s="10" t="s">
        <v>42</v>
      </c>
      <c r="D10" s="10" t="s">
        <v>26</v>
      </c>
      <c r="E10" s="10" t="s">
        <v>43</v>
      </c>
      <c r="F10" s="11" t="n">
        <f aca="false">BoardQty*11</f>
        <v>11</v>
      </c>
      <c r="G10" s="12" t="n">
        <f aca="true">MINA(INDIRECT(ADDRESS(ROW(),COLUMN(digikey_part_data)+2)))</f>
        <v>0.0390099027567133</v>
      </c>
      <c r="H10" s="12" t="n">
        <f aca="false">IFERROR(F10*G10,"")</f>
        <v>0.429108930323846</v>
      </c>
      <c r="I10" s="11" t="n">
        <v>13894456</v>
      </c>
      <c r="K10" s="12" t="n">
        <f aca="false">IFERROR(CAD_USD*LOOKUP(IF(J10="",F10,J10),{0,1,10,100,500,1000,4000,8000,12000},{0,0.1,0.029,0.013,0.00928,0.00729,0.00529,0.00483,0.0046}),"")</f>
        <v>0.0390099027567133</v>
      </c>
      <c r="L10" s="12" t="n">
        <f aca="false">IFERROR(IF(J10="",F10,J10)*K10,"")</f>
        <v>0.429108930323847</v>
      </c>
      <c r="M10" s="13" t="s">
        <v>44</v>
      </c>
    </row>
    <row r="11" customFormat="false" ht="15" hidden="false" customHeight="false" outlineLevel="0" collapsed="false">
      <c r="A11" s="10" t="s">
        <v>45</v>
      </c>
      <c r="B11" s="10" t="s">
        <v>46</v>
      </c>
      <c r="C11" s="10" t="s">
        <v>47</v>
      </c>
      <c r="D11" s="10" t="s">
        <v>26</v>
      </c>
      <c r="E11" s="10" t="s">
        <v>48</v>
      </c>
      <c r="F11" s="11" t="n">
        <f aca="false">BoardQty*4</f>
        <v>4</v>
      </c>
      <c r="G11" s="12" t="n">
        <f aca="true">MINA(INDIRECT(ADDRESS(ROW(),COLUMN(digikey_part_data)+2)))</f>
        <v>0.134516906057632</v>
      </c>
      <c r="H11" s="12" t="n">
        <f aca="false">IFERROR(F11*G11,"")</f>
        <v>0.538067624230528</v>
      </c>
      <c r="I11" s="11" t="n">
        <v>4338448</v>
      </c>
      <c r="K11" s="12" t="n">
        <f aca="false">IFERROR(CAD_USD*LOOKUP(IF(J11="",F11,J11),{0,1,10,100,500,1000,4000,8000,12000},{0,0.1,0.038,0.0168,0.012,0.00943,0.00686,0.00626,0.00596}),"")</f>
        <v>0.134516906057632</v>
      </c>
      <c r="L11" s="12" t="n">
        <f aca="false">IFERROR(IF(J11="",F11,J11)*K11,"")</f>
        <v>0.538067624230529</v>
      </c>
      <c r="M11" s="13" t="s">
        <v>49</v>
      </c>
    </row>
    <row r="12" customFormat="false" ht="15" hidden="false" customHeight="false" outlineLevel="0" collapsed="false">
      <c r="A12" s="10" t="s">
        <v>50</v>
      </c>
      <c r="B12" s="10" t="s">
        <v>51</v>
      </c>
      <c r="C12" s="10" t="s">
        <v>52</v>
      </c>
      <c r="D12" s="10" t="s">
        <v>53</v>
      </c>
      <c r="E12" s="10" t="s">
        <v>54</v>
      </c>
      <c r="F12" s="11" t="n">
        <f aca="false">BoardQty*1</f>
        <v>1</v>
      </c>
      <c r="G12" s="12" t="n">
        <f aca="true">MINA(INDIRECT(ADDRESS(ROW(),COLUMN(digikey_part_data)+2)))</f>
        <v>0.295937193326791</v>
      </c>
      <c r="H12" s="12" t="n">
        <f aca="false">IFERROR(F12*G12,"")</f>
        <v>0.295937193326791</v>
      </c>
      <c r="I12" s="11" t="n">
        <v>90000</v>
      </c>
      <c r="K12" s="12" t="n">
        <f aca="false">IFERROR(CAD_USD*LOOKUP(IF(J12="",F12,J12),{0,1,10,25,100,250,500,1000,3000,6000,15000,30000,75000,150000},{0,0.22,0.162,0.1192,0.0853,0.05796,0.05116,0.04007,0.03565,0.031,0.0279,0.0248,0.02248,0.0217}),"")</f>
        <v>0.295937193326791</v>
      </c>
      <c r="L12" s="12" t="n">
        <f aca="false">IFERROR(IF(J12="",F12,J12)*K12,"")</f>
        <v>0.295937193326791</v>
      </c>
      <c r="M12" s="13" t="s">
        <v>55</v>
      </c>
    </row>
    <row r="13" customFormat="false" ht="15" hidden="false" customHeight="false" outlineLevel="0" collapsed="false">
      <c r="A13" s="10" t="s">
        <v>56</v>
      </c>
      <c r="B13" s="10" t="s">
        <v>57</v>
      </c>
      <c r="C13" s="10" t="s">
        <v>52</v>
      </c>
      <c r="D13" s="10" t="s">
        <v>58</v>
      </c>
      <c r="E13" s="10" t="s">
        <v>54</v>
      </c>
      <c r="F13" s="11" t="n">
        <f aca="false">BoardQty*1</f>
        <v>1</v>
      </c>
      <c r="G13" s="12" t="n">
        <f aca="true">MINA(INDIRECT(ADDRESS(ROW(),COLUMN(digikey_part_data)+2)))</f>
        <v>0.295937193326791</v>
      </c>
      <c r="H13" s="12" t="n">
        <f aca="false">IFERROR(F13*G13,"")</f>
        <v>0.295937193326791</v>
      </c>
      <c r="I13" s="11" t="n">
        <v>90000</v>
      </c>
      <c r="K13" s="12" t="n">
        <f aca="false">IFERROR(CAD_USD*LOOKUP(IF(J13="",F13,J13),{0,1,10,25,100,250,500,1000,3000,6000,15000,30000,75000,150000},{0,0.22,0.162,0.1192,0.0853,0.05796,0.05116,0.04007,0.03565,0.031,0.0279,0.0248,0.02248,0.0217}),"")</f>
        <v>0.295937193326791</v>
      </c>
      <c r="L13" s="12" t="n">
        <f aca="false">IFERROR(IF(J13="",F13,J13)*K13,"")</f>
        <v>0.295937193326791</v>
      </c>
      <c r="M13" s="13" t="s">
        <v>55</v>
      </c>
    </row>
    <row r="14" customFormat="false" ht="15" hidden="false" customHeight="false" outlineLevel="0" collapsed="false">
      <c r="A14" s="10" t="s">
        <v>59</v>
      </c>
      <c r="B14" s="10" t="s">
        <v>60</v>
      </c>
      <c r="C14" s="10" t="s">
        <v>52</v>
      </c>
      <c r="D14" s="10" t="s">
        <v>53</v>
      </c>
      <c r="E14" s="10" t="s">
        <v>54</v>
      </c>
      <c r="F14" s="11" t="n">
        <f aca="false">BoardQty*1</f>
        <v>1</v>
      </c>
      <c r="G14" s="12" t="n">
        <f aca="true">MINA(INDIRECT(ADDRESS(ROW(),COLUMN(digikey_part_data)+2)))</f>
        <v>0.295937193326791</v>
      </c>
      <c r="H14" s="12" t="n">
        <f aca="false">IFERROR(F14*G14,"")</f>
        <v>0.295937193326791</v>
      </c>
      <c r="I14" s="11" t="n">
        <v>90000</v>
      </c>
      <c r="K14" s="12" t="n">
        <f aca="false">IFERROR(CAD_USD*LOOKUP(IF(J14="",F14,J14),{0,1,10,25,100,250,500,1000,3000,6000,15000,30000,75000,150000},{0,0.22,0.162,0.1192,0.0853,0.05796,0.05116,0.04007,0.03565,0.031,0.0279,0.0248,0.02248,0.0217}),"")</f>
        <v>0.295937193326791</v>
      </c>
      <c r="L14" s="12" t="n">
        <f aca="false">IFERROR(IF(J14="",F14,J14)*K14,"")</f>
        <v>0.295937193326791</v>
      </c>
      <c r="M14" s="13" t="s">
        <v>55</v>
      </c>
    </row>
    <row r="15" customFormat="false" ht="15" hidden="false" customHeight="false" outlineLevel="0" collapsed="false">
      <c r="A15" s="10" t="s">
        <v>61</v>
      </c>
      <c r="B15" s="10" t="s">
        <v>62</v>
      </c>
      <c r="C15" s="10" t="s">
        <v>63</v>
      </c>
      <c r="D15" s="10" t="s">
        <v>58</v>
      </c>
      <c r="E15" s="10" t="s">
        <v>64</v>
      </c>
      <c r="F15" s="11" t="n">
        <f aca="false">BoardQty*8</f>
        <v>8</v>
      </c>
      <c r="G15" s="12" t="n">
        <f aca="true">MINA(INDIRECT(ADDRESS(ROW(),COLUMN(digikey_part_data)+2)))</f>
        <v>0.228678740297975</v>
      </c>
      <c r="H15" s="12" t="n">
        <f aca="false">IFERROR(F15*G15,"")</f>
        <v>1.8294299223838</v>
      </c>
      <c r="I15" s="11" t="n">
        <v>75000</v>
      </c>
      <c r="K15" s="12" t="n">
        <f aca="false">IFERROR(CAD_USD*LOOKUP(IF(J15="",F15,J15),{0,1,10,100,500,1000,2500,5000,10000,25000,50000,125000},{0,0.17,0.156,0.102,0.04986,0.03399,0.02889,0.0253,0.022,0.0198,0.0176,0.0154}),"")</f>
        <v>0.228678740297975</v>
      </c>
      <c r="L15" s="12" t="n">
        <f aca="false">IFERROR(IF(J15="",F15,J15)*K15,"")</f>
        <v>1.8294299223838</v>
      </c>
      <c r="M15" s="13" t="s">
        <v>65</v>
      </c>
    </row>
    <row r="16" customFormat="false" ht="15" hidden="false" customHeight="false" outlineLevel="0" collapsed="false">
      <c r="A16" s="10" t="s">
        <v>66</v>
      </c>
      <c r="B16" s="10" t="s">
        <v>67</v>
      </c>
      <c r="C16" s="10" t="s">
        <v>68</v>
      </c>
      <c r="D16" s="10" t="s">
        <v>69</v>
      </c>
      <c r="E16" s="10" t="s">
        <v>67</v>
      </c>
      <c r="F16" s="11" t="n">
        <f aca="false">BoardQty*1</f>
        <v>1</v>
      </c>
      <c r="G16" s="12" t="n">
        <f aca="true">MINA(INDIRECT(ADDRESS(ROW(),COLUMN(digikey_part_data)+2)))</f>
        <v>14.7968596663395</v>
      </c>
      <c r="H16" s="12" t="n">
        <f aca="false">IFERROR(F16*G16,"")</f>
        <v>14.7968596663395</v>
      </c>
      <c r="I16" s="11" t="n">
        <v>3556</v>
      </c>
      <c r="K16" s="12" t="n">
        <f aca="false">IFERROR(CAD_USD*LOOKUP(IF(J16="",F16,J16),{0,1,5,10,50,100,250,500},{0,11,10.34,9.68,9.13,8.69,8.25,7.92002}),"")</f>
        <v>14.7968596663395</v>
      </c>
      <c r="L16" s="12" t="n">
        <f aca="false">IFERROR(IF(J16="",F16,J16)*K16,"")</f>
        <v>14.7968596663395</v>
      </c>
      <c r="M16" s="13" t="s">
        <v>70</v>
      </c>
    </row>
    <row r="17" customFormat="false" ht="15" hidden="false" customHeight="false" outlineLevel="0" collapsed="false">
      <c r="A17" s="10" t="s">
        <v>71</v>
      </c>
      <c r="B17" s="10" t="s">
        <v>72</v>
      </c>
      <c r="C17" s="10" t="s">
        <v>73</v>
      </c>
      <c r="D17" s="10" t="s">
        <v>74</v>
      </c>
      <c r="E17" s="10" t="s">
        <v>75</v>
      </c>
      <c r="F17" s="11" t="n">
        <f aca="false">BoardQty*1</f>
        <v>1</v>
      </c>
      <c r="G17" s="12" t="n">
        <f aca="true">MINA(INDIRECT(ADDRESS(ROW(),COLUMN(digikey_part_data)+2)))</f>
        <v>0.564971005442055</v>
      </c>
      <c r="H17" s="12" t="n">
        <f aca="false">IFERROR(F17*G17,"")</f>
        <v>0.564971005442055</v>
      </c>
      <c r="I17" s="11" t="n">
        <v>113400</v>
      </c>
      <c r="K17" s="12" t="n">
        <f aca="false">IFERROR(CAD_USD*LOOKUP(IF(J17="",F17,J17),{0,1,10,25,50,100,250,500,1400,2800,7000,9800,14000,35000},{0,0.42,0.393,0.3536,0.3144,0.3013,0.27512,0.26202,0.20843,0.19056,0.17865,0.16674,0.16079,0.1584}),"")</f>
        <v>0.564971005442055</v>
      </c>
      <c r="L17" s="12" t="n">
        <f aca="false">IFERROR(IF(J17="",F17,J17)*K17,"")</f>
        <v>0.564971005442055</v>
      </c>
      <c r="M17" s="13" t="s">
        <v>76</v>
      </c>
    </row>
    <row r="18" customFormat="false" ht="15" hidden="false" customHeight="false" outlineLevel="0" collapsed="false">
      <c r="A18" s="10" t="s">
        <v>77</v>
      </c>
      <c r="B18" s="10" t="s">
        <v>78</v>
      </c>
      <c r="D18" s="10" t="s">
        <v>79</v>
      </c>
      <c r="F18" s="11" t="n">
        <f aca="false">BoardQty*1</f>
        <v>1</v>
      </c>
      <c r="G18" s="12" t="n">
        <f aca="true">MINA(INDIRECT(ADDRESS(ROW(),COLUMN(digikey_part_data)+2)))</f>
        <v>0</v>
      </c>
      <c r="H18" s="12" t="n">
        <f aca="false">IFERROR(F18*G18,"")</f>
        <v>0</v>
      </c>
    </row>
    <row r="19" customFormat="false" ht="15" hidden="false" customHeight="false" outlineLevel="0" collapsed="false">
      <c r="A19" s="10" t="s">
        <v>80</v>
      </c>
      <c r="B19" s="10" t="s">
        <v>81</v>
      </c>
      <c r="D19" s="10" t="s">
        <v>82</v>
      </c>
      <c r="F19" s="11" t="n">
        <f aca="false">BoardQty*1</f>
        <v>1</v>
      </c>
      <c r="G19" s="12" t="n">
        <f aca="true">MINA(INDIRECT(ADDRESS(ROW(),COLUMN(digikey_part_data)+2)))</f>
        <v>0</v>
      </c>
      <c r="H19" s="12" t="n">
        <f aca="false">IFERROR(F19*G19,"")</f>
        <v>0</v>
      </c>
    </row>
    <row r="20" customFormat="false" ht="15" hidden="false" customHeight="false" outlineLevel="0" collapsed="false">
      <c r="A20" s="10" t="s">
        <v>83</v>
      </c>
      <c r="B20" s="10" t="s">
        <v>84</v>
      </c>
      <c r="C20" s="10" t="s">
        <v>85</v>
      </c>
      <c r="D20" s="10" t="s">
        <v>86</v>
      </c>
      <c r="E20" s="10" t="s">
        <v>87</v>
      </c>
      <c r="F20" s="11" t="n">
        <f aca="false">BoardQty*11</f>
        <v>11</v>
      </c>
      <c r="G20" s="12" t="n">
        <f aca="true">MINA(INDIRECT(ADDRESS(ROW(),COLUMN(digikey_part_data)+2)))</f>
        <v>0.0322840574538317</v>
      </c>
      <c r="H20" s="12" t="n">
        <f aca="false">IFERROR(F20*G20,"")</f>
        <v>0.355124631992149</v>
      </c>
      <c r="I20" s="11" t="n">
        <v>89267854</v>
      </c>
      <c r="K20" s="12" t="n">
        <f aca="false">IFERROR(CAD_USD*LOOKUP(IF(J20="",F20,J20),{0,1,10,100,1000,2500,5000,10000,25000,50000,125000},{0,0.1,0.024,0.0097,0.00437,0.00379,0.00285,0.00248,0.00218,0.002,0.00196}),"")</f>
        <v>0.0322840574538317</v>
      </c>
      <c r="L20" s="12" t="n">
        <f aca="false">IFERROR(IF(J20="",F20,J20)*K20,"")</f>
        <v>0.355124631992149</v>
      </c>
      <c r="M20" s="13" t="s">
        <v>88</v>
      </c>
    </row>
    <row r="21" customFormat="false" ht="15" hidden="false" customHeight="false" outlineLevel="0" collapsed="false">
      <c r="A21" s="10" t="s">
        <v>89</v>
      </c>
      <c r="B21" s="10" t="s">
        <v>90</v>
      </c>
      <c r="C21" s="10" t="s">
        <v>91</v>
      </c>
      <c r="D21" s="10" t="s">
        <v>86</v>
      </c>
      <c r="E21" s="10" t="s">
        <v>92</v>
      </c>
      <c r="F21" s="11" t="n">
        <f aca="false">BoardQty*3</f>
        <v>3</v>
      </c>
      <c r="G21" s="12" t="n">
        <f aca="true">MINA(INDIRECT(ADDRESS(ROW(),COLUMN(digikey_part_data)+2)))</f>
        <v>0.134516906057632</v>
      </c>
      <c r="H21" s="12" t="n">
        <f aca="false">IFERROR(F21*G21,"")</f>
        <v>0.403550718172896</v>
      </c>
      <c r="I21" s="11" t="n">
        <v>50655000</v>
      </c>
      <c r="K21" s="12" t="n">
        <f aca="false">IFERROR(CAD_USD*LOOKUP(IF(J21="",F21,J21),{0,1,10,100,1000,2500,5000,10000,25000,50000,125000},{0,0.1,0.024,0.0097,0.00437,0.00379,0.00285,0.00248,0.00218,0.002,0.00196}),"")</f>
        <v>0.134516906057632</v>
      </c>
      <c r="L21" s="12" t="n">
        <f aca="false">IFERROR(IF(J21="",F21,J21)*K21,"")</f>
        <v>0.403550718172897</v>
      </c>
      <c r="M21" s="13" t="s">
        <v>93</v>
      </c>
    </row>
    <row r="22" customFormat="false" ht="15" hidden="false" customHeight="false" outlineLevel="0" collapsed="false">
      <c r="A22" s="10" t="s">
        <v>94</v>
      </c>
      <c r="B22" s="10" t="s">
        <v>95</v>
      </c>
      <c r="C22" s="10" t="s">
        <v>96</v>
      </c>
      <c r="D22" s="10" t="s">
        <v>86</v>
      </c>
      <c r="E22" s="10" t="s">
        <v>97</v>
      </c>
      <c r="F22" s="11" t="n">
        <f aca="false">BoardQty*1</f>
        <v>1</v>
      </c>
      <c r="G22" s="12" t="n">
        <f aca="true">MINA(INDIRECT(ADDRESS(ROW(),COLUMN(digikey_part_data)+2)))</f>
        <v>0.134516906057632</v>
      </c>
      <c r="H22" s="12" t="n">
        <f aca="false">IFERROR(F22*G22,"")</f>
        <v>0.134516906057632</v>
      </c>
      <c r="I22" s="11" t="n">
        <v>640000</v>
      </c>
      <c r="K22" s="12" t="n">
        <f aca="false">IFERROR(CAD_USD*LOOKUP(IF(J22="",F22,J22),{0,1,10,100,1000,2500,5000,10000,25000,50000,125000},{0,0.1,0.024,0.0097,0.00437,0.00379,0.00285,0.00248,0.00218,0.002,0.00196}),"")</f>
        <v>0.134516906057632</v>
      </c>
      <c r="L22" s="12" t="n">
        <f aca="false">IFERROR(IF(J22="",F22,J22)*K22,"")</f>
        <v>0.134516906057632</v>
      </c>
      <c r="M22" s="13" t="s">
        <v>98</v>
      </c>
    </row>
    <row r="23" customFormat="false" ht="15" hidden="false" customHeight="false" outlineLevel="0" collapsed="false">
      <c r="A23" s="10" t="s">
        <v>99</v>
      </c>
      <c r="B23" s="10" t="s">
        <v>100</v>
      </c>
      <c r="C23" s="10" t="s">
        <v>101</v>
      </c>
      <c r="D23" s="10" t="s">
        <v>86</v>
      </c>
      <c r="E23" s="10" t="s">
        <v>102</v>
      </c>
      <c r="F23" s="11" t="n">
        <f aca="false">BoardQty*1</f>
        <v>1</v>
      </c>
      <c r="G23" s="12" t="n">
        <f aca="true">MINA(INDIRECT(ADDRESS(ROW(),COLUMN(digikey_part_data)+2)))</f>
        <v>0.134516906057632</v>
      </c>
      <c r="H23" s="12" t="n">
        <f aca="false">IFERROR(F23*G23,"")</f>
        <v>0.134516906057632</v>
      </c>
      <c r="I23" s="11" t="n">
        <v>190000</v>
      </c>
      <c r="K23" s="12" t="n">
        <f aca="false">IFERROR(CAD_USD*LOOKUP(IF(J23="",F23,J23),{0,1,10,100,1000,2500,5000,10000,25000,50000,125000},{0,0.1,0.024,0.0097,0.00437,0.00379,0.00285,0.00248,0.00218,0.002,0.00196}),"")</f>
        <v>0.134516906057632</v>
      </c>
      <c r="L23" s="12" t="n">
        <f aca="false">IFERROR(IF(J23="",F23,J23)*K23,"")</f>
        <v>0.134516906057632</v>
      </c>
      <c r="M23" s="13" t="s">
        <v>103</v>
      </c>
    </row>
    <row r="24" customFormat="false" ht="15" hidden="false" customHeight="false" outlineLevel="0" collapsed="false">
      <c r="A24" s="10" t="s">
        <v>104</v>
      </c>
      <c r="B24" s="10" t="s">
        <v>105</v>
      </c>
      <c r="C24" s="10" t="s">
        <v>106</v>
      </c>
      <c r="D24" s="10" t="s">
        <v>86</v>
      </c>
      <c r="E24" s="10" t="s">
        <v>107</v>
      </c>
      <c r="F24" s="11" t="n">
        <f aca="false">BoardQty*2</f>
        <v>2</v>
      </c>
      <c r="G24" s="12" t="n">
        <f aca="true">MINA(INDIRECT(ADDRESS(ROW(),COLUMN(digikey_part_data)+2)))</f>
        <v>0.134516906057632</v>
      </c>
      <c r="H24" s="12" t="n">
        <f aca="false">IFERROR(F24*G24,"")</f>
        <v>0.269033812115264</v>
      </c>
      <c r="I24" s="11" t="n">
        <v>4021914</v>
      </c>
      <c r="K24" s="12" t="n">
        <f aca="false">IFERROR(CAD_USD*LOOKUP(IF(J24="",F24,J24),{0,1,10,100,1000,2500,5000,10000,25000,50000,125000},{0,0.1,0.024,0.0097,0.00437,0.00379,0.00285,0.00248,0.00218,0.002,0.00196}),"")</f>
        <v>0.134516906057632</v>
      </c>
      <c r="L24" s="12" t="n">
        <f aca="false">IFERROR(IF(J24="",F24,J24)*K24,"")</f>
        <v>0.269033812115264</v>
      </c>
      <c r="M24" s="13" t="s">
        <v>108</v>
      </c>
    </row>
    <row r="25" customFormat="false" ht="15" hidden="false" customHeight="false" outlineLevel="0" collapsed="false">
      <c r="A25" s="10" t="s">
        <v>109</v>
      </c>
      <c r="B25" s="10" t="s">
        <v>110</v>
      </c>
      <c r="C25" s="10" t="s">
        <v>111</v>
      </c>
      <c r="D25" s="10" t="s">
        <v>112</v>
      </c>
      <c r="E25" s="10" t="s">
        <v>113</v>
      </c>
      <c r="F25" s="11" t="n">
        <f aca="false">BoardQty*1</f>
        <v>1</v>
      </c>
      <c r="G25" s="12" t="n">
        <f aca="true">MINA(INDIRECT(ADDRESS(ROW(),COLUMN(digikey_part_data)+2)))</f>
        <v>0.215227049692212</v>
      </c>
      <c r="H25" s="12" t="n">
        <f aca="false">IFERROR(F25*G25,"")</f>
        <v>0.215227049692212</v>
      </c>
      <c r="I25" s="11" t="n">
        <v>369111</v>
      </c>
      <c r="K25" s="12" t="n">
        <f aca="false">IFERROR(CAD_USD*LOOKUP(IF(J25="",F25,J25),{0,1,10,25,50,100,250,500,1000,5000},{0,0.16,0.157,0.1516,0.1462,0.1381,0.12996,0.12452,0.08614,0.07137}),"")</f>
        <v>0.215227049692212</v>
      </c>
      <c r="L25" s="12" t="n">
        <f aca="false">IFERROR(IF(J25="",F25,J25)*K25,"")</f>
        <v>0.215227049692212</v>
      </c>
      <c r="M25" s="13" t="s">
        <v>114</v>
      </c>
    </row>
    <row r="26" customFormat="false" ht="15" hidden="false" customHeight="false" outlineLevel="0" collapsed="false">
      <c r="A26" s="10" t="s">
        <v>115</v>
      </c>
      <c r="B26" s="10" t="s">
        <v>116</v>
      </c>
      <c r="D26" s="10" t="s">
        <v>117</v>
      </c>
      <c r="F26" s="11" t="n">
        <f aca="false">BoardQty*2</f>
        <v>2</v>
      </c>
      <c r="G26" s="12" t="n">
        <f aca="true">MINA(INDIRECT(ADDRESS(ROW(),COLUMN(digikey_part_data)+2)))</f>
        <v>0</v>
      </c>
      <c r="H26" s="12" t="n">
        <f aca="false">IFERROR(F26*G26,"")</f>
        <v>0</v>
      </c>
    </row>
    <row r="27" customFormat="false" ht="15" hidden="false" customHeight="false" outlineLevel="0" collapsed="false">
      <c r="A27" s="10" t="s">
        <v>118</v>
      </c>
      <c r="B27" s="10" t="s">
        <v>119</v>
      </c>
      <c r="C27" s="10" t="s">
        <v>120</v>
      </c>
      <c r="D27" s="10" t="s">
        <v>121</v>
      </c>
      <c r="E27" s="10" t="s">
        <v>122</v>
      </c>
      <c r="F27" s="11" t="n">
        <f aca="false">BoardQty*1</f>
        <v>1</v>
      </c>
      <c r="G27" s="12" t="n">
        <f aca="true">MINA(INDIRECT(ADDRESS(ROW(),COLUMN(digikey_part_data)+2)))</f>
        <v>0.75329467392274</v>
      </c>
      <c r="H27" s="12" t="n">
        <f aca="false">IFERROR(F27*G27,"")</f>
        <v>0.75329467392274</v>
      </c>
      <c r="I27" s="11" t="n">
        <v>24259</v>
      </c>
      <c r="K27" s="12" t="n">
        <f aca="false">IFERROR(CAD_USD*LOOKUP(IF(J27="",F27,J27),{0,1,10,25,50,100,250,500,1000,5000},{0,0.56,0.538,0.5264,0.4706,0.4481,0.43692,0.36972,0.32592,0.28518}),"")</f>
        <v>0.75329467392274</v>
      </c>
      <c r="L27" s="12" t="n">
        <f aca="false">IFERROR(IF(J27="",F27,J27)*K27,"")</f>
        <v>0.75329467392274</v>
      </c>
      <c r="M27" s="13" t="s">
        <v>123</v>
      </c>
    </row>
    <row r="28" customFormat="false" ht="15" hidden="false" customHeight="false" outlineLevel="0" collapsed="false">
      <c r="A28" s="10" t="s">
        <v>124</v>
      </c>
      <c r="B28" s="10" t="s">
        <v>116</v>
      </c>
      <c r="D28" s="10" t="s">
        <v>125</v>
      </c>
      <c r="F28" s="11" t="n">
        <f aca="false">BoardQty*12</f>
        <v>12</v>
      </c>
      <c r="G28" s="12" t="n">
        <f aca="true">MINA(INDIRECT(ADDRESS(ROW(),COLUMN(digikey_part_data)+2)))</f>
        <v>0</v>
      </c>
      <c r="H28" s="12" t="n">
        <f aca="false">IFERROR(F28*G28,"")</f>
        <v>0</v>
      </c>
    </row>
    <row r="29" customFormat="false" ht="15" hidden="false" customHeight="false" outlineLevel="0" collapsed="false">
      <c r="A29" s="10" t="s">
        <v>126</v>
      </c>
      <c r="B29" s="10" t="s">
        <v>116</v>
      </c>
      <c r="D29" s="10" t="s">
        <v>127</v>
      </c>
      <c r="F29" s="11" t="n">
        <f aca="false">BoardQty*38</f>
        <v>38</v>
      </c>
      <c r="G29" s="12" t="n">
        <f aca="true">MINA(INDIRECT(ADDRESS(ROW(),COLUMN(digikey_part_data)+2)))</f>
        <v>0</v>
      </c>
      <c r="H29" s="12" t="n">
        <f aca="false">IFERROR(F29*G29,"")</f>
        <v>0</v>
      </c>
    </row>
    <row r="30" customFormat="false" ht="15" hidden="false" customHeight="false" outlineLevel="0" collapsed="false">
      <c r="A30" s="10" t="s">
        <v>128</v>
      </c>
      <c r="B30" s="10" t="s">
        <v>129</v>
      </c>
      <c r="D30" s="10" t="s">
        <v>130</v>
      </c>
      <c r="F30" s="11" t="n">
        <f aca="false">BoardQty*1</f>
        <v>1</v>
      </c>
      <c r="G30" s="12" t="n">
        <f aca="true">MINA(INDIRECT(ADDRESS(ROW(),COLUMN(digikey_part_data)+2)))</f>
        <v>0</v>
      </c>
      <c r="H30" s="12" t="n">
        <f aca="false">IFERROR(F30*G30,"")</f>
        <v>0</v>
      </c>
    </row>
    <row r="31" customFormat="false" ht="15" hidden="false" customHeight="false" outlineLevel="0" collapsed="false">
      <c r="A31" s="10" t="s">
        <v>131</v>
      </c>
      <c r="B31" s="10" t="s">
        <v>132</v>
      </c>
      <c r="D31" s="10" t="s">
        <v>130</v>
      </c>
      <c r="F31" s="11" t="n">
        <f aca="false">BoardQty*1</f>
        <v>1</v>
      </c>
      <c r="G31" s="12" t="n">
        <f aca="true">MINA(INDIRECT(ADDRESS(ROW(),COLUMN(digikey_part_data)+2)))</f>
        <v>0</v>
      </c>
      <c r="H31" s="12" t="n">
        <f aca="false">IFERROR(F31*G31,"")</f>
        <v>0</v>
      </c>
    </row>
    <row r="32" customFormat="false" ht="15" hidden="false" customHeight="false" outlineLevel="0" collapsed="false">
      <c r="A32" s="10" t="s">
        <v>133</v>
      </c>
      <c r="B32" s="10" t="s">
        <v>134</v>
      </c>
      <c r="D32" s="10" t="s">
        <v>130</v>
      </c>
      <c r="F32" s="11" t="n">
        <f aca="false">BoardQty*1</f>
        <v>1</v>
      </c>
      <c r="G32" s="12" t="n">
        <f aca="true">MINA(INDIRECT(ADDRESS(ROW(),COLUMN(digikey_part_data)+2)))</f>
        <v>0</v>
      </c>
      <c r="H32" s="12" t="n">
        <f aca="false">IFERROR(F32*G32,"")</f>
        <v>0</v>
      </c>
    </row>
    <row r="33" customFormat="false" ht="15" hidden="false" customHeight="false" outlineLevel="0" collapsed="false">
      <c r="A33" s="10" t="s">
        <v>135</v>
      </c>
      <c r="B33" s="10" t="s">
        <v>136</v>
      </c>
      <c r="D33" s="10" t="s">
        <v>130</v>
      </c>
      <c r="F33" s="11" t="n">
        <f aca="false">BoardQty*1</f>
        <v>1</v>
      </c>
      <c r="G33" s="12" t="n">
        <f aca="true">MINA(INDIRECT(ADDRESS(ROW(),COLUMN(digikey_part_data)+2)))</f>
        <v>0</v>
      </c>
      <c r="H33" s="12" t="n">
        <f aca="false">IFERROR(F33*G33,"")</f>
        <v>0</v>
      </c>
    </row>
    <row r="34" customFormat="false" ht="15" hidden="false" customHeight="false" outlineLevel="0" collapsed="false">
      <c r="A34" s="10" t="s">
        <v>137</v>
      </c>
      <c r="B34" s="10" t="s">
        <v>138</v>
      </c>
      <c r="C34" s="10" t="s">
        <v>139</v>
      </c>
      <c r="D34" s="10" t="s">
        <v>140</v>
      </c>
      <c r="E34" s="10" t="s">
        <v>141</v>
      </c>
      <c r="F34" s="11" t="n">
        <f aca="false">BoardQty*1</f>
        <v>1</v>
      </c>
      <c r="G34" s="12" t="n">
        <f aca="true">MINA(INDIRECT(ADDRESS(ROW(),COLUMN(digikey_part_data)+2)))</f>
        <v>0.511164243019002</v>
      </c>
      <c r="H34" s="12" t="n">
        <f aca="false">IFERROR(F34*G34,"")</f>
        <v>0.511164243019002</v>
      </c>
      <c r="I34" s="11" t="n">
        <v>9860</v>
      </c>
      <c r="K34" s="12" t="n">
        <f aca="false">IFERROR(CAD_USD*LOOKUP(IF(J34="",F34,J34),{0,1,10,50,100,250,500,1000,2500,5000},{0,0.38,0.31,0.2838,0.2112,0.1914,0.1584,0.1188,0.1089,0.1023}),"")</f>
        <v>0.511164243019002</v>
      </c>
      <c r="L34" s="12" t="n">
        <f aca="false">IFERROR(IF(J34="",F34,J34)*K34,"")</f>
        <v>0.511164243019002</v>
      </c>
      <c r="M34" s="13" t="s">
        <v>142</v>
      </c>
    </row>
    <row r="35" customFormat="false" ht="15" hidden="false" customHeight="false" outlineLevel="0" collapsed="false">
      <c r="A35" s="10" t="s">
        <v>143</v>
      </c>
      <c r="B35" s="10" t="s">
        <v>144</v>
      </c>
      <c r="C35" s="10" t="s">
        <v>145</v>
      </c>
      <c r="D35" s="10" t="s">
        <v>146</v>
      </c>
      <c r="E35" s="10" t="s">
        <v>147</v>
      </c>
      <c r="F35" s="11" t="n">
        <f aca="false">BoardQty*1</f>
        <v>1</v>
      </c>
      <c r="G35" s="12" t="n">
        <f aca="true">MINA(INDIRECT(ADDRESS(ROW(),COLUMN(digikey_part_data)+2)))</f>
        <v>5.64971005442055</v>
      </c>
      <c r="H35" s="12" t="n">
        <f aca="false">IFERROR(F35*G35,"")</f>
        <v>5.64971005442055</v>
      </c>
      <c r="I35" s="11" t="n">
        <v>4484</v>
      </c>
      <c r="K35" s="12" t="n">
        <f aca="false">IFERROR(CAD_USD*LOOKUP(IF(J35="",F35,J35),{0,1,25,100,1500},{0,4.2,3.8524,3.4917,3.49171}),"")</f>
        <v>5.64971005442055</v>
      </c>
      <c r="L35" s="12" t="n">
        <f aca="false">IFERROR(IF(J35="",F35,J35)*K35,"")</f>
        <v>5.64971005442055</v>
      </c>
      <c r="M35" s="13" t="s">
        <v>148</v>
      </c>
    </row>
    <row r="36" customFormat="false" ht="15" hidden="false" customHeight="false" outlineLevel="0" collapsed="false">
      <c r="A36" s="10" t="s">
        <v>149</v>
      </c>
      <c r="B36" s="10" t="s">
        <v>150</v>
      </c>
      <c r="C36" s="10" t="s">
        <v>151</v>
      </c>
      <c r="D36" s="10" t="s">
        <v>140</v>
      </c>
      <c r="E36" s="10" t="s">
        <v>152</v>
      </c>
      <c r="F36" s="11" t="n">
        <f aca="false">BoardQty*1</f>
        <v>1</v>
      </c>
      <c r="G36" s="12" t="n">
        <f aca="true">MINA(INDIRECT(ADDRESS(ROW(),COLUMN(digikey_part_data)+2)))</f>
        <v>0.686036220893924</v>
      </c>
      <c r="H36" s="12" t="n">
        <f aca="false">IFERROR(F36*G36,"")</f>
        <v>0.686036220893924</v>
      </c>
      <c r="I36" s="11" t="n">
        <v>47324</v>
      </c>
      <c r="K36" s="12" t="n">
        <f aca="false">IFERROR(CAD_USD*LOOKUP(IF(J36="",F36,J36),{0,1,10,100,500,1000,2500,5000,12500},{0,0.51,0.433,0.323,0.2538,0.19611,0.1736,0.1624,0.1512}),"")</f>
        <v>0.686036220893924</v>
      </c>
      <c r="L36" s="12" t="n">
        <f aca="false">IFERROR(IF(J36="",F36,J36)*K36,"")</f>
        <v>0.686036220893924</v>
      </c>
      <c r="M36" s="13" t="s">
        <v>153</v>
      </c>
    </row>
    <row r="37" customFormat="false" ht="15" hidden="false" customHeight="false" outlineLevel="0" collapsed="false">
      <c r="A37" s="10" t="s">
        <v>154</v>
      </c>
      <c r="B37" s="10" t="s">
        <v>155</v>
      </c>
      <c r="C37" s="10" t="s">
        <v>156</v>
      </c>
      <c r="D37" s="10" t="s">
        <v>157</v>
      </c>
      <c r="E37" s="10" t="s">
        <v>155</v>
      </c>
      <c r="F37" s="11" t="n">
        <f aca="false">BoardQty*1</f>
        <v>1</v>
      </c>
      <c r="G37" s="12" t="n">
        <f aca="true">MINA(INDIRECT(ADDRESS(ROW(),COLUMN(digikey_part_data)+2)))</f>
        <v>3.05353376750825</v>
      </c>
      <c r="H37" s="12" t="n">
        <f aca="false">IFERROR(F37*G37,"")</f>
        <v>3.05353376750825</v>
      </c>
      <c r="I37" s="11" t="n">
        <v>3000</v>
      </c>
      <c r="K37" s="12" t="n">
        <f aca="false">IFERROR(CAD_USD*LOOKUP(IF(J37="",F37,J37),{0,1,10,100,500,1000,3000,6000},{0,2.27,2.042,1.641,1.34828,1.11714,1.0098,0.9724}),"")</f>
        <v>3.05353376750825</v>
      </c>
      <c r="L37" s="12" t="n">
        <f aca="false">IFERROR(IF(J37="",F37,J37)*K37,"")</f>
        <v>3.05353376750825</v>
      </c>
      <c r="M37" s="13" t="s">
        <v>158</v>
      </c>
    </row>
    <row r="38" customFormat="false" ht="15" hidden="false" customHeight="false" outlineLevel="0" collapsed="false">
      <c r="A38" s="10" t="s">
        <v>159</v>
      </c>
      <c r="B38" s="10" t="s">
        <v>160</v>
      </c>
      <c r="C38" s="10" t="s">
        <v>161</v>
      </c>
      <c r="D38" s="10" t="s">
        <v>162</v>
      </c>
      <c r="E38" s="10" t="s">
        <v>163</v>
      </c>
      <c r="F38" s="11" t="n">
        <f aca="false">BoardQty*1</f>
        <v>1</v>
      </c>
      <c r="G38" s="12" t="n">
        <f aca="true">MINA(INDIRECT(ADDRESS(ROW(),COLUMN(digikey_part_data)+2)))</f>
        <v>0.564971005442055</v>
      </c>
      <c r="H38" s="12" t="n">
        <f aca="false">IFERROR(F38*G38,"")</f>
        <v>0.564971005442055</v>
      </c>
      <c r="I38" s="11" t="n">
        <v>84000</v>
      </c>
      <c r="K38" s="12" t="n">
        <f aca="false">IFERROR(CAD_USD*LOOKUP(IF(J38="",F38,J38),{0,1,10,100,500,1000,3000,6000,15000,30000,75000,150000},{0,0.42,0.317,0.1973,0.13496,0.10382,0.09072,0.08568,0.07812,0.07308,0.06552,0.063}),"")</f>
        <v>0.564971005442055</v>
      </c>
      <c r="L38" s="12" t="n">
        <f aca="false">IFERROR(IF(J38="",F38,J38)*K38,"")</f>
        <v>0.564971005442055</v>
      </c>
      <c r="M38" s="13" t="s">
        <v>164</v>
      </c>
    </row>
    <row r="39" customFormat="false" ht="15" hidden="false" customHeight="false" outlineLevel="0" collapsed="false">
      <c r="A39" s="10" t="s">
        <v>165</v>
      </c>
      <c r="B39" s="10" t="s">
        <v>166</v>
      </c>
      <c r="C39" s="10" t="s">
        <v>167</v>
      </c>
      <c r="D39" s="10" t="s">
        <v>168</v>
      </c>
      <c r="E39" s="10" t="s">
        <v>169</v>
      </c>
      <c r="F39" s="11" t="n">
        <f aca="false">BoardQty*1</f>
        <v>1</v>
      </c>
      <c r="G39" s="12" t="n">
        <f aca="true">MINA(INDIRECT(ADDRESS(ROW(),COLUMN(digikey_part_data)+2)))</f>
        <v>1.66800963511464</v>
      </c>
      <c r="H39" s="12" t="n">
        <f aca="false">IFERROR(F39*G39,"")</f>
        <v>1.66800963511464</v>
      </c>
      <c r="I39" s="11" t="n">
        <v>35000</v>
      </c>
      <c r="K39" s="12" t="n">
        <f aca="false">IFERROR(CAD_USD*LOOKUP(IF(J39="",F39,J39),{0,1,10,25,50,100,250,500,1000,2000,3000,5000,10000},{0,1.24,1.094,1.0296,0.9868,0.9438,0.858,0.7722,0.624,0.585,0.5655,0.546,0.5187}),"")</f>
        <v>1.66800963511464</v>
      </c>
      <c r="L39" s="12" t="n">
        <f aca="false">IFERROR(IF(J39="",F39,J39)*K39,"")</f>
        <v>1.66800963511464</v>
      </c>
      <c r="M39" s="13" t="s">
        <v>170</v>
      </c>
    </row>
    <row r="40" customFormat="false" ht="15" hidden="false" customHeight="false" outlineLevel="0" collapsed="false">
      <c r="A40" s="10" t="s">
        <v>171</v>
      </c>
      <c r="B40" s="10" t="s">
        <v>172</v>
      </c>
      <c r="C40" s="10" t="s">
        <v>173</v>
      </c>
      <c r="D40" s="10" t="s">
        <v>174</v>
      </c>
      <c r="E40" s="10" t="s">
        <v>175</v>
      </c>
      <c r="F40" s="11" t="n">
        <f aca="false">BoardQty*1</f>
        <v>1</v>
      </c>
      <c r="G40" s="12" t="n">
        <f aca="true">MINA(INDIRECT(ADDRESS(ROW(),COLUMN(digikey_part_data)+2)))</f>
        <v>0.928166651797662</v>
      </c>
      <c r="H40" s="12" t="n">
        <f aca="false">IFERROR(F40*G40,"")</f>
        <v>0.928166651797662</v>
      </c>
      <c r="I40" s="11" t="n">
        <v>7000</v>
      </c>
      <c r="K40" s="12" t="n">
        <f aca="false">IFERROR(CAD_USD*LOOKUP(IF(J40="",F40,J40),{0,1,10,50,100,500,1000,3000,5000,10000},{0,0.69,0.607,0.5676,0.5016,0.4752,0.384,0.36,0.348,0.336}),"")</f>
        <v>0.928166651797662</v>
      </c>
      <c r="L40" s="12" t="n">
        <f aca="false">IFERROR(IF(J40="",F40,J40)*K40,"")</f>
        <v>0.928166651797662</v>
      </c>
      <c r="M40" s="13" t="s">
        <v>176</v>
      </c>
    </row>
    <row r="42" customFormat="false" ht="15" hidden="false" customHeight="false" outlineLevel="0" collapsed="false">
      <c r="B42" s="0" t="s">
        <v>177</v>
      </c>
      <c r="G42" s="1" t="s">
        <v>178</v>
      </c>
      <c r="H42" s="5" t="n">
        <f aca="true">SUM(INDIRECT(ADDRESS(ROW(),COLUMN(digikey_part_data)+3)))</f>
        <v>0</v>
      </c>
      <c r="J42" s="6" t="str">
        <f aca="false">IFERROR(IF(OR(J7:J40),COUNTIFS(J7:J40,"&gt;0",L7:L40,"&lt;&gt;")&amp;" of "&amp;(ROWS(L7:L40)-COUNTBLANK(L7:L40))&amp;" parts purchased",""),"")</f>
        <v/>
      </c>
      <c r="L42" s="5" t="n">
        <f aca="false">SUMIF(J7:J40,"&gt;0",L7:L40)</f>
        <v>0</v>
      </c>
    </row>
    <row r="43" customFormat="false" ht="15" hidden="false" customHeight="false" outlineLevel="0" collapsed="false">
      <c r="B43" s="14" t="s">
        <v>179</v>
      </c>
      <c r="C43" s="0" t="n">
        <v>1.34516906057632</v>
      </c>
      <c r="J43" s="0" t="str">
        <f aca="false" t="array" ref="J43:J43">IFERROR(CONCATENATE(TEXT(INDEX(J7:J40,SMALL(IF(ISNUMBER(J7:J40),IF(J7:J40&gt;0,IF(M7:M40&lt;&gt;"",ROW(J7:J40)-MIN(ROW(J7:J40))+1))),ROW()-ROW(A$43)+1)),"##0"),",",INDEX(M7:M40,SMALL(IF(ISNUMBER(J7:J40),IF(J7:J40&gt;0,IF(M7:M40&lt;&gt;"",ROW(J7:J40)-MIN(ROW(J7:J40))+1))),ROW()-ROW(A$43)+1)),",",SUBSTITUTE(INDEX(A7:A40,SMALL(IF(ISNUMBER(J7:J40),IF(J7:J40&gt;0,IF(M7:M40&lt;&gt;"",ROW(J7:J40)-MIN(ROW(J7:J40))+1))),ROW()-ROW(A$43)+1)),",",";")),"")</f>
        <v/>
      </c>
    </row>
    <row r="44" customFormat="false" ht="15" hidden="false" customHeight="false" outlineLevel="0" collapsed="false">
      <c r="J44" s="0" t="str">
        <f aca="false" t="array" ref="J44:J44">IFERROR(CONCATENATE(TEXT(INDEX(J7:J40,SMALL(IF(ISNUMBER(J7:J40),IF(J7:J40&gt;0,IF(M7:M40&lt;&gt;"",ROW(J7:J40)-MIN(ROW(J7:J40))+1))),ROW()-ROW(A$43)+1)),"##0"),",",INDEX(M7:M40,SMALL(IF(ISNUMBER(J7:J40),IF(J7:J40&gt;0,IF(M7:M40&lt;&gt;"",ROW(J7:J40)-MIN(ROW(J7:J40))+1))),ROW()-ROW(A$43)+1)),",",SUBSTITUTE(INDEX(A7:A40,SMALL(IF(ISNUMBER(J7:J40),IF(J7:J40&gt;0,IF(M7:M40&lt;&gt;"",ROW(J7:J40)-MIN(ROW(J7:J40))+1))),ROW()-ROW(A$43)+1)),",",";")),"")</f>
        <v/>
      </c>
    </row>
    <row r="45" customFormat="false" ht="15" hidden="false" customHeight="false" outlineLevel="0" collapsed="false">
      <c r="A45" s="2" t="s">
        <v>180</v>
      </c>
      <c r="J45" s="0" t="str">
        <f aca="false" t="array" ref="J45:J45">IFERROR(CONCATENATE(TEXT(INDEX(J7:J40,SMALL(IF(ISNUMBER(J7:J40),IF(J7:J40&gt;0,IF(M7:M40&lt;&gt;"",ROW(J7:J40)-MIN(ROW(J7:J40))+1))),ROW()-ROW(A$43)+1)),"##0"),",",INDEX(M7:M40,SMALL(IF(ISNUMBER(J7:J40),IF(J7:J40&gt;0,IF(M7:M40&lt;&gt;"",ROW(J7:J40)-MIN(ROW(J7:J40))+1))),ROW()-ROW(A$43)+1)),",",SUBSTITUTE(INDEX(A7:A40,SMALL(IF(ISNUMBER(J7:J40),IF(J7:J40&gt;0,IF(M7:M40&lt;&gt;"",ROW(J7:J40)-MIN(ROW(J7:J40))+1))),ROW()-ROW(A$43)+1)),",",";")),"")</f>
        <v/>
      </c>
    </row>
    <row r="46" customFormat="false" ht="15" hidden="false" customHeight="false" outlineLevel="0" collapsed="false">
      <c r="J46" s="0" t="str">
        <f aca="false" t="array" ref="J46:J46">IFERROR(CONCATENATE(TEXT(INDEX(J7:J40,SMALL(IF(ISNUMBER(J7:J40),IF(J7:J40&gt;0,IF(M7:M40&lt;&gt;"",ROW(J7:J40)-MIN(ROW(J7:J40))+1))),ROW()-ROW(A$43)+1)),"##0"),",",INDEX(M7:M40,SMALL(IF(ISNUMBER(J7:J40),IF(J7:J40&gt;0,IF(M7:M40&lt;&gt;"",ROW(J7:J40)-MIN(ROW(J7:J40))+1))),ROW()-ROW(A$43)+1)),",",SUBSTITUTE(INDEX(A7:A40,SMALL(IF(ISNUMBER(J7:J40),IF(J7:J40&gt;0,IF(M7:M40&lt;&gt;"",ROW(J7:J40)-MIN(ROW(J7:J40))+1))),ROW()-ROW(A$43)+1)),",",";")),"")</f>
        <v/>
      </c>
    </row>
    <row r="47" customFormat="false" ht="15" hidden="false" customHeight="false" outlineLevel="0" collapsed="false">
      <c r="J47" s="0" t="str">
        <f aca="false" t="array" ref="J47:J47">IFERROR(CONCATENATE(TEXT(INDEX(J7:J40,SMALL(IF(ISNUMBER(J7:J40),IF(J7:J40&gt;0,IF(M7:M40&lt;&gt;"",ROW(J7:J40)-MIN(ROW(J7:J40))+1))),ROW()-ROW(A$43)+1)),"##0"),",",INDEX(M7:M40,SMALL(IF(ISNUMBER(J7:J40),IF(J7:J40&gt;0,IF(M7:M40&lt;&gt;"",ROW(J7:J40)-MIN(ROW(J7:J40))+1))),ROW()-ROW(A$43)+1)),",",SUBSTITUTE(INDEX(A7:A40,SMALL(IF(ISNUMBER(J7:J40),IF(J7:J40&gt;0,IF(M7:M40&lt;&gt;"",ROW(J7:J40)-MIN(ROW(J7:J40))+1))),ROW()-ROW(A$43)+1)),",",";")),"")</f>
        <v/>
      </c>
    </row>
    <row r="48" customFormat="false" ht="15" hidden="false" customHeight="false" outlineLevel="0" collapsed="false">
      <c r="J48" s="0" t="str">
        <f aca="false" t="array" ref="J48:J48">IFERROR(CONCATENATE(TEXT(INDEX(J7:J40,SMALL(IF(ISNUMBER(J7:J40),IF(J7:J40&gt;0,IF(M7:M40&lt;&gt;"",ROW(J7:J40)-MIN(ROW(J7:J40))+1))),ROW()-ROW(A$43)+1)),"##0"),",",INDEX(M7:M40,SMALL(IF(ISNUMBER(J7:J40),IF(J7:J40&gt;0,IF(M7:M40&lt;&gt;"",ROW(J7:J40)-MIN(ROW(J7:J40))+1))),ROW()-ROW(A$43)+1)),",",SUBSTITUTE(INDEX(A7:A40,SMALL(IF(ISNUMBER(J7:J40),IF(J7:J40&gt;0,IF(M7:M40&lt;&gt;"",ROW(J7:J40)-MIN(ROW(J7:J40))+1))),ROW()-ROW(A$43)+1)),",",";")),"")</f>
        <v/>
      </c>
    </row>
    <row r="49" customFormat="false" ht="15" hidden="false" customHeight="false" outlineLevel="0" collapsed="false">
      <c r="J49" s="0" t="str">
        <f aca="false" t="array" ref="J49:J49">IFERROR(CONCATENATE(TEXT(INDEX(J7:J40,SMALL(IF(ISNUMBER(J7:J40),IF(J7:J40&gt;0,IF(M7:M40&lt;&gt;"",ROW(J7:J40)-MIN(ROW(J7:J40))+1))),ROW()-ROW(A$43)+1)),"##0"),",",INDEX(M7:M40,SMALL(IF(ISNUMBER(J7:J40),IF(J7:J40&gt;0,IF(M7:M40&lt;&gt;"",ROW(J7:J40)-MIN(ROW(J7:J40))+1))),ROW()-ROW(A$43)+1)),",",SUBSTITUTE(INDEX(A7:A40,SMALL(IF(ISNUMBER(J7:J40),IF(J7:J40&gt;0,IF(M7:M40&lt;&gt;"",ROW(J7:J40)-MIN(ROW(J7:J40))+1))),ROW()-ROW(A$43)+1)),",",";")),"")</f>
        <v/>
      </c>
    </row>
    <row r="50" customFormat="false" ht="15" hidden="false" customHeight="false" outlineLevel="0" collapsed="false">
      <c r="J50" s="0" t="str">
        <f aca="false" t="array" ref="J50:J50">IFERROR(CONCATENATE(TEXT(INDEX(J7:J40,SMALL(IF(ISNUMBER(J7:J40),IF(J7:J40&gt;0,IF(M7:M40&lt;&gt;"",ROW(J7:J40)-MIN(ROW(J7:J40))+1))),ROW()-ROW(A$43)+1)),"##0"),",",INDEX(M7:M40,SMALL(IF(ISNUMBER(J7:J40),IF(J7:J40&gt;0,IF(M7:M40&lt;&gt;"",ROW(J7:J40)-MIN(ROW(J7:J40))+1))),ROW()-ROW(A$43)+1)),",",SUBSTITUTE(INDEX(A7:A40,SMALL(IF(ISNUMBER(J7:J40),IF(J7:J40&gt;0,IF(M7:M40&lt;&gt;"",ROW(J7:J40)-MIN(ROW(J7:J40))+1))),ROW()-ROW(A$43)+1)),",",";")),"")</f>
        <v/>
      </c>
    </row>
    <row r="51" customFormat="false" ht="15" hidden="false" customHeight="false" outlineLevel="0" collapsed="false">
      <c r="J51" s="0" t="str">
        <f aca="false" t="array" ref="J51:J51">IFERROR(CONCATENATE(TEXT(INDEX(J7:J40,SMALL(IF(ISNUMBER(J7:J40),IF(J7:J40&gt;0,IF(M7:M40&lt;&gt;"",ROW(J7:J40)-MIN(ROW(J7:J40))+1))),ROW()-ROW(A$43)+1)),"##0"),",",INDEX(M7:M40,SMALL(IF(ISNUMBER(J7:J40),IF(J7:J40&gt;0,IF(M7:M40&lt;&gt;"",ROW(J7:J40)-MIN(ROW(J7:J40))+1))),ROW()-ROW(A$43)+1)),",",SUBSTITUTE(INDEX(A7:A40,SMALL(IF(ISNUMBER(J7:J40),IF(J7:J40&gt;0,IF(M7:M40&lt;&gt;"",ROW(J7:J40)-MIN(ROW(J7:J40))+1))),ROW()-ROW(A$43)+1)),",",";")),"")</f>
        <v/>
      </c>
    </row>
    <row r="52" customFormat="false" ht="15" hidden="false" customHeight="false" outlineLevel="0" collapsed="false">
      <c r="J52" s="0" t="str">
        <f aca="false" t="array" ref="J52:J52">IFERROR(CONCATENATE(TEXT(INDEX(J7:J40,SMALL(IF(ISNUMBER(J7:J40),IF(J7:J40&gt;0,IF(M7:M40&lt;&gt;"",ROW(J7:J40)-MIN(ROW(J7:J40))+1))),ROW()-ROW(A$43)+1)),"##0"),",",INDEX(M7:M40,SMALL(IF(ISNUMBER(J7:J40),IF(J7:J40&gt;0,IF(M7:M40&lt;&gt;"",ROW(J7:J40)-MIN(ROW(J7:J40))+1))),ROW()-ROW(A$43)+1)),",",SUBSTITUTE(INDEX(A7:A40,SMALL(IF(ISNUMBER(J7:J40),IF(J7:J40&gt;0,IF(M7:M40&lt;&gt;"",ROW(J7:J40)-MIN(ROW(J7:J40))+1))),ROW()-ROW(A$43)+1)),",",";")),"")</f>
        <v/>
      </c>
    </row>
    <row r="53" customFormat="false" ht="15" hidden="false" customHeight="false" outlineLevel="0" collapsed="false">
      <c r="J53" s="0" t="str">
        <f aca="false" t="array" ref="J53:J53">IFERROR(CONCATENATE(TEXT(INDEX(J7:J40,SMALL(IF(ISNUMBER(J7:J40),IF(J7:J40&gt;0,IF(M7:M40&lt;&gt;"",ROW(J7:J40)-MIN(ROW(J7:J40))+1))),ROW()-ROW(A$43)+1)),"##0"),",",INDEX(M7:M40,SMALL(IF(ISNUMBER(J7:J40),IF(J7:J40&gt;0,IF(M7:M40&lt;&gt;"",ROW(J7:J40)-MIN(ROW(J7:J40))+1))),ROW()-ROW(A$43)+1)),",",SUBSTITUTE(INDEX(A7:A40,SMALL(IF(ISNUMBER(J7:J40),IF(J7:J40&gt;0,IF(M7:M40&lt;&gt;"",ROW(J7:J40)-MIN(ROW(J7:J40))+1))),ROW()-ROW(A$43)+1)),",",";")),"")</f>
        <v/>
      </c>
    </row>
    <row r="54" customFormat="false" ht="15" hidden="false" customHeight="false" outlineLevel="0" collapsed="false">
      <c r="J54" s="0" t="str">
        <f aca="false" t="array" ref="J54:J54">IFERROR(CONCATENATE(TEXT(INDEX(J7:J40,SMALL(IF(ISNUMBER(J7:J40),IF(J7:J40&gt;0,IF(M7:M40&lt;&gt;"",ROW(J7:J40)-MIN(ROW(J7:J40))+1))),ROW()-ROW(A$43)+1)),"##0"),",",INDEX(M7:M40,SMALL(IF(ISNUMBER(J7:J40),IF(J7:J40&gt;0,IF(M7:M40&lt;&gt;"",ROW(J7:J40)-MIN(ROW(J7:J40))+1))),ROW()-ROW(A$43)+1)),",",SUBSTITUTE(INDEX(A7:A40,SMALL(IF(ISNUMBER(J7:J40),IF(J7:J40&gt;0,IF(M7:M40&lt;&gt;"",ROW(J7:J40)-MIN(ROW(J7:J40))+1))),ROW()-ROW(A$43)+1)),",",";")),"")</f>
        <v/>
      </c>
    </row>
    <row r="55" customFormat="false" ht="15" hidden="false" customHeight="false" outlineLevel="0" collapsed="false">
      <c r="J55" s="0" t="str">
        <f aca="false" t="array" ref="J55:J55">IFERROR(CONCATENATE(TEXT(INDEX(J7:J40,SMALL(IF(ISNUMBER(J7:J40),IF(J7:J40&gt;0,IF(M7:M40&lt;&gt;"",ROW(J7:J40)-MIN(ROW(J7:J40))+1))),ROW()-ROW(A$43)+1)),"##0"),",",INDEX(M7:M40,SMALL(IF(ISNUMBER(J7:J40),IF(J7:J40&gt;0,IF(M7:M40&lt;&gt;"",ROW(J7:J40)-MIN(ROW(J7:J40))+1))),ROW()-ROW(A$43)+1)),",",SUBSTITUTE(INDEX(A7:A40,SMALL(IF(ISNUMBER(J7:J40),IF(J7:J40&gt;0,IF(M7:M40&lt;&gt;"",ROW(J7:J40)-MIN(ROW(J7:J40))+1))),ROW()-ROW(A$43)+1)),",",";")),"")</f>
        <v/>
      </c>
    </row>
    <row r="56" customFormat="false" ht="15" hidden="false" customHeight="false" outlineLevel="0" collapsed="false">
      <c r="J56" s="0" t="str">
        <f aca="false" t="array" ref="J56:J56">IFERROR(CONCATENATE(TEXT(INDEX(J7:J40,SMALL(IF(ISNUMBER(J7:J40),IF(J7:J40&gt;0,IF(M7:M40&lt;&gt;"",ROW(J7:J40)-MIN(ROW(J7:J40))+1))),ROW()-ROW(A$43)+1)),"##0"),",",INDEX(M7:M40,SMALL(IF(ISNUMBER(J7:J40),IF(J7:J40&gt;0,IF(M7:M40&lt;&gt;"",ROW(J7:J40)-MIN(ROW(J7:J40))+1))),ROW()-ROW(A$43)+1)),",",SUBSTITUTE(INDEX(A7:A40,SMALL(IF(ISNUMBER(J7:J40),IF(J7:J40&gt;0,IF(M7:M40&lt;&gt;"",ROW(J7:J40)-MIN(ROW(J7:J40))+1))),ROW()-ROW(A$43)+1)),",",";")),"")</f>
        <v/>
      </c>
    </row>
    <row r="57" customFormat="false" ht="15" hidden="false" customHeight="false" outlineLevel="0" collapsed="false">
      <c r="J57" s="0" t="str">
        <f aca="false" t="array" ref="J57:J57">IFERROR(CONCATENATE(TEXT(INDEX(J7:J40,SMALL(IF(ISNUMBER(J7:J40),IF(J7:J40&gt;0,IF(M7:M40&lt;&gt;"",ROW(J7:J40)-MIN(ROW(J7:J40))+1))),ROW()-ROW(A$43)+1)),"##0"),",",INDEX(M7:M40,SMALL(IF(ISNUMBER(J7:J40),IF(J7:J40&gt;0,IF(M7:M40&lt;&gt;"",ROW(J7:J40)-MIN(ROW(J7:J40))+1))),ROW()-ROW(A$43)+1)),",",SUBSTITUTE(INDEX(A7:A40,SMALL(IF(ISNUMBER(J7:J40),IF(J7:J40&gt;0,IF(M7:M40&lt;&gt;"",ROW(J7:J40)-MIN(ROW(J7:J40))+1))),ROW()-ROW(A$43)+1)),",",";")),"")</f>
        <v/>
      </c>
    </row>
    <row r="58" customFormat="false" ht="15" hidden="false" customHeight="false" outlineLevel="0" collapsed="false">
      <c r="J58" s="0" t="str">
        <f aca="false" t="array" ref="J58:J58">IFERROR(CONCATENATE(TEXT(INDEX(J7:J40,SMALL(IF(ISNUMBER(J7:J40),IF(J7:J40&gt;0,IF(M7:M40&lt;&gt;"",ROW(J7:J40)-MIN(ROW(J7:J40))+1))),ROW()-ROW(A$43)+1)),"##0"),",",INDEX(M7:M40,SMALL(IF(ISNUMBER(J7:J40),IF(J7:J40&gt;0,IF(M7:M40&lt;&gt;"",ROW(J7:J40)-MIN(ROW(J7:J40))+1))),ROW()-ROW(A$43)+1)),",",SUBSTITUTE(INDEX(A7:A40,SMALL(IF(ISNUMBER(J7:J40),IF(J7:J40&gt;0,IF(M7:M40&lt;&gt;"",ROW(J7:J40)-MIN(ROW(J7:J40))+1))),ROW()-ROW(A$43)+1)),",",";")),"")</f>
        <v/>
      </c>
    </row>
    <row r="59" customFormat="false" ht="15" hidden="false" customHeight="false" outlineLevel="0" collapsed="false">
      <c r="J59" s="0" t="str">
        <f aca="false" t="array" ref="J59:J59">IFERROR(CONCATENATE(TEXT(INDEX(J7:J40,SMALL(IF(ISNUMBER(J7:J40),IF(J7:J40&gt;0,IF(M7:M40&lt;&gt;"",ROW(J7:J40)-MIN(ROW(J7:J40))+1))),ROW()-ROW(A$43)+1)),"##0"),",",INDEX(M7:M40,SMALL(IF(ISNUMBER(J7:J40),IF(J7:J40&gt;0,IF(M7:M40&lt;&gt;"",ROW(J7:J40)-MIN(ROW(J7:J40))+1))),ROW()-ROW(A$43)+1)),",",SUBSTITUTE(INDEX(A7:A40,SMALL(IF(ISNUMBER(J7:J40),IF(J7:J40&gt;0,IF(M7:M40&lt;&gt;"",ROW(J7:J40)-MIN(ROW(J7:J40))+1))),ROW()-ROW(A$43)+1)),",",";")),"")</f>
        <v/>
      </c>
    </row>
    <row r="60" customFormat="false" ht="15" hidden="false" customHeight="false" outlineLevel="0" collapsed="false">
      <c r="J60" s="0" t="str">
        <f aca="false" t="array" ref="J60:J60">IFERROR(CONCATENATE(TEXT(INDEX(J7:J40,SMALL(IF(ISNUMBER(J7:J40),IF(J7:J40&gt;0,IF(M7:M40&lt;&gt;"",ROW(J7:J40)-MIN(ROW(J7:J40))+1))),ROW()-ROW(A$43)+1)),"##0"),",",INDEX(M7:M40,SMALL(IF(ISNUMBER(J7:J40),IF(J7:J40&gt;0,IF(M7:M40&lt;&gt;"",ROW(J7:J40)-MIN(ROW(J7:J40))+1))),ROW()-ROW(A$43)+1)),",",SUBSTITUTE(INDEX(A7:A40,SMALL(IF(ISNUMBER(J7:J40),IF(J7:J40&gt;0,IF(M7:M40&lt;&gt;"",ROW(J7:J40)-MIN(ROW(J7:J40))+1))),ROW()-ROW(A$43)+1)),",",";")),"")</f>
        <v/>
      </c>
    </row>
    <row r="61" customFormat="false" ht="15" hidden="false" customHeight="false" outlineLevel="0" collapsed="false">
      <c r="J61" s="0" t="str">
        <f aca="false" t="array" ref="J61:J61">IFERROR(CONCATENATE(TEXT(INDEX(J7:J40,SMALL(IF(ISNUMBER(J7:J40),IF(J7:J40&gt;0,IF(M7:M40&lt;&gt;"",ROW(J7:J40)-MIN(ROW(J7:J40))+1))),ROW()-ROW(A$43)+1)),"##0"),",",INDEX(M7:M40,SMALL(IF(ISNUMBER(J7:J40),IF(J7:J40&gt;0,IF(M7:M40&lt;&gt;"",ROW(J7:J40)-MIN(ROW(J7:J40))+1))),ROW()-ROW(A$43)+1)),",",SUBSTITUTE(INDEX(A7:A40,SMALL(IF(ISNUMBER(J7:J40),IF(J7:J40&gt;0,IF(M7:M40&lt;&gt;"",ROW(J7:J40)-MIN(ROW(J7:J40))+1))),ROW()-ROW(A$43)+1)),",",";")),"")</f>
        <v/>
      </c>
    </row>
    <row r="62" customFormat="false" ht="15" hidden="false" customHeight="false" outlineLevel="0" collapsed="false">
      <c r="J62" s="0" t="str">
        <f aca="false" t="array" ref="J62:J62">IFERROR(CONCATENATE(TEXT(INDEX(J7:J40,SMALL(IF(ISNUMBER(J7:J40),IF(J7:J40&gt;0,IF(M7:M40&lt;&gt;"",ROW(J7:J40)-MIN(ROW(J7:J40))+1))),ROW()-ROW(A$43)+1)),"##0"),",",INDEX(M7:M40,SMALL(IF(ISNUMBER(J7:J40),IF(J7:J40&gt;0,IF(M7:M40&lt;&gt;"",ROW(J7:J40)-MIN(ROW(J7:J40))+1))),ROW()-ROW(A$43)+1)),",",SUBSTITUTE(INDEX(A7:A40,SMALL(IF(ISNUMBER(J7:J40),IF(J7:J40&gt;0,IF(M7:M40&lt;&gt;"",ROW(J7:J40)-MIN(ROW(J7:J40))+1))),ROW()-ROW(A$43)+1)),",",";")),"")</f>
        <v/>
      </c>
    </row>
    <row r="63" customFormat="false" ht="15" hidden="false" customHeight="false" outlineLevel="0" collapsed="false">
      <c r="J63" s="0" t="str">
        <f aca="false" t="array" ref="J63:J63">IFERROR(CONCATENATE(TEXT(INDEX(J7:J40,SMALL(IF(ISNUMBER(J7:J40),IF(J7:J40&gt;0,IF(M7:M40&lt;&gt;"",ROW(J7:J40)-MIN(ROW(J7:J40))+1))),ROW()-ROW(A$43)+1)),"##0"),",",INDEX(M7:M40,SMALL(IF(ISNUMBER(J7:J40),IF(J7:J40&gt;0,IF(M7:M40&lt;&gt;"",ROW(J7:J40)-MIN(ROW(J7:J40))+1))),ROW()-ROW(A$43)+1)),",",SUBSTITUTE(INDEX(A7:A40,SMALL(IF(ISNUMBER(J7:J40),IF(J7:J40&gt;0,IF(M7:M40&lt;&gt;"",ROW(J7:J40)-MIN(ROW(J7:J40))+1))),ROW()-ROW(A$43)+1)),",",";")),"")</f>
        <v/>
      </c>
    </row>
    <row r="64" customFormat="false" ht="15" hidden="false" customHeight="false" outlineLevel="0" collapsed="false">
      <c r="J64" s="0" t="str">
        <f aca="false" t="array" ref="J64:J64">IFERROR(CONCATENATE(TEXT(INDEX(J7:J40,SMALL(IF(ISNUMBER(J7:J40),IF(J7:J40&gt;0,IF(M7:M40&lt;&gt;"",ROW(J7:J40)-MIN(ROW(J7:J40))+1))),ROW()-ROW(A$43)+1)),"##0"),",",INDEX(M7:M40,SMALL(IF(ISNUMBER(J7:J40),IF(J7:J40&gt;0,IF(M7:M40&lt;&gt;"",ROW(J7:J40)-MIN(ROW(J7:J40))+1))),ROW()-ROW(A$43)+1)),",",SUBSTITUTE(INDEX(A7:A40,SMALL(IF(ISNUMBER(J7:J40),IF(J7:J40&gt;0,IF(M7:M40&lt;&gt;"",ROW(J7:J40)-MIN(ROW(J7:J40))+1))),ROW()-ROW(A$43)+1)),",",";")),"")</f>
        <v/>
      </c>
    </row>
    <row r="65" customFormat="false" ht="15" hidden="false" customHeight="false" outlineLevel="0" collapsed="false">
      <c r="J65" s="0" t="str">
        <f aca="false" t="array" ref="J65:J65">IFERROR(CONCATENATE(TEXT(INDEX(J7:J40,SMALL(IF(ISNUMBER(J7:J40),IF(J7:J40&gt;0,IF(M7:M40&lt;&gt;"",ROW(J7:J40)-MIN(ROW(J7:J40))+1))),ROW()-ROW(A$43)+1)),"##0"),",",INDEX(M7:M40,SMALL(IF(ISNUMBER(J7:J40),IF(J7:J40&gt;0,IF(M7:M40&lt;&gt;"",ROW(J7:J40)-MIN(ROW(J7:J40))+1))),ROW()-ROW(A$43)+1)),",",SUBSTITUTE(INDEX(A7:A40,SMALL(IF(ISNUMBER(J7:J40),IF(J7:J40&gt;0,IF(M7:M40&lt;&gt;"",ROW(J7:J40)-MIN(ROW(J7:J40))+1))),ROW()-ROW(A$43)+1)),",",";")),"")</f>
        <v/>
      </c>
    </row>
    <row r="66" customFormat="false" ht="15" hidden="false" customHeight="false" outlineLevel="0" collapsed="false">
      <c r="J66" s="0" t="str">
        <f aca="false" t="array" ref="J66:J66">IFERROR(CONCATENATE(TEXT(INDEX(J7:J40,SMALL(IF(ISNUMBER(J7:J40),IF(J7:J40&gt;0,IF(M7:M40&lt;&gt;"",ROW(J7:J40)-MIN(ROW(J7:J40))+1))),ROW()-ROW(A$43)+1)),"##0"),",",INDEX(M7:M40,SMALL(IF(ISNUMBER(J7:J40),IF(J7:J40&gt;0,IF(M7:M40&lt;&gt;"",ROW(J7:J40)-MIN(ROW(J7:J40))+1))),ROW()-ROW(A$43)+1)),",",SUBSTITUTE(INDEX(A7:A40,SMALL(IF(ISNUMBER(J7:J40),IF(J7:J40&gt;0,IF(M7:M40&lt;&gt;"",ROW(J7:J40)-MIN(ROW(J7:J40))+1))),ROW()-ROW(A$43)+1)),",",";")),"")</f>
        <v/>
      </c>
    </row>
    <row r="67" customFormat="false" ht="15" hidden="false" customHeight="false" outlineLevel="0" collapsed="false">
      <c r="J67" s="0" t="str">
        <f aca="false" t="array" ref="J67:J67">IFERROR(CONCATENATE(TEXT(INDEX(J7:J40,SMALL(IF(ISNUMBER(J7:J40),IF(J7:J40&gt;0,IF(M7:M40&lt;&gt;"",ROW(J7:J40)-MIN(ROW(J7:J40))+1))),ROW()-ROW(A$43)+1)),"##0"),",",INDEX(M7:M40,SMALL(IF(ISNUMBER(J7:J40),IF(J7:J40&gt;0,IF(M7:M40&lt;&gt;"",ROW(J7:J40)-MIN(ROW(J7:J40))+1))),ROW()-ROW(A$43)+1)),",",SUBSTITUTE(INDEX(A7:A40,SMALL(IF(ISNUMBER(J7:J40),IF(J7:J40&gt;0,IF(M7:M40&lt;&gt;"",ROW(J7:J40)-MIN(ROW(J7:J40))+1))),ROW()-ROW(A$43)+1)),",",";")),"")</f>
        <v/>
      </c>
    </row>
    <row r="68" customFormat="false" ht="15" hidden="false" customHeight="false" outlineLevel="0" collapsed="false">
      <c r="J68" s="0" t="str">
        <f aca="false" t="array" ref="J68:J68">IFERROR(CONCATENATE(TEXT(INDEX(J7:J40,SMALL(IF(ISNUMBER(J7:J40),IF(J7:J40&gt;0,IF(M7:M40&lt;&gt;"",ROW(J7:J40)-MIN(ROW(J7:J40))+1))),ROW()-ROW(A$43)+1)),"##0"),",",INDEX(M7:M40,SMALL(IF(ISNUMBER(J7:J40),IF(J7:J40&gt;0,IF(M7:M40&lt;&gt;"",ROW(J7:J40)-MIN(ROW(J7:J40))+1))),ROW()-ROW(A$43)+1)),",",SUBSTITUTE(INDEX(A7:A40,SMALL(IF(ISNUMBER(J7:J40),IF(J7:J40&gt;0,IF(M7:M40&lt;&gt;"",ROW(J7:J40)-MIN(ROW(J7:J40))+1))),ROW()-ROW(A$43)+1)),",",";")),"")</f>
        <v/>
      </c>
    </row>
    <row r="69" customFormat="false" ht="15" hidden="false" customHeight="false" outlineLevel="0" collapsed="false">
      <c r="J69" s="0" t="str">
        <f aca="false" t="array" ref="J69:J69">IFERROR(CONCATENATE(TEXT(INDEX(J7:J40,SMALL(IF(ISNUMBER(J7:J40),IF(J7:J40&gt;0,IF(M7:M40&lt;&gt;"",ROW(J7:J40)-MIN(ROW(J7:J40))+1))),ROW()-ROW(A$43)+1)),"##0"),",",INDEX(M7:M40,SMALL(IF(ISNUMBER(J7:J40),IF(J7:J40&gt;0,IF(M7:M40&lt;&gt;"",ROW(J7:J40)-MIN(ROW(J7:J40))+1))),ROW()-ROW(A$43)+1)),",",SUBSTITUTE(INDEX(A7:A40,SMALL(IF(ISNUMBER(J7:J40),IF(J7:J40&gt;0,IF(M7:M40&lt;&gt;"",ROW(J7:J40)-MIN(ROW(J7:J40))+1))),ROW()-ROW(A$43)+1)),",",";")),"")</f>
        <v/>
      </c>
    </row>
    <row r="70" customFormat="false" ht="15" hidden="false" customHeight="false" outlineLevel="0" collapsed="false">
      <c r="J70" s="0" t="str">
        <f aca="false" t="array" ref="J70:J70">IFERROR(CONCATENATE(TEXT(INDEX(J7:J40,SMALL(IF(ISNUMBER(J7:J40),IF(J7:J40&gt;0,IF(M7:M40&lt;&gt;"",ROW(J7:J40)-MIN(ROW(J7:J40))+1))),ROW()-ROW(A$43)+1)),"##0"),",",INDEX(M7:M40,SMALL(IF(ISNUMBER(J7:J40),IF(J7:J40&gt;0,IF(M7:M40&lt;&gt;"",ROW(J7:J40)-MIN(ROW(J7:J40))+1))),ROW()-ROW(A$43)+1)),",",SUBSTITUTE(INDEX(A7:A40,SMALL(IF(ISNUMBER(J7:J40),IF(J7:J40&gt;0,IF(M7:M40&lt;&gt;"",ROW(J7:J40)-MIN(ROW(J7:J40))+1))),ROW()-ROW(A$43)+1)),",",";")),"")</f>
        <v/>
      </c>
    </row>
    <row r="71" customFormat="false" ht="15" hidden="false" customHeight="false" outlineLevel="0" collapsed="false">
      <c r="J71" s="0" t="str">
        <f aca="false" t="array" ref="J71:J71">IFERROR(CONCATENATE(TEXT(INDEX(J7:J40,SMALL(IF(ISNUMBER(J7:J40),IF(J7:J40&gt;0,IF(M7:M40&lt;&gt;"",ROW(J7:J40)-MIN(ROW(J7:J40))+1))),ROW()-ROW(A$43)+1)),"##0"),",",INDEX(M7:M40,SMALL(IF(ISNUMBER(J7:J40),IF(J7:J40&gt;0,IF(M7:M40&lt;&gt;"",ROW(J7:J40)-MIN(ROW(J7:J40))+1))),ROW()-ROW(A$43)+1)),",",SUBSTITUTE(INDEX(A7:A40,SMALL(IF(ISNUMBER(J7:J40),IF(J7:J40&gt;0,IF(M7:M40&lt;&gt;"",ROW(J7:J40)-MIN(ROW(J7:J40))+1))),ROW()-ROW(A$43)+1)),",",";")),"")</f>
        <v/>
      </c>
    </row>
    <row r="72" customFormat="false" ht="15" hidden="false" customHeight="false" outlineLevel="0" collapsed="false">
      <c r="J72" s="0" t="str">
        <f aca="false" t="array" ref="J72:J72">IFERROR(CONCATENATE(TEXT(INDEX(J7:J40,SMALL(IF(ISNUMBER(J7:J40),IF(J7:J40&gt;0,IF(M7:M40&lt;&gt;"",ROW(J7:J40)-MIN(ROW(J7:J40))+1))),ROW()-ROW(A$43)+1)),"##0"),",",INDEX(M7:M40,SMALL(IF(ISNUMBER(J7:J40),IF(J7:J40&gt;0,IF(M7:M40&lt;&gt;"",ROW(J7:J40)-MIN(ROW(J7:J40))+1))),ROW()-ROW(A$43)+1)),",",SUBSTITUTE(INDEX(A7:A40,SMALL(IF(ISNUMBER(J7:J40),IF(J7:J40&gt;0,IF(M7:M40&lt;&gt;"",ROW(J7:J40)-MIN(ROW(J7:J40))+1))),ROW()-ROW(A$43)+1)),",",";")),"")</f>
        <v/>
      </c>
    </row>
    <row r="73" customFormat="false" ht="15" hidden="false" customHeight="false" outlineLevel="0" collapsed="false">
      <c r="J73" s="0" t="str">
        <f aca="false" t="array" ref="J73:J73">IFERROR(CONCATENATE(TEXT(INDEX(J7:J40,SMALL(IF(ISNUMBER(J7:J40),IF(J7:J40&gt;0,IF(M7:M40&lt;&gt;"",ROW(J7:J40)-MIN(ROW(J7:J40))+1))),ROW()-ROW(A$43)+1)),"##0"),",",INDEX(M7:M40,SMALL(IF(ISNUMBER(J7:J40),IF(J7:J40&gt;0,IF(M7:M40&lt;&gt;"",ROW(J7:J40)-MIN(ROW(J7:J40))+1))),ROW()-ROW(A$43)+1)),",",SUBSTITUTE(INDEX(A7:A40,SMALL(IF(ISNUMBER(J7:J40),IF(J7:J40&gt;0,IF(M7:M40&lt;&gt;"",ROW(J7:J40)-MIN(ROW(J7:J40))+1))),ROW()-ROW(A$43)+1)),",",";")),"")</f>
        <v/>
      </c>
    </row>
    <row r="74" customFormat="false" ht="15" hidden="false" customHeight="false" outlineLevel="0" collapsed="false">
      <c r="J74" s="0" t="str">
        <f aca="false" t="array" ref="J74:J74">IFERROR(CONCATENATE(TEXT(INDEX(J7:J40,SMALL(IF(ISNUMBER(J7:J40),IF(J7:J40&gt;0,IF(M7:M40&lt;&gt;"",ROW(J7:J40)-MIN(ROW(J7:J40))+1))),ROW()-ROW(A$43)+1)),"##0"),",",INDEX(M7:M40,SMALL(IF(ISNUMBER(J7:J40),IF(J7:J40&gt;0,IF(M7:M40&lt;&gt;"",ROW(J7:J40)-MIN(ROW(J7:J40))+1))),ROW()-ROW(A$43)+1)),",",SUBSTITUTE(INDEX(A7:A40,SMALL(IF(ISNUMBER(J7:J40),IF(J7:J40&gt;0,IF(M7:M40&lt;&gt;"",ROW(J7:J40)-MIN(ROW(J7:J40))+1))),ROW()-ROW(A$43)+1)),",",";")),"")</f>
        <v/>
      </c>
    </row>
    <row r="75" customFormat="false" ht="15" hidden="false" customHeight="false" outlineLevel="0" collapsed="false">
      <c r="J75" s="0" t="str">
        <f aca="false" t="array" ref="J75:J75">IFERROR(CONCATENATE(TEXT(INDEX(J7:J40,SMALL(IF(ISNUMBER(J7:J40),IF(J7:J40&gt;0,IF(M7:M40&lt;&gt;"",ROW(J7:J40)-MIN(ROW(J7:J40))+1))),ROW()-ROW(A$43)+1)),"##0"),",",INDEX(M7:M40,SMALL(IF(ISNUMBER(J7:J40),IF(J7:J40&gt;0,IF(M7:M40&lt;&gt;"",ROW(J7:J40)-MIN(ROW(J7:J40))+1))),ROW()-ROW(A$43)+1)),",",SUBSTITUTE(INDEX(A7:A40,SMALL(IF(ISNUMBER(J7:J40),IF(J7:J40&gt;0,IF(M7:M40&lt;&gt;"",ROW(J7:J40)-MIN(ROW(J7:J40))+1))),ROW()-ROW(A$43)+1)),",",";")),"")</f>
        <v/>
      </c>
    </row>
    <row r="76" customFormat="false" ht="15" hidden="false" customHeight="false" outlineLevel="0" collapsed="false">
      <c r="J76" s="0" t="str">
        <f aca="false" t="array" ref="J76:J76">IFERROR(CONCATENATE(TEXT(INDEX(J7:J40,SMALL(IF(ISNUMBER(J7:J40),IF(J7:J40&gt;0,IF(M7:M40&lt;&gt;"",ROW(J7:J40)-MIN(ROW(J7:J40))+1))),ROW()-ROW(A$43)+1)),"##0"),",",INDEX(M7:M40,SMALL(IF(ISNUMBER(J7:J40),IF(J7:J40&gt;0,IF(M7:M40&lt;&gt;"",ROW(J7:J40)-MIN(ROW(J7:J40))+1))),ROW()-ROW(A$43)+1)),",",SUBSTITUTE(INDEX(A7:A40,SMALL(IF(ISNUMBER(J7:J40),IF(J7:J40&gt;0,IF(M7:M40&lt;&gt;"",ROW(J7:J40)-MIN(ROW(J7:J40))+1))),ROW()-ROW(A$43)+1)),",",";")),"")</f>
        <v/>
      </c>
    </row>
  </sheetData>
  <mergeCells count="2">
    <mergeCell ref="A5:H5"/>
    <mergeCell ref="I5:M5"/>
  </mergeCells>
  <conditionalFormatting sqref="F10">
    <cfRule type="expression" priority="2" aboveAverage="0" equalAverage="0" bottom="0" percent="0" rank="0" text="" dxfId="0">
      <formula>AND(ISBLANK(E10),ISBLANK(INDIRECT(ADDRESS(ROW(),COLUMN(digikey_part_data)+4))))</formula>
    </cfRule>
    <cfRule type="expression" priority="3" aboveAverage="0" equalAverage="0" bottom="0" percent="0" rank="0" text="" dxfId="1">
      <formula>IF(SUM(INDIRECT(ADDRESS(ROW(),COLUMN(digikey_part_data)+0)))=0,1,0)</formula>
    </cfRule>
    <cfRule type="cellIs" priority="4" operator="greaterThan" aboveAverage="0" equalAverage="0" bottom="0" percent="0" rank="0" text="" dxfId="2">
      <formula>SUM(INDIRECT(ADDRESS(ROW(),COLUMN(digikey_part_data)+0)))</formula>
    </cfRule>
    <cfRule type="cellIs" priority="5" operator="greaterThan" aboveAverage="0" equalAverage="0" bottom="0" percent="0" rank="0" text="" dxfId="3">
      <formula>SUM(IF(ISNUMBER(INDIRECT(ADDRESS(ROW(),COLUMN(digikey_part_data)+2))),INDIRECT(ADDRESS(ROW(),COLUMN(digikey_part_data)+1)),0))</formula>
    </cfRule>
  </conditionalFormatting>
  <conditionalFormatting sqref="F11">
    <cfRule type="expression" priority="6" aboveAverage="0" equalAverage="0" bottom="0" percent="0" rank="0" text="" dxfId="0">
      <formula>AND(ISBLANK(E11),ISBLANK(INDIRECT(ADDRESS(ROW(),COLUMN(digikey_part_data)+4))))</formula>
    </cfRule>
    <cfRule type="expression" priority="7" aboveAverage="0" equalAverage="0" bottom="0" percent="0" rank="0" text="" dxfId="1">
      <formula>IF(SUM(INDIRECT(ADDRESS(ROW(),COLUMN(digikey_part_data)+0)))=0,1,0)</formula>
    </cfRule>
    <cfRule type="cellIs" priority="8" operator="greaterThan" aboveAverage="0" equalAverage="0" bottom="0" percent="0" rank="0" text="" dxfId="2">
      <formula>SUM(INDIRECT(ADDRESS(ROW(),COLUMN(digikey_part_data)+0)))</formula>
    </cfRule>
    <cfRule type="cellIs" priority="9" operator="greaterThan" aboveAverage="0" equalAverage="0" bottom="0" percent="0" rank="0" text="" dxfId="3">
      <formula>SUM(IF(ISNUMBER(INDIRECT(ADDRESS(ROW(),COLUMN(digikey_part_data)+2))),INDIRECT(ADDRESS(ROW(),COLUMN(digikey_part_data)+1)),0))</formula>
    </cfRule>
  </conditionalFormatting>
  <conditionalFormatting sqref="F12">
    <cfRule type="expression" priority="10" aboveAverage="0" equalAverage="0" bottom="0" percent="0" rank="0" text="" dxfId="0">
      <formula>AND(ISBLANK(E12),ISBLANK(INDIRECT(ADDRESS(ROW(),COLUMN(digikey_part_data)+4))))</formula>
    </cfRule>
    <cfRule type="expression" priority="11" aboveAverage="0" equalAverage="0" bottom="0" percent="0" rank="0" text="" dxfId="1">
      <formula>IF(SUM(INDIRECT(ADDRESS(ROW(),COLUMN(digikey_part_data)+0)))=0,1,0)</formula>
    </cfRule>
    <cfRule type="cellIs" priority="12" operator="greaterThan" aboveAverage="0" equalAverage="0" bottom="0" percent="0" rank="0" text="" dxfId="2">
      <formula>SUM(INDIRECT(ADDRESS(ROW(),COLUMN(digikey_part_data)+0)))</formula>
    </cfRule>
    <cfRule type="cellIs" priority="13" operator="greaterThan" aboveAverage="0" equalAverage="0" bottom="0" percent="0" rank="0" text="" dxfId="3">
      <formula>SUM(IF(ISNUMBER(INDIRECT(ADDRESS(ROW(),COLUMN(digikey_part_data)+2))),INDIRECT(ADDRESS(ROW(),COLUMN(digikey_part_data)+1)),0))</formula>
    </cfRule>
  </conditionalFormatting>
  <conditionalFormatting sqref="F13">
    <cfRule type="expression" priority="14" aboveAverage="0" equalAverage="0" bottom="0" percent="0" rank="0" text="" dxfId="0">
      <formula>AND(ISBLANK(E13),ISBLANK(INDIRECT(ADDRESS(ROW(),COLUMN(digikey_part_data)+4))))</formula>
    </cfRule>
    <cfRule type="expression" priority="15" aboveAverage="0" equalAverage="0" bottom="0" percent="0" rank="0" text="" dxfId="1">
      <formula>IF(SUM(INDIRECT(ADDRESS(ROW(),COLUMN(digikey_part_data)+0)))=0,1,0)</formula>
    </cfRule>
    <cfRule type="cellIs" priority="16" operator="greaterThan" aboveAverage="0" equalAverage="0" bottom="0" percent="0" rank="0" text="" dxfId="2">
      <formula>SUM(INDIRECT(ADDRESS(ROW(),COLUMN(digikey_part_data)+0)))</formula>
    </cfRule>
    <cfRule type="cellIs" priority="17" operator="greaterThan" aboveAverage="0" equalAverage="0" bottom="0" percent="0" rank="0" text="" dxfId="3">
      <formula>SUM(IF(ISNUMBER(INDIRECT(ADDRESS(ROW(),COLUMN(digikey_part_data)+2))),INDIRECT(ADDRESS(ROW(),COLUMN(digikey_part_data)+1)),0))</formula>
    </cfRule>
  </conditionalFormatting>
  <conditionalFormatting sqref="F14">
    <cfRule type="expression" priority="18" aboveAverage="0" equalAverage="0" bottom="0" percent="0" rank="0" text="" dxfId="0">
      <formula>AND(ISBLANK(E14),ISBLANK(INDIRECT(ADDRESS(ROW(),COLUMN(digikey_part_data)+4))))</formula>
    </cfRule>
    <cfRule type="expression" priority="19" aboveAverage="0" equalAverage="0" bottom="0" percent="0" rank="0" text="" dxfId="1">
      <formula>IF(SUM(INDIRECT(ADDRESS(ROW(),COLUMN(digikey_part_data)+0)))=0,1,0)</formula>
    </cfRule>
    <cfRule type="cellIs" priority="20" operator="greaterThan" aboveAverage="0" equalAverage="0" bottom="0" percent="0" rank="0" text="" dxfId="2">
      <formula>SUM(INDIRECT(ADDRESS(ROW(),COLUMN(digikey_part_data)+0)))</formula>
    </cfRule>
    <cfRule type="cellIs" priority="21" operator="greaterThan" aboveAverage="0" equalAverage="0" bottom="0" percent="0" rank="0" text="" dxfId="3">
      <formula>SUM(IF(ISNUMBER(INDIRECT(ADDRESS(ROW(),COLUMN(digikey_part_data)+2))),INDIRECT(ADDRESS(ROW(),COLUMN(digikey_part_data)+1)),0))</formula>
    </cfRule>
  </conditionalFormatting>
  <conditionalFormatting sqref="F15">
    <cfRule type="expression" priority="22" aboveAverage="0" equalAverage="0" bottom="0" percent="0" rank="0" text="" dxfId="0">
      <formula>AND(ISBLANK(E15),ISBLANK(INDIRECT(ADDRESS(ROW(),COLUMN(digikey_part_data)+4))))</formula>
    </cfRule>
    <cfRule type="expression" priority="23" aboveAverage="0" equalAverage="0" bottom="0" percent="0" rank="0" text="" dxfId="1">
      <formula>IF(SUM(INDIRECT(ADDRESS(ROW(),COLUMN(digikey_part_data)+0)))=0,1,0)</formula>
    </cfRule>
    <cfRule type="cellIs" priority="24" operator="greaterThan" aboveAverage="0" equalAverage="0" bottom="0" percent="0" rank="0" text="" dxfId="2">
      <formula>SUM(INDIRECT(ADDRESS(ROW(),COLUMN(digikey_part_data)+0)))</formula>
    </cfRule>
    <cfRule type="cellIs" priority="25" operator="greaterThan" aboveAverage="0" equalAverage="0" bottom="0" percent="0" rank="0" text="" dxfId="3">
      <formula>SUM(IF(ISNUMBER(INDIRECT(ADDRESS(ROW(),COLUMN(digikey_part_data)+2))),INDIRECT(ADDRESS(ROW(),COLUMN(digikey_part_data)+1)),0))</formula>
    </cfRule>
  </conditionalFormatting>
  <conditionalFormatting sqref="F16">
    <cfRule type="expression" priority="26" aboveAverage="0" equalAverage="0" bottom="0" percent="0" rank="0" text="" dxfId="0">
      <formula>AND(ISBLANK(E16),ISBLANK(INDIRECT(ADDRESS(ROW(),COLUMN(digikey_part_data)+4))))</formula>
    </cfRule>
    <cfRule type="expression" priority="27" aboveAverage="0" equalAverage="0" bottom="0" percent="0" rank="0" text="" dxfId="1">
      <formula>IF(SUM(INDIRECT(ADDRESS(ROW(),COLUMN(digikey_part_data)+0)))=0,1,0)</formula>
    </cfRule>
    <cfRule type="cellIs" priority="28" operator="greaterThan" aboveAverage="0" equalAverage="0" bottom="0" percent="0" rank="0" text="" dxfId="2">
      <formula>SUM(INDIRECT(ADDRESS(ROW(),COLUMN(digikey_part_data)+0)))</formula>
    </cfRule>
    <cfRule type="cellIs" priority="29" operator="greaterThan" aboveAverage="0" equalAverage="0" bottom="0" percent="0" rank="0" text="" dxfId="3">
      <formula>SUM(IF(ISNUMBER(INDIRECT(ADDRESS(ROW(),COLUMN(digikey_part_data)+2))),INDIRECT(ADDRESS(ROW(),COLUMN(digikey_part_data)+1)),0))</formula>
    </cfRule>
  </conditionalFormatting>
  <conditionalFormatting sqref="F17">
    <cfRule type="expression" priority="30" aboveAverage="0" equalAverage="0" bottom="0" percent="0" rank="0" text="" dxfId="0">
      <formula>AND(ISBLANK(E17),ISBLANK(INDIRECT(ADDRESS(ROW(),COLUMN(digikey_part_data)+4))))</formula>
    </cfRule>
    <cfRule type="expression" priority="31" aboveAverage="0" equalAverage="0" bottom="0" percent="0" rank="0" text="" dxfId="1">
      <formula>IF(SUM(INDIRECT(ADDRESS(ROW(),COLUMN(digikey_part_data)+0)))=0,1,0)</formula>
    </cfRule>
    <cfRule type="cellIs" priority="32" operator="greaterThan" aboveAverage="0" equalAverage="0" bottom="0" percent="0" rank="0" text="" dxfId="2">
      <formula>SUM(INDIRECT(ADDRESS(ROW(),COLUMN(digikey_part_data)+0)))</formula>
    </cfRule>
    <cfRule type="cellIs" priority="33" operator="greaterThan" aboveAverage="0" equalAverage="0" bottom="0" percent="0" rank="0" text="" dxfId="3">
      <formula>SUM(IF(ISNUMBER(INDIRECT(ADDRESS(ROW(),COLUMN(digikey_part_data)+2))),INDIRECT(ADDRESS(ROW(),COLUMN(digikey_part_data)+1)),0))</formula>
    </cfRule>
  </conditionalFormatting>
  <conditionalFormatting sqref="F18">
    <cfRule type="expression" priority="34" aboveAverage="0" equalAverage="0" bottom="0" percent="0" rank="0" text="" dxfId="0">
      <formula>AND(ISBLANK(E18),ISBLANK(INDIRECT(ADDRESS(ROW(),COLUMN(digikey_part_data)+4))))</formula>
    </cfRule>
    <cfRule type="expression" priority="35" aboveAverage="0" equalAverage="0" bottom="0" percent="0" rank="0" text="" dxfId="1">
      <formula>IF(SUM(INDIRECT(ADDRESS(ROW(),COLUMN(digikey_part_data)+0)))=0,1,0)</formula>
    </cfRule>
    <cfRule type="cellIs" priority="36" operator="greaterThan" aboveAverage="0" equalAverage="0" bottom="0" percent="0" rank="0" text="" dxfId="2">
      <formula>SUM(INDIRECT(ADDRESS(ROW(),COLUMN(digikey_part_data)+0)))</formula>
    </cfRule>
    <cfRule type="cellIs" priority="37" operator="greaterThan" aboveAverage="0" equalAverage="0" bottom="0" percent="0" rank="0" text="" dxfId="3">
      <formula>SUM(IF(ISNUMBER(INDIRECT(ADDRESS(ROW(),COLUMN(digikey_part_data)+2))),INDIRECT(ADDRESS(ROW(),COLUMN(digikey_part_data)+1)),0))</formula>
    </cfRule>
  </conditionalFormatting>
  <conditionalFormatting sqref="F19">
    <cfRule type="expression" priority="38" aboveAverage="0" equalAverage="0" bottom="0" percent="0" rank="0" text="" dxfId="0">
      <formula>AND(ISBLANK(E19),ISBLANK(INDIRECT(ADDRESS(ROW(),COLUMN(digikey_part_data)+4))))</formula>
    </cfRule>
    <cfRule type="expression" priority="39" aboveAverage="0" equalAverage="0" bottom="0" percent="0" rank="0" text="" dxfId="1">
      <formula>IF(SUM(INDIRECT(ADDRESS(ROW(),COLUMN(digikey_part_data)+0)))=0,1,0)</formula>
    </cfRule>
    <cfRule type="cellIs" priority="40" operator="greaterThan" aboveAverage="0" equalAverage="0" bottom="0" percent="0" rank="0" text="" dxfId="2">
      <formula>SUM(INDIRECT(ADDRESS(ROW(),COLUMN(digikey_part_data)+0)))</formula>
    </cfRule>
    <cfRule type="cellIs" priority="41" operator="greaterThan" aboveAverage="0" equalAverage="0" bottom="0" percent="0" rank="0" text="" dxfId="3">
      <formula>SUM(IF(ISNUMBER(INDIRECT(ADDRESS(ROW(),COLUMN(digikey_part_data)+2))),INDIRECT(ADDRESS(ROW(),COLUMN(digikey_part_data)+1)),0))</formula>
    </cfRule>
  </conditionalFormatting>
  <conditionalFormatting sqref="F20">
    <cfRule type="expression" priority="42" aboveAverage="0" equalAverage="0" bottom="0" percent="0" rank="0" text="" dxfId="0">
      <formula>AND(ISBLANK(E20),ISBLANK(INDIRECT(ADDRESS(ROW(),COLUMN(digikey_part_data)+4))))</formula>
    </cfRule>
    <cfRule type="expression" priority="43" aboveAverage="0" equalAverage="0" bottom="0" percent="0" rank="0" text="" dxfId="1">
      <formula>IF(SUM(INDIRECT(ADDRESS(ROW(),COLUMN(digikey_part_data)+0)))=0,1,0)</formula>
    </cfRule>
    <cfRule type="cellIs" priority="44" operator="greaterThan" aboveAverage="0" equalAverage="0" bottom="0" percent="0" rank="0" text="" dxfId="2">
      <formula>SUM(INDIRECT(ADDRESS(ROW(),COLUMN(digikey_part_data)+0)))</formula>
    </cfRule>
    <cfRule type="cellIs" priority="45" operator="greaterThan" aboveAverage="0" equalAverage="0" bottom="0" percent="0" rank="0" text="" dxfId="3">
      <formula>SUM(IF(ISNUMBER(INDIRECT(ADDRESS(ROW(),COLUMN(digikey_part_data)+2))),INDIRECT(ADDRESS(ROW(),COLUMN(digikey_part_data)+1)),0))</formula>
    </cfRule>
  </conditionalFormatting>
  <conditionalFormatting sqref="F21">
    <cfRule type="expression" priority="46" aboveAverage="0" equalAverage="0" bottom="0" percent="0" rank="0" text="" dxfId="0">
      <formula>AND(ISBLANK(E21),ISBLANK(INDIRECT(ADDRESS(ROW(),COLUMN(digikey_part_data)+4))))</formula>
    </cfRule>
    <cfRule type="expression" priority="47" aboveAverage="0" equalAverage="0" bottom="0" percent="0" rank="0" text="" dxfId="1">
      <formula>IF(SUM(INDIRECT(ADDRESS(ROW(),COLUMN(digikey_part_data)+0)))=0,1,0)</formula>
    </cfRule>
    <cfRule type="cellIs" priority="48" operator="greaterThan" aboveAverage="0" equalAverage="0" bottom="0" percent="0" rank="0" text="" dxfId="2">
      <formula>SUM(INDIRECT(ADDRESS(ROW(),COLUMN(digikey_part_data)+0)))</formula>
    </cfRule>
    <cfRule type="cellIs" priority="49" operator="greaterThan" aboveAverage="0" equalAverage="0" bottom="0" percent="0" rank="0" text="" dxfId="3">
      <formula>SUM(IF(ISNUMBER(INDIRECT(ADDRESS(ROW(),COLUMN(digikey_part_data)+2))),INDIRECT(ADDRESS(ROW(),COLUMN(digikey_part_data)+1)),0))</formula>
    </cfRule>
  </conditionalFormatting>
  <conditionalFormatting sqref="F22">
    <cfRule type="expression" priority="50" aboveAverage="0" equalAverage="0" bottom="0" percent="0" rank="0" text="" dxfId="0">
      <formula>AND(ISBLANK(E22),ISBLANK(INDIRECT(ADDRESS(ROW(),COLUMN(digikey_part_data)+4))))</formula>
    </cfRule>
    <cfRule type="expression" priority="51" aboveAverage="0" equalAverage="0" bottom="0" percent="0" rank="0" text="" dxfId="1">
      <formula>IF(SUM(INDIRECT(ADDRESS(ROW(),COLUMN(digikey_part_data)+0)))=0,1,0)</formula>
    </cfRule>
    <cfRule type="cellIs" priority="52" operator="greaterThan" aboveAverage="0" equalAverage="0" bottom="0" percent="0" rank="0" text="" dxfId="2">
      <formula>SUM(INDIRECT(ADDRESS(ROW(),COLUMN(digikey_part_data)+0)))</formula>
    </cfRule>
    <cfRule type="cellIs" priority="53" operator="greaterThan" aboveAverage="0" equalAverage="0" bottom="0" percent="0" rank="0" text="" dxfId="3">
      <formula>SUM(IF(ISNUMBER(INDIRECT(ADDRESS(ROW(),COLUMN(digikey_part_data)+2))),INDIRECT(ADDRESS(ROW(),COLUMN(digikey_part_data)+1)),0))</formula>
    </cfRule>
  </conditionalFormatting>
  <conditionalFormatting sqref="F23">
    <cfRule type="expression" priority="54" aboveAverage="0" equalAverage="0" bottom="0" percent="0" rank="0" text="" dxfId="0">
      <formula>AND(ISBLANK(E23),ISBLANK(INDIRECT(ADDRESS(ROW(),COLUMN(digikey_part_data)+4))))</formula>
    </cfRule>
    <cfRule type="expression" priority="55" aboveAverage="0" equalAverage="0" bottom="0" percent="0" rank="0" text="" dxfId="1">
      <formula>IF(SUM(INDIRECT(ADDRESS(ROW(),COLUMN(digikey_part_data)+0)))=0,1,0)</formula>
    </cfRule>
    <cfRule type="cellIs" priority="56" operator="greaterThan" aboveAverage="0" equalAverage="0" bottom="0" percent="0" rank="0" text="" dxfId="2">
      <formula>SUM(INDIRECT(ADDRESS(ROW(),COLUMN(digikey_part_data)+0)))</formula>
    </cfRule>
    <cfRule type="cellIs" priority="57" operator="greaterThan" aboveAverage="0" equalAverage="0" bottom="0" percent="0" rank="0" text="" dxfId="3">
      <formula>SUM(IF(ISNUMBER(INDIRECT(ADDRESS(ROW(),COLUMN(digikey_part_data)+2))),INDIRECT(ADDRESS(ROW(),COLUMN(digikey_part_data)+1)),0))</formula>
    </cfRule>
  </conditionalFormatting>
  <conditionalFormatting sqref="F24">
    <cfRule type="expression" priority="58" aboveAverage="0" equalAverage="0" bottom="0" percent="0" rank="0" text="" dxfId="0">
      <formula>AND(ISBLANK(E24),ISBLANK(INDIRECT(ADDRESS(ROW(),COLUMN(digikey_part_data)+4))))</formula>
    </cfRule>
    <cfRule type="expression" priority="59" aboveAverage="0" equalAverage="0" bottom="0" percent="0" rank="0" text="" dxfId="1">
      <formula>IF(SUM(INDIRECT(ADDRESS(ROW(),COLUMN(digikey_part_data)+0)))=0,1,0)</formula>
    </cfRule>
    <cfRule type="cellIs" priority="60" operator="greaterThan" aboveAverage="0" equalAverage="0" bottom="0" percent="0" rank="0" text="" dxfId="2">
      <formula>SUM(INDIRECT(ADDRESS(ROW(),COLUMN(digikey_part_data)+0)))</formula>
    </cfRule>
    <cfRule type="cellIs" priority="61" operator="greaterThan" aboveAverage="0" equalAverage="0" bottom="0" percent="0" rank="0" text="" dxfId="3">
      <formula>SUM(IF(ISNUMBER(INDIRECT(ADDRESS(ROW(),COLUMN(digikey_part_data)+2))),INDIRECT(ADDRESS(ROW(),COLUMN(digikey_part_data)+1)),0))</formula>
    </cfRule>
  </conditionalFormatting>
  <conditionalFormatting sqref="F25">
    <cfRule type="expression" priority="62" aboveAverage="0" equalAverage="0" bottom="0" percent="0" rank="0" text="" dxfId="0">
      <formula>AND(ISBLANK(E25),ISBLANK(INDIRECT(ADDRESS(ROW(),COLUMN(digikey_part_data)+4))))</formula>
    </cfRule>
    <cfRule type="expression" priority="63" aboveAverage="0" equalAverage="0" bottom="0" percent="0" rank="0" text="" dxfId="1">
      <formula>IF(SUM(INDIRECT(ADDRESS(ROW(),COLUMN(digikey_part_data)+0)))=0,1,0)</formula>
    </cfRule>
    <cfRule type="cellIs" priority="64" operator="greaterThan" aboveAverage="0" equalAverage="0" bottom="0" percent="0" rank="0" text="" dxfId="2">
      <formula>SUM(INDIRECT(ADDRESS(ROW(),COLUMN(digikey_part_data)+0)))</formula>
    </cfRule>
    <cfRule type="cellIs" priority="65" operator="greaterThan" aboveAverage="0" equalAverage="0" bottom="0" percent="0" rank="0" text="" dxfId="3">
      <formula>SUM(IF(ISNUMBER(INDIRECT(ADDRESS(ROW(),COLUMN(digikey_part_data)+2))),INDIRECT(ADDRESS(ROW(),COLUMN(digikey_part_data)+1)),0))</formula>
    </cfRule>
  </conditionalFormatting>
  <conditionalFormatting sqref="F26">
    <cfRule type="expression" priority="66" aboveAverage="0" equalAverage="0" bottom="0" percent="0" rank="0" text="" dxfId="0">
      <formula>AND(ISBLANK(E26),ISBLANK(INDIRECT(ADDRESS(ROW(),COLUMN(digikey_part_data)+4))))</formula>
    </cfRule>
    <cfRule type="expression" priority="67" aboveAverage="0" equalAverage="0" bottom="0" percent="0" rank="0" text="" dxfId="1">
      <formula>IF(SUM(INDIRECT(ADDRESS(ROW(),COLUMN(digikey_part_data)+0)))=0,1,0)</formula>
    </cfRule>
    <cfRule type="cellIs" priority="68" operator="greaterThan" aboveAverage="0" equalAverage="0" bottom="0" percent="0" rank="0" text="" dxfId="2">
      <formula>SUM(INDIRECT(ADDRESS(ROW(),COLUMN(digikey_part_data)+0)))</formula>
    </cfRule>
    <cfRule type="cellIs" priority="69" operator="greaterThan" aboveAverage="0" equalAverage="0" bottom="0" percent="0" rank="0" text="" dxfId="3">
      <formula>SUM(IF(ISNUMBER(INDIRECT(ADDRESS(ROW(),COLUMN(digikey_part_data)+2))),INDIRECT(ADDRESS(ROW(),COLUMN(digikey_part_data)+1)),0))</formula>
    </cfRule>
  </conditionalFormatting>
  <conditionalFormatting sqref="F27">
    <cfRule type="expression" priority="70" aboveAverage="0" equalAverage="0" bottom="0" percent="0" rank="0" text="" dxfId="0">
      <formula>AND(ISBLANK(E27),ISBLANK(INDIRECT(ADDRESS(ROW(),COLUMN(digikey_part_data)+4))))</formula>
    </cfRule>
    <cfRule type="expression" priority="71" aboveAverage="0" equalAverage="0" bottom="0" percent="0" rank="0" text="" dxfId="1">
      <formula>IF(SUM(INDIRECT(ADDRESS(ROW(),COLUMN(digikey_part_data)+0)))=0,1,0)</formula>
    </cfRule>
    <cfRule type="cellIs" priority="72" operator="greaterThan" aboveAverage="0" equalAverage="0" bottom="0" percent="0" rank="0" text="" dxfId="2">
      <formula>SUM(INDIRECT(ADDRESS(ROW(),COLUMN(digikey_part_data)+0)))</formula>
    </cfRule>
    <cfRule type="cellIs" priority="73" operator="greaterThan" aboveAverage="0" equalAverage="0" bottom="0" percent="0" rank="0" text="" dxfId="3">
      <formula>SUM(IF(ISNUMBER(INDIRECT(ADDRESS(ROW(),COLUMN(digikey_part_data)+2))),INDIRECT(ADDRESS(ROW(),COLUMN(digikey_part_data)+1)),0))</formula>
    </cfRule>
  </conditionalFormatting>
  <conditionalFormatting sqref="F28">
    <cfRule type="expression" priority="74" aboveAverage="0" equalAverage="0" bottom="0" percent="0" rank="0" text="" dxfId="0">
      <formula>AND(ISBLANK(E28),ISBLANK(INDIRECT(ADDRESS(ROW(),COLUMN(digikey_part_data)+4))))</formula>
    </cfRule>
    <cfRule type="expression" priority="75" aboveAverage="0" equalAverage="0" bottom="0" percent="0" rank="0" text="" dxfId="1">
      <formula>IF(SUM(INDIRECT(ADDRESS(ROW(),COLUMN(digikey_part_data)+0)))=0,1,0)</formula>
    </cfRule>
    <cfRule type="cellIs" priority="76" operator="greaterThan" aboveAverage="0" equalAverage="0" bottom="0" percent="0" rank="0" text="" dxfId="2">
      <formula>SUM(INDIRECT(ADDRESS(ROW(),COLUMN(digikey_part_data)+0)))</formula>
    </cfRule>
    <cfRule type="cellIs" priority="77" operator="greaterThan" aboveAverage="0" equalAverage="0" bottom="0" percent="0" rank="0" text="" dxfId="3">
      <formula>SUM(IF(ISNUMBER(INDIRECT(ADDRESS(ROW(),COLUMN(digikey_part_data)+2))),INDIRECT(ADDRESS(ROW(),COLUMN(digikey_part_data)+1)),0))</formula>
    </cfRule>
  </conditionalFormatting>
  <conditionalFormatting sqref="F29">
    <cfRule type="expression" priority="78" aboveAverage="0" equalAverage="0" bottom="0" percent="0" rank="0" text="" dxfId="0">
      <formula>AND(ISBLANK(E29),ISBLANK(INDIRECT(ADDRESS(ROW(),COLUMN(digikey_part_data)+4))))</formula>
    </cfRule>
    <cfRule type="expression" priority="79" aboveAverage="0" equalAverage="0" bottom="0" percent="0" rank="0" text="" dxfId="1">
      <formula>IF(SUM(INDIRECT(ADDRESS(ROW(),COLUMN(digikey_part_data)+0)))=0,1,0)</formula>
    </cfRule>
    <cfRule type="cellIs" priority="80" operator="greaterThan" aboveAverage="0" equalAverage="0" bottom="0" percent="0" rank="0" text="" dxfId="2">
      <formula>SUM(INDIRECT(ADDRESS(ROW(),COLUMN(digikey_part_data)+0)))</formula>
    </cfRule>
    <cfRule type="cellIs" priority="81" operator="greaterThan" aboveAverage="0" equalAverage="0" bottom="0" percent="0" rank="0" text="" dxfId="3">
      <formula>SUM(IF(ISNUMBER(INDIRECT(ADDRESS(ROW(),COLUMN(digikey_part_data)+2))),INDIRECT(ADDRESS(ROW(),COLUMN(digikey_part_data)+1)),0))</formula>
    </cfRule>
  </conditionalFormatting>
  <conditionalFormatting sqref="F30">
    <cfRule type="expression" priority="82" aboveAverage="0" equalAverage="0" bottom="0" percent="0" rank="0" text="" dxfId="0">
      <formula>AND(ISBLANK(E30),ISBLANK(INDIRECT(ADDRESS(ROW(),COLUMN(digikey_part_data)+4))))</formula>
    </cfRule>
    <cfRule type="expression" priority="83" aboveAverage="0" equalAverage="0" bottom="0" percent="0" rank="0" text="" dxfId="1">
      <formula>IF(SUM(INDIRECT(ADDRESS(ROW(),COLUMN(digikey_part_data)+0)))=0,1,0)</formula>
    </cfRule>
    <cfRule type="cellIs" priority="84" operator="greaterThan" aboveAverage="0" equalAverage="0" bottom="0" percent="0" rank="0" text="" dxfId="2">
      <formula>SUM(INDIRECT(ADDRESS(ROW(),COLUMN(digikey_part_data)+0)))</formula>
    </cfRule>
    <cfRule type="cellIs" priority="85" operator="greaterThan" aboveAverage="0" equalAverage="0" bottom="0" percent="0" rank="0" text="" dxfId="3">
      <formula>SUM(IF(ISNUMBER(INDIRECT(ADDRESS(ROW(),COLUMN(digikey_part_data)+2))),INDIRECT(ADDRESS(ROW(),COLUMN(digikey_part_data)+1)),0))</formula>
    </cfRule>
  </conditionalFormatting>
  <conditionalFormatting sqref="F31">
    <cfRule type="expression" priority="86" aboveAverage="0" equalAverage="0" bottom="0" percent="0" rank="0" text="" dxfId="0">
      <formula>AND(ISBLANK(E31),ISBLANK(INDIRECT(ADDRESS(ROW(),COLUMN(digikey_part_data)+4))))</formula>
    </cfRule>
    <cfRule type="expression" priority="87" aboveAverage="0" equalAverage="0" bottom="0" percent="0" rank="0" text="" dxfId="1">
      <formula>IF(SUM(INDIRECT(ADDRESS(ROW(),COLUMN(digikey_part_data)+0)))=0,1,0)</formula>
    </cfRule>
    <cfRule type="cellIs" priority="88" operator="greaterThan" aboveAverage="0" equalAverage="0" bottom="0" percent="0" rank="0" text="" dxfId="2">
      <formula>SUM(INDIRECT(ADDRESS(ROW(),COLUMN(digikey_part_data)+0)))</formula>
    </cfRule>
    <cfRule type="cellIs" priority="89" operator="greaterThan" aboveAverage="0" equalAverage="0" bottom="0" percent="0" rank="0" text="" dxfId="3">
      <formula>SUM(IF(ISNUMBER(INDIRECT(ADDRESS(ROW(),COLUMN(digikey_part_data)+2))),INDIRECT(ADDRESS(ROW(),COLUMN(digikey_part_data)+1)),0))</formula>
    </cfRule>
  </conditionalFormatting>
  <conditionalFormatting sqref="F32">
    <cfRule type="expression" priority="90" aboveAverage="0" equalAverage="0" bottom="0" percent="0" rank="0" text="" dxfId="0">
      <formula>AND(ISBLANK(E32),ISBLANK(INDIRECT(ADDRESS(ROW(),COLUMN(digikey_part_data)+4))))</formula>
    </cfRule>
    <cfRule type="expression" priority="91" aboveAverage="0" equalAverage="0" bottom="0" percent="0" rank="0" text="" dxfId="1">
      <formula>IF(SUM(INDIRECT(ADDRESS(ROW(),COLUMN(digikey_part_data)+0)))=0,1,0)</formula>
    </cfRule>
    <cfRule type="cellIs" priority="92" operator="greaterThan" aboveAverage="0" equalAverage="0" bottom="0" percent="0" rank="0" text="" dxfId="2">
      <formula>SUM(INDIRECT(ADDRESS(ROW(),COLUMN(digikey_part_data)+0)))</formula>
    </cfRule>
    <cfRule type="cellIs" priority="93" operator="greaterThan" aboveAverage="0" equalAverage="0" bottom="0" percent="0" rank="0" text="" dxfId="3">
      <formula>SUM(IF(ISNUMBER(INDIRECT(ADDRESS(ROW(),COLUMN(digikey_part_data)+2))),INDIRECT(ADDRESS(ROW(),COLUMN(digikey_part_data)+1)),0))</formula>
    </cfRule>
  </conditionalFormatting>
  <conditionalFormatting sqref="F33">
    <cfRule type="expression" priority="94" aboveAverage="0" equalAverage="0" bottom="0" percent="0" rank="0" text="" dxfId="0">
      <formula>AND(ISBLANK(E33),ISBLANK(INDIRECT(ADDRESS(ROW(),COLUMN(digikey_part_data)+4))))</formula>
    </cfRule>
    <cfRule type="expression" priority="95" aboveAverage="0" equalAverage="0" bottom="0" percent="0" rank="0" text="" dxfId="1">
      <formula>IF(SUM(INDIRECT(ADDRESS(ROW(),COLUMN(digikey_part_data)+0)))=0,1,0)</formula>
    </cfRule>
    <cfRule type="cellIs" priority="96" operator="greaterThan" aboveAverage="0" equalAverage="0" bottom="0" percent="0" rank="0" text="" dxfId="2">
      <formula>SUM(INDIRECT(ADDRESS(ROW(),COLUMN(digikey_part_data)+0)))</formula>
    </cfRule>
    <cfRule type="cellIs" priority="97" operator="greaterThan" aboveAverage="0" equalAverage="0" bottom="0" percent="0" rank="0" text="" dxfId="3">
      <formula>SUM(IF(ISNUMBER(INDIRECT(ADDRESS(ROW(),COLUMN(digikey_part_data)+2))),INDIRECT(ADDRESS(ROW(),COLUMN(digikey_part_data)+1)),0))</formula>
    </cfRule>
  </conditionalFormatting>
  <conditionalFormatting sqref="F34">
    <cfRule type="expression" priority="98" aboveAverage="0" equalAverage="0" bottom="0" percent="0" rank="0" text="" dxfId="0">
      <formula>AND(ISBLANK(E34),ISBLANK(INDIRECT(ADDRESS(ROW(),COLUMN(digikey_part_data)+4))))</formula>
    </cfRule>
    <cfRule type="expression" priority="99" aboveAverage="0" equalAverage="0" bottom="0" percent="0" rank="0" text="" dxfId="1">
      <formula>IF(SUM(INDIRECT(ADDRESS(ROW(),COLUMN(digikey_part_data)+0)))=0,1,0)</formula>
    </cfRule>
    <cfRule type="cellIs" priority="100" operator="greaterThan" aboveAverage="0" equalAverage="0" bottom="0" percent="0" rank="0" text="" dxfId="2">
      <formula>SUM(INDIRECT(ADDRESS(ROW(),COLUMN(digikey_part_data)+0)))</formula>
    </cfRule>
    <cfRule type="cellIs" priority="101" operator="greaterThan" aboveAverage="0" equalAverage="0" bottom="0" percent="0" rank="0" text="" dxfId="3">
      <formula>SUM(IF(ISNUMBER(INDIRECT(ADDRESS(ROW(),COLUMN(digikey_part_data)+2))),INDIRECT(ADDRESS(ROW(),COLUMN(digikey_part_data)+1)),0))</formula>
    </cfRule>
  </conditionalFormatting>
  <conditionalFormatting sqref="F35">
    <cfRule type="expression" priority="102" aboveAverage="0" equalAverage="0" bottom="0" percent="0" rank="0" text="" dxfId="0">
      <formula>AND(ISBLANK(E35),ISBLANK(INDIRECT(ADDRESS(ROW(),COLUMN(digikey_part_data)+4))))</formula>
    </cfRule>
    <cfRule type="expression" priority="103" aboveAverage="0" equalAverage="0" bottom="0" percent="0" rank="0" text="" dxfId="1">
      <formula>IF(SUM(INDIRECT(ADDRESS(ROW(),COLUMN(digikey_part_data)+0)))=0,1,0)</formula>
    </cfRule>
    <cfRule type="cellIs" priority="104" operator="greaterThan" aboveAverage="0" equalAverage="0" bottom="0" percent="0" rank="0" text="" dxfId="2">
      <formula>SUM(INDIRECT(ADDRESS(ROW(),COLUMN(digikey_part_data)+0)))</formula>
    </cfRule>
    <cfRule type="cellIs" priority="105" operator="greaterThan" aboveAverage="0" equalAverage="0" bottom="0" percent="0" rank="0" text="" dxfId="3">
      <formula>SUM(IF(ISNUMBER(INDIRECT(ADDRESS(ROW(),COLUMN(digikey_part_data)+2))),INDIRECT(ADDRESS(ROW(),COLUMN(digikey_part_data)+1)),0))</formula>
    </cfRule>
  </conditionalFormatting>
  <conditionalFormatting sqref="F36">
    <cfRule type="expression" priority="106" aboveAverage="0" equalAverage="0" bottom="0" percent="0" rank="0" text="" dxfId="0">
      <formula>AND(ISBLANK(E36),ISBLANK(INDIRECT(ADDRESS(ROW(),COLUMN(digikey_part_data)+4))))</formula>
    </cfRule>
    <cfRule type="expression" priority="107" aboveAverage="0" equalAverage="0" bottom="0" percent="0" rank="0" text="" dxfId="1">
      <formula>IF(SUM(INDIRECT(ADDRESS(ROW(),COLUMN(digikey_part_data)+0)))=0,1,0)</formula>
    </cfRule>
    <cfRule type="cellIs" priority="108" operator="greaterThan" aboveAverage="0" equalAverage="0" bottom="0" percent="0" rank="0" text="" dxfId="2">
      <formula>SUM(INDIRECT(ADDRESS(ROW(),COLUMN(digikey_part_data)+0)))</formula>
    </cfRule>
    <cfRule type="cellIs" priority="109" operator="greaterThan" aboveAverage="0" equalAverage="0" bottom="0" percent="0" rank="0" text="" dxfId="3">
      <formula>SUM(IF(ISNUMBER(INDIRECT(ADDRESS(ROW(),COLUMN(digikey_part_data)+2))),INDIRECT(ADDRESS(ROW(),COLUMN(digikey_part_data)+1)),0))</formula>
    </cfRule>
  </conditionalFormatting>
  <conditionalFormatting sqref="F37">
    <cfRule type="expression" priority="110" aboveAverage="0" equalAverage="0" bottom="0" percent="0" rank="0" text="" dxfId="0">
      <formula>AND(ISBLANK(E37),ISBLANK(INDIRECT(ADDRESS(ROW(),COLUMN(digikey_part_data)+4))))</formula>
    </cfRule>
    <cfRule type="expression" priority="111" aboveAverage="0" equalAverage="0" bottom="0" percent="0" rank="0" text="" dxfId="1">
      <formula>IF(SUM(INDIRECT(ADDRESS(ROW(),COLUMN(digikey_part_data)+0)))=0,1,0)</formula>
    </cfRule>
    <cfRule type="cellIs" priority="112" operator="greaterThan" aboveAverage="0" equalAverage="0" bottom="0" percent="0" rank="0" text="" dxfId="2">
      <formula>SUM(INDIRECT(ADDRESS(ROW(),COLUMN(digikey_part_data)+0)))</formula>
    </cfRule>
    <cfRule type="cellIs" priority="113" operator="greaterThan" aboveAverage="0" equalAverage="0" bottom="0" percent="0" rank="0" text="" dxfId="3">
      <formula>SUM(IF(ISNUMBER(INDIRECT(ADDRESS(ROW(),COLUMN(digikey_part_data)+2))),INDIRECT(ADDRESS(ROW(),COLUMN(digikey_part_data)+1)),0))</formula>
    </cfRule>
  </conditionalFormatting>
  <conditionalFormatting sqref="F38">
    <cfRule type="expression" priority="114" aboveAverage="0" equalAverage="0" bottom="0" percent="0" rank="0" text="" dxfId="0">
      <formula>AND(ISBLANK(E38),ISBLANK(INDIRECT(ADDRESS(ROW(),COLUMN(digikey_part_data)+4))))</formula>
    </cfRule>
    <cfRule type="expression" priority="115" aboveAverage="0" equalAverage="0" bottom="0" percent="0" rank="0" text="" dxfId="1">
      <formula>IF(SUM(INDIRECT(ADDRESS(ROW(),COLUMN(digikey_part_data)+0)))=0,1,0)</formula>
    </cfRule>
    <cfRule type="cellIs" priority="116" operator="greaterThan" aboveAverage="0" equalAverage="0" bottom="0" percent="0" rank="0" text="" dxfId="2">
      <formula>SUM(INDIRECT(ADDRESS(ROW(),COLUMN(digikey_part_data)+0)))</formula>
    </cfRule>
    <cfRule type="cellIs" priority="117" operator="greaterThan" aboveAverage="0" equalAverage="0" bottom="0" percent="0" rank="0" text="" dxfId="3">
      <formula>SUM(IF(ISNUMBER(INDIRECT(ADDRESS(ROW(),COLUMN(digikey_part_data)+2))),INDIRECT(ADDRESS(ROW(),COLUMN(digikey_part_data)+1)),0))</formula>
    </cfRule>
  </conditionalFormatting>
  <conditionalFormatting sqref="F39">
    <cfRule type="expression" priority="118" aboveAverage="0" equalAverage="0" bottom="0" percent="0" rank="0" text="" dxfId="0">
      <formula>AND(ISBLANK(E39),ISBLANK(INDIRECT(ADDRESS(ROW(),COLUMN(digikey_part_data)+4))))</formula>
    </cfRule>
    <cfRule type="expression" priority="119" aboveAverage="0" equalAverage="0" bottom="0" percent="0" rank="0" text="" dxfId="1">
      <formula>IF(SUM(INDIRECT(ADDRESS(ROW(),COLUMN(digikey_part_data)+0)))=0,1,0)</formula>
    </cfRule>
    <cfRule type="cellIs" priority="120" operator="greaterThan" aboveAverage="0" equalAverage="0" bottom="0" percent="0" rank="0" text="" dxfId="2">
      <formula>SUM(INDIRECT(ADDRESS(ROW(),COLUMN(digikey_part_data)+0)))</formula>
    </cfRule>
    <cfRule type="cellIs" priority="121" operator="greaterThan" aboveAverage="0" equalAverage="0" bottom="0" percent="0" rank="0" text="" dxfId="3">
      <formula>SUM(IF(ISNUMBER(INDIRECT(ADDRESS(ROW(),COLUMN(digikey_part_data)+2))),INDIRECT(ADDRESS(ROW(),COLUMN(digikey_part_data)+1)),0))</formula>
    </cfRule>
  </conditionalFormatting>
  <conditionalFormatting sqref="F40">
    <cfRule type="expression" priority="122" aboveAverage="0" equalAverage="0" bottom="0" percent="0" rank="0" text="" dxfId="0">
      <formula>AND(ISBLANK(E40),ISBLANK(INDIRECT(ADDRESS(ROW(),COLUMN(digikey_part_data)+4))))</formula>
    </cfRule>
    <cfRule type="expression" priority="123" aboveAverage="0" equalAverage="0" bottom="0" percent="0" rank="0" text="" dxfId="1">
      <formula>IF(SUM(INDIRECT(ADDRESS(ROW(),COLUMN(digikey_part_data)+0)))=0,1,0)</formula>
    </cfRule>
    <cfRule type="cellIs" priority="124" operator="greaterThan" aboveAverage="0" equalAverage="0" bottom="0" percent="0" rank="0" text="" dxfId="2">
      <formula>SUM(INDIRECT(ADDRESS(ROW(),COLUMN(digikey_part_data)+0)))</formula>
    </cfRule>
    <cfRule type="cellIs" priority="125" operator="greaterThan" aboveAverage="0" equalAverage="0" bottom="0" percent="0" rank="0" text="" dxfId="3">
      <formula>SUM(IF(ISNUMBER(INDIRECT(ADDRESS(ROW(),COLUMN(digikey_part_data)+2))),INDIRECT(ADDRESS(ROW(),COLUMN(digikey_part_data)+1)),0))</formula>
    </cfRule>
  </conditionalFormatting>
  <conditionalFormatting sqref="F7">
    <cfRule type="expression" priority="126" aboveAverage="0" equalAverage="0" bottom="0" percent="0" rank="0" text="" dxfId="0">
      <formula>AND(ISBLANK(E7),ISBLANK(INDIRECT(ADDRESS(ROW(),COLUMN(digikey_part_data)+4))))</formula>
    </cfRule>
    <cfRule type="expression" priority="127" aboveAverage="0" equalAverage="0" bottom="0" percent="0" rank="0" text="" dxfId="1">
      <formula>IF(SUM(INDIRECT(ADDRESS(ROW(),COLUMN(digikey_part_data)+0)))=0,1,0)</formula>
    </cfRule>
    <cfRule type="cellIs" priority="128" operator="greaterThan" aboveAverage="0" equalAverage="0" bottom="0" percent="0" rank="0" text="" dxfId="2">
      <formula>SUM(INDIRECT(ADDRESS(ROW(),COLUMN(digikey_part_data)+0)))</formula>
    </cfRule>
    <cfRule type="cellIs" priority="129" operator="greaterThan" aboveAverage="0" equalAverage="0" bottom="0" percent="0" rank="0" text="" dxfId="3">
      <formula>SUM(IF(ISNUMBER(INDIRECT(ADDRESS(ROW(),COLUMN(digikey_part_data)+2))),INDIRECT(ADDRESS(ROW(),COLUMN(digikey_part_data)+1)),0))</formula>
    </cfRule>
  </conditionalFormatting>
  <conditionalFormatting sqref="F8">
    <cfRule type="expression" priority="130" aboveAverage="0" equalAverage="0" bottom="0" percent="0" rank="0" text="" dxfId="0">
      <formula>AND(ISBLANK(E8),ISBLANK(INDIRECT(ADDRESS(ROW(),COLUMN(digikey_part_data)+4))))</formula>
    </cfRule>
    <cfRule type="expression" priority="131" aboveAverage="0" equalAverage="0" bottom="0" percent="0" rank="0" text="" dxfId="1">
      <formula>IF(SUM(INDIRECT(ADDRESS(ROW(),COLUMN(digikey_part_data)+0)))=0,1,0)</formula>
    </cfRule>
    <cfRule type="cellIs" priority="132" operator="greaterThan" aboveAverage="0" equalAverage="0" bottom="0" percent="0" rank="0" text="" dxfId="2">
      <formula>SUM(INDIRECT(ADDRESS(ROW(),COLUMN(digikey_part_data)+0)))</formula>
    </cfRule>
    <cfRule type="cellIs" priority="133" operator="greaterThan" aboveAverage="0" equalAverage="0" bottom="0" percent="0" rank="0" text="" dxfId="3">
      <formula>SUM(IF(ISNUMBER(INDIRECT(ADDRESS(ROW(),COLUMN(digikey_part_data)+2))),INDIRECT(ADDRESS(ROW(),COLUMN(digikey_part_data)+1)),0))</formula>
    </cfRule>
  </conditionalFormatting>
  <conditionalFormatting sqref="F9">
    <cfRule type="expression" priority="134" aboveAverage="0" equalAverage="0" bottom="0" percent="0" rank="0" text="" dxfId="0">
      <formula>AND(ISBLANK(E9),ISBLANK(INDIRECT(ADDRESS(ROW(),COLUMN(digikey_part_data)+4))))</formula>
    </cfRule>
    <cfRule type="expression" priority="135" aboveAverage="0" equalAverage="0" bottom="0" percent="0" rank="0" text="" dxfId="1">
      <formula>IF(SUM(INDIRECT(ADDRESS(ROW(),COLUMN(digikey_part_data)+0)))=0,1,0)</formula>
    </cfRule>
    <cfRule type="cellIs" priority="136" operator="greaterThan" aboveAverage="0" equalAverage="0" bottom="0" percent="0" rank="0" text="" dxfId="2">
      <formula>SUM(INDIRECT(ADDRESS(ROW(),COLUMN(digikey_part_data)+0)))</formula>
    </cfRule>
    <cfRule type="cellIs" priority="137" operator="greaterThan" aboveAverage="0" equalAverage="0" bottom="0" percent="0" rank="0" text="" dxfId="3">
      <formula>SUM(IF(ISNUMBER(INDIRECT(ADDRESS(ROW(),COLUMN(digikey_part_data)+2))),INDIRECT(ADDRESS(ROW(),COLUMN(digikey_part_data)+1)),0))</formula>
    </cfRule>
  </conditionalFormatting>
  <conditionalFormatting sqref="I10">
    <cfRule type="cellIs" priority="138" operator="equal" aboveAverage="0" equalAverage="0" bottom="0" percent="0" rank="0" text="" dxfId="1">
      <formula>0</formula>
    </cfRule>
    <cfRule type="cellIs" priority="139" operator="lessThan" aboveAverage="0" equalAverage="0" bottom="0" percent="0" rank="0" text="" dxfId="2">
      <formula>F10</formula>
    </cfRule>
  </conditionalFormatting>
  <conditionalFormatting sqref="I11">
    <cfRule type="cellIs" priority="140" operator="equal" aboveAverage="0" equalAverage="0" bottom="0" percent="0" rank="0" text="" dxfId="1">
      <formula>0</formula>
    </cfRule>
    <cfRule type="cellIs" priority="141" operator="lessThan" aboveAverage="0" equalAverage="0" bottom="0" percent="0" rank="0" text="" dxfId="2">
      <formula>F11</formula>
    </cfRule>
  </conditionalFormatting>
  <conditionalFormatting sqref="I12">
    <cfRule type="cellIs" priority="142" operator="equal" aboveAverage="0" equalAverage="0" bottom="0" percent="0" rank="0" text="" dxfId="1">
      <formula>0</formula>
    </cfRule>
    <cfRule type="cellIs" priority="143" operator="lessThan" aboveAverage="0" equalAverage="0" bottom="0" percent="0" rank="0" text="" dxfId="2">
      <formula>F12</formula>
    </cfRule>
  </conditionalFormatting>
  <conditionalFormatting sqref="I13">
    <cfRule type="cellIs" priority="144" operator="equal" aboveAverage="0" equalAverage="0" bottom="0" percent="0" rank="0" text="" dxfId="1">
      <formula>0</formula>
    </cfRule>
    <cfRule type="cellIs" priority="145" operator="lessThan" aboveAverage="0" equalAverage="0" bottom="0" percent="0" rank="0" text="" dxfId="2">
      <formula>F13</formula>
    </cfRule>
  </conditionalFormatting>
  <conditionalFormatting sqref="I14">
    <cfRule type="cellIs" priority="146" operator="equal" aboveAverage="0" equalAverage="0" bottom="0" percent="0" rank="0" text="" dxfId="1">
      <formula>0</formula>
    </cfRule>
    <cfRule type="cellIs" priority="147" operator="lessThan" aboveAverage="0" equalAverage="0" bottom="0" percent="0" rank="0" text="" dxfId="2">
      <formula>F14</formula>
    </cfRule>
  </conditionalFormatting>
  <conditionalFormatting sqref="I15">
    <cfRule type="cellIs" priority="148" operator="equal" aboveAverage="0" equalAverage="0" bottom="0" percent="0" rank="0" text="" dxfId="1">
      <formula>0</formula>
    </cfRule>
    <cfRule type="cellIs" priority="149" operator="lessThan" aboveAverage="0" equalAverage="0" bottom="0" percent="0" rank="0" text="" dxfId="2">
      <formula>F15</formula>
    </cfRule>
  </conditionalFormatting>
  <conditionalFormatting sqref="I16">
    <cfRule type="cellIs" priority="150" operator="equal" aboveAverage="0" equalAverage="0" bottom="0" percent="0" rank="0" text="" dxfId="1">
      <formula>0</formula>
    </cfRule>
    <cfRule type="cellIs" priority="151" operator="lessThan" aboveAverage="0" equalAverage="0" bottom="0" percent="0" rank="0" text="" dxfId="2">
      <formula>F16</formula>
    </cfRule>
  </conditionalFormatting>
  <conditionalFormatting sqref="I17">
    <cfRule type="cellIs" priority="152" operator="equal" aboveAverage="0" equalAverage="0" bottom="0" percent="0" rank="0" text="" dxfId="1">
      <formula>0</formula>
    </cfRule>
    <cfRule type="cellIs" priority="153" operator="lessThan" aboveAverage="0" equalAverage="0" bottom="0" percent="0" rank="0" text="" dxfId="2">
      <formula>F17</formula>
    </cfRule>
  </conditionalFormatting>
  <conditionalFormatting sqref="I20">
    <cfRule type="cellIs" priority="154" operator="equal" aboveAverage="0" equalAverage="0" bottom="0" percent="0" rank="0" text="" dxfId="1">
      <formula>0</formula>
    </cfRule>
    <cfRule type="cellIs" priority="155" operator="lessThan" aboveAverage="0" equalAverage="0" bottom="0" percent="0" rank="0" text="" dxfId="2">
      <formula>F20</formula>
    </cfRule>
  </conditionalFormatting>
  <conditionalFormatting sqref="I21">
    <cfRule type="cellIs" priority="156" operator="equal" aboveAverage="0" equalAverage="0" bottom="0" percent="0" rank="0" text="" dxfId="1">
      <formula>0</formula>
    </cfRule>
    <cfRule type="cellIs" priority="157" operator="lessThan" aboveAverage="0" equalAverage="0" bottom="0" percent="0" rank="0" text="" dxfId="2">
      <formula>F21</formula>
    </cfRule>
  </conditionalFormatting>
  <conditionalFormatting sqref="I22">
    <cfRule type="cellIs" priority="158" operator="equal" aboveAverage="0" equalAverage="0" bottom="0" percent="0" rank="0" text="" dxfId="1">
      <formula>0</formula>
    </cfRule>
    <cfRule type="cellIs" priority="159" operator="lessThan" aboveAverage="0" equalAverage="0" bottom="0" percent="0" rank="0" text="" dxfId="2">
      <formula>F22</formula>
    </cfRule>
  </conditionalFormatting>
  <conditionalFormatting sqref="I23">
    <cfRule type="cellIs" priority="160" operator="equal" aboveAverage="0" equalAverage="0" bottom="0" percent="0" rank="0" text="" dxfId="1">
      <formula>0</formula>
    </cfRule>
    <cfRule type="cellIs" priority="161" operator="lessThan" aboveAverage="0" equalAverage="0" bottom="0" percent="0" rank="0" text="" dxfId="2">
      <formula>F23</formula>
    </cfRule>
  </conditionalFormatting>
  <conditionalFormatting sqref="I24">
    <cfRule type="cellIs" priority="162" operator="equal" aboveAverage="0" equalAverage="0" bottom="0" percent="0" rank="0" text="" dxfId="1">
      <formula>0</formula>
    </cfRule>
    <cfRule type="cellIs" priority="163" operator="lessThan" aboveAverage="0" equalAverage="0" bottom="0" percent="0" rank="0" text="" dxfId="2">
      <formula>F24</formula>
    </cfRule>
  </conditionalFormatting>
  <conditionalFormatting sqref="I25">
    <cfRule type="cellIs" priority="164" operator="equal" aboveAverage="0" equalAverage="0" bottom="0" percent="0" rank="0" text="" dxfId="1">
      <formula>0</formula>
    </cfRule>
    <cfRule type="cellIs" priority="165" operator="lessThan" aboveAverage="0" equalAverage="0" bottom="0" percent="0" rank="0" text="" dxfId="2">
      <formula>F25</formula>
    </cfRule>
  </conditionalFormatting>
  <conditionalFormatting sqref="I27">
    <cfRule type="cellIs" priority="166" operator="equal" aboveAverage="0" equalAverage="0" bottom="0" percent="0" rank="0" text="" dxfId="1">
      <formula>0</formula>
    </cfRule>
    <cfRule type="cellIs" priority="167" operator="lessThan" aboveAverage="0" equalAverage="0" bottom="0" percent="0" rank="0" text="" dxfId="2">
      <formula>F27</formula>
    </cfRule>
  </conditionalFormatting>
  <conditionalFormatting sqref="I34">
    <cfRule type="cellIs" priority="168" operator="equal" aboveAverage="0" equalAverage="0" bottom="0" percent="0" rank="0" text="" dxfId="1">
      <formula>0</formula>
    </cfRule>
    <cfRule type="cellIs" priority="169" operator="lessThan" aboveAverage="0" equalAverage="0" bottom="0" percent="0" rank="0" text="" dxfId="2">
      <formula>F34</formula>
    </cfRule>
  </conditionalFormatting>
  <conditionalFormatting sqref="I35">
    <cfRule type="cellIs" priority="170" operator="equal" aboveAverage="0" equalAverage="0" bottom="0" percent="0" rank="0" text="" dxfId="1">
      <formula>0</formula>
    </cfRule>
    <cfRule type="cellIs" priority="171" operator="lessThan" aboveAverage="0" equalAverage="0" bottom="0" percent="0" rank="0" text="" dxfId="2">
      <formula>F35</formula>
    </cfRule>
  </conditionalFormatting>
  <conditionalFormatting sqref="I36">
    <cfRule type="cellIs" priority="172" operator="equal" aboveAverage="0" equalAverage="0" bottom="0" percent="0" rank="0" text="" dxfId="1">
      <formula>0</formula>
    </cfRule>
    <cfRule type="cellIs" priority="173" operator="lessThan" aboveAverage="0" equalAverage="0" bottom="0" percent="0" rank="0" text="" dxfId="2">
      <formula>F36</formula>
    </cfRule>
  </conditionalFormatting>
  <conditionalFormatting sqref="I37">
    <cfRule type="cellIs" priority="174" operator="equal" aboveAverage="0" equalAverage="0" bottom="0" percent="0" rank="0" text="" dxfId="1">
      <formula>0</formula>
    </cfRule>
    <cfRule type="cellIs" priority="175" operator="lessThan" aboveAverage="0" equalAverage="0" bottom="0" percent="0" rank="0" text="" dxfId="2">
      <formula>F37</formula>
    </cfRule>
  </conditionalFormatting>
  <conditionalFormatting sqref="I38">
    <cfRule type="cellIs" priority="176" operator="equal" aboveAverage="0" equalAverage="0" bottom="0" percent="0" rank="0" text="" dxfId="1">
      <formula>0</formula>
    </cfRule>
    <cfRule type="cellIs" priority="177" operator="lessThan" aboveAverage="0" equalAverage="0" bottom="0" percent="0" rank="0" text="" dxfId="2">
      <formula>F38</formula>
    </cfRule>
  </conditionalFormatting>
  <conditionalFormatting sqref="I39">
    <cfRule type="cellIs" priority="178" operator="equal" aboveAverage="0" equalAverage="0" bottom="0" percent="0" rank="0" text="" dxfId="1">
      <formula>0</formula>
    </cfRule>
    <cfRule type="cellIs" priority="179" operator="lessThan" aboveAverage="0" equalAverage="0" bottom="0" percent="0" rank="0" text="" dxfId="2">
      <formula>F39</formula>
    </cfRule>
  </conditionalFormatting>
  <conditionalFormatting sqref="I40">
    <cfRule type="cellIs" priority="180" operator="equal" aboveAverage="0" equalAverage="0" bottom="0" percent="0" rank="0" text="" dxfId="1">
      <formula>0</formula>
    </cfRule>
    <cfRule type="cellIs" priority="181" operator="lessThan" aboveAverage="0" equalAverage="0" bottom="0" percent="0" rank="0" text="" dxfId="2">
      <formula>F40</formula>
    </cfRule>
  </conditionalFormatting>
  <conditionalFormatting sqref="I7">
    <cfRule type="cellIs" priority="182" operator="equal" aboveAverage="0" equalAverage="0" bottom="0" percent="0" rank="0" text="" dxfId="1">
      <formula>0</formula>
    </cfRule>
    <cfRule type="cellIs" priority="183" operator="lessThan" aboveAverage="0" equalAverage="0" bottom="0" percent="0" rank="0" text="" dxfId="2">
      <formula>F7</formula>
    </cfRule>
  </conditionalFormatting>
  <conditionalFormatting sqref="I8">
    <cfRule type="cellIs" priority="184" operator="equal" aboveAverage="0" equalAverage="0" bottom="0" percent="0" rank="0" text="" dxfId="1">
      <formula>0</formula>
    </cfRule>
    <cfRule type="cellIs" priority="185" operator="lessThan" aboveAverage="0" equalAverage="0" bottom="0" percent="0" rank="0" text="" dxfId="2">
      <formula>F8</formula>
    </cfRule>
  </conditionalFormatting>
  <conditionalFormatting sqref="I9">
    <cfRule type="cellIs" priority="186" operator="equal" aboveAverage="0" equalAverage="0" bottom="0" percent="0" rank="0" text="" dxfId="1">
      <formula>0</formula>
    </cfRule>
    <cfRule type="cellIs" priority="187" operator="lessThan" aboveAverage="0" equalAverage="0" bottom="0" percent="0" rank="0" text="" dxfId="2">
      <formula>F9</formula>
    </cfRule>
  </conditionalFormatting>
  <conditionalFormatting sqref="J10">
    <cfRule type="cellIs" priority="188" operator="greaterThan" aboveAverage="0" equalAverage="0" bottom="0" percent="0" rank="0" text="" dxfId="1">
      <formula>I10</formula>
    </cfRule>
  </conditionalFormatting>
  <conditionalFormatting sqref="J11">
    <cfRule type="cellIs" priority="189" operator="greaterThan" aboveAverage="0" equalAverage="0" bottom="0" percent="0" rank="0" text="" dxfId="1">
      <formula>I11</formula>
    </cfRule>
  </conditionalFormatting>
  <conditionalFormatting sqref="J12">
    <cfRule type="cellIs" priority="190" operator="greaterThan" aboveAverage="0" equalAverage="0" bottom="0" percent="0" rank="0" text="" dxfId="1">
      <formula>I12</formula>
    </cfRule>
  </conditionalFormatting>
  <conditionalFormatting sqref="J13">
    <cfRule type="cellIs" priority="191" operator="greaterThan" aboveAverage="0" equalAverage="0" bottom="0" percent="0" rank="0" text="" dxfId="1">
      <formula>I13</formula>
    </cfRule>
  </conditionalFormatting>
  <conditionalFormatting sqref="J14">
    <cfRule type="cellIs" priority="192" operator="greaterThan" aboveAverage="0" equalAverage="0" bottom="0" percent="0" rank="0" text="" dxfId="1">
      <formula>I14</formula>
    </cfRule>
  </conditionalFormatting>
  <conditionalFormatting sqref="J15">
    <cfRule type="cellIs" priority="193" operator="greaterThan" aboveAverage="0" equalAverage="0" bottom="0" percent="0" rank="0" text="" dxfId="1">
      <formula>I15</formula>
    </cfRule>
  </conditionalFormatting>
  <conditionalFormatting sqref="J16">
    <cfRule type="cellIs" priority="194" operator="greaterThan" aboveAverage="0" equalAverage="0" bottom="0" percent="0" rank="0" text="" dxfId="1">
      <formula>I16</formula>
    </cfRule>
  </conditionalFormatting>
  <conditionalFormatting sqref="J17">
    <cfRule type="cellIs" priority="195" operator="greaterThan" aboveAverage="0" equalAverage="0" bottom="0" percent="0" rank="0" text="" dxfId="1">
      <formula>I17</formula>
    </cfRule>
  </conditionalFormatting>
  <conditionalFormatting sqref="J20">
    <cfRule type="cellIs" priority="196" operator="greaterThan" aboveAverage="0" equalAverage="0" bottom="0" percent="0" rank="0" text="" dxfId="1">
      <formula>I20</formula>
    </cfRule>
  </conditionalFormatting>
  <conditionalFormatting sqref="J21">
    <cfRule type="cellIs" priority="197" operator="greaterThan" aboveAverage="0" equalAverage="0" bottom="0" percent="0" rank="0" text="" dxfId="1">
      <formula>I21</formula>
    </cfRule>
  </conditionalFormatting>
  <conditionalFormatting sqref="J22">
    <cfRule type="cellIs" priority="198" operator="greaterThan" aboveAverage="0" equalAverage="0" bottom="0" percent="0" rank="0" text="" dxfId="1">
      <formula>I22</formula>
    </cfRule>
  </conditionalFormatting>
  <conditionalFormatting sqref="J23">
    <cfRule type="cellIs" priority="199" operator="greaterThan" aboveAverage="0" equalAverage="0" bottom="0" percent="0" rank="0" text="" dxfId="1">
      <formula>I23</formula>
    </cfRule>
  </conditionalFormatting>
  <conditionalFormatting sqref="J24">
    <cfRule type="cellIs" priority="200" operator="greaterThan" aboveAverage="0" equalAverage="0" bottom="0" percent="0" rank="0" text="" dxfId="1">
      <formula>I24</formula>
    </cfRule>
  </conditionalFormatting>
  <conditionalFormatting sqref="J25">
    <cfRule type="cellIs" priority="201" operator="greaterThan" aboveAverage="0" equalAverage="0" bottom="0" percent="0" rank="0" text="" dxfId="1">
      <formula>I25</formula>
    </cfRule>
  </conditionalFormatting>
  <conditionalFormatting sqref="J27">
    <cfRule type="cellIs" priority="202" operator="greaterThan" aboveAverage="0" equalAverage="0" bottom="0" percent="0" rank="0" text="" dxfId="1">
      <formula>I27</formula>
    </cfRule>
  </conditionalFormatting>
  <conditionalFormatting sqref="J34">
    <cfRule type="cellIs" priority="203" operator="greaterThan" aboveAverage="0" equalAverage="0" bottom="0" percent="0" rank="0" text="" dxfId="1">
      <formula>I34</formula>
    </cfRule>
  </conditionalFormatting>
  <conditionalFormatting sqref="J35">
    <cfRule type="cellIs" priority="204" operator="greaterThan" aboveAverage="0" equalAverage="0" bottom="0" percent="0" rank="0" text="" dxfId="1">
      <formula>I35</formula>
    </cfRule>
  </conditionalFormatting>
  <conditionalFormatting sqref="J36">
    <cfRule type="cellIs" priority="205" operator="greaterThan" aboveAverage="0" equalAverage="0" bottom="0" percent="0" rank="0" text="" dxfId="1">
      <formula>I36</formula>
    </cfRule>
  </conditionalFormatting>
  <conditionalFormatting sqref="J37">
    <cfRule type="cellIs" priority="206" operator="greaterThan" aboveAverage="0" equalAverage="0" bottom="0" percent="0" rank="0" text="" dxfId="1">
      <formula>I37</formula>
    </cfRule>
  </conditionalFormatting>
  <conditionalFormatting sqref="J38">
    <cfRule type="cellIs" priority="207" operator="greaterThan" aboveAverage="0" equalAverage="0" bottom="0" percent="0" rank="0" text="" dxfId="1">
      <formula>I38</formula>
    </cfRule>
  </conditionalFormatting>
  <conditionalFormatting sqref="J39">
    <cfRule type="cellIs" priority="208" operator="greaterThan" aboveAverage="0" equalAverage="0" bottom="0" percent="0" rank="0" text="" dxfId="1">
      <formula>I39</formula>
    </cfRule>
  </conditionalFormatting>
  <conditionalFormatting sqref="J40">
    <cfRule type="cellIs" priority="209" operator="greaterThan" aboveAverage="0" equalAverage="0" bottom="0" percent="0" rank="0" text="" dxfId="1">
      <formula>I40</formula>
    </cfRule>
  </conditionalFormatting>
  <conditionalFormatting sqref="J7">
    <cfRule type="cellIs" priority="210" operator="greaterThan" aboveAverage="0" equalAverage="0" bottom="0" percent="0" rank="0" text="" dxfId="1">
      <formula>I7</formula>
    </cfRule>
  </conditionalFormatting>
  <conditionalFormatting sqref="J8">
    <cfRule type="cellIs" priority="211" operator="greaterThan" aboveAverage="0" equalAverage="0" bottom="0" percent="0" rank="0" text="" dxfId="1">
      <formula>I8</formula>
    </cfRule>
  </conditionalFormatting>
  <conditionalFormatting sqref="J9">
    <cfRule type="cellIs" priority="212" operator="greaterThan" aboveAverage="0" equalAverage="0" bottom="0" percent="0" rank="0" text="" dxfId="1">
      <formula>I9</formula>
    </cfRule>
  </conditionalFormatting>
  <hyperlinks>
    <hyperlink ref="E7" r:id="rId2" display="CC0603JRNPO9BN220"/>
    <hyperlink ref="M7" r:id="rId3" display="311-1062-2-ND"/>
    <hyperlink ref="E8" r:id="rId4" display="CL10A475KQ8NNNC"/>
    <hyperlink ref="M8" r:id="rId5" display="1276-1045-6-ND"/>
    <hyperlink ref="M9" r:id="rId6" display="493-10106-2-ND"/>
    <hyperlink ref="E10" r:id="rId7" display="CL10B104KO8NNNC"/>
    <hyperlink ref="M10" r:id="rId8" display="1276-1005-1-ND"/>
    <hyperlink ref="E11" r:id="rId9" display="CL10A105KP8NNNC"/>
    <hyperlink ref="M11" r:id="rId10" display="1276-1182-1-ND"/>
    <hyperlink ref="E12" r:id="rId11" display="SML-D12U1WT86"/>
    <hyperlink ref="M12" r:id="rId12" display="SML-D12U1WT86TR-ND"/>
    <hyperlink ref="E13" r:id="rId13" display="SML-D12U1WT86"/>
    <hyperlink ref="M13" r:id="rId14" display="SML-D12U1WT86TR-ND"/>
    <hyperlink ref="E14" r:id="rId15" display="SML-D12U1WT86"/>
    <hyperlink ref="M14" r:id="rId16" display="SML-D12U1WT86TR-ND"/>
    <hyperlink ref="E15" r:id="rId17" display="TS4148C RZG"/>
    <hyperlink ref="M15" r:id="rId18" display="TS4148CRZGTR-ND"/>
    <hyperlink ref="E16" r:id="rId19" display="NHD-C12832A1Z-FSW-FBW-3V3"/>
    <hyperlink ref="M16" r:id="rId20" display="NHD-C12832A1Z-FSW-FBW-3V3-ND"/>
    <hyperlink ref="M17" r:id="rId21" display="609-4613-2-ND"/>
    <hyperlink ref="E20" r:id="rId22" display="RC0603FR-0710KL"/>
    <hyperlink ref="M20" r:id="rId23" display="311-10.0KHRDKR-ND"/>
    <hyperlink ref="E21" r:id="rId24" display="RC0603FR-071KL"/>
    <hyperlink ref="M21" r:id="rId25" display="311-1.00KHRTR-ND"/>
    <hyperlink ref="E22" r:id="rId26" display="RC0603FR-071K13L"/>
    <hyperlink ref="M22" r:id="rId27" display="311-1.13KHRTR-ND"/>
    <hyperlink ref="E23" r:id="rId28" display="RC0603FR-071K18L"/>
    <hyperlink ref="M23" r:id="rId29" display="311-1.18KHRTR-ND"/>
    <hyperlink ref="E24" r:id="rId30" display="RC0603FR-0722RL"/>
    <hyperlink ref="M24" r:id="rId31" display="311-22.0HRCT-ND"/>
    <hyperlink ref="E25" r:id="rId32" display="PTS645SM43SMTR92 LFS"/>
    <hyperlink ref="M25" r:id="rId33" display="CKN9112CT-ND"/>
    <hyperlink ref="E27" r:id="rId34" display="JS102011SAQN"/>
    <hyperlink ref="M27" r:id="rId35" display="401-1999-1-ND"/>
    <hyperlink ref="E34" r:id="rId36" display="74HC165D,652"/>
    <hyperlink ref="M34" r:id="rId37" display="1727-3782-ND"/>
    <hyperlink ref="M35" r:id="rId38" display="ATMEGA32U4-AURDKR-ND"/>
    <hyperlink ref="E36" r:id="rId39" display="SN74HC595DR"/>
    <hyperlink ref="M36" r:id="rId40" display="296-14857-6-ND"/>
    <hyperlink ref="M37" r:id="rId41" display="296-38871-2-ND"/>
    <hyperlink ref="E38" r:id="rId42" display="AP2210N-3.3TRG1"/>
    <hyperlink ref="M38" r:id="rId43" display="AP2210N-3.3TRG1DITR-ND"/>
    <hyperlink ref="E39" r:id="rId44" display="009155004541006"/>
    <hyperlink ref="M39" r:id="rId45" display="478-5452-2-ND"/>
    <hyperlink ref="E40" r:id="rId46" display="ECS-80-18-30-JGN-TR"/>
    <hyperlink ref="M40" r:id="rId47" display="XC2103TR-ND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48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2899</TotalTime>
  <Application>LibreOffice/6.1.6.3$Linux_X86_64 LibreOffice_project/10$Build-3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2019-07-08T03:32:04Z</dcterms:created>
  <dc:creator/>
  <dc:description/>
  <dc:language>en-CA</dc:language>
  <cp:lastModifiedBy/>
  <dcterms:modified xsi:type="dcterms:W3CDTF">2019-07-11T10:45:25Z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