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l_sharp_el-w516x. " sheetId="1" r:id="rId1"/>
  </sheets>
  <definedNames>
    <definedName name="BoardQty">'repl_sharp_el-w516x. '!$H$1</definedName>
    <definedName name="digikey_part_data">'repl_sharp_el-w516x. '!$I$5:$M$40</definedName>
    <definedName name="global_part_data">'repl_sharp_el-w516x. '!$A$5:$H$40</definedName>
    <definedName name="TotalCost">'repl_sharp_el-w516x. '!$H$3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K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$0.46
   100   $0.02      $2.05
   500   $0.01      $7.33
  1000   $0.01     $11.52
  4000   $0.01     $33.52
  8000   $0.01     $61.20
 12000   $0.01     $87.48</t>
        </r>
      </text>
    </comment>
    <comment ref="K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$0.55
   100   $0.02      $2.45
   500   $0.02      $8.75
  1000   $0.01     $13.75
  4000   $0.01     $46.00
  8000   $0.01     $84.00
 12000   $0.01    $120.00</t>
        </r>
      </text>
    </comment>
    <comment ref="K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$0.42      $4.23
   100   $0.28     $27.84
   500   $0.21    $103.12
  1000   $0.18    $175.30
  2000   $0.14    $273.28
  4000   $0.13    $512.40
 10000   $0.12  $1,195.60
 14000   $0.12  $1,644.02
 50000   $0.12  $5,807.00</t>
        </r>
      </text>
    </comment>
    <comment ref="K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100   $0.01      $1.30
   500   $0.01      $4.64
  1000   $0.01      $7.29
  4000   $0.01     $21.16
  8000   $0.00     $38.64
 12000   $0.00     $55.20</t>
        </r>
      </text>
    </comment>
    <comment ref="K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$0.38
   100   $0.02      $1.68
   500   $0.01      $6.00
  1000   $0.01      $9.43
  4000   $0.01     $27.44
  8000   $0.01     $50.08
 12000   $0.01     $71.52</t>
        </r>
      </text>
    </comment>
    <comment ref="K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$0.16      $1.62
    25   $0.12      $2.98
   100   $0.09      $8.53
   250   $0.06     $14.49
   500   $0.05     $25.58
  1000   $0.04     $40.07
  3000   $0.04    $106.95
  6000   $0.03    $186.00
 15000   $0.03    $418.50
 30000   $0.02    $744.00
 75000   $0.02  $1,686.00
150000   $0.02  $3,255.00</t>
        </r>
      </text>
    </comment>
    <comment ref="K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$0.16      $1.62
    25   $0.12      $2.98
   100   $0.09      $8.53
   250   $0.06     $14.49
   500   $0.05     $25.58
  1000   $0.04     $40.07
  3000   $0.04    $106.95
  6000   $0.03    $186.00
 15000   $0.03    $418.50
 30000   $0.02    $744.00
 75000   $0.02  $1,686.00
150000   $0.02  $3,255.00</t>
        </r>
      </text>
    </comment>
    <comment ref="K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$0.16      $1.62
    25   $0.12      $2.98
   100   $0.09      $8.53
   250   $0.06     $14.49
   500   $0.05     $25.58
  1000   $0.04     $40.07
  3000   $0.04    $106.95
  6000   $0.03    $186.00
 15000   $0.03    $418.50
 30000   $0.02    $744.00
 75000   $0.02  $1,686.00
150000   $0.02  $3,255.00</t>
        </r>
      </text>
    </comment>
    <comment ref="K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$1.56
   100   $0.10     $10.20
   500   $0.05     $24.93
  1000   $0.03     $33.99
  2500   $0.03     $72.22
  5000   $0.03    $126.50
 10000   $0.02    $220.00
 25000   $0.02    $495.00
 50000   $0.02    $880.00
125000   $0.02  $1,925.00</t>
        </r>
      </text>
    </comment>
    <comment ref="K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$11.00     $11.00
     5  $10.34     $51.70
    10   $9.68     $96.80
    50   $9.13    $456.50
   100   $8.69    $869.00
   250   $8.25  $2,062.50
   500   $7.92  $3,960.01</t>
        </r>
      </text>
    </comment>
    <comment ref="K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$0.39      $3.93
    25   $0.35      $8.84
    50   $0.31     $15.72
   100   $0.30     $30.13
   250   $0.28     $68.78
   500   $0.26    $131.01
  1400   $0.21    $291.80
  2800   $0.19    $533.57
  7000   $0.18  $1,250.55
  9800   $0.17  $1,634.05
 14000   $0.16  $2,251.06
 35000   $0.16  $5,544.00</t>
        </r>
      </text>
    </comment>
    <comment ref="K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$4.37
  2500   $0.00      $9.48
  5000   $0.00     $14.25
 10000   $0.00     $24.80
 25000   $0.00     $54.50
 50000   $0.00    $100.00
125000   $0.00    $245.00</t>
        </r>
      </text>
    </comment>
    <comment ref="K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$4.37
  2500   $0.00      $9.48
  5000   $0.00     $14.25
 10000   $0.00     $24.80
 25000   $0.00     $54.50
 50000   $0.00    $100.00
125000   $0.00    $245.00</t>
        </r>
      </text>
    </comment>
    <comment ref="K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$4.37
  2500   $0.00      $9.48
  5000   $0.00     $14.25
 10000   $0.00     $24.80
 25000   $0.00     $54.50
 50000   $0.00    $100.00
125000   $0.00    $245.00</t>
        </r>
      </text>
    </comment>
    <comment ref="K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$4.37
  2500   $0.00      $9.48
  5000   $0.00     $14.25
 10000   $0.00     $24.80
 25000   $0.00     $54.50
 50000   $0.00    $100.00
125000   $0.00    $245.00</t>
        </r>
      </text>
    </comment>
    <comment ref="K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$4.37
  2500   $0.00      $9.48
  5000   $0.00     $14.25
 10000   $0.00     $24.80
 25000   $0.00     $54.50
 50000   $0.00    $100.00
125000   $0.00    $245.00</t>
        </r>
      </text>
    </comment>
    <comment ref="K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$0.16      $1.57
    25   $0.15      $3.79
    50   $0.15      $7.31
   100   $0.14     $13.81
   250   $0.13     $32.49
   500   $0.12     $62.26
  1000   $0.09     $86.14
  5000   $0.07    $356.85</t>
        </r>
      </text>
    </comment>
    <comment ref="K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10   $0.54      $5.38
    25   $0.53     $13.16
    50   $0.47     $23.53
   100   $0.45     $44.81
   250   $0.44    $109.23
   500   $0.37    $184.86
  1000   $0.33    $325.92
  5000   $0.29  $1,425.90</t>
        </r>
      </text>
    </comment>
    <comment ref="K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10   $0.31      $3.10
    50   $0.28     $14.19
   100   $0.21     $21.12
   250   $0.19     $47.85
   500   $0.16     $79.20
  1000   $0.12    $118.80
  2500   $0.11    $272.25
  5000   $0.10    $511.50</t>
        </r>
      </text>
    </comment>
    <comment ref="K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$4.20      $4.20
    25   $3.85     $96.31
   100   $3.49    $349.17
  1500   $3.49  $5,237.56</t>
        </r>
      </text>
    </comment>
    <comment ref="K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$0.51      $0.51
    10   $0.43      $4.33
   100   $0.32     $32.30
   500   $0.25    $126.90
  1000   $0.20    $196.11
  2500   $0.17    $434.00
  5000   $0.16    $812.00
 12500   $0.15  $1,890.00</t>
        </r>
      </text>
    </comment>
    <comment ref="K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$2.27      $2.27
    10   $2.04     $20.42
   100   $1.64    $164.10
   500   $1.35    $674.14
  1000   $1.12  $1,117.14
  3000   $1.01  $3,029.40
  6000   $0.97  $5,834.40</t>
        </r>
      </text>
    </comment>
    <comment ref="K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$0.32      $3.17
   100   $0.20     $19.73
   500   $0.13     $67.48
  1000   $0.10    $103.82
  3000   $0.09    $272.16
  6000   $0.09    $514.08
 15000   $0.08  $1,171.80
 30000   $0.07  $2,192.40
 75000   $0.07  $4,914.00
150000   $0.06  $9,450.00</t>
        </r>
      </text>
    </comment>
    <comment ref="K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$1.24      $1.24
    10   $1.09     $10.94
    25   $1.03     $25.74
    50   $0.99     $49.34
   100   $0.94     $94.38
   250   $0.86    $214.50
   500   $0.77    $386.10
  1000   $0.62    $624.00
  2000   $0.58  $1,170.00
  3000   $0.57  $1,696.50
  5000   $0.55  $2,730.00
 10000   $0.52  $5,187.00</t>
        </r>
      </text>
    </comment>
    <comment ref="K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$0.69      $0.69
    10   $0.61      $6.07
    50   $0.57     $28.38
   100   $0.50     $50.16
   500   $0.48    $237.60
  1000   $0.38    $384.00
  3000   $0.36  $1,080.00
  5000   $0.35  $1,740.00
 10000   $0.34  $3,360.00</t>
        </r>
      </text>
    </comment>
    <comment ref="G42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<sst xmlns="http://schemas.openxmlformats.org/spreadsheetml/2006/main" count="230" uniqueCount="180">
  <si>
    <t>Global Part Info</t>
  </si>
  <si>
    <t>Refs</t>
  </si>
  <si>
    <t>Value</t>
  </si>
  <si>
    <t>Desc</t>
  </si>
  <si>
    <t>Footprint</t>
  </si>
  <si>
    <t>Manf#</t>
  </si>
  <si>
    <t>Qty</t>
  </si>
  <si>
    <t>Unit$</t>
  </si>
  <si>
    <t>Ext$</t>
  </si>
  <si>
    <t>C1,C2</t>
  </si>
  <si>
    <t>22p</t>
  </si>
  <si>
    <t>Oscillator load</t>
  </si>
  <si>
    <t>Capacitor_SMD:C_0603_1608Metric_Pad1.05x0.95mm_HandSolder</t>
  </si>
  <si>
    <t>CC0603JRNPO9BN220</t>
  </si>
  <si>
    <t>C12,C19,C21-C23</t>
  </si>
  <si>
    <t>4.7u</t>
  </si>
  <si>
    <t>USB power decoupling</t>
  </si>
  <si>
    <t>CL10A475KQ8NNNC</t>
  </si>
  <si>
    <t>C20</t>
  </si>
  <si>
    <t>10u</t>
  </si>
  <si>
    <t>Power decoupling</t>
  </si>
  <si>
    <t>Capacitor_SMD:CP_Elec_4x5.3</t>
  </si>
  <si>
    <t>UZR1C100MCL1GB</t>
  </si>
  <si>
    <t>C3,C4,C6-C8,C13-C18</t>
  </si>
  <si>
    <t>0.1u</t>
  </si>
  <si>
    <t>Assorted display</t>
  </si>
  <si>
    <t>CL10B104KO8NNNC</t>
  </si>
  <si>
    <t>C5,C9-C11</t>
  </si>
  <si>
    <t>1u</t>
  </si>
  <si>
    <t>Assorted decoupling</t>
  </si>
  <si>
    <t>CL10A105KP8NNNC</t>
  </si>
  <si>
    <t>D10</t>
  </si>
  <si>
    <t>LED_CHG</t>
  </si>
  <si>
    <t>Indicator LED</t>
  </si>
  <si>
    <t>LED_SMD:LED_0603_1608Metric_Pad1.05x0.95mm_HandSolder</t>
  </si>
  <si>
    <t>SML-D12U1WT86</t>
  </si>
  <si>
    <t>D11</t>
  </si>
  <si>
    <t>LED</t>
  </si>
  <si>
    <t>Diode_SMD:D_0603_1608Metric_Pad1.05x0.95mm_HandSolder</t>
  </si>
  <si>
    <t>D9</t>
  </si>
  <si>
    <t>LED_PGOOD</t>
  </si>
  <si>
    <t>D1-D8</t>
  </si>
  <si>
    <t>D</t>
  </si>
  <si>
    <t>Switch matrix protection</t>
  </si>
  <si>
    <t>TS4148C RZG</t>
  </si>
  <si>
    <t>DS1</t>
  </si>
  <si>
    <t>NHD-C12832A1Z-FSW-FBW-3V3</t>
  </si>
  <si>
    <t>LCD Graphic Display Modules &amp; Accessories FSTN (+) 41.4 x 24.3 x 4.0</t>
  </si>
  <si>
    <t>NHD-C12832A1Z-FSW-FBW-3V3:NHDC12832A1ZFSWFBW3V3</t>
  </si>
  <si>
    <t>J1</t>
  </si>
  <si>
    <t>USB_B_Micro</t>
  </si>
  <si>
    <t>USB Micro B Amphenol</t>
  </si>
  <si>
    <t>Connector_USB:USB_Micro-B_Amphenol_10103594-0001LF_Horizontal</t>
  </si>
  <si>
    <t>10118192-0001LF</t>
  </si>
  <si>
    <t>J2</t>
  </si>
  <si>
    <t>AVR-ISP-6</t>
  </si>
  <si>
    <t>Connector_PinHeader_1.27mm:PinHeader_2x03_P1.27mm_Vertical_SMD</t>
  </si>
  <si>
    <t>JP1</t>
  </si>
  <si>
    <t>Jumper_2_Open</t>
  </si>
  <si>
    <t>Jumper:SolderJumper-2_P1.3mm_Open_Pad1.0x1.5mm</t>
  </si>
  <si>
    <t>R1,R4-R13</t>
  </si>
  <si>
    <t>10k</t>
  </si>
  <si>
    <t>Input pull-down resistor</t>
  </si>
  <si>
    <t>Resistor_SMD:R_0603_1608Metric_Pad1.05x0.95mm_HandSolder</t>
  </si>
  <si>
    <t>RC0603FR-0710KL</t>
  </si>
  <si>
    <t>R14,R15,R18</t>
  </si>
  <si>
    <t>1k</t>
  </si>
  <si>
    <t>LED current limiting</t>
  </si>
  <si>
    <t>RC0603FR-071KL</t>
  </si>
  <si>
    <t>R16</t>
  </si>
  <si>
    <t>1.13k</t>
  </si>
  <si>
    <t>Battery Management ISET</t>
  </si>
  <si>
    <t>RC0603FR-071K13L</t>
  </si>
  <si>
    <t>R17</t>
  </si>
  <si>
    <t>1.18k</t>
  </si>
  <si>
    <t>Battery Management ILIM</t>
  </si>
  <si>
    <t>RC0603FR-071K18L</t>
  </si>
  <si>
    <t>R2,R3</t>
  </si>
  <si>
    <t>22</t>
  </si>
  <si>
    <t>USB data resistor</t>
  </si>
  <si>
    <t>RC0603FR-0722RL</t>
  </si>
  <si>
    <t>SW1</t>
  </si>
  <si>
    <t>SW_RESET</t>
  </si>
  <si>
    <t>Reset button</t>
  </si>
  <si>
    <t>Button_Switch_SMD:SW_Push_1P1T_NO_6x6mm_H9.5mm</t>
  </si>
  <si>
    <t>PTS645SM43SMTR92 LFS</t>
  </si>
  <si>
    <t>SW12,SW28</t>
  </si>
  <si>
    <t>SW_Push</t>
  </si>
  <si>
    <t>pcb_buttons:btn_long_rect</t>
  </si>
  <si>
    <t>SW66</t>
  </si>
  <si>
    <t>SW_POWER</t>
  </si>
  <si>
    <t>Power switch</t>
  </si>
  <si>
    <t>Button_Switch_SMD:SW_SPDT_CK-JS102011SAQN</t>
  </si>
  <si>
    <t>JS102011SAQN</t>
  </si>
  <si>
    <t>SW3-SW5,SW10,SW18,SW19,SW21,SW26,SW34-SW37</t>
  </si>
  <si>
    <t>pcb_buttons:btn_rect</t>
  </si>
  <si>
    <t>SW6-SW9,SW14-SW17,SW22-SW25,SW30-SW33,SW38-SW47,SW50-SW55,SW58-SW63</t>
  </si>
  <si>
    <t>pcb_buttons:btn_circular</t>
  </si>
  <si>
    <t>TP1</t>
  </si>
  <si>
    <t>TP_VCC</t>
  </si>
  <si>
    <t>TestPoint:TestPoint_Pad_1.0x1.0mm</t>
  </si>
  <si>
    <t>TP2</t>
  </si>
  <si>
    <t>TP_GND</t>
  </si>
  <si>
    <t>TP3</t>
  </si>
  <si>
    <t>TP_+BATT</t>
  </si>
  <si>
    <t>TP4</t>
  </si>
  <si>
    <t>TP_ICHG</t>
  </si>
  <si>
    <t>U1</t>
  </si>
  <si>
    <t>74HC165D</t>
  </si>
  <si>
    <t>8-bit PISO Shift Register</t>
  </si>
  <si>
    <t>Package_SO:SOIC-16_3.9x9.9mm_P1.27mm</t>
  </si>
  <si>
    <t>74HC165D,652</t>
  </si>
  <si>
    <t>U2</t>
  </si>
  <si>
    <t>ATmega32U4-AU</t>
  </si>
  <si>
    <t>ATMEGA32U4-AU uC</t>
  </si>
  <si>
    <t>Package_QFP:TQFP-44_10x10mm_P0.8mm</t>
  </si>
  <si>
    <t>ATMEGA32U4-AUR</t>
  </si>
  <si>
    <t>U3</t>
  </si>
  <si>
    <t>74HC595</t>
  </si>
  <si>
    <t>8-bit SIPO Shift Register</t>
  </si>
  <si>
    <t>SN74HC595DR</t>
  </si>
  <si>
    <t>U4</t>
  </si>
  <si>
    <t>BQ24072RGTR</t>
  </si>
  <si>
    <t>IC LI-ION Charge Mgmt</t>
  </si>
  <si>
    <t>UL_BQ24072RGTR:BQ24072RGTR</t>
  </si>
  <si>
    <t>U5</t>
  </si>
  <si>
    <t>AP2210-33</t>
  </si>
  <si>
    <t>Linear Voltage Reg IC Positive Fixed 1 Output 300mA</t>
  </si>
  <si>
    <t>Package_TO_SOT_SMD:SOT-23</t>
  </si>
  <si>
    <t>AP2210N-3.3TRG1</t>
  </si>
  <si>
    <t>XB1</t>
  </si>
  <si>
    <t>BATT_CONN</t>
  </si>
  <si>
    <t>Right Angle SMT Battery Conn</t>
  </si>
  <si>
    <t>009155004541006:BAT_009155004541006</t>
  </si>
  <si>
    <t>009155004541006</t>
  </si>
  <si>
    <t>Y1</t>
  </si>
  <si>
    <t>Crystal</t>
  </si>
  <si>
    <t>8MHz ±20ppm Crystal 18pF 100 Ohms 2-SMD</t>
  </si>
  <si>
    <t>Crystal:Crystal_SMD_5032-2Pin_5.0x3.2mm</t>
  </si>
  <si>
    <t>ECS-80-18-30-JGN-TR</t>
  </si>
  <si>
    <t>Total Purchase:</t>
  </si>
  <si>
    <t>Used currency rates:</t>
  </si>
  <si>
    <t>Prj:</t>
  </si>
  <si>
    <t>SHARP_EL-W516X</t>
  </si>
  <si>
    <t>Co.:</t>
  </si>
  <si>
    <t>Prj date:</t>
  </si>
  <si>
    <t>Sun 07 Jul 2019 09:15:21 PM EDT</t>
  </si>
  <si>
    <t>Board Qty:</t>
  </si>
  <si>
    <t>Total Cost:</t>
  </si>
  <si>
    <t>Unit Cost:</t>
  </si>
  <si>
    <t>$ date:</t>
  </si>
  <si>
    <t>2019-07-07 21:15:32</t>
  </si>
  <si>
    <t>Digi-Key</t>
  </si>
  <si>
    <t>Avail</t>
  </si>
  <si>
    <t>Purch</t>
  </si>
  <si>
    <t>Cat#</t>
  </si>
  <si>
    <t>311-1062-2-ND</t>
  </si>
  <si>
    <t>1276-1045-6-ND</t>
  </si>
  <si>
    <t>493-10106-2-ND</t>
  </si>
  <si>
    <t>1276-1005-1-ND</t>
  </si>
  <si>
    <t>1276-1182-1-ND</t>
  </si>
  <si>
    <t>SML-D12U1WT86TR-ND</t>
  </si>
  <si>
    <t>TS4148CRZGTR-ND</t>
  </si>
  <si>
    <t>NHD-C12832A1Z-FSW-FBW-3V3-ND</t>
  </si>
  <si>
    <t>609-4613-2-ND</t>
  </si>
  <si>
    <t>311-10.0KHRDKR-ND</t>
  </si>
  <si>
    <t>311-1.00KHRTR-ND</t>
  </si>
  <si>
    <t>311-1.13KHRTR-ND</t>
  </si>
  <si>
    <t>311-1.18KHRTR-ND</t>
  </si>
  <si>
    <t>311-22.0HRCT-ND</t>
  </si>
  <si>
    <t>CKN9112CT-ND</t>
  </si>
  <si>
    <t>401-1999-1-ND</t>
  </si>
  <si>
    <t>1727-3782-ND</t>
  </si>
  <si>
    <t>ATMEGA32U4-AURDKR-ND</t>
  </si>
  <si>
    <t>296-14857-6-ND</t>
  </si>
  <si>
    <t>296-38871-2-ND</t>
  </si>
  <si>
    <t>AP2210N-3.3TRG1DITR-ND</t>
  </si>
  <si>
    <t>478-5452-2-ND</t>
  </si>
  <si>
    <t>XC2103TR-ND</t>
  </si>
  <si>
    <t>KiCost® v.1.1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</si>
</sst>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0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yageo.com/documents/recent/UPY-GP_NP0_16V-to-50V_16.pdf" TargetMode="External"/><Relationship Id="rId2" Type="http://schemas.openxmlformats.org/officeDocument/2006/relationships/hyperlink" Target="https://octopart.com/click/track?ak=&amp;sig=0b0acd0&amp;sid=459&amp;ppid=192915&amp;vpid=119670960&amp;ct=offers" TargetMode="External"/><Relationship Id="rId3" Type="http://schemas.openxmlformats.org/officeDocument/2006/relationships/hyperlink" Target="http://www.samsungsem.com/kr/support/product-search/mlcc/CL10A475KQ8NNNC.jsp" TargetMode="External"/><Relationship Id="rId4" Type="http://schemas.openxmlformats.org/officeDocument/2006/relationships/hyperlink" Target="https://octopart.com/click/track?ak=&amp;sig=00887e1&amp;sid=459&amp;ppid=10525435&amp;vpid=72523742&amp;ct=offers" TargetMode="External"/><Relationship Id="rId5" Type="http://schemas.openxmlformats.org/officeDocument/2006/relationships/hyperlink" Target="https://octopart.com/click/track?ak=&amp;sig=0e8b655&amp;sid=459&amp;ppid=7874332&amp;vpid=73993008&amp;ct=offers" TargetMode="External"/><Relationship Id="rId6" Type="http://schemas.openxmlformats.org/officeDocument/2006/relationships/hyperlink" Target="http://www.samsungsem.com/kr/support/product-search/mlcc/CL10B104KO8NNNC.jsp" TargetMode="External"/><Relationship Id="rId7" Type="http://schemas.openxmlformats.org/officeDocument/2006/relationships/hyperlink" Target="https://octopart.com/click/track?ak=&amp;sig=0d44439&amp;sid=459&amp;ppid=9267155&amp;vpid=72523905&amp;ct=offers" TargetMode="External"/><Relationship Id="rId8" Type="http://schemas.openxmlformats.org/officeDocument/2006/relationships/hyperlink" Target="http://www.samsungsem.com/kr/support/product-search/mlcc/CL10A105KP8NNNC.jsp" TargetMode="External"/><Relationship Id="rId9" Type="http://schemas.openxmlformats.org/officeDocument/2006/relationships/hyperlink" Target="https://octopart.com/click/track?ak=&amp;sig=029fa32&amp;sid=459&amp;ppid=9291899&amp;vpid=72523558&amp;ct=offers" TargetMode="External"/><Relationship Id="rId10" Type="http://schemas.openxmlformats.org/officeDocument/2006/relationships/hyperlink" Target="https://www.rohm.com/datasheet/SML-D12U1W" TargetMode="External"/><Relationship Id="rId11" Type="http://schemas.openxmlformats.org/officeDocument/2006/relationships/hyperlink" Target="https://octopart.com/click/track?ak=&amp;sig=09c207e&amp;sid=459&amp;ppid=70850259&amp;vpid=248817863&amp;ct=offers" TargetMode="External"/><Relationship Id="rId12" Type="http://schemas.openxmlformats.org/officeDocument/2006/relationships/hyperlink" Target="https://www.rohm.com/datasheet/SML-D12U1W" TargetMode="External"/><Relationship Id="rId13" Type="http://schemas.openxmlformats.org/officeDocument/2006/relationships/hyperlink" Target="https://octopart.com/click/track?ak=&amp;sig=09c207e&amp;sid=459&amp;ppid=70850259&amp;vpid=248817863&amp;ct=offers" TargetMode="External"/><Relationship Id="rId14" Type="http://schemas.openxmlformats.org/officeDocument/2006/relationships/hyperlink" Target="https://www.rohm.com/datasheet/SML-D12U1W" TargetMode="External"/><Relationship Id="rId15" Type="http://schemas.openxmlformats.org/officeDocument/2006/relationships/hyperlink" Target="https://octopart.com/click/track?ak=&amp;sig=09c207e&amp;sid=459&amp;ppid=70850259&amp;vpid=248817863&amp;ct=offers" TargetMode="External"/><Relationship Id="rId16" Type="http://schemas.openxmlformats.org/officeDocument/2006/relationships/hyperlink" Target="https://www.taiwansemi.com/products/datasheet/TS4148C_G1809.pdf" TargetMode="External"/><Relationship Id="rId17" Type="http://schemas.openxmlformats.org/officeDocument/2006/relationships/hyperlink" Target="https://octopart.com/click/track?ak=&amp;sig=0b15362&amp;sid=459&amp;ppid=22124138&amp;vpid=462998877&amp;ct=offers" TargetMode="External"/><Relationship Id="rId18" Type="http://schemas.openxmlformats.org/officeDocument/2006/relationships/hyperlink" Target="https://www.newhavendisplay.com/specs/NHD-C12832A1Z-FSW-FBW-3V3.pdf" TargetMode="External"/><Relationship Id="rId19" Type="http://schemas.openxmlformats.org/officeDocument/2006/relationships/hyperlink" Target="https://octopart.com/click/track?ak=&amp;sig=0b8c610&amp;sid=459&amp;ppid=18786545&amp;vpid=34235057&amp;ct=offers" TargetMode="External"/><Relationship Id="rId20" Type="http://schemas.openxmlformats.org/officeDocument/2006/relationships/hyperlink" Target="https://octopart.com/click/track?ak=&amp;sig=0da3005&amp;sid=459&amp;ppid=21265434&amp;vpid=531263944&amp;ct=offers" TargetMode="External"/><Relationship Id="rId21" Type="http://schemas.openxmlformats.org/officeDocument/2006/relationships/hyperlink" Target="http://www.yageo.com/documents/recent/PYu-RC_Group_51_RoHS_L_10.pdf" TargetMode="External"/><Relationship Id="rId22" Type="http://schemas.openxmlformats.org/officeDocument/2006/relationships/hyperlink" Target="https://octopart.com/click/track?ak=&amp;sig=0e8a3be&amp;sid=459&amp;ppid=40025538&amp;vpid=114982760&amp;ct=offers" TargetMode="External"/><Relationship Id="rId23" Type="http://schemas.openxmlformats.org/officeDocument/2006/relationships/hyperlink" Target="http://www.yageo.com/documents/recent/PYu-RC_Group_51_RoHS_L_10.pdf" TargetMode="External"/><Relationship Id="rId24" Type="http://schemas.openxmlformats.org/officeDocument/2006/relationships/hyperlink" Target="https://octopart.com/click/track?ak=&amp;sig=0f495f3&amp;sid=459&amp;ppid=55402882&amp;vpid=188128908&amp;ct=offers" TargetMode="External"/><Relationship Id="rId25" Type="http://schemas.openxmlformats.org/officeDocument/2006/relationships/hyperlink" Target="http://www.yageo.com/documents/recent/PYu-RC_Group_51_RoHS_L_10.pdf" TargetMode="External"/><Relationship Id="rId26" Type="http://schemas.openxmlformats.org/officeDocument/2006/relationships/hyperlink" Target="https://octopart.com/click/track?ak=&amp;sig=00e18e1&amp;sid=459&amp;ppid=1225781&amp;vpid=1706505&amp;ct=offers" TargetMode="External"/><Relationship Id="rId27" Type="http://schemas.openxmlformats.org/officeDocument/2006/relationships/hyperlink" Target="http://www.yageo.com/documents/recent/PYu-RC_Group_51_RoHS_L_10.pdf" TargetMode="External"/><Relationship Id="rId28" Type="http://schemas.openxmlformats.org/officeDocument/2006/relationships/hyperlink" Target="https://octopart.com/click/track?ak=&amp;sig=078f9bb&amp;sid=459&amp;ppid=39797283&amp;vpid=115141407&amp;ct=offers" TargetMode="External"/><Relationship Id="rId29" Type="http://schemas.openxmlformats.org/officeDocument/2006/relationships/hyperlink" Target="http://www.yageo.com/documents/recent/PYu-RC_Group_51_RoHS_L_10.pdf" TargetMode="External"/><Relationship Id="rId30" Type="http://schemas.openxmlformats.org/officeDocument/2006/relationships/hyperlink" Target="https://octopart.com/click/track?ak=&amp;sig=02261b1&amp;sid=459&amp;ppid=1405859&amp;vpid=115263523&amp;ct=offers" TargetMode="External"/><Relationship Id="rId31" Type="http://schemas.openxmlformats.org/officeDocument/2006/relationships/hyperlink" Target="https://www.ckswitches.com/media/1471/pts645.pdf" TargetMode="External"/><Relationship Id="rId32" Type="http://schemas.openxmlformats.org/officeDocument/2006/relationships/hyperlink" Target="https://octopart.com/click/track?ak=&amp;sig=0f7ff2f&amp;sid=459&amp;ppid=55389261&amp;vpid=76879294&amp;ct=offers" TargetMode="External"/><Relationship Id="rId33" Type="http://schemas.openxmlformats.org/officeDocument/2006/relationships/hyperlink" Target="https://www.ckswitches.com/media/1422/js.pdf" TargetMode="External"/><Relationship Id="rId34" Type="http://schemas.openxmlformats.org/officeDocument/2006/relationships/hyperlink" Target="https://octopart.com/click/track?ak=&amp;sig=0e387fb&amp;sid=459&amp;ppid=7088996&amp;vpid=34441074&amp;ct=offers" TargetMode="External"/><Relationship Id="rId35" Type="http://schemas.openxmlformats.org/officeDocument/2006/relationships/hyperlink" Target="https://assets.nexperia.com/documents/data-sheet/74HC_HCT165.pdf" TargetMode="External"/><Relationship Id="rId36" Type="http://schemas.openxmlformats.org/officeDocument/2006/relationships/hyperlink" Target="https://octopart.com/click/track?ak=&amp;sig=0c27404&amp;sid=459&amp;ppid=78737090&amp;vpid=417193082&amp;ct=offers" TargetMode="External"/><Relationship Id="rId37" Type="http://schemas.openxmlformats.org/officeDocument/2006/relationships/hyperlink" Target="https://octopart.com/click/track?ak=&amp;sig=060b535&amp;sid=459&amp;ppid=77760311&amp;vpid=408717064&amp;ct=offers" TargetMode="External"/><Relationship Id="rId38" Type="http://schemas.openxmlformats.org/officeDocument/2006/relationships/hyperlink" Target="http://www.ti.com/lit/ds/symlink/sn74hc595.pdf" TargetMode="External"/><Relationship Id="rId39" Type="http://schemas.openxmlformats.org/officeDocument/2006/relationships/hyperlink" Target="https://octopart.com/click/track?ak=&amp;sig=0816528&amp;sid=459&amp;ppid=500634&amp;vpid=1131053&amp;ct=offers" TargetMode="External"/><Relationship Id="rId40" Type="http://schemas.openxmlformats.org/officeDocument/2006/relationships/hyperlink" Target="https://octopart.com/click/track?ak=&amp;sig=056bd39&amp;sid=459&amp;ppid=12192001&amp;vpid=188081820&amp;ct=offers" TargetMode="External"/><Relationship Id="rId41" Type="http://schemas.openxmlformats.org/officeDocument/2006/relationships/hyperlink" Target="http://www.diodes.com/datasheets/AP1117.pdf" TargetMode="External"/><Relationship Id="rId42" Type="http://schemas.openxmlformats.org/officeDocument/2006/relationships/hyperlink" Target="https://octopart.com/click/track?ak=&amp;sig=07a2e74&amp;sid=459&amp;ppid=30954633&amp;vpid=94944143&amp;ct=offers" TargetMode="External"/><Relationship Id="rId43" Type="http://schemas.openxmlformats.org/officeDocument/2006/relationships/hyperlink" Target="https://media.digikey.com/pdf/Data%20Sheets/AVX%20PDFs/9155%20MOBO%20Battery%20Connector.pdf" TargetMode="External"/><Relationship Id="rId44" Type="http://schemas.openxmlformats.org/officeDocument/2006/relationships/hyperlink" Target="https://octopart.com/click/track?ak=&amp;sig=07d7e9d&amp;sid=459&amp;ppid=19037771&amp;vpid=33587679&amp;ct=offers" TargetMode="External"/><Relationship Id="rId45" Type="http://schemas.openxmlformats.org/officeDocument/2006/relationships/hyperlink" Target="http://www.ecsxtal.com/store/pdf/ecx-53r.pdf" TargetMode="External"/><Relationship Id="rId46" Type="http://schemas.openxmlformats.org/officeDocument/2006/relationships/hyperlink" Target="https://octopart.com/click/track?ak=&amp;sig=0e3994e&amp;sid=459&amp;ppid=71168052&amp;vpid=252370608&amp;ct=offers" TargetMode="External"/><Relationship Id="rId47" Type="http://schemas.openxmlformats.org/officeDocument/2006/relationships/vmlDrawing" Target="../drawings/vmlDrawing1.vml"/><Relationship Id="rId4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2"/>
    <col min="5" max="5" width="9.140625" outlineLevel="1"/>
    <col min="6" max="6" width="9.140625" outlineLevel="1"/>
    <col min="7" max="7" width="9.140625"/>
    <col min="8" max="8" width="15.7109375" customWidth="1"/>
    <col min="9" max="9" width="9.140625" outlineLevel="1"/>
    <col min="10" max="10" width="9.140625" outlineLevel="2"/>
    <col min="11" max="11" width="9.140625" outlineLevel="2"/>
    <col min="12" max="12" width="15.7109375" customWidth="1"/>
    <col min="13" max="13" width="15.7109375" customWidth="1" outlineLevel="2"/>
  </cols>
  <sheetData>
    <row r="1" spans="1:13">
      <c r="A1" s="2" t="s">
        <v>142</v>
      </c>
      <c r="B1" s="3" t="s">
        <v>143</v>
      </c>
      <c r="G1" s="4" t="s">
        <v>147</v>
      </c>
      <c r="H1" s="4">
        <v>100</v>
      </c>
    </row>
    <row r="2" spans="1:13">
      <c r="A2" s="2" t="s">
        <v>144</v>
      </c>
      <c r="B2" s="3"/>
      <c r="G2" s="2" t="s">
        <v>149</v>
      </c>
      <c r="H2" s="5">
        <f>TotalCost/BoardQty</f>
        <v>0</v>
      </c>
    </row>
    <row r="3" spans="1:13">
      <c r="A3" s="2" t="s">
        <v>145</v>
      </c>
      <c r="B3" s="3" t="s">
        <v>146</v>
      </c>
      <c r="G3" s="2" t="s">
        <v>148</v>
      </c>
      <c r="H3" s="6">
        <f>SUM(H7:H40)</f>
        <v>0</v>
      </c>
      <c r="L3" s="6">
        <f>SUM(L7:L40)</f>
        <v>0</v>
      </c>
      <c r="M3" s="7">
        <f>(COUNTA(L7:L40)&amp;" of "&amp;ROWS(L7:L40)&amp;" parts found"</f>
        <v>0</v>
      </c>
    </row>
    <row r="4" spans="1:13">
      <c r="A4" s="2" t="s">
        <v>150</v>
      </c>
      <c r="B4" s="3" t="s">
        <v>151</v>
      </c>
    </row>
    <row r="5" spans="1:13">
      <c r="A5" s="8" t="s">
        <v>0</v>
      </c>
      <c r="B5" s="8"/>
      <c r="C5" s="8"/>
      <c r="D5" s="8"/>
      <c r="E5" s="8"/>
      <c r="F5" s="8"/>
      <c r="G5" s="8"/>
      <c r="H5" s="8"/>
      <c r="I5" s="9" t="s">
        <v>152</v>
      </c>
      <c r="J5" s="9"/>
      <c r="K5" s="9"/>
      <c r="L5" s="9"/>
      <c r="M5" s="9"/>
    </row>
    <row r="6" spans="1:13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153</v>
      </c>
      <c r="J6" s="10" t="s">
        <v>154</v>
      </c>
      <c r="K6" s="10" t="s">
        <v>7</v>
      </c>
      <c r="L6" s="10" t="s">
        <v>8</v>
      </c>
      <c r="M6" s="10" t="s">
        <v>155</v>
      </c>
    </row>
    <row r="7" spans="1:13">
      <c r="A7" s="11" t="s">
        <v>9</v>
      </c>
      <c r="B7" s="11" t="s">
        <v>10</v>
      </c>
      <c r="C7" s="11" t="s">
        <v>11</v>
      </c>
      <c r="D7" s="11" t="s">
        <v>12</v>
      </c>
      <c r="E7" s="11" t="s">
        <v>13</v>
      </c>
      <c r="F7" s="11">
        <f>BoardQty*2</f>
        <v>0</v>
      </c>
      <c r="G7" s="12">
        <f>MINA(INDIRECT(ADDRESS(ROW(),COLUMN(digikey_part_data)+2)))</f>
        <v>0</v>
      </c>
      <c r="H7" s="12">
        <f>iferror(F7*G7,"")</f>
        <v>0</v>
      </c>
      <c r="I7" s="11">
        <v>416000</v>
      </c>
      <c r="K7" s="12">
        <f>iferror(lookup(if(J7="",F7,J7),{0,1,10,100,500,1000,4000,8000,12000},{0.0,0.1,0.046,0.0205,0.01466,0.01152,0.00838,0.00765,0.00729}),"")</f>
        <v>0</v>
      </c>
      <c r="L7" s="12">
        <f>iferror(if(J7="",F7,J7)*K7,"")</f>
        <v>0</v>
      </c>
      <c r="M7" s="13" t="s">
        <v>156</v>
      </c>
    </row>
    <row r="8" spans="1:13">
      <c r="A8" s="11" t="s">
        <v>14</v>
      </c>
      <c r="B8" s="11" t="s">
        <v>15</v>
      </c>
      <c r="C8" s="11" t="s">
        <v>16</v>
      </c>
      <c r="D8" s="11" t="s">
        <v>12</v>
      </c>
      <c r="E8" s="11" t="s">
        <v>17</v>
      </c>
      <c r="F8" s="11">
        <f>BoardQty*5</f>
        <v>0</v>
      </c>
      <c r="G8" s="12">
        <f>MINA(INDIRECT(ADDRESS(ROW(),COLUMN(digikey_part_data)+2)))</f>
        <v>0</v>
      </c>
      <c r="H8" s="12">
        <f>iferror(F8*G8,"")</f>
        <v>0</v>
      </c>
      <c r="I8" s="11">
        <v>3797320</v>
      </c>
      <c r="K8" s="12">
        <f>iferror(lookup(if(J8="",F8,J8),{0,1,10,100,500,1000,4000,8000,12000},{0.0,0.1,0.055,0.0245,0.0175,0.01375,0.0115,0.0105,0.01}),"")</f>
        <v>0</v>
      </c>
      <c r="L8" s="12">
        <f>iferror(if(J8="",F8,J8)*K8,"")</f>
        <v>0</v>
      </c>
      <c r="M8" s="13" t="s">
        <v>157</v>
      </c>
    </row>
    <row r="9" spans="1:13">
      <c r="A9" s="11" t="s">
        <v>18</v>
      </c>
      <c r="B9" s="11" t="s">
        <v>19</v>
      </c>
      <c r="C9" s="11" t="s">
        <v>20</v>
      </c>
      <c r="D9" s="11" t="s">
        <v>21</v>
      </c>
      <c r="E9" s="11" t="s">
        <v>22</v>
      </c>
      <c r="F9" s="11">
        <f>BoardQty*1</f>
        <v>0</v>
      </c>
      <c r="G9" s="12">
        <f>MINA(INDIRECT(ADDRESS(ROW(),COLUMN(digikey_part_data)+2)))</f>
        <v>0</v>
      </c>
      <c r="H9" s="12">
        <f>iferror(F9*G9,"")</f>
        <v>0</v>
      </c>
      <c r="I9" s="11">
        <v>4000</v>
      </c>
      <c r="K9" s="12">
        <f>iferror(lookup(if(J9="",F9,J9),{0,1,10,100,500,1000,2000,4000,10000,14000,50000},{0.0,0.6,0.423,0.2784,0.20624,0.1753,0.13664,0.1281,0.11956,0.11743,0.11614}),"")</f>
        <v>0</v>
      </c>
      <c r="L9" s="12">
        <f>iferror(if(J9="",F9,J9)*K9,"")</f>
        <v>0</v>
      </c>
      <c r="M9" s="13" t="s">
        <v>158</v>
      </c>
    </row>
    <row r="10" spans="1:13">
      <c r="A10" s="11" t="s">
        <v>23</v>
      </c>
      <c r="B10" s="11" t="s">
        <v>24</v>
      </c>
      <c r="C10" s="11" t="s">
        <v>25</v>
      </c>
      <c r="D10" s="11" t="s">
        <v>12</v>
      </c>
      <c r="E10" s="11" t="s">
        <v>26</v>
      </c>
      <c r="F10" s="11">
        <f>BoardQty*11</f>
        <v>0</v>
      </c>
      <c r="G10" s="12">
        <f>MINA(INDIRECT(ADDRESS(ROW(),COLUMN(digikey_part_data)+2)))</f>
        <v>0</v>
      </c>
      <c r="H10" s="12">
        <f>iferror(F10*G10,"")</f>
        <v>0</v>
      </c>
      <c r="I10" s="11">
        <v>13894456</v>
      </c>
      <c r="K10" s="12">
        <f>iferror(lookup(if(J10="",F10,J10),{0,1,10,100,500,1000,4000,8000,12000},{0.0,0.1,0.029,0.013,0.00928,0.00729,0.00529,0.00483,0.0046}),"")</f>
        <v>0</v>
      </c>
      <c r="L10" s="12">
        <f>iferror(if(J10="",F10,J10)*K10,"")</f>
        <v>0</v>
      </c>
      <c r="M10" s="13" t="s">
        <v>159</v>
      </c>
    </row>
    <row r="11" spans="1:13">
      <c r="A11" s="11" t="s">
        <v>27</v>
      </c>
      <c r="B11" s="11" t="s">
        <v>28</v>
      </c>
      <c r="C11" s="11" t="s">
        <v>29</v>
      </c>
      <c r="D11" s="11" t="s">
        <v>12</v>
      </c>
      <c r="E11" s="11" t="s">
        <v>30</v>
      </c>
      <c r="F11" s="11">
        <f>BoardQty*4</f>
        <v>0</v>
      </c>
      <c r="G11" s="12">
        <f>MINA(INDIRECT(ADDRESS(ROW(),COLUMN(digikey_part_data)+2)))</f>
        <v>0</v>
      </c>
      <c r="H11" s="12">
        <f>iferror(F11*G11,"")</f>
        <v>0</v>
      </c>
      <c r="I11" s="11">
        <v>4338448</v>
      </c>
      <c r="K11" s="12">
        <f>iferror(lookup(if(J11="",F11,J11),{0,1,10,100,500,1000,4000,8000,12000},{0.0,0.1,0.038,0.0168,0.012,0.00943,0.00686,0.00626,0.00596}),"")</f>
        <v>0</v>
      </c>
      <c r="L11" s="12">
        <f>iferror(if(J11="",F11,J11)*K11,"")</f>
        <v>0</v>
      </c>
      <c r="M11" s="13" t="s">
        <v>160</v>
      </c>
    </row>
    <row r="12" spans="1:13">
      <c r="A12" s="11" t="s">
        <v>31</v>
      </c>
      <c r="B12" s="11" t="s">
        <v>32</v>
      </c>
      <c r="C12" s="11" t="s">
        <v>33</v>
      </c>
      <c r="D12" s="11" t="s">
        <v>34</v>
      </c>
      <c r="E12" s="11" t="s">
        <v>35</v>
      </c>
      <c r="F12" s="11">
        <f>BoardQty*1</f>
        <v>0</v>
      </c>
      <c r="G12" s="12">
        <f>MINA(INDIRECT(ADDRESS(ROW(),COLUMN(digikey_part_data)+2)))</f>
        <v>0</v>
      </c>
      <c r="H12" s="12">
        <f>iferror(F12*G12,"")</f>
        <v>0</v>
      </c>
      <c r="I12" s="11">
        <v>90000</v>
      </c>
      <c r="K12" s="12">
        <f>iferror(lookup(if(J12="",F12,J12),{0,1,10,25,100,250,500,1000,3000,6000,15000,30000,75000,150000},{0.0,0.22,0.162,0.1192,0.0853,0.05796,0.05116,0.04007,0.03565,0.031,0.0279,0.0248,0.02248,0.0217}),"")</f>
        <v>0</v>
      </c>
      <c r="L12" s="12">
        <f>iferror(if(J12="",F12,J12)*K12,"")</f>
        <v>0</v>
      </c>
      <c r="M12" s="13" t="s">
        <v>161</v>
      </c>
    </row>
    <row r="13" spans="1:13">
      <c r="A13" s="11" t="s">
        <v>36</v>
      </c>
      <c r="B13" s="11" t="s">
        <v>37</v>
      </c>
      <c r="C13" s="11" t="s">
        <v>33</v>
      </c>
      <c r="D13" s="11" t="s">
        <v>38</v>
      </c>
      <c r="E13" s="11" t="s">
        <v>35</v>
      </c>
      <c r="F13" s="11">
        <f>BoardQty*1</f>
        <v>0</v>
      </c>
      <c r="G13" s="12">
        <f>MINA(INDIRECT(ADDRESS(ROW(),COLUMN(digikey_part_data)+2)))</f>
        <v>0</v>
      </c>
      <c r="H13" s="12">
        <f>iferror(F13*G13,"")</f>
        <v>0</v>
      </c>
      <c r="I13" s="11">
        <v>90000</v>
      </c>
      <c r="K13" s="12">
        <f>iferror(lookup(if(J13="",F13,J13),{0,1,10,25,100,250,500,1000,3000,6000,15000,30000,75000,150000},{0.0,0.22,0.162,0.1192,0.0853,0.05796,0.05116,0.04007,0.03565,0.031,0.0279,0.0248,0.02248,0.0217}),"")</f>
        <v>0</v>
      </c>
      <c r="L13" s="12">
        <f>iferror(if(J13="",F13,J13)*K13,"")</f>
        <v>0</v>
      </c>
      <c r="M13" s="13" t="s">
        <v>161</v>
      </c>
    </row>
    <row r="14" spans="1:13">
      <c r="A14" s="11" t="s">
        <v>39</v>
      </c>
      <c r="B14" s="11" t="s">
        <v>40</v>
      </c>
      <c r="C14" s="11" t="s">
        <v>33</v>
      </c>
      <c r="D14" s="11" t="s">
        <v>34</v>
      </c>
      <c r="E14" s="11" t="s">
        <v>35</v>
      </c>
      <c r="F14" s="11">
        <f>BoardQty*1</f>
        <v>0</v>
      </c>
      <c r="G14" s="12">
        <f>MINA(INDIRECT(ADDRESS(ROW(),COLUMN(digikey_part_data)+2)))</f>
        <v>0</v>
      </c>
      <c r="H14" s="12">
        <f>iferror(F14*G14,"")</f>
        <v>0</v>
      </c>
      <c r="I14" s="11">
        <v>90000</v>
      </c>
      <c r="K14" s="12">
        <f>iferror(lookup(if(J14="",F14,J14),{0,1,10,25,100,250,500,1000,3000,6000,15000,30000,75000,150000},{0.0,0.22,0.162,0.1192,0.0853,0.05796,0.05116,0.04007,0.03565,0.031,0.0279,0.0248,0.02248,0.0217}),"")</f>
        <v>0</v>
      </c>
      <c r="L14" s="12">
        <f>iferror(if(J14="",F14,J14)*K14,"")</f>
        <v>0</v>
      </c>
      <c r="M14" s="13" t="s">
        <v>161</v>
      </c>
    </row>
    <row r="15" spans="1:13">
      <c r="A15" s="11" t="s">
        <v>41</v>
      </c>
      <c r="B15" s="11" t="s">
        <v>42</v>
      </c>
      <c r="C15" s="11" t="s">
        <v>43</v>
      </c>
      <c r="D15" s="11" t="s">
        <v>38</v>
      </c>
      <c r="E15" s="11" t="s">
        <v>44</v>
      </c>
      <c r="F15" s="11">
        <f>BoardQty*8</f>
        <v>0</v>
      </c>
      <c r="G15" s="12">
        <f>MINA(INDIRECT(ADDRESS(ROW(),COLUMN(digikey_part_data)+2)))</f>
        <v>0</v>
      </c>
      <c r="H15" s="12">
        <f>iferror(F15*G15,"")</f>
        <v>0</v>
      </c>
      <c r="I15" s="11">
        <v>75000</v>
      </c>
      <c r="K15" s="12">
        <f>iferror(lookup(if(J15="",F15,J15),{0,1,10,100,500,1000,2500,5000,10000,25000,50000,125000},{0.0,0.17,0.156,0.102,0.04986,0.03399,0.02889,0.0253,0.022,0.0198,0.0176,0.0154}),"")</f>
        <v>0</v>
      </c>
      <c r="L15" s="12">
        <f>iferror(if(J15="",F15,J15)*K15,"")</f>
        <v>0</v>
      </c>
      <c r="M15" s="13" t="s">
        <v>162</v>
      </c>
    </row>
    <row r="16" spans="1:13">
      <c r="A16" s="11" t="s">
        <v>45</v>
      </c>
      <c r="B16" s="11" t="s">
        <v>46</v>
      </c>
      <c r="C16" s="11" t="s">
        <v>47</v>
      </c>
      <c r="D16" s="11" t="s">
        <v>48</v>
      </c>
      <c r="E16" s="11" t="s">
        <v>46</v>
      </c>
      <c r="F16" s="11">
        <f>BoardQty*1</f>
        <v>0</v>
      </c>
      <c r="G16" s="12">
        <f>MINA(INDIRECT(ADDRESS(ROW(),COLUMN(digikey_part_data)+2)))</f>
        <v>0</v>
      </c>
      <c r="H16" s="12">
        <f>iferror(F16*G16,"")</f>
        <v>0</v>
      </c>
      <c r="I16" s="11">
        <v>3556</v>
      </c>
      <c r="K16" s="12">
        <f>iferror(lookup(if(J16="",F16,J16),{0,1,5,10,50,100,250,500},{0.0,11.0,10.34,9.68,9.13,8.69,8.25,7.92002}),"")</f>
        <v>0</v>
      </c>
      <c r="L16" s="12">
        <f>iferror(if(J16="",F16,J16)*K16,"")</f>
        <v>0</v>
      </c>
      <c r="M16" s="13" t="s">
        <v>163</v>
      </c>
    </row>
    <row r="17" spans="1:13">
      <c r="A17" s="11" t="s">
        <v>49</v>
      </c>
      <c r="B17" s="11" t="s">
        <v>50</v>
      </c>
      <c r="C17" s="11" t="s">
        <v>51</v>
      </c>
      <c r="D17" s="11" t="s">
        <v>52</v>
      </c>
      <c r="E17" s="11" t="s">
        <v>53</v>
      </c>
      <c r="F17" s="11">
        <f>BoardQty*1</f>
        <v>0</v>
      </c>
      <c r="G17" s="12">
        <f>MINA(INDIRECT(ADDRESS(ROW(),COLUMN(digikey_part_data)+2)))</f>
        <v>0</v>
      </c>
      <c r="H17" s="12">
        <f>iferror(F17*G17,"")</f>
        <v>0</v>
      </c>
      <c r="I17" s="11">
        <v>113400</v>
      </c>
      <c r="K17" s="12">
        <f>iferror(lookup(if(J17="",F17,J17),{0,1,10,25,50,100,250,500,1400,2800,7000,9800,14000,35000},{0.0,0.42,0.393,0.3536,0.3144,0.3013,0.27512,0.26202,0.20843,0.19056,0.17865,0.16674,0.16079,0.1584}),"")</f>
        <v>0</v>
      </c>
      <c r="L17" s="12">
        <f>iferror(if(J17="",F17,J17)*K17,"")</f>
        <v>0</v>
      </c>
      <c r="M17" s="13" t="s">
        <v>164</v>
      </c>
    </row>
    <row r="18" spans="1:13">
      <c r="A18" s="11" t="s">
        <v>54</v>
      </c>
      <c r="B18" s="11" t="s">
        <v>55</v>
      </c>
      <c r="D18" s="11" t="s">
        <v>56</v>
      </c>
      <c r="F18" s="11">
        <f>BoardQty*1</f>
        <v>0</v>
      </c>
      <c r="G18" s="12">
        <f>MINA(INDIRECT(ADDRESS(ROW(),COLUMN(digikey_part_data)+2)))</f>
        <v>0</v>
      </c>
      <c r="H18" s="12">
        <f>iferror(F18*G18,"")</f>
        <v>0</v>
      </c>
    </row>
    <row r="19" spans="1:13">
      <c r="A19" s="11" t="s">
        <v>57</v>
      </c>
      <c r="B19" s="11" t="s">
        <v>58</v>
      </c>
      <c r="D19" s="11" t="s">
        <v>59</v>
      </c>
      <c r="F19" s="11">
        <f>BoardQty*1</f>
        <v>0</v>
      </c>
      <c r="G19" s="12">
        <f>MINA(INDIRECT(ADDRESS(ROW(),COLUMN(digikey_part_data)+2)))</f>
        <v>0</v>
      </c>
      <c r="H19" s="12">
        <f>iferror(F19*G19,"")</f>
        <v>0</v>
      </c>
    </row>
    <row r="20" spans="1:13">
      <c r="A20" s="11" t="s">
        <v>60</v>
      </c>
      <c r="B20" s="11" t="s">
        <v>61</v>
      </c>
      <c r="C20" s="11" t="s">
        <v>62</v>
      </c>
      <c r="D20" s="11" t="s">
        <v>63</v>
      </c>
      <c r="E20" s="11" t="s">
        <v>64</v>
      </c>
      <c r="F20" s="11">
        <f>BoardQty*11</f>
        <v>0</v>
      </c>
      <c r="G20" s="12">
        <f>MINA(INDIRECT(ADDRESS(ROW(),COLUMN(digikey_part_data)+2)))</f>
        <v>0</v>
      </c>
      <c r="H20" s="12">
        <f>iferror(F20*G20,"")</f>
        <v>0</v>
      </c>
      <c r="I20" s="11">
        <v>89267854</v>
      </c>
      <c r="K20" s="12">
        <f>iferror(lookup(if(J20="",F20,J20),{0,1,10,100,1000,2500,5000,10000,25000,50000,125000},{0.0,0.1,0.024,0.0097,0.00437,0.00379,0.00285,0.00248,0.00218,0.002,0.00196}),"")</f>
        <v>0</v>
      </c>
      <c r="L20" s="12">
        <f>iferror(if(J20="",F20,J20)*K20,"")</f>
        <v>0</v>
      </c>
      <c r="M20" s="13" t="s">
        <v>165</v>
      </c>
    </row>
    <row r="21" spans="1:13">
      <c r="A21" s="11" t="s">
        <v>65</v>
      </c>
      <c r="B21" s="11" t="s">
        <v>66</v>
      </c>
      <c r="C21" s="11" t="s">
        <v>67</v>
      </c>
      <c r="D21" s="11" t="s">
        <v>63</v>
      </c>
      <c r="E21" s="11" t="s">
        <v>68</v>
      </c>
      <c r="F21" s="11">
        <f>BoardQty*3</f>
        <v>0</v>
      </c>
      <c r="G21" s="12">
        <f>MINA(INDIRECT(ADDRESS(ROW(),COLUMN(digikey_part_data)+2)))</f>
        <v>0</v>
      </c>
      <c r="H21" s="12">
        <f>iferror(F21*G21,"")</f>
        <v>0</v>
      </c>
      <c r="I21" s="11">
        <v>50655000</v>
      </c>
      <c r="K21" s="12">
        <f>iferror(lookup(if(J21="",F21,J21),{0,1,10,100,1000,2500,5000,10000,25000,50000,125000},{0.0,0.1,0.024,0.0097,0.00437,0.00379,0.00285,0.00248,0.00218,0.002,0.00196}),"")</f>
        <v>0</v>
      </c>
      <c r="L21" s="12">
        <f>iferror(if(J21="",F21,J21)*K21,"")</f>
        <v>0</v>
      </c>
      <c r="M21" s="13" t="s">
        <v>166</v>
      </c>
    </row>
    <row r="22" spans="1:13">
      <c r="A22" s="11" t="s">
        <v>69</v>
      </c>
      <c r="B22" s="11" t="s">
        <v>70</v>
      </c>
      <c r="C22" s="11" t="s">
        <v>71</v>
      </c>
      <c r="D22" s="11" t="s">
        <v>63</v>
      </c>
      <c r="E22" s="11" t="s">
        <v>72</v>
      </c>
      <c r="F22" s="11">
        <f>BoardQty*1</f>
        <v>0</v>
      </c>
      <c r="G22" s="12">
        <f>MINA(INDIRECT(ADDRESS(ROW(),COLUMN(digikey_part_data)+2)))</f>
        <v>0</v>
      </c>
      <c r="H22" s="12">
        <f>iferror(F22*G22,"")</f>
        <v>0</v>
      </c>
      <c r="I22" s="11">
        <v>640000</v>
      </c>
      <c r="K22" s="12">
        <f>iferror(lookup(if(J22="",F22,J22),{0,1,10,100,1000,2500,5000,10000,25000,50000,125000},{0.0,0.1,0.024,0.0097,0.00437,0.00379,0.00285,0.00248,0.00218,0.002,0.00196}),"")</f>
        <v>0</v>
      </c>
      <c r="L22" s="12">
        <f>iferror(if(J22="",F22,J22)*K22,"")</f>
        <v>0</v>
      </c>
      <c r="M22" s="13" t="s">
        <v>167</v>
      </c>
    </row>
    <row r="23" spans="1:13">
      <c r="A23" s="11" t="s">
        <v>73</v>
      </c>
      <c r="B23" s="11" t="s">
        <v>74</v>
      </c>
      <c r="C23" s="11" t="s">
        <v>75</v>
      </c>
      <c r="D23" s="11" t="s">
        <v>63</v>
      </c>
      <c r="E23" s="11" t="s">
        <v>76</v>
      </c>
      <c r="F23" s="11">
        <f>BoardQty*1</f>
        <v>0</v>
      </c>
      <c r="G23" s="12">
        <f>MINA(INDIRECT(ADDRESS(ROW(),COLUMN(digikey_part_data)+2)))</f>
        <v>0</v>
      </c>
      <c r="H23" s="12">
        <f>iferror(F23*G23,"")</f>
        <v>0</v>
      </c>
      <c r="I23" s="11">
        <v>190000</v>
      </c>
      <c r="K23" s="12">
        <f>iferror(lookup(if(J23="",F23,J23),{0,1,10,100,1000,2500,5000,10000,25000,50000,125000},{0.0,0.1,0.024,0.0097,0.00437,0.00379,0.00285,0.00248,0.00218,0.002,0.00196}),"")</f>
        <v>0</v>
      </c>
      <c r="L23" s="12">
        <f>iferror(if(J23="",F23,J23)*K23,"")</f>
        <v>0</v>
      </c>
      <c r="M23" s="13" t="s">
        <v>168</v>
      </c>
    </row>
    <row r="24" spans="1:13">
      <c r="A24" s="11" t="s">
        <v>77</v>
      </c>
      <c r="B24" s="11" t="s">
        <v>78</v>
      </c>
      <c r="C24" s="11" t="s">
        <v>79</v>
      </c>
      <c r="D24" s="11" t="s">
        <v>63</v>
      </c>
      <c r="E24" s="11" t="s">
        <v>80</v>
      </c>
      <c r="F24" s="11">
        <f>BoardQty*2</f>
        <v>0</v>
      </c>
      <c r="G24" s="12">
        <f>MINA(INDIRECT(ADDRESS(ROW(),COLUMN(digikey_part_data)+2)))</f>
        <v>0</v>
      </c>
      <c r="H24" s="12">
        <f>iferror(F24*G24,"")</f>
        <v>0</v>
      </c>
      <c r="I24" s="11">
        <v>4021914</v>
      </c>
      <c r="K24" s="12">
        <f>iferror(lookup(if(J24="",F24,J24),{0,1,10,100,1000,2500,5000,10000,25000,50000,125000},{0.0,0.1,0.024,0.0097,0.00437,0.00379,0.00285,0.00248,0.00218,0.002,0.00196}),"")</f>
        <v>0</v>
      </c>
      <c r="L24" s="12">
        <f>iferror(if(J24="",F24,J24)*K24,"")</f>
        <v>0</v>
      </c>
      <c r="M24" s="13" t="s">
        <v>169</v>
      </c>
    </row>
    <row r="25" spans="1:13">
      <c r="A25" s="11" t="s">
        <v>81</v>
      </c>
      <c r="B25" s="11" t="s">
        <v>82</v>
      </c>
      <c r="C25" s="11" t="s">
        <v>83</v>
      </c>
      <c r="D25" s="11" t="s">
        <v>84</v>
      </c>
      <c r="E25" s="11" t="s">
        <v>85</v>
      </c>
      <c r="F25" s="11">
        <f>BoardQty*1</f>
        <v>0</v>
      </c>
      <c r="G25" s="12">
        <f>MINA(INDIRECT(ADDRESS(ROW(),COLUMN(digikey_part_data)+2)))</f>
        <v>0</v>
      </c>
      <c r="H25" s="12">
        <f>iferror(F25*G25,"")</f>
        <v>0</v>
      </c>
      <c r="I25" s="11">
        <v>369111</v>
      </c>
      <c r="K25" s="12">
        <f>iferror(lookup(if(J25="",F25,J25),{0,1,10,25,50,100,250,500,1000,5000},{0.0,0.16,0.157,0.1516,0.1462,0.1381,0.12996,0.12452,0.08614,0.07137}),"")</f>
        <v>0</v>
      </c>
      <c r="L25" s="12">
        <f>iferror(if(J25="",F25,J25)*K25,"")</f>
        <v>0</v>
      </c>
      <c r="M25" s="13" t="s">
        <v>170</v>
      </c>
    </row>
    <row r="26" spans="1:13">
      <c r="A26" s="11" t="s">
        <v>86</v>
      </c>
      <c r="B26" s="11" t="s">
        <v>87</v>
      </c>
      <c r="D26" s="11" t="s">
        <v>88</v>
      </c>
      <c r="F26" s="11">
        <f>BoardQty*2</f>
        <v>0</v>
      </c>
      <c r="G26" s="12">
        <f>MINA(INDIRECT(ADDRESS(ROW(),COLUMN(digikey_part_data)+2)))</f>
        <v>0</v>
      </c>
      <c r="H26" s="12">
        <f>iferror(F26*G26,"")</f>
        <v>0</v>
      </c>
    </row>
    <row r="27" spans="1:13">
      <c r="A27" s="11" t="s">
        <v>89</v>
      </c>
      <c r="B27" s="11" t="s">
        <v>90</v>
      </c>
      <c r="C27" s="11" t="s">
        <v>91</v>
      </c>
      <c r="D27" s="11" t="s">
        <v>92</v>
      </c>
      <c r="E27" s="11" t="s">
        <v>93</v>
      </c>
      <c r="F27" s="11">
        <f>BoardQty*1</f>
        <v>0</v>
      </c>
      <c r="G27" s="12">
        <f>MINA(INDIRECT(ADDRESS(ROW(),COLUMN(digikey_part_data)+2)))</f>
        <v>0</v>
      </c>
      <c r="H27" s="12">
        <f>iferror(F27*G27,"")</f>
        <v>0</v>
      </c>
      <c r="I27" s="11">
        <v>24259</v>
      </c>
      <c r="K27" s="12">
        <f>iferror(lookup(if(J27="",F27,J27),{0,1,10,25,50,100,250,500,1000,5000},{0.0,0.56,0.538,0.5264,0.4706,0.4481,0.43692,0.36972,0.32592,0.28518}),"")</f>
        <v>0</v>
      </c>
      <c r="L27" s="12">
        <f>iferror(if(J27="",F27,J27)*K27,"")</f>
        <v>0</v>
      </c>
      <c r="M27" s="13" t="s">
        <v>171</v>
      </c>
    </row>
    <row r="28" spans="1:13">
      <c r="A28" s="11" t="s">
        <v>94</v>
      </c>
      <c r="B28" s="11" t="s">
        <v>87</v>
      </c>
      <c r="D28" s="11" t="s">
        <v>95</v>
      </c>
      <c r="F28" s="11">
        <f>BoardQty*12</f>
        <v>0</v>
      </c>
      <c r="G28" s="12">
        <f>MINA(INDIRECT(ADDRESS(ROW(),COLUMN(digikey_part_data)+2)))</f>
        <v>0</v>
      </c>
      <c r="H28" s="12">
        <f>iferror(F28*G28,"")</f>
        <v>0</v>
      </c>
    </row>
    <row r="29" spans="1:13">
      <c r="A29" s="11" t="s">
        <v>96</v>
      </c>
      <c r="B29" s="11" t="s">
        <v>87</v>
      </c>
      <c r="D29" s="11" t="s">
        <v>97</v>
      </c>
      <c r="F29" s="11">
        <f>BoardQty*38</f>
        <v>0</v>
      </c>
      <c r="G29" s="12">
        <f>MINA(INDIRECT(ADDRESS(ROW(),COLUMN(digikey_part_data)+2)))</f>
        <v>0</v>
      </c>
      <c r="H29" s="12">
        <f>iferror(F29*G29,"")</f>
        <v>0</v>
      </c>
    </row>
    <row r="30" spans="1:13">
      <c r="A30" s="11" t="s">
        <v>98</v>
      </c>
      <c r="B30" s="11" t="s">
        <v>99</v>
      </c>
      <c r="D30" s="11" t="s">
        <v>100</v>
      </c>
      <c r="F30" s="11">
        <f>BoardQty*1</f>
        <v>0</v>
      </c>
      <c r="G30" s="12">
        <f>MINA(INDIRECT(ADDRESS(ROW(),COLUMN(digikey_part_data)+2)))</f>
        <v>0</v>
      </c>
      <c r="H30" s="12">
        <f>iferror(F30*G30,"")</f>
        <v>0</v>
      </c>
    </row>
    <row r="31" spans="1:13">
      <c r="A31" s="11" t="s">
        <v>101</v>
      </c>
      <c r="B31" s="11" t="s">
        <v>102</v>
      </c>
      <c r="D31" s="11" t="s">
        <v>100</v>
      </c>
      <c r="F31" s="11">
        <f>BoardQty*1</f>
        <v>0</v>
      </c>
      <c r="G31" s="12">
        <f>MINA(INDIRECT(ADDRESS(ROW(),COLUMN(digikey_part_data)+2)))</f>
        <v>0</v>
      </c>
      <c r="H31" s="12">
        <f>iferror(F31*G31,"")</f>
        <v>0</v>
      </c>
    </row>
    <row r="32" spans="1:13">
      <c r="A32" s="11" t="s">
        <v>103</v>
      </c>
      <c r="B32" s="11" t="s">
        <v>104</v>
      </c>
      <c r="D32" s="11" t="s">
        <v>100</v>
      </c>
      <c r="F32" s="11">
        <f>BoardQty*1</f>
        <v>0</v>
      </c>
      <c r="G32" s="12">
        <f>MINA(INDIRECT(ADDRESS(ROW(),COLUMN(digikey_part_data)+2)))</f>
        <v>0</v>
      </c>
      <c r="H32" s="12">
        <f>iferror(F32*G32,"")</f>
        <v>0</v>
      </c>
    </row>
    <row r="33" spans="1:13">
      <c r="A33" s="11" t="s">
        <v>105</v>
      </c>
      <c r="B33" s="11" t="s">
        <v>106</v>
      </c>
      <c r="D33" s="11" t="s">
        <v>100</v>
      </c>
      <c r="F33" s="11">
        <f>BoardQty*1</f>
        <v>0</v>
      </c>
      <c r="G33" s="12">
        <f>MINA(INDIRECT(ADDRESS(ROW(),COLUMN(digikey_part_data)+2)))</f>
        <v>0</v>
      </c>
      <c r="H33" s="12">
        <f>iferror(F33*G33,"")</f>
        <v>0</v>
      </c>
    </row>
    <row r="34" spans="1:13">
      <c r="A34" s="11" t="s">
        <v>107</v>
      </c>
      <c r="B34" s="11" t="s">
        <v>108</v>
      </c>
      <c r="C34" s="11" t="s">
        <v>109</v>
      </c>
      <c r="D34" s="11" t="s">
        <v>110</v>
      </c>
      <c r="E34" s="11" t="s">
        <v>111</v>
      </c>
      <c r="F34" s="11">
        <f>BoardQty*1</f>
        <v>0</v>
      </c>
      <c r="G34" s="12">
        <f>MINA(INDIRECT(ADDRESS(ROW(),COLUMN(digikey_part_data)+2)))</f>
        <v>0</v>
      </c>
      <c r="H34" s="12">
        <f>iferror(F34*G34,"")</f>
        <v>0</v>
      </c>
      <c r="I34" s="11">
        <v>9860</v>
      </c>
      <c r="K34" s="12">
        <f>iferror(lookup(if(J34="",F34,J34),{0,1,10,50,100,250,500,1000,2500,5000},{0.0,0.38,0.31,0.2838,0.2112,0.1914,0.1584,0.1188,0.1089,0.1023}),"")</f>
        <v>0</v>
      </c>
      <c r="L34" s="12">
        <f>iferror(if(J34="",F34,J34)*K34,"")</f>
        <v>0</v>
      </c>
      <c r="M34" s="13" t="s">
        <v>172</v>
      </c>
    </row>
    <row r="35" spans="1:13">
      <c r="A35" s="11" t="s">
        <v>112</v>
      </c>
      <c r="B35" s="11" t="s">
        <v>113</v>
      </c>
      <c r="C35" s="11" t="s">
        <v>114</v>
      </c>
      <c r="D35" s="11" t="s">
        <v>115</v>
      </c>
      <c r="E35" s="11" t="s">
        <v>116</v>
      </c>
      <c r="F35" s="11">
        <f>BoardQty*1</f>
        <v>0</v>
      </c>
      <c r="G35" s="12">
        <f>MINA(INDIRECT(ADDRESS(ROW(),COLUMN(digikey_part_data)+2)))</f>
        <v>0</v>
      </c>
      <c r="H35" s="12">
        <f>iferror(F35*G35,"")</f>
        <v>0</v>
      </c>
      <c r="I35" s="11">
        <v>4484</v>
      </c>
      <c r="K35" s="12">
        <f>iferror(lookup(if(J35="",F35,J35),{0,1,25,100,1500},{0.0,4.2,3.8524,3.4917,3.49171}),"")</f>
        <v>0</v>
      </c>
      <c r="L35" s="12">
        <f>iferror(if(J35="",F35,J35)*K35,"")</f>
        <v>0</v>
      </c>
      <c r="M35" s="13" t="s">
        <v>173</v>
      </c>
    </row>
    <row r="36" spans="1:13">
      <c r="A36" s="11" t="s">
        <v>117</v>
      </c>
      <c r="B36" s="11" t="s">
        <v>118</v>
      </c>
      <c r="C36" s="11" t="s">
        <v>119</v>
      </c>
      <c r="D36" s="11" t="s">
        <v>110</v>
      </c>
      <c r="E36" s="11" t="s">
        <v>120</v>
      </c>
      <c r="F36" s="11">
        <f>BoardQty*1</f>
        <v>0</v>
      </c>
      <c r="G36" s="12">
        <f>MINA(INDIRECT(ADDRESS(ROW(),COLUMN(digikey_part_data)+2)))</f>
        <v>0</v>
      </c>
      <c r="H36" s="12">
        <f>iferror(F36*G36,"")</f>
        <v>0</v>
      </c>
      <c r="I36" s="11">
        <v>47324</v>
      </c>
      <c r="K36" s="12">
        <f>iferror(lookup(if(J36="",F36,J36),{0,1,10,100,500,1000,2500,5000,12500},{0.0,0.51,0.433,0.323,0.2538,0.19611,0.1736,0.1624,0.1512}),"")</f>
        <v>0</v>
      </c>
      <c r="L36" s="12">
        <f>iferror(if(J36="",F36,J36)*K36,"")</f>
        <v>0</v>
      </c>
      <c r="M36" s="13" t="s">
        <v>174</v>
      </c>
    </row>
    <row r="37" spans="1:13">
      <c r="A37" s="11" t="s">
        <v>121</v>
      </c>
      <c r="B37" s="11" t="s">
        <v>122</v>
      </c>
      <c r="C37" s="11" t="s">
        <v>123</v>
      </c>
      <c r="D37" s="11" t="s">
        <v>124</v>
      </c>
      <c r="E37" s="11" t="s">
        <v>122</v>
      </c>
      <c r="F37" s="11">
        <f>BoardQty*1</f>
        <v>0</v>
      </c>
      <c r="G37" s="12">
        <f>MINA(INDIRECT(ADDRESS(ROW(),COLUMN(digikey_part_data)+2)))</f>
        <v>0</v>
      </c>
      <c r="H37" s="12">
        <f>iferror(F37*G37,"")</f>
        <v>0</v>
      </c>
      <c r="I37" s="11">
        <v>3000</v>
      </c>
      <c r="K37" s="12">
        <f>iferror(lookup(if(J37="",F37,J37),{0,1,10,100,500,1000,3000,6000},{0.0,2.27,2.042,1.641,1.34828,1.11714,1.0098,0.9724}),"")</f>
        <v>0</v>
      </c>
      <c r="L37" s="12">
        <f>iferror(if(J37="",F37,J37)*K37,"")</f>
        <v>0</v>
      </c>
      <c r="M37" s="13" t="s">
        <v>175</v>
      </c>
    </row>
    <row r="38" spans="1:13">
      <c r="A38" s="11" t="s">
        <v>125</v>
      </c>
      <c r="B38" s="11" t="s">
        <v>126</v>
      </c>
      <c r="C38" s="11" t="s">
        <v>127</v>
      </c>
      <c r="D38" s="11" t="s">
        <v>128</v>
      </c>
      <c r="E38" s="11" t="s">
        <v>129</v>
      </c>
      <c r="F38" s="11">
        <f>BoardQty*1</f>
        <v>0</v>
      </c>
      <c r="G38" s="12">
        <f>MINA(INDIRECT(ADDRESS(ROW(),COLUMN(digikey_part_data)+2)))</f>
        <v>0</v>
      </c>
      <c r="H38" s="12">
        <f>iferror(F38*G38,"")</f>
        <v>0</v>
      </c>
      <c r="I38" s="11">
        <v>84000</v>
      </c>
      <c r="K38" s="12">
        <f>iferror(lookup(if(J38="",F38,J38),{0,1,10,100,500,1000,3000,6000,15000,30000,75000,150000},{0.0,0.42,0.317,0.1973,0.13496,0.10382,0.09072,0.08568,0.07812,0.07308,0.06552,0.063}),"")</f>
        <v>0</v>
      </c>
      <c r="L38" s="12">
        <f>iferror(if(J38="",F38,J38)*K38,"")</f>
        <v>0</v>
      </c>
      <c r="M38" s="13" t="s">
        <v>176</v>
      </c>
    </row>
    <row r="39" spans="1:13">
      <c r="A39" s="11" t="s">
        <v>130</v>
      </c>
      <c r="B39" s="11" t="s">
        <v>131</v>
      </c>
      <c r="C39" s="11" t="s">
        <v>132</v>
      </c>
      <c r="D39" s="11" t="s">
        <v>133</v>
      </c>
      <c r="E39" s="11" t="s">
        <v>134</v>
      </c>
      <c r="F39" s="11">
        <f>BoardQty*1</f>
        <v>0</v>
      </c>
      <c r="G39" s="12">
        <f>MINA(INDIRECT(ADDRESS(ROW(),COLUMN(digikey_part_data)+2)))</f>
        <v>0</v>
      </c>
      <c r="H39" s="12">
        <f>iferror(F39*G39,"")</f>
        <v>0</v>
      </c>
      <c r="I39" s="11">
        <v>35000</v>
      </c>
      <c r="K39" s="12">
        <f>iferror(lookup(if(J39="",F39,J39),{0,1,10,25,50,100,250,500,1000,2000,3000,5000,10000},{0.0,1.24,1.094,1.0296,0.9868,0.9438,0.858,0.7722,0.624,0.585,0.5655,0.546,0.5187}),"")</f>
        <v>0</v>
      </c>
      <c r="L39" s="12">
        <f>iferror(if(J39="",F39,J39)*K39,"")</f>
        <v>0</v>
      </c>
      <c r="M39" s="13" t="s">
        <v>177</v>
      </c>
    </row>
    <row r="40" spans="1:13">
      <c r="A40" s="11" t="s">
        <v>135</v>
      </c>
      <c r="B40" s="11" t="s">
        <v>136</v>
      </c>
      <c r="C40" s="11" t="s">
        <v>137</v>
      </c>
      <c r="D40" s="11" t="s">
        <v>138</v>
      </c>
      <c r="E40" s="11" t="s">
        <v>139</v>
      </c>
      <c r="F40" s="11">
        <f>BoardQty*1</f>
        <v>0</v>
      </c>
      <c r="G40" s="12">
        <f>MINA(INDIRECT(ADDRESS(ROW(),COLUMN(digikey_part_data)+2)))</f>
        <v>0</v>
      </c>
      <c r="H40" s="12">
        <f>iferror(F40*G40,"")</f>
        <v>0</v>
      </c>
      <c r="I40" s="11">
        <v>7000</v>
      </c>
      <c r="K40" s="12">
        <f>iferror(lookup(if(J40="",F40,J40),{0,1,10,50,100,500,1000,3000,5000,10000},{0.0,0.69,0.607,0.5676,0.5016,0.4752,0.384,0.36,0.348,0.336}),"")</f>
        <v>0</v>
      </c>
      <c r="L40" s="12">
        <f>iferror(if(J40="",F40,J40)*K40,"")</f>
        <v>0</v>
      </c>
      <c r="M40" s="13" t="s">
        <v>178</v>
      </c>
    </row>
    <row r="42" spans="1:13">
      <c r="B42" t="s">
        <v>141</v>
      </c>
      <c r="G42" s="2" t="s">
        <v>140</v>
      </c>
      <c r="H42" s="6">
        <f>SUM(INDIRECT(ADDRESS(ROW(),COLUMN(digikey_part_data)+3)))</f>
        <v>0</v>
      </c>
      <c r="J42" s="7">
        <f>IFERROR(IF(OR(J7:J40),COUNTIFS(J7:J40,"&gt;0",L7:L40,"&lt;&gt;")&amp;" of "&amp;(ROWS(L7:L40)-COUNTBLANK(L7:L40))&amp;" parts purchased",""),"")</f>
        <v>0</v>
      </c>
      <c r="L42" s="6">
        <f>SUMIF(J7:J40,"&gt;0",L7:L40)</f>
        <v>0</v>
      </c>
    </row>
    <row r="43" spans="1:13">
      <c r="J43">
        <f t="array" ref="J43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44" spans="1:13">
      <c r="A44" s="3" t="s">
        <v>179</v>
      </c>
      <c r="J44">
        <f t="array" ref="J44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45" spans="1:13">
      <c r="J45">
        <f t="array" ref="J45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46" spans="1:13">
      <c r="J46">
        <f t="array" ref="J46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47" spans="1:13">
      <c r="J47">
        <f t="array" ref="J47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48" spans="1:13">
      <c r="J48">
        <f t="array" ref="J48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49" spans="10:10">
      <c r="J49">
        <f t="array" ref="J49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50" spans="10:10">
      <c r="J50">
        <f t="array" ref="J50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51" spans="10:10">
      <c r="J51">
        <f t="array" ref="J51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52" spans="10:10">
      <c r="J52">
        <f t="array" ref="J52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53" spans="10:10">
      <c r="J53">
        <f t="array" ref="J53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54" spans="10:10">
      <c r="J54">
        <f t="array" ref="J54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55" spans="10:10">
      <c r="J55">
        <f t="array" ref="J55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56" spans="10:10">
      <c r="J56">
        <f t="array" ref="J56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57" spans="10:10">
      <c r="J57">
        <f t="array" ref="J57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58" spans="10:10">
      <c r="J58">
        <f t="array" ref="J58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59" spans="10:10">
      <c r="J59">
        <f t="array" ref="J59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60" spans="10:10">
      <c r="J60">
        <f t="array" ref="J60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61" spans="10:10">
      <c r="J61">
        <f t="array" ref="J61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62" spans="10:10">
      <c r="J62">
        <f t="array" ref="J62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63" spans="10:10">
      <c r="J63">
        <f t="array" ref="J63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64" spans="10:10">
      <c r="J64">
        <f t="array" ref="J64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65" spans="10:10">
      <c r="J65">
        <f t="array" ref="J65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66" spans="10:10">
      <c r="J66">
        <f t="array" ref="J66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67" spans="10:10">
      <c r="J67">
        <f t="array" ref="J67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68" spans="10:10">
      <c r="J68">
        <f t="array" ref="J68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69" spans="10:10">
      <c r="J69">
        <f t="array" ref="J69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70" spans="10:10">
      <c r="J70">
        <f t="array" ref="J70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71" spans="10:10">
      <c r="J71">
        <f t="array" ref="J71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72" spans="10:10">
      <c r="J72">
        <f t="array" ref="J72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73" spans="10:10">
      <c r="J73">
        <f t="array" ref="J73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74" spans="10:10">
      <c r="J74">
        <f t="array" ref="J74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75" spans="10:10">
      <c r="J75">
        <f t="array" ref="J75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  <row r="76" spans="10:10">
      <c r="J76">
        <f t="array" ref="J76">IFERROR(CONCATENATE(TEXT(INDEX(J7:J40,SMALL(IF(ISNUMBER(J7:J40),IF(J7:J40&gt;0,IF(M7:M40&lt;&gt;"",ROW(J7:J40)-MIN(ROW(J7:J40))+1))),ROW()-ROW(A$43)+1)),"##0"),",",INDEX(M7:M40,SMALL(IF(ISNUMBER(J7:J40),IF(J7:J40&gt;0,IF(M7:M40&lt;&gt;"",ROW(J7:J40)-MIN(ROW(J7:J40))+1))),ROW()-ROW(A$43)+1)),",",SUBSTITUTE(INDEX(A7:A40,SMALL(IF(ISNUMBER(J7:J40),IF(J7:J40&gt;0,IF(M7:M40&lt;&gt;"",ROW(J7:J40)-MIN(ROW(J7:J40))+1))),ROW()-ROW(A$43)+1)),",",";")),"")</f>
        <v>0</v>
      </c>
    </row>
  </sheetData>
  <mergeCells count="2">
    <mergeCell ref="A5:H5"/>
    <mergeCell ref="I5:M5"/>
  </mergeCells>
  <conditionalFormatting sqref="F10">
    <cfRule type="expression" dxfId="0" priority="13">
      <formula>AND(ISBLANK(E10),ISBLANK(INDIRECT(ADDRESS(ROW(),COLUMN(digikey_part_data)+4))))</formula>
    </cfRule>
    <cfRule type="expression" dxfId="1" priority="14">
      <formula>IF(SUM(INDIRECT(ADDRESS(ROW(),COLUMN(digikey_part_data)+0)))=0,1,0)</formula>
    </cfRule>
    <cfRule type="cellIs" dxfId="2" priority="15" operator="greaterThan">
      <formula>SUM(INDIRECT(ADDRESS(ROW(),COLUMN(digikey_part_data)+0)))</formula>
    </cfRule>
    <cfRule type="cellIs" dxfId="3" priority="16" operator="greaterThan">
      <formula>SUM(IF(ISNUMBER(INDIRECT(ADDRESS(ROW(),COLUMN(digikey_part_data)+2))),INDIRECT(ADDRESS(ROW(),COLUMN(digikey_part_data)+1)),0))</formula>
    </cfRule>
  </conditionalFormatting>
  <conditionalFormatting sqref="F11">
    <cfRule type="expression" dxfId="0" priority="17">
      <formula>AND(ISBLANK(E11),ISBLANK(INDIRECT(ADDRESS(ROW(),COLUMN(digikey_part_data)+4))))</formula>
    </cfRule>
    <cfRule type="expression" dxfId="1" priority="18">
      <formula>IF(SUM(INDIRECT(ADDRESS(ROW(),COLUMN(digikey_part_data)+0)))=0,1,0)</formula>
    </cfRule>
    <cfRule type="cellIs" dxfId="2" priority="19" operator="greaterThan">
      <formula>SUM(INDIRECT(ADDRESS(ROW(),COLUMN(digikey_part_data)+0)))</formula>
    </cfRule>
    <cfRule type="cellIs" dxfId="3" priority="20" operator="greaterThan">
      <formula>SUM(IF(ISNUMBER(INDIRECT(ADDRESS(ROW(),COLUMN(digikey_part_data)+2))),INDIRECT(ADDRESS(ROW(),COLUMN(digikey_part_data)+1)),0))</formula>
    </cfRule>
  </conditionalFormatting>
  <conditionalFormatting sqref="F12">
    <cfRule type="expression" dxfId="0" priority="21">
      <formula>AND(ISBLANK(E12),ISBLANK(INDIRECT(ADDRESS(ROW(),COLUMN(digikey_part_data)+4))))</formula>
    </cfRule>
    <cfRule type="expression" dxfId="1" priority="22">
      <formula>IF(SUM(INDIRECT(ADDRESS(ROW(),COLUMN(digikey_part_data)+0)))=0,1,0)</formula>
    </cfRule>
    <cfRule type="cellIs" dxfId="2" priority="23" operator="greaterThan">
      <formula>SUM(INDIRECT(ADDRESS(ROW(),COLUMN(digikey_part_data)+0)))</formula>
    </cfRule>
    <cfRule type="cellIs" dxfId="3" priority="24" operator="greaterThan">
      <formula>SUM(IF(ISNUMBER(INDIRECT(ADDRESS(ROW(),COLUMN(digikey_part_data)+2))),INDIRECT(ADDRESS(ROW(),COLUMN(digikey_part_data)+1)),0))</formula>
    </cfRule>
  </conditionalFormatting>
  <conditionalFormatting sqref="F13">
    <cfRule type="expression" dxfId="0" priority="25">
      <formula>AND(ISBLANK(E13),ISBLANK(INDIRECT(ADDRESS(ROW(),COLUMN(digikey_part_data)+4))))</formula>
    </cfRule>
    <cfRule type="expression" dxfId="1" priority="26">
      <formula>IF(SUM(INDIRECT(ADDRESS(ROW(),COLUMN(digikey_part_data)+0)))=0,1,0)</formula>
    </cfRule>
    <cfRule type="cellIs" dxfId="2" priority="27" operator="greaterThan">
      <formula>SUM(INDIRECT(ADDRESS(ROW(),COLUMN(digikey_part_data)+0)))</formula>
    </cfRule>
    <cfRule type="cellIs" dxfId="3" priority="28" operator="greaterThan">
      <formula>SUM(IF(ISNUMBER(INDIRECT(ADDRESS(ROW(),COLUMN(digikey_part_data)+2))),INDIRECT(ADDRESS(ROW(),COLUMN(digikey_part_data)+1)),0))</formula>
    </cfRule>
  </conditionalFormatting>
  <conditionalFormatting sqref="F14">
    <cfRule type="expression" dxfId="0" priority="29">
      <formula>AND(ISBLANK(E14),ISBLANK(INDIRECT(ADDRESS(ROW(),COLUMN(digikey_part_data)+4))))</formula>
    </cfRule>
    <cfRule type="expression" dxfId="1" priority="30">
      <formula>IF(SUM(INDIRECT(ADDRESS(ROW(),COLUMN(digikey_part_data)+0)))=0,1,0)</formula>
    </cfRule>
    <cfRule type="cellIs" dxfId="2" priority="31" operator="greaterThan">
      <formula>SUM(INDIRECT(ADDRESS(ROW(),COLUMN(digikey_part_data)+0)))</formula>
    </cfRule>
    <cfRule type="cellIs" dxfId="3" priority="32" operator="greaterThan">
      <formula>SUM(IF(ISNUMBER(INDIRECT(ADDRESS(ROW(),COLUMN(digikey_part_data)+2))),INDIRECT(ADDRESS(ROW(),COLUMN(digikey_part_data)+1)),0))</formula>
    </cfRule>
  </conditionalFormatting>
  <conditionalFormatting sqref="F15">
    <cfRule type="expression" dxfId="0" priority="33">
      <formula>AND(ISBLANK(E15),ISBLANK(INDIRECT(ADDRESS(ROW(),COLUMN(digikey_part_data)+4))))</formula>
    </cfRule>
    <cfRule type="expression" dxfId="1" priority="34">
      <formula>IF(SUM(INDIRECT(ADDRESS(ROW(),COLUMN(digikey_part_data)+0)))=0,1,0)</formula>
    </cfRule>
    <cfRule type="cellIs" dxfId="2" priority="35" operator="greaterThan">
      <formula>SUM(INDIRECT(ADDRESS(ROW(),COLUMN(digikey_part_data)+0)))</formula>
    </cfRule>
    <cfRule type="cellIs" dxfId="3" priority="36" operator="greaterThan">
      <formula>SUM(IF(ISNUMBER(INDIRECT(ADDRESS(ROW(),COLUMN(digikey_part_data)+2))),INDIRECT(ADDRESS(ROW(),COLUMN(digikey_part_data)+1)),0))</formula>
    </cfRule>
  </conditionalFormatting>
  <conditionalFormatting sqref="F16">
    <cfRule type="expression" dxfId="0" priority="37">
      <formula>AND(ISBLANK(E16),ISBLANK(INDIRECT(ADDRESS(ROW(),COLUMN(digikey_part_data)+4))))</formula>
    </cfRule>
    <cfRule type="expression" dxfId="1" priority="38">
      <formula>IF(SUM(INDIRECT(ADDRESS(ROW(),COLUMN(digikey_part_data)+0)))=0,1,0)</formula>
    </cfRule>
    <cfRule type="cellIs" dxfId="2" priority="39" operator="greaterThan">
      <formula>SUM(INDIRECT(ADDRESS(ROW(),COLUMN(digikey_part_data)+0)))</formula>
    </cfRule>
    <cfRule type="cellIs" dxfId="3" priority="40" operator="greaterThan">
      <formula>SUM(IF(ISNUMBER(INDIRECT(ADDRESS(ROW(),COLUMN(digikey_part_data)+2))),INDIRECT(ADDRESS(ROW(),COLUMN(digikey_part_data)+1)),0))</formula>
    </cfRule>
  </conditionalFormatting>
  <conditionalFormatting sqref="F17">
    <cfRule type="expression" dxfId="0" priority="41">
      <formula>AND(ISBLANK(E17),ISBLANK(INDIRECT(ADDRESS(ROW(),COLUMN(digikey_part_data)+4))))</formula>
    </cfRule>
    <cfRule type="expression" dxfId="1" priority="42">
      <formula>IF(SUM(INDIRECT(ADDRESS(ROW(),COLUMN(digikey_part_data)+0)))=0,1,0)</formula>
    </cfRule>
    <cfRule type="cellIs" dxfId="2" priority="43" operator="greaterThan">
      <formula>SUM(INDIRECT(ADDRESS(ROW(),COLUMN(digikey_part_data)+0)))</formula>
    </cfRule>
    <cfRule type="cellIs" dxfId="3" priority="44" operator="greaterThan">
      <formula>SUM(IF(ISNUMBER(INDIRECT(ADDRESS(ROW(),COLUMN(digikey_part_data)+2))),INDIRECT(ADDRESS(ROW(),COLUMN(digikey_part_data)+1)),0))</formula>
    </cfRule>
  </conditionalFormatting>
  <conditionalFormatting sqref="F18">
    <cfRule type="expression" dxfId="0" priority="45">
      <formula>AND(ISBLANK(E18),ISBLANK(INDIRECT(ADDRESS(ROW(),COLUMN(digikey_part_data)+4))))</formula>
    </cfRule>
    <cfRule type="expression" dxfId="1" priority="46">
      <formula>IF(SUM(INDIRECT(ADDRESS(ROW(),COLUMN(digikey_part_data)+0)))=0,1,0)</formula>
    </cfRule>
    <cfRule type="cellIs" dxfId="2" priority="47" operator="greaterThan">
      <formula>SUM(INDIRECT(ADDRESS(ROW(),COLUMN(digikey_part_data)+0)))</formula>
    </cfRule>
    <cfRule type="cellIs" dxfId="3" priority="48" operator="greaterThan">
      <formula>SUM(IF(ISNUMBER(INDIRECT(ADDRESS(ROW(),COLUMN(digikey_part_data)+2))),INDIRECT(ADDRESS(ROW(),COLUMN(digikey_part_data)+1)),0))</formula>
    </cfRule>
  </conditionalFormatting>
  <conditionalFormatting sqref="F19">
    <cfRule type="expression" dxfId="0" priority="49">
      <formula>AND(ISBLANK(E19),ISBLANK(INDIRECT(ADDRESS(ROW(),COLUMN(digikey_part_data)+4))))</formula>
    </cfRule>
    <cfRule type="expression" dxfId="1" priority="50">
      <formula>IF(SUM(INDIRECT(ADDRESS(ROW(),COLUMN(digikey_part_data)+0)))=0,1,0)</formula>
    </cfRule>
    <cfRule type="cellIs" dxfId="2" priority="51" operator="greaterThan">
      <formula>SUM(INDIRECT(ADDRESS(ROW(),COLUMN(digikey_part_data)+0)))</formula>
    </cfRule>
    <cfRule type="cellIs" dxfId="3" priority="52" operator="greaterThan">
      <formula>SUM(IF(ISNUMBER(INDIRECT(ADDRESS(ROW(),COLUMN(digikey_part_data)+2))),INDIRECT(ADDRESS(ROW(),COLUMN(digikey_part_data)+1)),0))</formula>
    </cfRule>
  </conditionalFormatting>
  <conditionalFormatting sqref="F20">
    <cfRule type="expression" dxfId="0" priority="53">
      <formula>AND(ISBLANK(E20),ISBLANK(INDIRECT(ADDRESS(ROW(),COLUMN(digikey_part_data)+4))))</formula>
    </cfRule>
    <cfRule type="expression" dxfId="1" priority="54">
      <formula>IF(SUM(INDIRECT(ADDRESS(ROW(),COLUMN(digikey_part_data)+0)))=0,1,0)</formula>
    </cfRule>
    <cfRule type="cellIs" dxfId="2" priority="55" operator="greaterThan">
      <formula>SUM(INDIRECT(ADDRESS(ROW(),COLUMN(digikey_part_data)+0)))</formula>
    </cfRule>
    <cfRule type="cellIs" dxfId="3" priority="56" operator="greaterThan">
      <formula>SUM(IF(ISNUMBER(INDIRECT(ADDRESS(ROW(),COLUMN(digikey_part_data)+2))),INDIRECT(ADDRESS(ROW(),COLUMN(digikey_part_data)+1)),0))</formula>
    </cfRule>
  </conditionalFormatting>
  <conditionalFormatting sqref="F21">
    <cfRule type="expression" dxfId="0" priority="57">
      <formula>AND(ISBLANK(E21),ISBLANK(INDIRECT(ADDRESS(ROW(),COLUMN(digikey_part_data)+4))))</formula>
    </cfRule>
    <cfRule type="expression" dxfId="1" priority="58">
      <formula>IF(SUM(INDIRECT(ADDRESS(ROW(),COLUMN(digikey_part_data)+0)))=0,1,0)</formula>
    </cfRule>
    <cfRule type="cellIs" dxfId="2" priority="59" operator="greaterThan">
      <formula>SUM(INDIRECT(ADDRESS(ROW(),COLUMN(digikey_part_data)+0)))</formula>
    </cfRule>
    <cfRule type="cellIs" dxfId="3" priority="60" operator="greaterThan">
      <formula>SUM(IF(ISNUMBER(INDIRECT(ADDRESS(ROW(),COLUMN(digikey_part_data)+2))),INDIRECT(ADDRESS(ROW(),COLUMN(digikey_part_data)+1)),0))</formula>
    </cfRule>
  </conditionalFormatting>
  <conditionalFormatting sqref="F22">
    <cfRule type="expression" dxfId="0" priority="61">
      <formula>AND(ISBLANK(E22),ISBLANK(INDIRECT(ADDRESS(ROW(),COLUMN(digikey_part_data)+4))))</formula>
    </cfRule>
    <cfRule type="expression" dxfId="1" priority="62">
      <formula>IF(SUM(INDIRECT(ADDRESS(ROW(),COLUMN(digikey_part_data)+0)))=0,1,0)</formula>
    </cfRule>
    <cfRule type="cellIs" dxfId="2" priority="63" operator="greaterThan">
      <formula>SUM(INDIRECT(ADDRESS(ROW(),COLUMN(digikey_part_data)+0)))</formula>
    </cfRule>
    <cfRule type="cellIs" dxfId="3" priority="64" operator="greaterThan">
      <formula>SUM(IF(ISNUMBER(INDIRECT(ADDRESS(ROW(),COLUMN(digikey_part_data)+2))),INDIRECT(ADDRESS(ROW(),COLUMN(digikey_part_data)+1)),0))</formula>
    </cfRule>
  </conditionalFormatting>
  <conditionalFormatting sqref="F23">
    <cfRule type="expression" dxfId="0" priority="65">
      <formula>AND(ISBLANK(E23),ISBLANK(INDIRECT(ADDRESS(ROW(),COLUMN(digikey_part_data)+4))))</formula>
    </cfRule>
    <cfRule type="expression" dxfId="1" priority="66">
      <formula>IF(SUM(INDIRECT(ADDRESS(ROW(),COLUMN(digikey_part_data)+0)))=0,1,0)</formula>
    </cfRule>
    <cfRule type="cellIs" dxfId="2" priority="67" operator="greaterThan">
      <formula>SUM(INDIRECT(ADDRESS(ROW(),COLUMN(digikey_part_data)+0)))</formula>
    </cfRule>
    <cfRule type="cellIs" dxfId="3" priority="68" operator="greaterThan">
      <formula>SUM(IF(ISNUMBER(INDIRECT(ADDRESS(ROW(),COLUMN(digikey_part_data)+2))),INDIRECT(ADDRESS(ROW(),COLUMN(digikey_part_data)+1)),0))</formula>
    </cfRule>
  </conditionalFormatting>
  <conditionalFormatting sqref="F24">
    <cfRule type="expression" dxfId="0" priority="69">
      <formula>AND(ISBLANK(E24),ISBLANK(INDIRECT(ADDRESS(ROW(),COLUMN(digikey_part_data)+4))))</formula>
    </cfRule>
    <cfRule type="expression" dxfId="1" priority="70">
      <formula>IF(SUM(INDIRECT(ADDRESS(ROW(),COLUMN(digikey_part_data)+0)))=0,1,0)</formula>
    </cfRule>
    <cfRule type="cellIs" dxfId="2" priority="71" operator="greaterThan">
      <formula>SUM(INDIRECT(ADDRESS(ROW(),COLUMN(digikey_part_data)+0)))</formula>
    </cfRule>
    <cfRule type="cellIs" dxfId="3" priority="72" operator="greaterThan">
      <formula>SUM(IF(ISNUMBER(INDIRECT(ADDRESS(ROW(),COLUMN(digikey_part_data)+2))),INDIRECT(ADDRESS(ROW(),COLUMN(digikey_part_data)+1)),0))</formula>
    </cfRule>
  </conditionalFormatting>
  <conditionalFormatting sqref="F25">
    <cfRule type="expression" dxfId="0" priority="73">
      <formula>AND(ISBLANK(E25),ISBLANK(INDIRECT(ADDRESS(ROW(),COLUMN(digikey_part_data)+4))))</formula>
    </cfRule>
    <cfRule type="expression" dxfId="1" priority="74">
      <formula>IF(SUM(INDIRECT(ADDRESS(ROW(),COLUMN(digikey_part_data)+0)))=0,1,0)</formula>
    </cfRule>
    <cfRule type="cellIs" dxfId="2" priority="75" operator="greaterThan">
      <formula>SUM(INDIRECT(ADDRESS(ROW(),COLUMN(digikey_part_data)+0)))</formula>
    </cfRule>
    <cfRule type="cellIs" dxfId="3" priority="76" operator="greaterThan">
      <formula>SUM(IF(ISNUMBER(INDIRECT(ADDRESS(ROW(),COLUMN(digikey_part_data)+2))),INDIRECT(ADDRESS(ROW(),COLUMN(digikey_part_data)+1)),0))</formula>
    </cfRule>
  </conditionalFormatting>
  <conditionalFormatting sqref="F26">
    <cfRule type="expression" dxfId="0" priority="77">
      <formula>AND(ISBLANK(E26),ISBLANK(INDIRECT(ADDRESS(ROW(),COLUMN(digikey_part_data)+4))))</formula>
    </cfRule>
    <cfRule type="expression" dxfId="1" priority="78">
      <formula>IF(SUM(INDIRECT(ADDRESS(ROW(),COLUMN(digikey_part_data)+0)))=0,1,0)</formula>
    </cfRule>
    <cfRule type="cellIs" dxfId="2" priority="79" operator="greaterThan">
      <formula>SUM(INDIRECT(ADDRESS(ROW(),COLUMN(digikey_part_data)+0)))</formula>
    </cfRule>
    <cfRule type="cellIs" dxfId="3" priority="80" operator="greaterThan">
      <formula>SUM(IF(ISNUMBER(INDIRECT(ADDRESS(ROW(),COLUMN(digikey_part_data)+2))),INDIRECT(ADDRESS(ROW(),COLUMN(digikey_part_data)+1)),0))</formula>
    </cfRule>
  </conditionalFormatting>
  <conditionalFormatting sqref="F27">
    <cfRule type="expression" dxfId="0" priority="81">
      <formula>AND(ISBLANK(E27),ISBLANK(INDIRECT(ADDRESS(ROW(),COLUMN(digikey_part_data)+4))))</formula>
    </cfRule>
    <cfRule type="expression" dxfId="1" priority="82">
      <formula>IF(SUM(INDIRECT(ADDRESS(ROW(),COLUMN(digikey_part_data)+0)))=0,1,0)</formula>
    </cfRule>
    <cfRule type="cellIs" dxfId="2" priority="83" operator="greaterThan">
      <formula>SUM(INDIRECT(ADDRESS(ROW(),COLUMN(digikey_part_data)+0)))</formula>
    </cfRule>
    <cfRule type="cellIs" dxfId="3" priority="84" operator="greaterThan">
      <formula>SUM(IF(ISNUMBER(INDIRECT(ADDRESS(ROW(),COLUMN(digikey_part_data)+2))),INDIRECT(ADDRESS(ROW(),COLUMN(digikey_part_data)+1)),0))</formula>
    </cfRule>
  </conditionalFormatting>
  <conditionalFormatting sqref="F28">
    <cfRule type="expression" dxfId="0" priority="85">
      <formula>AND(ISBLANK(E28),ISBLANK(INDIRECT(ADDRESS(ROW(),COLUMN(digikey_part_data)+4))))</formula>
    </cfRule>
    <cfRule type="expression" dxfId="1" priority="86">
      <formula>IF(SUM(INDIRECT(ADDRESS(ROW(),COLUMN(digikey_part_data)+0)))=0,1,0)</formula>
    </cfRule>
    <cfRule type="cellIs" dxfId="2" priority="87" operator="greaterThan">
      <formula>SUM(INDIRECT(ADDRESS(ROW(),COLUMN(digikey_part_data)+0)))</formula>
    </cfRule>
    <cfRule type="cellIs" dxfId="3" priority="88" operator="greaterThan">
      <formula>SUM(IF(ISNUMBER(INDIRECT(ADDRESS(ROW(),COLUMN(digikey_part_data)+2))),INDIRECT(ADDRESS(ROW(),COLUMN(digikey_part_data)+1)),0))</formula>
    </cfRule>
  </conditionalFormatting>
  <conditionalFormatting sqref="F29">
    <cfRule type="expression" dxfId="0" priority="89">
      <formula>AND(ISBLANK(E29),ISBLANK(INDIRECT(ADDRESS(ROW(),COLUMN(digikey_part_data)+4))))</formula>
    </cfRule>
    <cfRule type="expression" dxfId="1" priority="90">
      <formula>IF(SUM(INDIRECT(ADDRESS(ROW(),COLUMN(digikey_part_data)+0)))=0,1,0)</formula>
    </cfRule>
    <cfRule type="cellIs" dxfId="2" priority="91" operator="greaterThan">
      <formula>SUM(INDIRECT(ADDRESS(ROW(),COLUMN(digikey_part_data)+0)))</formula>
    </cfRule>
    <cfRule type="cellIs" dxfId="3" priority="92" operator="greaterThan">
      <formula>SUM(IF(ISNUMBER(INDIRECT(ADDRESS(ROW(),COLUMN(digikey_part_data)+2))),INDIRECT(ADDRESS(ROW(),COLUMN(digikey_part_data)+1)),0))</formula>
    </cfRule>
  </conditionalFormatting>
  <conditionalFormatting sqref="F30">
    <cfRule type="expression" dxfId="0" priority="93">
      <formula>AND(ISBLANK(E30),ISBLANK(INDIRECT(ADDRESS(ROW(),COLUMN(digikey_part_data)+4))))</formula>
    </cfRule>
    <cfRule type="expression" dxfId="1" priority="94">
      <formula>IF(SUM(INDIRECT(ADDRESS(ROW(),COLUMN(digikey_part_data)+0)))=0,1,0)</formula>
    </cfRule>
    <cfRule type="cellIs" dxfId="2" priority="95" operator="greaterThan">
      <formula>SUM(INDIRECT(ADDRESS(ROW(),COLUMN(digikey_part_data)+0)))</formula>
    </cfRule>
    <cfRule type="cellIs" dxfId="3" priority="96" operator="greaterThan">
      <formula>SUM(IF(ISNUMBER(INDIRECT(ADDRESS(ROW(),COLUMN(digikey_part_data)+2))),INDIRECT(ADDRESS(ROW(),COLUMN(digikey_part_data)+1)),0))</formula>
    </cfRule>
  </conditionalFormatting>
  <conditionalFormatting sqref="F31">
    <cfRule type="expression" dxfId="0" priority="97">
      <formula>AND(ISBLANK(E31),ISBLANK(INDIRECT(ADDRESS(ROW(),COLUMN(digikey_part_data)+4))))</formula>
    </cfRule>
    <cfRule type="expression" dxfId="1" priority="98">
      <formula>IF(SUM(INDIRECT(ADDRESS(ROW(),COLUMN(digikey_part_data)+0)))=0,1,0)</formula>
    </cfRule>
    <cfRule type="cellIs" dxfId="2" priority="99" operator="greaterThan">
      <formula>SUM(INDIRECT(ADDRESS(ROW(),COLUMN(digikey_part_data)+0)))</formula>
    </cfRule>
    <cfRule type="cellIs" dxfId="3" priority="100" operator="greaterThan">
      <formula>SUM(IF(ISNUMBER(INDIRECT(ADDRESS(ROW(),COLUMN(digikey_part_data)+2))),INDIRECT(ADDRESS(ROW(),COLUMN(digikey_part_data)+1)),0))</formula>
    </cfRule>
  </conditionalFormatting>
  <conditionalFormatting sqref="F32">
    <cfRule type="expression" dxfId="0" priority="101">
      <formula>AND(ISBLANK(E32),ISBLANK(INDIRECT(ADDRESS(ROW(),COLUMN(digikey_part_data)+4))))</formula>
    </cfRule>
    <cfRule type="expression" dxfId="1" priority="102">
      <formula>IF(SUM(INDIRECT(ADDRESS(ROW(),COLUMN(digikey_part_data)+0)))=0,1,0)</formula>
    </cfRule>
    <cfRule type="cellIs" dxfId="2" priority="103" operator="greaterThan">
      <formula>SUM(INDIRECT(ADDRESS(ROW(),COLUMN(digikey_part_data)+0)))</formula>
    </cfRule>
    <cfRule type="cellIs" dxfId="3" priority="104" operator="greaterThan">
      <formula>SUM(IF(ISNUMBER(INDIRECT(ADDRESS(ROW(),COLUMN(digikey_part_data)+2))),INDIRECT(ADDRESS(ROW(),COLUMN(digikey_part_data)+1)),0))</formula>
    </cfRule>
  </conditionalFormatting>
  <conditionalFormatting sqref="F33">
    <cfRule type="expression" dxfId="0" priority="105">
      <formula>AND(ISBLANK(E33),ISBLANK(INDIRECT(ADDRESS(ROW(),COLUMN(digikey_part_data)+4))))</formula>
    </cfRule>
    <cfRule type="expression" dxfId="1" priority="106">
      <formula>IF(SUM(INDIRECT(ADDRESS(ROW(),COLUMN(digikey_part_data)+0)))=0,1,0)</formula>
    </cfRule>
    <cfRule type="cellIs" dxfId="2" priority="107" operator="greaterThan">
      <formula>SUM(INDIRECT(ADDRESS(ROW(),COLUMN(digikey_part_data)+0)))</formula>
    </cfRule>
    <cfRule type="cellIs" dxfId="3" priority="108" operator="greaterThan">
      <formula>SUM(IF(ISNUMBER(INDIRECT(ADDRESS(ROW(),COLUMN(digikey_part_data)+2))),INDIRECT(ADDRESS(ROW(),COLUMN(digikey_part_data)+1)),0))</formula>
    </cfRule>
  </conditionalFormatting>
  <conditionalFormatting sqref="F34">
    <cfRule type="expression" dxfId="0" priority="109">
      <formula>AND(ISBLANK(E34),ISBLANK(INDIRECT(ADDRESS(ROW(),COLUMN(digikey_part_data)+4))))</formula>
    </cfRule>
    <cfRule type="expression" dxfId="1" priority="110">
      <formula>IF(SUM(INDIRECT(ADDRESS(ROW(),COLUMN(digikey_part_data)+0)))=0,1,0)</formula>
    </cfRule>
    <cfRule type="cellIs" dxfId="2" priority="111" operator="greaterThan">
      <formula>SUM(INDIRECT(ADDRESS(ROW(),COLUMN(digikey_part_data)+0)))</formula>
    </cfRule>
    <cfRule type="cellIs" dxfId="3" priority="112" operator="greaterThan">
      <formula>SUM(IF(ISNUMBER(INDIRECT(ADDRESS(ROW(),COLUMN(digikey_part_data)+2))),INDIRECT(ADDRESS(ROW(),COLUMN(digikey_part_data)+1)),0))</formula>
    </cfRule>
  </conditionalFormatting>
  <conditionalFormatting sqref="F35">
    <cfRule type="expression" dxfId="0" priority="113">
      <formula>AND(ISBLANK(E35),ISBLANK(INDIRECT(ADDRESS(ROW(),COLUMN(digikey_part_data)+4))))</formula>
    </cfRule>
    <cfRule type="expression" dxfId="1" priority="114">
      <formula>IF(SUM(INDIRECT(ADDRESS(ROW(),COLUMN(digikey_part_data)+0)))=0,1,0)</formula>
    </cfRule>
    <cfRule type="cellIs" dxfId="2" priority="115" operator="greaterThan">
      <formula>SUM(INDIRECT(ADDRESS(ROW(),COLUMN(digikey_part_data)+0)))</formula>
    </cfRule>
    <cfRule type="cellIs" dxfId="3" priority="116" operator="greaterThan">
      <formula>SUM(IF(ISNUMBER(INDIRECT(ADDRESS(ROW(),COLUMN(digikey_part_data)+2))),INDIRECT(ADDRESS(ROW(),COLUMN(digikey_part_data)+1)),0))</formula>
    </cfRule>
  </conditionalFormatting>
  <conditionalFormatting sqref="F36">
    <cfRule type="expression" dxfId="0" priority="117">
      <formula>AND(ISBLANK(E36),ISBLANK(INDIRECT(ADDRESS(ROW(),COLUMN(digikey_part_data)+4))))</formula>
    </cfRule>
    <cfRule type="expression" dxfId="1" priority="118">
      <formula>IF(SUM(INDIRECT(ADDRESS(ROW(),COLUMN(digikey_part_data)+0)))=0,1,0)</formula>
    </cfRule>
    <cfRule type="cellIs" dxfId="2" priority="119" operator="greaterThan">
      <formula>SUM(INDIRECT(ADDRESS(ROW(),COLUMN(digikey_part_data)+0)))</formula>
    </cfRule>
    <cfRule type="cellIs" dxfId="3" priority="120" operator="greaterThan">
      <formula>SUM(IF(ISNUMBER(INDIRECT(ADDRESS(ROW(),COLUMN(digikey_part_data)+2))),INDIRECT(ADDRESS(ROW(),COLUMN(digikey_part_data)+1)),0))</formula>
    </cfRule>
  </conditionalFormatting>
  <conditionalFormatting sqref="F37">
    <cfRule type="expression" dxfId="0" priority="121">
      <formula>AND(ISBLANK(E37),ISBLANK(INDIRECT(ADDRESS(ROW(),COLUMN(digikey_part_data)+4))))</formula>
    </cfRule>
    <cfRule type="expression" dxfId="1" priority="122">
      <formula>IF(SUM(INDIRECT(ADDRESS(ROW(),COLUMN(digikey_part_data)+0)))=0,1,0)</formula>
    </cfRule>
    <cfRule type="cellIs" dxfId="2" priority="123" operator="greaterThan">
      <formula>SUM(INDIRECT(ADDRESS(ROW(),COLUMN(digikey_part_data)+0)))</formula>
    </cfRule>
    <cfRule type="cellIs" dxfId="3" priority="124" operator="greaterThan">
      <formula>SUM(IF(ISNUMBER(INDIRECT(ADDRESS(ROW(),COLUMN(digikey_part_data)+2))),INDIRECT(ADDRESS(ROW(),COLUMN(digikey_part_data)+1)),0))</formula>
    </cfRule>
  </conditionalFormatting>
  <conditionalFormatting sqref="F38">
    <cfRule type="expression" dxfId="0" priority="125">
      <formula>AND(ISBLANK(E38),ISBLANK(INDIRECT(ADDRESS(ROW(),COLUMN(digikey_part_data)+4))))</formula>
    </cfRule>
    <cfRule type="expression" dxfId="1" priority="126">
      <formula>IF(SUM(INDIRECT(ADDRESS(ROW(),COLUMN(digikey_part_data)+0)))=0,1,0)</formula>
    </cfRule>
    <cfRule type="cellIs" dxfId="2" priority="127" operator="greaterThan">
      <formula>SUM(INDIRECT(ADDRESS(ROW(),COLUMN(digikey_part_data)+0)))</formula>
    </cfRule>
    <cfRule type="cellIs" dxfId="3" priority="128" operator="greaterThan">
      <formula>SUM(IF(ISNUMBER(INDIRECT(ADDRESS(ROW(),COLUMN(digikey_part_data)+2))),INDIRECT(ADDRESS(ROW(),COLUMN(digikey_part_data)+1)),0))</formula>
    </cfRule>
  </conditionalFormatting>
  <conditionalFormatting sqref="F39">
    <cfRule type="expression" dxfId="0" priority="129">
      <formula>AND(ISBLANK(E39),ISBLANK(INDIRECT(ADDRESS(ROW(),COLUMN(digikey_part_data)+4))))</formula>
    </cfRule>
    <cfRule type="expression" dxfId="1" priority="130">
      <formula>IF(SUM(INDIRECT(ADDRESS(ROW(),COLUMN(digikey_part_data)+0)))=0,1,0)</formula>
    </cfRule>
    <cfRule type="cellIs" dxfId="2" priority="131" operator="greaterThan">
      <formula>SUM(INDIRECT(ADDRESS(ROW(),COLUMN(digikey_part_data)+0)))</formula>
    </cfRule>
    <cfRule type="cellIs" dxfId="3" priority="132" operator="greaterThan">
      <formula>SUM(IF(ISNUMBER(INDIRECT(ADDRESS(ROW(),COLUMN(digikey_part_data)+2))),INDIRECT(ADDRESS(ROW(),COLUMN(digikey_part_data)+1)),0))</formula>
    </cfRule>
  </conditionalFormatting>
  <conditionalFormatting sqref="F40">
    <cfRule type="expression" dxfId="0" priority="133">
      <formula>AND(ISBLANK(E40),ISBLANK(INDIRECT(ADDRESS(ROW(),COLUMN(digikey_part_data)+4))))</formula>
    </cfRule>
    <cfRule type="expression" dxfId="1" priority="134">
      <formula>IF(SUM(INDIRECT(ADDRESS(ROW(),COLUMN(digikey_part_data)+0)))=0,1,0)</formula>
    </cfRule>
    <cfRule type="cellIs" dxfId="2" priority="135" operator="greaterThan">
      <formula>SUM(INDIRECT(ADDRESS(ROW(),COLUMN(digikey_part_data)+0)))</formula>
    </cfRule>
    <cfRule type="cellIs" dxfId="3" priority="136" operator="greaterThan">
      <formula>SUM(IF(ISNUMBER(INDIRECT(ADDRESS(ROW(),COLUMN(digikey_part_data)+2))),INDIRECT(ADDRESS(ROW(),COLUMN(digikey_part_data)+1)),0))</formula>
    </cfRule>
  </conditionalFormatting>
  <conditionalFormatting sqref="F7">
    <cfRule type="expression" dxfId="0" priority="1">
      <formula>AND(ISBLANK(E7),ISBLANK(INDIRECT(ADDRESS(ROW(),COLUMN(digikey_part_data)+4))))</formula>
    </cfRule>
    <cfRule type="expression" dxfId="1" priority="2">
      <formula>IF(SUM(INDIRECT(ADDRESS(ROW(),COLUMN(digikey_part_data)+0)))=0,1,0)</formula>
    </cfRule>
    <cfRule type="cellIs" dxfId="2" priority="3" operator="greaterThan">
      <formula>SUM(INDIRECT(ADDRESS(ROW(),COLUMN(digikey_part_data)+0)))</formula>
    </cfRule>
    <cfRule type="cellIs" dxfId="3" priority="4" operator="greaterThan">
      <formula>SUM(IF(ISNUMBER(INDIRECT(ADDRESS(ROW(),COLUMN(digikey_part_data)+2))),INDIRECT(ADDRESS(ROW(),COLUMN(digikey_part_data)+1)),0))</formula>
    </cfRule>
  </conditionalFormatting>
  <conditionalFormatting sqref="F8">
    <cfRule type="expression" dxfId="0" priority="5">
      <formula>AND(ISBLANK(E8),ISBLANK(INDIRECT(ADDRESS(ROW(),COLUMN(digikey_part_data)+4))))</formula>
    </cfRule>
    <cfRule type="expression" dxfId="1" priority="6">
      <formula>IF(SUM(INDIRECT(ADDRESS(ROW(),COLUMN(digikey_part_data)+0)))=0,1,0)</formula>
    </cfRule>
    <cfRule type="cellIs" dxfId="2" priority="7" operator="greaterThan">
      <formula>SUM(INDIRECT(ADDRESS(ROW(),COLUMN(digikey_part_data)+0)))</formula>
    </cfRule>
    <cfRule type="cellIs" dxfId="3" priority="8" operator="greaterThan">
      <formula>SUM(IF(ISNUMBER(INDIRECT(ADDRESS(ROW(),COLUMN(digikey_part_data)+2))),INDIRECT(ADDRESS(ROW(),COLUMN(digikey_part_data)+1)),0))</formula>
    </cfRule>
  </conditionalFormatting>
  <conditionalFormatting sqref="F9">
    <cfRule type="expression" dxfId="0" priority="9">
      <formula>AND(ISBLANK(E9),ISBLANK(INDIRECT(ADDRESS(ROW(),COLUMN(digikey_part_data)+4))))</formula>
    </cfRule>
    <cfRule type="expression" dxfId="1" priority="10">
      <formula>IF(SUM(INDIRECT(ADDRESS(ROW(),COLUMN(digikey_part_data)+0)))=0,1,0)</formula>
    </cfRule>
    <cfRule type="cellIs" dxfId="2" priority="11" operator="greaterThan">
      <formula>SUM(INDIRECT(ADDRESS(ROW(),COLUMN(digikey_part_data)+0)))</formula>
    </cfRule>
    <cfRule type="cellIs" dxfId="3" priority="12" operator="greaterThan">
      <formula>SUM(IF(ISNUMBER(INDIRECT(ADDRESS(ROW(),COLUMN(digikey_part_data)+2))),INDIRECT(ADDRESS(ROW(),COLUMN(digikey_part_data)+1)),0))</formula>
    </cfRule>
  </conditionalFormatting>
  <conditionalFormatting sqref="I10">
    <cfRule type="cellIs" dxfId="1" priority="146" operator="equal">
      <formula>0</formula>
    </cfRule>
    <cfRule type="cellIs" dxfId="2" priority="147" operator="lessThan">
      <formula>F10</formula>
    </cfRule>
  </conditionalFormatting>
  <conditionalFormatting sqref="I11">
    <cfRule type="cellIs" dxfId="1" priority="149" operator="equal">
      <formula>0</formula>
    </cfRule>
    <cfRule type="cellIs" dxfId="2" priority="150" operator="lessThan">
      <formula>F11</formula>
    </cfRule>
  </conditionalFormatting>
  <conditionalFormatting sqref="I12">
    <cfRule type="cellIs" dxfId="1" priority="152" operator="equal">
      <formula>0</formula>
    </cfRule>
    <cfRule type="cellIs" dxfId="2" priority="153" operator="lessThan">
      <formula>F12</formula>
    </cfRule>
  </conditionalFormatting>
  <conditionalFormatting sqref="I13">
    <cfRule type="cellIs" dxfId="1" priority="155" operator="equal">
      <formula>0</formula>
    </cfRule>
    <cfRule type="cellIs" dxfId="2" priority="156" operator="lessThan">
      <formula>F13</formula>
    </cfRule>
  </conditionalFormatting>
  <conditionalFormatting sqref="I14">
    <cfRule type="cellIs" dxfId="1" priority="158" operator="equal">
      <formula>0</formula>
    </cfRule>
    <cfRule type="cellIs" dxfId="2" priority="159" operator="lessThan">
      <formula>F14</formula>
    </cfRule>
  </conditionalFormatting>
  <conditionalFormatting sqref="I15">
    <cfRule type="cellIs" dxfId="1" priority="161" operator="equal">
      <formula>0</formula>
    </cfRule>
    <cfRule type="cellIs" dxfId="2" priority="162" operator="lessThan">
      <formula>F15</formula>
    </cfRule>
  </conditionalFormatting>
  <conditionalFormatting sqref="I16">
    <cfRule type="cellIs" dxfId="1" priority="164" operator="equal">
      <formula>0</formula>
    </cfRule>
    <cfRule type="cellIs" dxfId="2" priority="165" operator="lessThan">
      <formula>F16</formula>
    </cfRule>
  </conditionalFormatting>
  <conditionalFormatting sqref="I17">
    <cfRule type="cellIs" dxfId="1" priority="167" operator="equal">
      <formula>0</formula>
    </cfRule>
    <cfRule type="cellIs" dxfId="2" priority="168" operator="lessThan">
      <formula>F17</formula>
    </cfRule>
  </conditionalFormatting>
  <conditionalFormatting sqref="I20">
    <cfRule type="cellIs" dxfId="1" priority="170" operator="equal">
      <formula>0</formula>
    </cfRule>
    <cfRule type="cellIs" dxfId="2" priority="171" operator="lessThan">
      <formula>F20</formula>
    </cfRule>
  </conditionalFormatting>
  <conditionalFormatting sqref="I21">
    <cfRule type="cellIs" dxfId="1" priority="173" operator="equal">
      <formula>0</formula>
    </cfRule>
    <cfRule type="cellIs" dxfId="2" priority="174" operator="lessThan">
      <formula>F21</formula>
    </cfRule>
  </conditionalFormatting>
  <conditionalFormatting sqref="I22">
    <cfRule type="cellIs" dxfId="1" priority="176" operator="equal">
      <formula>0</formula>
    </cfRule>
    <cfRule type="cellIs" dxfId="2" priority="177" operator="lessThan">
      <formula>F22</formula>
    </cfRule>
  </conditionalFormatting>
  <conditionalFormatting sqref="I23">
    <cfRule type="cellIs" dxfId="1" priority="179" operator="equal">
      <formula>0</formula>
    </cfRule>
    <cfRule type="cellIs" dxfId="2" priority="180" operator="lessThan">
      <formula>F23</formula>
    </cfRule>
  </conditionalFormatting>
  <conditionalFormatting sqref="I24">
    <cfRule type="cellIs" dxfId="1" priority="182" operator="equal">
      <formula>0</formula>
    </cfRule>
    <cfRule type="cellIs" dxfId="2" priority="183" operator="lessThan">
      <formula>F24</formula>
    </cfRule>
  </conditionalFormatting>
  <conditionalFormatting sqref="I25">
    <cfRule type="cellIs" dxfId="1" priority="185" operator="equal">
      <formula>0</formula>
    </cfRule>
    <cfRule type="cellIs" dxfId="2" priority="186" operator="lessThan">
      <formula>F25</formula>
    </cfRule>
  </conditionalFormatting>
  <conditionalFormatting sqref="I27">
    <cfRule type="cellIs" dxfId="1" priority="188" operator="equal">
      <formula>0</formula>
    </cfRule>
    <cfRule type="cellIs" dxfId="2" priority="189" operator="lessThan">
      <formula>F27</formula>
    </cfRule>
  </conditionalFormatting>
  <conditionalFormatting sqref="I34">
    <cfRule type="cellIs" dxfId="1" priority="191" operator="equal">
      <formula>0</formula>
    </cfRule>
    <cfRule type="cellIs" dxfId="2" priority="192" operator="lessThan">
      <formula>F34</formula>
    </cfRule>
  </conditionalFormatting>
  <conditionalFormatting sqref="I35">
    <cfRule type="cellIs" dxfId="1" priority="194" operator="equal">
      <formula>0</formula>
    </cfRule>
    <cfRule type="cellIs" dxfId="2" priority="195" operator="lessThan">
      <formula>F35</formula>
    </cfRule>
  </conditionalFormatting>
  <conditionalFormatting sqref="I36">
    <cfRule type="cellIs" dxfId="1" priority="197" operator="equal">
      <formula>0</formula>
    </cfRule>
    <cfRule type="cellIs" dxfId="2" priority="198" operator="lessThan">
      <formula>F36</formula>
    </cfRule>
  </conditionalFormatting>
  <conditionalFormatting sqref="I37">
    <cfRule type="cellIs" dxfId="1" priority="200" operator="equal">
      <formula>0</formula>
    </cfRule>
    <cfRule type="cellIs" dxfId="2" priority="201" operator="lessThan">
      <formula>F37</formula>
    </cfRule>
  </conditionalFormatting>
  <conditionalFormatting sqref="I38">
    <cfRule type="cellIs" dxfId="1" priority="203" operator="equal">
      <formula>0</formula>
    </cfRule>
    <cfRule type="cellIs" dxfId="2" priority="204" operator="lessThan">
      <formula>F38</formula>
    </cfRule>
  </conditionalFormatting>
  <conditionalFormatting sqref="I39">
    <cfRule type="cellIs" dxfId="1" priority="206" operator="equal">
      <formula>0</formula>
    </cfRule>
    <cfRule type="cellIs" dxfId="2" priority="207" operator="lessThan">
      <formula>F39</formula>
    </cfRule>
  </conditionalFormatting>
  <conditionalFormatting sqref="I40">
    <cfRule type="cellIs" dxfId="1" priority="209" operator="equal">
      <formula>0</formula>
    </cfRule>
    <cfRule type="cellIs" dxfId="2" priority="210" operator="lessThan">
      <formula>F40</formula>
    </cfRule>
  </conditionalFormatting>
  <conditionalFormatting sqref="I7">
    <cfRule type="cellIs" dxfId="1" priority="137" operator="equal">
      <formula>0</formula>
    </cfRule>
    <cfRule type="cellIs" dxfId="2" priority="138" operator="lessThan">
      <formula>F7</formula>
    </cfRule>
  </conditionalFormatting>
  <conditionalFormatting sqref="I8">
    <cfRule type="cellIs" dxfId="1" priority="140" operator="equal">
      <formula>0</formula>
    </cfRule>
    <cfRule type="cellIs" dxfId="2" priority="141" operator="lessThan">
      <formula>F8</formula>
    </cfRule>
  </conditionalFormatting>
  <conditionalFormatting sqref="I9">
    <cfRule type="cellIs" dxfId="1" priority="143" operator="equal">
      <formula>0</formula>
    </cfRule>
    <cfRule type="cellIs" dxfId="2" priority="144" operator="lessThan">
      <formula>F9</formula>
    </cfRule>
  </conditionalFormatting>
  <conditionalFormatting sqref="J10">
    <cfRule type="cellIs" dxfId="1" priority="148" operator="greaterThan">
      <formula>I10</formula>
    </cfRule>
  </conditionalFormatting>
  <conditionalFormatting sqref="J11">
    <cfRule type="cellIs" dxfId="1" priority="151" operator="greaterThan">
      <formula>I11</formula>
    </cfRule>
  </conditionalFormatting>
  <conditionalFormatting sqref="J12">
    <cfRule type="cellIs" dxfId="1" priority="154" operator="greaterThan">
      <formula>I12</formula>
    </cfRule>
  </conditionalFormatting>
  <conditionalFormatting sqref="J13">
    <cfRule type="cellIs" dxfId="1" priority="157" operator="greaterThan">
      <formula>I13</formula>
    </cfRule>
  </conditionalFormatting>
  <conditionalFormatting sqref="J14">
    <cfRule type="cellIs" dxfId="1" priority="160" operator="greaterThan">
      <formula>I14</formula>
    </cfRule>
  </conditionalFormatting>
  <conditionalFormatting sqref="J15">
    <cfRule type="cellIs" dxfId="1" priority="163" operator="greaterThan">
      <formula>I15</formula>
    </cfRule>
  </conditionalFormatting>
  <conditionalFormatting sqref="J16">
    <cfRule type="cellIs" dxfId="1" priority="166" operator="greaterThan">
      <formula>I16</formula>
    </cfRule>
  </conditionalFormatting>
  <conditionalFormatting sqref="J17">
    <cfRule type="cellIs" dxfId="1" priority="169" operator="greaterThan">
      <formula>I17</formula>
    </cfRule>
  </conditionalFormatting>
  <conditionalFormatting sqref="J20">
    <cfRule type="cellIs" dxfId="1" priority="172" operator="greaterThan">
      <formula>I20</formula>
    </cfRule>
  </conditionalFormatting>
  <conditionalFormatting sqref="J21">
    <cfRule type="cellIs" dxfId="1" priority="175" operator="greaterThan">
      <formula>I21</formula>
    </cfRule>
  </conditionalFormatting>
  <conditionalFormatting sqref="J22">
    <cfRule type="cellIs" dxfId="1" priority="178" operator="greaterThan">
      <formula>I22</formula>
    </cfRule>
  </conditionalFormatting>
  <conditionalFormatting sqref="J23">
    <cfRule type="cellIs" dxfId="1" priority="181" operator="greaterThan">
      <formula>I23</formula>
    </cfRule>
  </conditionalFormatting>
  <conditionalFormatting sqref="J24">
    <cfRule type="cellIs" dxfId="1" priority="184" operator="greaterThan">
      <formula>I24</formula>
    </cfRule>
  </conditionalFormatting>
  <conditionalFormatting sqref="J25">
    <cfRule type="cellIs" dxfId="1" priority="187" operator="greaterThan">
      <formula>I25</formula>
    </cfRule>
  </conditionalFormatting>
  <conditionalFormatting sqref="J27">
    <cfRule type="cellIs" dxfId="1" priority="190" operator="greaterThan">
      <formula>I27</formula>
    </cfRule>
  </conditionalFormatting>
  <conditionalFormatting sqref="J34">
    <cfRule type="cellIs" dxfId="1" priority="193" operator="greaterThan">
      <formula>I34</formula>
    </cfRule>
  </conditionalFormatting>
  <conditionalFormatting sqref="J35">
    <cfRule type="cellIs" dxfId="1" priority="196" operator="greaterThan">
      <formula>I35</formula>
    </cfRule>
  </conditionalFormatting>
  <conditionalFormatting sqref="J36">
    <cfRule type="cellIs" dxfId="1" priority="199" operator="greaterThan">
      <formula>I36</formula>
    </cfRule>
  </conditionalFormatting>
  <conditionalFormatting sqref="J37">
    <cfRule type="cellIs" dxfId="1" priority="202" operator="greaterThan">
      <formula>I37</formula>
    </cfRule>
  </conditionalFormatting>
  <conditionalFormatting sqref="J38">
    <cfRule type="cellIs" dxfId="1" priority="205" operator="greaterThan">
      <formula>I38</formula>
    </cfRule>
  </conditionalFormatting>
  <conditionalFormatting sqref="J39">
    <cfRule type="cellIs" dxfId="1" priority="208" operator="greaterThan">
      <formula>I39</formula>
    </cfRule>
  </conditionalFormatting>
  <conditionalFormatting sqref="J40">
    <cfRule type="cellIs" dxfId="1" priority="211" operator="greaterThan">
      <formula>I40</formula>
    </cfRule>
  </conditionalFormatting>
  <conditionalFormatting sqref="J7">
    <cfRule type="cellIs" dxfId="1" priority="139" operator="greaterThan">
      <formula>I7</formula>
    </cfRule>
  </conditionalFormatting>
  <conditionalFormatting sqref="J8">
    <cfRule type="cellIs" dxfId="1" priority="142" operator="greaterThan">
      <formula>I8</formula>
    </cfRule>
  </conditionalFormatting>
  <conditionalFormatting sqref="J9">
    <cfRule type="cellIs" dxfId="1" priority="145" operator="greaterThan">
      <formula>I9</formula>
    </cfRule>
  </conditionalFormatting>
  <hyperlinks>
    <hyperlink ref="E7" r:id="rId1"/>
    <hyperlink ref="M7" r:id="rId2"/>
    <hyperlink ref="E8" r:id="rId3"/>
    <hyperlink ref="M8" r:id="rId4"/>
    <hyperlink ref="M9" r:id="rId5"/>
    <hyperlink ref="E10" r:id="rId6"/>
    <hyperlink ref="M10" r:id="rId7"/>
    <hyperlink ref="E11" r:id="rId8"/>
    <hyperlink ref="M11" r:id="rId9"/>
    <hyperlink ref="E12" r:id="rId10"/>
    <hyperlink ref="M12" r:id="rId11"/>
    <hyperlink ref="E13" r:id="rId12"/>
    <hyperlink ref="M13" r:id="rId13"/>
    <hyperlink ref="E14" r:id="rId14"/>
    <hyperlink ref="M14" r:id="rId15"/>
    <hyperlink ref="E15" r:id="rId16"/>
    <hyperlink ref="M15" r:id="rId17"/>
    <hyperlink ref="E16" r:id="rId18"/>
    <hyperlink ref="M16" r:id="rId19"/>
    <hyperlink ref="M17" r:id="rId20"/>
    <hyperlink ref="E20" r:id="rId21"/>
    <hyperlink ref="M20" r:id="rId22"/>
    <hyperlink ref="E21" r:id="rId23"/>
    <hyperlink ref="M21" r:id="rId24"/>
    <hyperlink ref="E22" r:id="rId25"/>
    <hyperlink ref="M22" r:id="rId26"/>
    <hyperlink ref="E23" r:id="rId27"/>
    <hyperlink ref="M23" r:id="rId28"/>
    <hyperlink ref="E24" r:id="rId29"/>
    <hyperlink ref="M24" r:id="rId30"/>
    <hyperlink ref="E25" r:id="rId31"/>
    <hyperlink ref="M25" r:id="rId32"/>
    <hyperlink ref="E27" r:id="rId33"/>
    <hyperlink ref="M27" r:id="rId34"/>
    <hyperlink ref="E34" r:id="rId35"/>
    <hyperlink ref="M34" r:id="rId36"/>
    <hyperlink ref="M35" r:id="rId37"/>
    <hyperlink ref="E36" r:id="rId38"/>
    <hyperlink ref="M36" r:id="rId39"/>
    <hyperlink ref="M37" r:id="rId40"/>
    <hyperlink ref="E38" r:id="rId41"/>
    <hyperlink ref="M38" r:id="rId42"/>
    <hyperlink ref="E39" r:id="rId43"/>
    <hyperlink ref="M39" r:id="rId44"/>
    <hyperlink ref="E40" r:id="rId45"/>
    <hyperlink ref="M40" r:id="rId46"/>
  </hyperlinks>
  <pageMargins left="0.7" right="0.7" top="0.75" bottom="0.75" header="0.3" footer="0.3"/>
  <legacy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repl_sharp_el-w516x. </vt:lpstr>
      <vt:lpstr>BoardQty</vt:lpstr>
      <vt:lpstr>digikey_part_data</vt:lpstr>
      <vt:lpstr>global_part_data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2019-07-08T01:15:32Z</dcterms:created>
  <dcterms:modified xsi:type="dcterms:W3CDTF">2019-07-08T01:15:32Z</dcterms:modified>
</cp:coreProperties>
</file>